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'2023'!$E$1:$E$1343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5" i="1" l="1"/>
  <c r="S775" i="1" s="1"/>
  <c r="P775" i="1"/>
  <c r="P220" i="1" l="1"/>
  <c r="J220" i="1"/>
  <c r="R220" i="1" s="1"/>
  <c r="S220" i="1" s="1"/>
  <c r="R1290" i="1" l="1"/>
  <c r="S1290" i="1" s="1"/>
  <c r="P1290" i="1"/>
  <c r="R1270" i="1"/>
  <c r="S1270" i="1" s="1"/>
  <c r="P1270" i="1"/>
  <c r="R1265" i="1"/>
  <c r="S1265" i="1" s="1"/>
  <c r="P1265" i="1"/>
  <c r="P1187" i="1"/>
  <c r="R1187" i="1" s="1"/>
  <c r="S1187" i="1" s="1"/>
  <c r="R829" i="1"/>
  <c r="S829" i="1" s="1"/>
  <c r="P829" i="1"/>
  <c r="P828" i="1"/>
  <c r="R828" i="1"/>
  <c r="S828" i="1" s="1"/>
  <c r="P955" i="1" l="1"/>
  <c r="J955" i="1"/>
  <c r="R955" i="1" s="1"/>
  <c r="S955" i="1" s="1"/>
  <c r="R861" i="1"/>
  <c r="S861" i="1" s="1"/>
  <c r="P861" i="1"/>
  <c r="R641" i="1"/>
  <c r="S641" i="1" s="1"/>
  <c r="P641" i="1"/>
  <c r="R1038" i="1"/>
  <c r="S1038" i="1" s="1"/>
  <c r="P1038" i="1"/>
  <c r="P555" i="1"/>
  <c r="R555" i="1" s="1"/>
  <c r="S555" i="1" s="1"/>
  <c r="P541" i="1"/>
  <c r="R541" i="1" s="1"/>
  <c r="S541" i="1" s="1"/>
  <c r="R918" i="1"/>
  <c r="S918" i="1" s="1"/>
  <c r="P918" i="1"/>
  <c r="R551" i="1"/>
  <c r="S551" i="1" s="1"/>
  <c r="P551" i="1"/>
  <c r="R1080" i="1"/>
  <c r="S1080" i="1" s="1"/>
  <c r="P1080" i="1"/>
  <c r="R776" i="1"/>
  <c r="S776" i="1" s="1"/>
  <c r="P776" i="1"/>
  <c r="R730" i="1"/>
  <c r="S730" i="1" s="1"/>
  <c r="P730" i="1"/>
  <c r="R689" i="1"/>
  <c r="S689" i="1" s="1"/>
  <c r="P689" i="1"/>
  <c r="R259" i="1"/>
  <c r="S259" i="1" s="1"/>
  <c r="P259" i="1"/>
  <c r="P248" i="1"/>
  <c r="R248" i="1" s="1"/>
  <c r="S248" i="1" s="1"/>
  <c r="P219" i="1" l="1"/>
  <c r="R219" i="1" s="1"/>
  <c r="S219" i="1" s="1"/>
  <c r="R836" i="1" l="1"/>
  <c r="S836" i="1" s="1"/>
  <c r="P836" i="1"/>
  <c r="P146" i="1"/>
  <c r="R146" i="1" s="1"/>
  <c r="S146" i="1" s="1"/>
  <c r="R26" i="1"/>
  <c r="S26" i="1" s="1"/>
  <c r="P26" i="1"/>
  <c r="P7" i="1"/>
  <c r="R7" i="1" s="1"/>
  <c r="S7" i="1" s="1"/>
  <c r="C664" i="1" l="1"/>
  <c r="C362" i="1"/>
  <c r="P1318" i="1"/>
  <c r="R1318" i="1" s="1"/>
  <c r="S1318" i="1" s="1"/>
  <c r="P1317" i="1"/>
  <c r="R1317" i="1" s="1"/>
  <c r="S1317" i="1" s="1"/>
  <c r="P368" i="1" l="1"/>
  <c r="J368" i="1"/>
  <c r="P366" i="1"/>
  <c r="J366" i="1"/>
  <c r="R366" i="1" l="1"/>
  <c r="S366" i="1" s="1"/>
  <c r="R368" i="1"/>
  <c r="S368" i="1" s="1"/>
  <c r="P1269" i="1"/>
  <c r="R1269" i="1" s="1"/>
  <c r="S1269" i="1" s="1"/>
  <c r="P884" i="1"/>
  <c r="R884" i="1" s="1"/>
  <c r="S884" i="1" s="1"/>
  <c r="P650" i="1"/>
  <c r="R650" i="1" s="1"/>
  <c r="S650" i="1" s="1"/>
  <c r="P40" i="1" l="1"/>
  <c r="R40" i="1" s="1"/>
  <c r="S40" i="1" s="1"/>
  <c r="P342" i="1"/>
  <c r="R342" i="1" s="1"/>
  <c r="S342" i="1" s="1"/>
  <c r="P950" i="1" l="1"/>
  <c r="R950" i="1" s="1"/>
  <c r="S950" i="1" s="1"/>
  <c r="P1314" i="1"/>
  <c r="R1314" i="1" s="1"/>
  <c r="S1314" i="1" s="1"/>
  <c r="P1246" i="1"/>
  <c r="R1246" i="1" s="1"/>
  <c r="S1246" i="1" s="1"/>
  <c r="P678" i="1" l="1"/>
  <c r="R678" i="1" s="1"/>
  <c r="S678" i="1" s="1"/>
  <c r="P1081" i="1"/>
  <c r="R1081" i="1" s="1"/>
  <c r="S1081" i="1" s="1"/>
  <c r="P783" i="1"/>
  <c r="R783" i="1" s="1"/>
  <c r="S783" i="1" s="1"/>
  <c r="P708" i="1" l="1"/>
  <c r="R708" i="1" s="1"/>
  <c r="S708" i="1" s="1"/>
  <c r="P781" i="1"/>
  <c r="R781" i="1" s="1"/>
  <c r="S781" i="1" s="1"/>
  <c r="P782" i="1"/>
  <c r="R782" i="1" s="1"/>
  <c r="S782" i="1" s="1"/>
  <c r="P421" i="1"/>
  <c r="R421" i="1" s="1"/>
  <c r="S421" i="1" s="1"/>
  <c r="P422" i="1"/>
  <c r="R422" i="1" s="1"/>
  <c r="S422" i="1" s="1"/>
  <c r="P423" i="1"/>
  <c r="R423" i="1" s="1"/>
  <c r="S423" i="1" s="1"/>
  <c r="P424" i="1"/>
  <c r="R424" i="1" s="1"/>
  <c r="S424" i="1" s="1"/>
  <c r="P425" i="1"/>
  <c r="R425" i="1" s="1"/>
  <c r="S425" i="1" s="1"/>
  <c r="P345" i="1"/>
  <c r="R345" i="1" s="1"/>
  <c r="S345" i="1" s="1"/>
  <c r="J264" i="1"/>
  <c r="P263" i="1"/>
  <c r="J263" i="1"/>
  <c r="P261" i="1"/>
  <c r="J261" i="1"/>
  <c r="J262" i="1"/>
  <c r="P262" i="1"/>
  <c r="P258" i="1"/>
  <c r="J258" i="1"/>
  <c r="P251" i="1"/>
  <c r="J251" i="1"/>
  <c r="P241" i="1"/>
  <c r="J241" i="1"/>
  <c r="P242" i="1"/>
  <c r="R242" i="1" s="1"/>
  <c r="S242" i="1" s="1"/>
  <c r="P72" i="1"/>
  <c r="R72" i="1" s="1"/>
  <c r="S72" i="1" s="1"/>
  <c r="P73" i="1"/>
  <c r="R73" i="1" s="1"/>
  <c r="S73" i="1" s="1"/>
  <c r="P71" i="1"/>
  <c r="R71" i="1" s="1"/>
  <c r="S71" i="1" s="1"/>
  <c r="R251" i="1" l="1"/>
  <c r="S251" i="1" s="1"/>
  <c r="R258" i="1"/>
  <c r="S258" i="1" s="1"/>
  <c r="R262" i="1"/>
  <c r="S262" i="1" s="1"/>
  <c r="R261" i="1"/>
  <c r="S261" i="1" s="1"/>
  <c r="R263" i="1"/>
  <c r="S263" i="1" s="1"/>
  <c r="R241" i="1"/>
  <c r="S241" i="1" s="1"/>
  <c r="P68" i="1"/>
  <c r="R68" i="1" s="1"/>
  <c r="S68" i="1" s="1"/>
  <c r="P67" i="1"/>
  <c r="R67" i="1" s="1"/>
  <c r="S67" i="1" s="1"/>
  <c r="C742" i="1" l="1"/>
  <c r="P1263" i="1"/>
  <c r="R1263" i="1" s="1"/>
  <c r="S1263" i="1" s="1"/>
  <c r="P939" i="1"/>
  <c r="R939" i="1" s="1"/>
  <c r="S939" i="1" s="1"/>
  <c r="P296" i="1"/>
  <c r="R296" i="1" s="1"/>
  <c r="S296" i="1" s="1"/>
  <c r="P297" i="1"/>
  <c r="R297" i="1" s="1"/>
  <c r="S297" i="1" s="1"/>
  <c r="P294" i="1"/>
  <c r="R294" i="1" s="1"/>
  <c r="S294" i="1" s="1"/>
  <c r="P290" i="1"/>
  <c r="R290" i="1" s="1"/>
  <c r="S290" i="1" s="1"/>
  <c r="P284" i="1"/>
  <c r="R284" i="1" s="1"/>
  <c r="S284" i="1" s="1"/>
  <c r="P281" i="1"/>
  <c r="R281" i="1" s="1"/>
  <c r="S281" i="1" s="1"/>
  <c r="P224" i="1" l="1"/>
  <c r="J224" i="1"/>
  <c r="R224" i="1" l="1"/>
  <c r="S224" i="1" s="1"/>
  <c r="C676" i="1"/>
  <c r="P1300" i="1" l="1"/>
  <c r="R1300" i="1" s="1"/>
  <c r="S1300" i="1" s="1"/>
  <c r="P578" i="1"/>
  <c r="R578" i="1" s="1"/>
  <c r="S578" i="1" s="1"/>
  <c r="P387" i="1" l="1"/>
  <c r="R387" i="1" s="1"/>
  <c r="S387" i="1" s="1"/>
  <c r="P289" i="1"/>
  <c r="R289" i="1" s="1"/>
  <c r="S289" i="1" s="1"/>
  <c r="P212" i="1" l="1"/>
  <c r="J212" i="1"/>
  <c r="P123" i="1"/>
  <c r="R123" i="1" s="1"/>
  <c r="S123" i="1" s="1"/>
  <c r="P676" i="1"/>
  <c r="R676" i="1" s="1"/>
  <c r="S676" i="1" s="1"/>
  <c r="P14" i="1"/>
  <c r="R14" i="1" s="1"/>
  <c r="S14" i="1" s="1"/>
  <c r="R212" i="1" l="1"/>
  <c r="S212" i="1" s="1"/>
  <c r="J1163" i="1"/>
  <c r="P1163" i="1"/>
  <c r="J1158" i="1"/>
  <c r="P1158" i="1"/>
  <c r="P1148" i="1"/>
  <c r="R1148" i="1" s="1"/>
  <c r="S1148" i="1" s="1"/>
  <c r="P1144" i="1"/>
  <c r="R1144" i="1" s="1"/>
  <c r="S1144" i="1" s="1"/>
  <c r="P1102" i="1"/>
  <c r="R1102" i="1" s="1"/>
  <c r="S1102" i="1" s="1"/>
  <c r="J823" i="1"/>
  <c r="P823" i="1"/>
  <c r="P1311" i="1"/>
  <c r="R1311" i="1" s="1"/>
  <c r="S1311" i="1" s="1"/>
  <c r="P1310" i="1"/>
  <c r="R1310" i="1" s="1"/>
  <c r="S1310" i="1" s="1"/>
  <c r="P877" i="1"/>
  <c r="R877" i="1" s="1"/>
  <c r="S877" i="1" s="1"/>
  <c r="P867" i="1"/>
  <c r="R867" i="1" s="1"/>
  <c r="S867" i="1" s="1"/>
  <c r="P974" i="1"/>
  <c r="R974" i="1" s="1"/>
  <c r="S974" i="1" s="1"/>
  <c r="P975" i="1"/>
  <c r="R975" i="1" s="1"/>
  <c r="S975" i="1" s="1"/>
  <c r="P976" i="1"/>
  <c r="R976" i="1" s="1"/>
  <c r="S976" i="1" s="1"/>
  <c r="P977" i="1"/>
  <c r="R977" i="1" s="1"/>
  <c r="S977" i="1" s="1"/>
  <c r="P978" i="1"/>
  <c r="R978" i="1" s="1"/>
  <c r="S978" i="1" s="1"/>
  <c r="P973" i="1"/>
  <c r="R973" i="1" s="1"/>
  <c r="S973" i="1" s="1"/>
  <c r="P986" i="1"/>
  <c r="R986" i="1" s="1"/>
  <c r="S986" i="1" s="1"/>
  <c r="P1023" i="1"/>
  <c r="R1023" i="1" s="1"/>
  <c r="S1023" i="1" s="1"/>
  <c r="P1021" i="1"/>
  <c r="R1021" i="1" s="1"/>
  <c r="S1021" i="1" s="1"/>
  <c r="P1012" i="1"/>
  <c r="R1012" i="1" s="1"/>
  <c r="S1012" i="1" s="1"/>
  <c r="P911" i="1"/>
  <c r="R911" i="1" s="1"/>
  <c r="S911" i="1" s="1"/>
  <c r="P907" i="1"/>
  <c r="R907" i="1" s="1"/>
  <c r="S907" i="1" s="1"/>
  <c r="P1066" i="1"/>
  <c r="R1066" i="1" s="1"/>
  <c r="S1066" i="1" s="1"/>
  <c r="P569" i="1"/>
  <c r="R569" i="1" s="1"/>
  <c r="S569" i="1" s="1"/>
  <c r="R1163" i="1" l="1"/>
  <c r="S1163" i="1" s="1"/>
  <c r="R1158" i="1"/>
  <c r="S1158" i="1" s="1"/>
  <c r="R823" i="1"/>
  <c r="S823" i="1" s="1"/>
  <c r="P699" i="1" l="1"/>
  <c r="R699" i="1" s="1"/>
  <c r="S699" i="1" s="1"/>
  <c r="P408" i="1"/>
  <c r="R408" i="1" s="1"/>
  <c r="S408" i="1" s="1"/>
  <c r="P407" i="1"/>
  <c r="R407" i="1" s="1"/>
  <c r="S407" i="1" s="1"/>
  <c r="P354" i="1"/>
  <c r="R354" i="1" s="1"/>
  <c r="S354" i="1" s="1"/>
  <c r="P325" i="1"/>
  <c r="R325" i="1" s="1"/>
  <c r="S325" i="1" s="1"/>
  <c r="P162" i="1"/>
  <c r="R162" i="1" s="1"/>
  <c r="S162" i="1" s="1"/>
  <c r="P675" i="1" l="1"/>
  <c r="R675" i="1" s="1"/>
  <c r="S675" i="1" s="1"/>
  <c r="P651" i="1"/>
  <c r="R651" i="1" s="1"/>
  <c r="S651" i="1" s="1"/>
  <c r="P659" i="1"/>
  <c r="R659" i="1" s="1"/>
  <c r="S659" i="1" s="1"/>
  <c r="P663" i="1"/>
  <c r="R663" i="1" s="1"/>
  <c r="S663" i="1" s="1"/>
  <c r="P666" i="1"/>
  <c r="R666" i="1" s="1"/>
  <c r="S666" i="1" s="1"/>
  <c r="P30" i="1"/>
  <c r="R30" i="1" s="1"/>
  <c r="S30" i="1" s="1"/>
  <c r="P16" i="1"/>
  <c r="R16" i="1" s="1"/>
  <c r="S16" i="1" s="1"/>
  <c r="P1307" i="1"/>
  <c r="R1307" i="1" s="1"/>
  <c r="S1307" i="1" s="1"/>
  <c r="P1306" i="1"/>
  <c r="R1306" i="1" s="1"/>
  <c r="S1306" i="1" s="1"/>
  <c r="C780" i="1" l="1"/>
  <c r="P420" i="1" l="1"/>
  <c r="R420" i="1" s="1"/>
  <c r="S420" i="1" s="1"/>
  <c r="P1257" i="1" l="1"/>
  <c r="R1257" i="1" s="1"/>
  <c r="S1257" i="1" s="1"/>
  <c r="P1199" i="1"/>
  <c r="R1199" i="1" s="1"/>
  <c r="S1199" i="1" s="1"/>
  <c r="P1198" i="1"/>
  <c r="R1198" i="1" s="1"/>
  <c r="S1198" i="1" s="1"/>
  <c r="P1123" i="1"/>
  <c r="R1123" i="1" s="1"/>
  <c r="S1123" i="1" s="1"/>
  <c r="P798" i="1" l="1"/>
  <c r="R798" i="1" s="1"/>
  <c r="S798" i="1" s="1"/>
  <c r="P1045" i="1"/>
  <c r="R1045" i="1" s="1"/>
  <c r="S1045" i="1" s="1"/>
  <c r="P961" i="1"/>
  <c r="R961" i="1" s="1"/>
  <c r="S961" i="1" s="1"/>
  <c r="P980" i="1"/>
  <c r="R980" i="1" s="1"/>
  <c r="S980" i="1" s="1"/>
  <c r="P872" i="1"/>
  <c r="P851" i="1"/>
  <c r="R851" i="1" s="1"/>
  <c r="S851" i="1" s="1"/>
  <c r="P1024" i="1"/>
  <c r="R1024" i="1" s="1"/>
  <c r="S1024" i="1" s="1"/>
  <c r="P1008" i="1"/>
  <c r="R1008" i="1" s="1"/>
  <c r="S1008" i="1" s="1"/>
  <c r="P1009" i="1"/>
  <c r="R1009" i="1" s="1"/>
  <c r="S1009" i="1" s="1"/>
  <c r="P1010" i="1"/>
  <c r="R1010" i="1" s="1"/>
  <c r="S1010" i="1" s="1"/>
  <c r="P1011" i="1"/>
  <c r="R1011" i="1" s="1"/>
  <c r="S1011" i="1" s="1"/>
  <c r="P1013" i="1"/>
  <c r="R1013" i="1" s="1"/>
  <c r="S1013" i="1" s="1"/>
  <c r="P1014" i="1"/>
  <c r="R1014" i="1" s="1"/>
  <c r="S1014" i="1" s="1"/>
  <c r="P1015" i="1"/>
  <c r="R1015" i="1" s="1"/>
  <c r="S1015" i="1" s="1"/>
  <c r="P1016" i="1"/>
  <c r="R1016" i="1" s="1"/>
  <c r="S1016" i="1" s="1"/>
  <c r="P1017" i="1"/>
  <c r="R1017" i="1" s="1"/>
  <c r="S1017" i="1" s="1"/>
  <c r="P1018" i="1"/>
  <c r="R1018" i="1" s="1"/>
  <c r="S1018" i="1" s="1"/>
  <c r="P1019" i="1"/>
  <c r="R1019" i="1" s="1"/>
  <c r="S1019" i="1" s="1"/>
  <c r="P1020" i="1"/>
  <c r="R1020" i="1" s="1"/>
  <c r="S1020" i="1" s="1"/>
  <c r="P1022" i="1"/>
  <c r="R1022" i="1" s="1"/>
  <c r="S1022" i="1" s="1"/>
  <c r="P1007" i="1"/>
  <c r="R1007" i="1" s="1"/>
  <c r="S1007" i="1" s="1"/>
  <c r="P919" i="1"/>
  <c r="R919" i="1" s="1"/>
  <c r="S919" i="1" s="1"/>
  <c r="P916" i="1"/>
  <c r="R916" i="1" s="1"/>
  <c r="S916" i="1" s="1"/>
  <c r="P583" i="1"/>
  <c r="R583" i="1" s="1"/>
  <c r="S583" i="1" s="1"/>
  <c r="P559" i="1"/>
  <c r="R559" i="1" s="1"/>
  <c r="S559" i="1" s="1"/>
  <c r="P504" i="1"/>
  <c r="R504" i="1" s="1"/>
  <c r="S504" i="1" s="1"/>
  <c r="P360" i="1"/>
  <c r="R360" i="1" s="1"/>
  <c r="S360" i="1" s="1"/>
  <c r="P1073" i="1"/>
  <c r="R1073" i="1" s="1"/>
  <c r="S1073" i="1" s="1"/>
  <c r="P440" i="1"/>
  <c r="R440" i="1" s="1"/>
  <c r="S440" i="1" s="1"/>
  <c r="P780" i="1"/>
  <c r="R780" i="1" s="1"/>
  <c r="S780" i="1" s="1"/>
  <c r="P772" i="1"/>
  <c r="R772" i="1" s="1"/>
  <c r="S772" i="1" s="1"/>
  <c r="R872" i="1" l="1"/>
  <c r="S872" i="1" s="1"/>
  <c r="P719" i="1"/>
  <c r="J719" i="1"/>
  <c r="P688" i="1"/>
  <c r="R688" i="1" s="1"/>
  <c r="S688" i="1" s="1"/>
  <c r="R719" i="1" l="1"/>
  <c r="S719" i="1" s="1"/>
  <c r="P419" i="1"/>
  <c r="R419" i="1" s="1"/>
  <c r="S419" i="1" s="1"/>
  <c r="P411" i="1"/>
  <c r="R411" i="1" s="1"/>
  <c r="S411" i="1" s="1"/>
  <c r="P267" i="1" l="1"/>
  <c r="R267" i="1" s="1"/>
  <c r="S267" i="1" s="1"/>
  <c r="P270" i="1"/>
  <c r="R270" i="1" s="1"/>
  <c r="S270" i="1" s="1"/>
  <c r="P194" i="1"/>
  <c r="R194" i="1" s="1"/>
  <c r="S194" i="1" s="1"/>
  <c r="P196" i="1"/>
  <c r="R196" i="1" s="1"/>
  <c r="S196" i="1" s="1"/>
  <c r="P198" i="1"/>
  <c r="R198" i="1" s="1"/>
  <c r="S198" i="1" s="1"/>
  <c r="P199" i="1"/>
  <c r="R199" i="1" s="1"/>
  <c r="S199" i="1" s="1"/>
  <c r="P200" i="1"/>
  <c r="R200" i="1" s="1"/>
  <c r="S200" i="1" s="1"/>
  <c r="P839" i="1"/>
  <c r="R839" i="1" s="1"/>
  <c r="S839" i="1" s="1"/>
  <c r="P109" i="1"/>
  <c r="R109" i="1" s="1"/>
  <c r="S109" i="1" s="1"/>
  <c r="P95" i="1"/>
  <c r="R95" i="1" s="1"/>
  <c r="S95" i="1" s="1"/>
  <c r="P620" i="1"/>
  <c r="R620" i="1" s="1"/>
  <c r="S620" i="1" s="1"/>
  <c r="P658" i="1"/>
  <c r="R658" i="1" s="1"/>
  <c r="S658" i="1" s="1"/>
  <c r="P12" i="1"/>
  <c r="R12" i="1" s="1"/>
  <c r="S12" i="1" s="1"/>
  <c r="P13" i="1"/>
  <c r="R13" i="1" s="1"/>
  <c r="S13" i="1" s="1"/>
  <c r="P15" i="1"/>
  <c r="R15" i="1" s="1"/>
  <c r="S15" i="1" s="1"/>
  <c r="P550" i="1" l="1"/>
  <c r="R550" i="1" s="1"/>
  <c r="S550" i="1" s="1"/>
  <c r="P466" i="1" l="1"/>
  <c r="R466" i="1" s="1"/>
  <c r="S466" i="1" s="1"/>
  <c r="P1298" i="1" l="1"/>
  <c r="R1298" i="1" s="1"/>
  <c r="S1298" i="1" s="1"/>
  <c r="P1303" i="1"/>
  <c r="R1303" i="1" s="1"/>
  <c r="S1303" i="1" s="1"/>
  <c r="P336" i="1"/>
  <c r="R336" i="1" s="1"/>
  <c r="S336" i="1" s="1"/>
  <c r="P335" i="1"/>
  <c r="R335" i="1" s="1"/>
  <c r="S335" i="1" s="1"/>
  <c r="P849" i="1"/>
  <c r="R849" i="1" s="1"/>
  <c r="S849" i="1" s="1"/>
  <c r="P1005" i="1"/>
  <c r="R1005" i="1" s="1"/>
  <c r="S1005" i="1" s="1"/>
  <c r="P1004" i="1"/>
  <c r="R1004" i="1" s="1"/>
  <c r="S1004" i="1" s="1"/>
  <c r="P1003" i="1"/>
  <c r="R1003" i="1" s="1"/>
  <c r="S1003" i="1" s="1"/>
  <c r="P1002" i="1"/>
  <c r="R1002" i="1" s="1"/>
  <c r="S1002" i="1" s="1"/>
  <c r="P771" i="1"/>
  <c r="R771" i="1" s="1"/>
  <c r="S771" i="1" s="1"/>
  <c r="P754" i="1"/>
  <c r="R754" i="1" s="1"/>
  <c r="S754" i="1" s="1"/>
  <c r="P883" i="1" l="1"/>
  <c r="R883" i="1" s="1"/>
  <c r="S883" i="1" s="1"/>
  <c r="P1252" i="1"/>
  <c r="R1252" i="1" s="1"/>
  <c r="S1252" i="1" s="1"/>
  <c r="P1258" i="1"/>
  <c r="R1258" i="1" s="1"/>
  <c r="S1258" i="1" s="1"/>
  <c r="P1055" i="1"/>
  <c r="R1055" i="1" s="1"/>
  <c r="S1055" i="1" s="1"/>
  <c r="P936" i="1"/>
  <c r="R936" i="1" s="1"/>
  <c r="S936" i="1" s="1"/>
  <c r="P856" i="1"/>
  <c r="R856" i="1" s="1"/>
  <c r="S856" i="1" s="1"/>
  <c r="P988" i="1"/>
  <c r="R988" i="1" s="1"/>
  <c r="S988" i="1" s="1"/>
  <c r="P582" i="1"/>
  <c r="R582" i="1" s="1"/>
  <c r="S582" i="1" s="1"/>
  <c r="P512" i="1"/>
  <c r="R512" i="1" s="1"/>
  <c r="S512" i="1" s="1"/>
  <c r="P507" i="1"/>
  <c r="R507" i="1" s="1"/>
  <c r="S507" i="1" s="1"/>
  <c r="P492" i="1" l="1"/>
  <c r="R492" i="1" s="1"/>
  <c r="S492" i="1" s="1"/>
  <c r="P491" i="1"/>
  <c r="R491" i="1" s="1"/>
  <c r="S491" i="1" s="1"/>
  <c r="P465" i="1"/>
  <c r="R465" i="1" s="1"/>
  <c r="S465" i="1" s="1"/>
  <c r="P464" i="1"/>
  <c r="R464" i="1" s="1"/>
  <c r="S464" i="1" s="1"/>
  <c r="P455" i="1"/>
  <c r="R455" i="1" s="1"/>
  <c r="S455" i="1" s="1"/>
  <c r="P731" i="1"/>
  <c r="J731" i="1"/>
  <c r="J718" i="1"/>
  <c r="P718" i="1"/>
  <c r="R718" i="1" l="1"/>
  <c r="S718" i="1" s="1"/>
  <c r="R731" i="1"/>
  <c r="S731" i="1" s="1"/>
  <c r="P735" i="1"/>
  <c r="P728" i="1"/>
  <c r="R728" i="1" s="1"/>
  <c r="S728" i="1" s="1"/>
  <c r="P705" i="1"/>
  <c r="R705" i="1" s="1"/>
  <c r="S705" i="1" s="1"/>
  <c r="R735" i="1" l="1"/>
  <c r="S735" i="1" s="1"/>
  <c r="P436" i="1"/>
  <c r="R436" i="1" s="1"/>
  <c r="S436" i="1" s="1"/>
  <c r="P726" i="1"/>
  <c r="R726" i="1" s="1"/>
  <c r="S726" i="1" s="1"/>
  <c r="P695" i="1"/>
  <c r="R695" i="1" s="1"/>
  <c r="S695" i="1" s="1"/>
  <c r="P1062" i="1"/>
  <c r="R1062" i="1" s="1"/>
  <c r="S1062" i="1" s="1"/>
  <c r="P324" i="1"/>
  <c r="J324" i="1"/>
  <c r="P317" i="1"/>
  <c r="R317" i="1" s="1"/>
  <c r="S317" i="1" s="1"/>
  <c r="P278" i="1"/>
  <c r="R278" i="1" s="1"/>
  <c r="S278" i="1" s="1"/>
  <c r="P221" i="1"/>
  <c r="P189" i="1"/>
  <c r="R189" i="1" s="1"/>
  <c r="S189" i="1" s="1"/>
  <c r="P186" i="1"/>
  <c r="R186" i="1" s="1"/>
  <c r="S186" i="1" s="1"/>
  <c r="P844" i="1"/>
  <c r="R844" i="1" s="1"/>
  <c r="S844" i="1" s="1"/>
  <c r="P334" i="1"/>
  <c r="R334" i="1" s="1"/>
  <c r="S334" i="1" s="1"/>
  <c r="P333" i="1"/>
  <c r="R333" i="1" s="1"/>
  <c r="S333" i="1" s="1"/>
  <c r="P92" i="1"/>
  <c r="R92" i="1" s="1"/>
  <c r="S92" i="1" s="1"/>
  <c r="P90" i="1"/>
  <c r="R90" i="1" s="1"/>
  <c r="S90" i="1" s="1"/>
  <c r="P160" i="1"/>
  <c r="R160" i="1" s="1"/>
  <c r="S160" i="1" s="1"/>
  <c r="P151" i="1"/>
  <c r="R151" i="1" s="1"/>
  <c r="S151" i="1" s="1"/>
  <c r="P35" i="1"/>
  <c r="R35" i="1" s="1"/>
  <c r="S35" i="1" s="1"/>
  <c r="P36" i="1"/>
  <c r="R36" i="1" s="1"/>
  <c r="S36" i="1" s="1"/>
  <c r="R221" i="1" l="1"/>
  <c r="S221" i="1" s="1"/>
  <c r="R324" i="1"/>
  <c r="S324" i="1" s="1"/>
  <c r="P1189" i="1" l="1"/>
  <c r="R1189" i="1" s="1"/>
  <c r="S1189" i="1" s="1"/>
  <c r="P245" i="1"/>
  <c r="R245" i="1" s="1"/>
  <c r="S245" i="1" s="1"/>
  <c r="P246" i="1"/>
  <c r="R246" i="1" s="1"/>
  <c r="S246" i="1" s="1"/>
  <c r="P252" i="1"/>
  <c r="R252" i="1" s="1"/>
  <c r="S252" i="1" s="1"/>
  <c r="P232" i="1"/>
  <c r="P665" i="1"/>
  <c r="R665" i="1" s="1"/>
  <c r="S665" i="1" s="1"/>
  <c r="P664" i="1"/>
  <c r="R664" i="1" s="1"/>
  <c r="S664" i="1" s="1"/>
  <c r="P1150" i="1"/>
  <c r="R1150" i="1" s="1"/>
  <c r="S1150" i="1" s="1"/>
  <c r="R232" i="1" l="1"/>
  <c r="S232" i="1" s="1"/>
  <c r="P458" i="1"/>
  <c r="R458" i="1" s="1"/>
  <c r="S458" i="1" s="1"/>
  <c r="P291" i="1"/>
  <c r="R291" i="1" s="1"/>
  <c r="S291" i="1" s="1"/>
  <c r="P287" i="1"/>
  <c r="R287" i="1" s="1"/>
  <c r="S287" i="1" s="1"/>
  <c r="P285" i="1"/>
  <c r="R285" i="1" s="1"/>
  <c r="S285" i="1" s="1"/>
  <c r="P282" i="1"/>
  <c r="R282" i="1" s="1"/>
  <c r="S282" i="1" s="1"/>
  <c r="P283" i="1"/>
  <c r="R283" i="1" s="1"/>
  <c r="S283" i="1" s="1"/>
  <c r="P279" i="1"/>
  <c r="R279" i="1" s="1"/>
  <c r="S279" i="1" s="1"/>
  <c r="P277" i="1"/>
  <c r="R277" i="1" s="1"/>
  <c r="S277" i="1" s="1"/>
  <c r="P275" i="1"/>
  <c r="R275" i="1" s="1"/>
  <c r="S275" i="1" s="1"/>
  <c r="P177" i="1"/>
  <c r="R177" i="1" s="1"/>
  <c r="S177" i="1" s="1"/>
  <c r="P144" i="1"/>
  <c r="R144" i="1" s="1"/>
  <c r="S144" i="1" s="1"/>
  <c r="P1001" i="1" l="1"/>
  <c r="R1001" i="1" s="1"/>
  <c r="S1001" i="1" s="1"/>
  <c r="P462" i="1"/>
  <c r="R462" i="1" s="1"/>
  <c r="S462" i="1" s="1"/>
  <c r="P460" i="1"/>
  <c r="R460" i="1" s="1"/>
  <c r="S460" i="1" s="1"/>
  <c r="P461" i="1"/>
  <c r="R461" i="1" s="1"/>
  <c r="S461" i="1" s="1"/>
  <c r="P456" i="1"/>
  <c r="R456" i="1" s="1"/>
  <c r="S456" i="1" s="1"/>
  <c r="P930" i="1"/>
  <c r="R930" i="1" s="1"/>
  <c r="S930" i="1" s="1"/>
  <c r="J931" i="1"/>
  <c r="P931" i="1"/>
  <c r="P79" i="1"/>
  <c r="R79" i="1" s="1"/>
  <c r="S79" i="1" s="1"/>
  <c r="P119" i="1"/>
  <c r="R119" i="1" s="1"/>
  <c r="S119" i="1" s="1"/>
  <c r="P121" i="1"/>
  <c r="R121" i="1" s="1"/>
  <c r="S121" i="1" s="1"/>
  <c r="P124" i="1"/>
  <c r="R124" i="1" s="1"/>
  <c r="S124" i="1" s="1"/>
  <c r="P83" i="1"/>
  <c r="P84" i="1"/>
  <c r="R84" i="1" s="1"/>
  <c r="S84" i="1" s="1"/>
  <c r="P87" i="1"/>
  <c r="R87" i="1" s="1"/>
  <c r="S87" i="1" s="1"/>
  <c r="P91" i="1"/>
  <c r="R91" i="1" s="1"/>
  <c r="S91" i="1" s="1"/>
  <c r="P107" i="1"/>
  <c r="R107" i="1" s="1"/>
  <c r="S107" i="1" s="1"/>
  <c r="P113" i="1"/>
  <c r="R113" i="1" s="1"/>
  <c r="S113" i="1" s="1"/>
  <c r="P81" i="1"/>
  <c r="R81" i="1" s="1"/>
  <c r="S81" i="1" s="1"/>
  <c r="P54" i="1"/>
  <c r="R931" i="1" l="1"/>
  <c r="S931" i="1" s="1"/>
  <c r="P769" i="1" l="1"/>
  <c r="R769" i="1" s="1"/>
  <c r="S769" i="1" s="1"/>
  <c r="P768" i="1"/>
  <c r="R768" i="1" s="1"/>
  <c r="S768" i="1" s="1"/>
  <c r="P762" i="1"/>
  <c r="R762" i="1" s="1"/>
  <c r="S762" i="1" s="1"/>
  <c r="P763" i="1"/>
  <c r="R763" i="1" s="1"/>
  <c r="S763" i="1" s="1"/>
  <c r="P764" i="1"/>
  <c r="R764" i="1" s="1"/>
  <c r="S764" i="1" s="1"/>
  <c r="P765" i="1"/>
  <c r="R765" i="1" s="1"/>
  <c r="S765" i="1" s="1"/>
  <c r="P766" i="1"/>
  <c r="R766" i="1" s="1"/>
  <c r="S766" i="1" s="1"/>
  <c r="P767" i="1"/>
  <c r="R767" i="1" s="1"/>
  <c r="S767" i="1" s="1"/>
  <c r="P761" i="1"/>
  <c r="R761" i="1" s="1"/>
  <c r="S761" i="1" s="1"/>
  <c r="P1000" i="1" l="1"/>
  <c r="R1000" i="1" s="1"/>
  <c r="S1000" i="1" s="1"/>
  <c r="P268" i="1"/>
  <c r="R268" i="1" s="1"/>
  <c r="S268" i="1" s="1"/>
  <c r="P253" i="1"/>
  <c r="R253" i="1" s="1"/>
  <c r="S253" i="1" s="1"/>
  <c r="P756" i="1" l="1"/>
  <c r="R756" i="1" s="1"/>
  <c r="S756" i="1" s="1"/>
  <c r="P752" i="1"/>
  <c r="R752" i="1" s="1"/>
  <c r="S752" i="1" s="1"/>
  <c r="P755" i="1"/>
  <c r="R755" i="1" s="1"/>
  <c r="S755" i="1" s="1"/>
  <c r="P1083" i="1" l="1"/>
  <c r="R1083" i="1" s="1"/>
  <c r="S1083" i="1" s="1"/>
  <c r="P526" i="1"/>
  <c r="R526" i="1" s="1"/>
  <c r="S526" i="1" s="1"/>
  <c r="P971" i="1"/>
  <c r="R971" i="1" s="1"/>
  <c r="S971" i="1" s="1"/>
  <c r="P972" i="1"/>
  <c r="R972" i="1" s="1"/>
  <c r="S972" i="1" s="1"/>
  <c r="P970" i="1"/>
  <c r="R970" i="1" s="1"/>
  <c r="S970" i="1" s="1"/>
  <c r="P1041" i="1"/>
  <c r="R1041" i="1" s="1"/>
  <c r="S1041" i="1" s="1"/>
  <c r="P1235" i="1"/>
  <c r="R1235" i="1" s="1"/>
  <c r="S1235" i="1" s="1"/>
  <c r="P1233" i="1"/>
  <c r="R1233" i="1" s="1"/>
  <c r="S1233" i="1" s="1"/>
  <c r="P1262" i="1" l="1"/>
  <c r="R1262" i="1" s="1"/>
  <c r="S1262" i="1" s="1"/>
  <c r="P809" i="1"/>
  <c r="R809" i="1" s="1"/>
  <c r="S809" i="1" s="1"/>
  <c r="P1076" i="1" l="1"/>
  <c r="R1076" i="1" s="1"/>
  <c r="S1076" i="1" s="1"/>
  <c r="P377" i="1" l="1"/>
  <c r="R377" i="1" s="1"/>
  <c r="S377" i="1" s="1"/>
  <c r="P1075" i="1"/>
  <c r="R1075" i="1" s="1"/>
  <c r="S1075" i="1" s="1"/>
  <c r="C717" i="1"/>
  <c r="P1202" i="1" l="1"/>
  <c r="R1202" i="1" s="1"/>
  <c r="S1202" i="1" s="1"/>
  <c r="P1134" i="1"/>
  <c r="J1134" i="1"/>
  <c r="P1121" i="1"/>
  <c r="R1121" i="1" s="1"/>
  <c r="S1121" i="1" s="1"/>
  <c r="R1134" i="1" l="1"/>
  <c r="S1134" i="1" s="1"/>
  <c r="P1089" i="1"/>
  <c r="R1089" i="1" s="1"/>
  <c r="S1089" i="1" s="1"/>
  <c r="P112" i="1"/>
  <c r="R112" i="1" s="1"/>
  <c r="S112" i="1" s="1"/>
  <c r="P654" i="1"/>
  <c r="R654" i="1" s="1"/>
  <c r="S654" i="1" s="1"/>
  <c r="J233" i="1" l="1"/>
  <c r="H233" i="1"/>
  <c r="P233" i="1" s="1"/>
  <c r="R233" i="1" l="1"/>
  <c r="S233" i="1" s="1"/>
  <c r="P843" i="1"/>
  <c r="R843" i="1" s="1"/>
  <c r="S843" i="1" s="1"/>
  <c r="P1103" i="1" l="1"/>
  <c r="P1236" i="1"/>
  <c r="R1236" i="1" s="1"/>
  <c r="S1236" i="1" s="1"/>
  <c r="P956" i="1"/>
  <c r="J956" i="1"/>
  <c r="P549" i="1"/>
  <c r="R549" i="1" s="1"/>
  <c r="S549" i="1" s="1"/>
  <c r="R956" i="1" l="1"/>
  <c r="S956" i="1" s="1"/>
  <c r="P482" i="1"/>
  <c r="R482" i="1" s="1"/>
  <c r="S482" i="1" s="1"/>
  <c r="P727" i="1"/>
  <c r="R727" i="1" s="1"/>
  <c r="S727" i="1" s="1"/>
  <c r="P723" i="1"/>
  <c r="J723" i="1"/>
  <c r="P725" i="1"/>
  <c r="R725" i="1" s="1"/>
  <c r="S725" i="1" s="1"/>
  <c r="R723" i="1" l="1"/>
  <c r="S723" i="1" s="1"/>
  <c r="P51" i="1" l="1"/>
  <c r="R51" i="1" s="1"/>
  <c r="S51" i="1" s="1"/>
  <c r="C1153" i="1" l="1"/>
  <c r="C1056" i="1"/>
  <c r="P832" i="1"/>
  <c r="R832" i="1" s="1"/>
  <c r="S832" i="1" s="1"/>
  <c r="C753" i="1"/>
  <c r="J722" i="1"/>
  <c r="P722" i="1"/>
  <c r="P701" i="1"/>
  <c r="R701" i="1" s="1"/>
  <c r="S701" i="1" s="1"/>
  <c r="R722" i="1" l="1"/>
  <c r="S722" i="1" s="1"/>
  <c r="P540" i="1"/>
  <c r="R540" i="1" s="1"/>
  <c r="S540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6" i="1"/>
  <c r="R516" i="1" s="1"/>
  <c r="S516" i="1" s="1"/>
  <c r="P515" i="1"/>
  <c r="R515" i="1" s="1"/>
  <c r="S515" i="1" s="1"/>
  <c r="P514" i="1"/>
  <c r="R514" i="1" s="1"/>
  <c r="S514" i="1" s="1"/>
  <c r="P513" i="1"/>
  <c r="R513" i="1" s="1"/>
  <c r="S513" i="1" s="1"/>
  <c r="P511" i="1"/>
  <c r="R511" i="1" s="1"/>
  <c r="S511" i="1" s="1"/>
  <c r="P510" i="1"/>
  <c r="R510" i="1" s="1"/>
  <c r="S510" i="1" s="1"/>
  <c r="P509" i="1"/>
  <c r="R509" i="1" s="1"/>
  <c r="S509" i="1" s="1"/>
  <c r="P508" i="1"/>
  <c r="R508" i="1" s="1"/>
  <c r="S508" i="1" s="1"/>
  <c r="C316" i="1"/>
  <c r="J250" i="1"/>
  <c r="P250" i="1"/>
  <c r="P229" i="1"/>
  <c r="J229" i="1"/>
  <c r="P227" i="1"/>
  <c r="J227" i="1"/>
  <c r="P226" i="1"/>
  <c r="J226" i="1"/>
  <c r="P222" i="1"/>
  <c r="R222" i="1" s="1"/>
  <c r="S222" i="1" s="1"/>
  <c r="P179" i="1"/>
  <c r="R179" i="1" s="1"/>
  <c r="S179" i="1" s="1"/>
  <c r="P115" i="1"/>
  <c r="R115" i="1" s="1"/>
  <c r="S115" i="1" s="1"/>
  <c r="P105" i="1"/>
  <c r="R105" i="1" s="1"/>
  <c r="S105" i="1" s="1"/>
  <c r="P101" i="1"/>
  <c r="R101" i="1" s="1"/>
  <c r="S101" i="1" s="1"/>
  <c r="P99" i="1"/>
  <c r="R99" i="1" s="1"/>
  <c r="S99" i="1" s="1"/>
  <c r="P97" i="1"/>
  <c r="R97" i="1" s="1"/>
  <c r="S97" i="1" s="1"/>
  <c r="P64" i="1"/>
  <c r="R64" i="1" s="1"/>
  <c r="S64" i="1" s="1"/>
  <c r="P63" i="1"/>
  <c r="R63" i="1" s="1"/>
  <c r="S63" i="1" s="1"/>
  <c r="P57" i="1"/>
  <c r="R57" i="1" s="1"/>
  <c r="S57" i="1" s="1"/>
  <c r="P43" i="1"/>
  <c r="J43" i="1"/>
  <c r="J42" i="1"/>
  <c r="P42" i="1"/>
  <c r="J41" i="1"/>
  <c r="P41" i="1"/>
  <c r="P32" i="1"/>
  <c r="R32" i="1" s="1"/>
  <c r="S32" i="1" s="1"/>
  <c r="R226" i="1" l="1"/>
  <c r="S226" i="1" s="1"/>
  <c r="R229" i="1"/>
  <c r="S229" i="1" s="1"/>
  <c r="R42" i="1"/>
  <c r="S42" i="1" s="1"/>
  <c r="R250" i="1"/>
  <c r="S250" i="1" s="1"/>
  <c r="R227" i="1"/>
  <c r="S227" i="1" s="1"/>
  <c r="R41" i="1"/>
  <c r="S41" i="1" s="1"/>
  <c r="R43" i="1"/>
  <c r="S43" i="1" s="1"/>
  <c r="P818" i="1"/>
  <c r="R818" i="1" s="1"/>
  <c r="S818" i="1" s="1"/>
  <c r="P1120" i="1" l="1"/>
  <c r="R1120" i="1" s="1"/>
  <c r="S1120" i="1" s="1"/>
  <c r="P642" i="1"/>
  <c r="R642" i="1" s="1"/>
  <c r="S642" i="1" s="1"/>
  <c r="P640" i="1"/>
  <c r="R640" i="1" s="1"/>
  <c r="S640" i="1" s="1"/>
  <c r="P438" i="1"/>
  <c r="R438" i="1" s="1"/>
  <c r="S438" i="1" s="1"/>
  <c r="P389" i="1"/>
  <c r="R389" i="1" s="1"/>
  <c r="S389" i="1" s="1"/>
  <c r="P656" i="1"/>
  <c r="R656" i="1" s="1"/>
  <c r="S656" i="1" s="1"/>
  <c r="P34" i="1"/>
  <c r="R34" i="1" s="1"/>
  <c r="S34" i="1" s="1"/>
  <c r="P1282" i="1" l="1"/>
  <c r="R1282" i="1" s="1"/>
  <c r="S1282" i="1" s="1"/>
  <c r="P998" i="1"/>
  <c r="R998" i="1" s="1"/>
  <c r="S998" i="1" s="1"/>
  <c r="P571" i="1"/>
  <c r="R571" i="1" s="1"/>
  <c r="S571" i="1" s="1"/>
  <c r="P1079" i="1"/>
  <c r="R1079" i="1" s="1"/>
  <c r="S1079" i="1" s="1"/>
  <c r="P1254" i="1" l="1"/>
  <c r="R1254" i="1" s="1"/>
  <c r="S1254" i="1" s="1"/>
  <c r="P999" i="1" l="1"/>
  <c r="R999" i="1" s="1"/>
  <c r="S999" i="1" s="1"/>
  <c r="P1253" i="1" l="1"/>
  <c r="R1253" i="1" s="1"/>
  <c r="S1253" i="1" s="1"/>
  <c r="P926" i="1"/>
  <c r="R926" i="1" s="1"/>
  <c r="S926" i="1" s="1"/>
  <c r="P128" i="1"/>
  <c r="R128" i="1" s="1"/>
  <c r="S128" i="1" s="1"/>
  <c r="P129" i="1"/>
  <c r="R129" i="1" s="1"/>
  <c r="S129" i="1" s="1"/>
  <c r="P946" i="1" l="1"/>
  <c r="R946" i="1" s="1"/>
  <c r="S946" i="1" s="1"/>
  <c r="P984" i="1"/>
  <c r="R984" i="1" s="1"/>
  <c r="S984" i="1" s="1"/>
  <c r="P903" i="1"/>
  <c r="R903" i="1" s="1"/>
  <c r="S903" i="1" s="1"/>
  <c r="P563" i="1"/>
  <c r="R563" i="1" s="1"/>
  <c r="S563" i="1" s="1"/>
  <c r="P430" i="1"/>
  <c r="R430" i="1" s="1"/>
  <c r="S430" i="1" s="1"/>
  <c r="P319" i="1"/>
  <c r="R319" i="1" s="1"/>
  <c r="S319" i="1" s="1"/>
  <c r="P152" i="1" l="1"/>
  <c r="R152" i="1" s="1"/>
  <c r="S152" i="1" s="1"/>
  <c r="P116" i="1"/>
  <c r="R116" i="1" s="1"/>
  <c r="S116" i="1" s="1"/>
  <c r="P106" i="1"/>
  <c r="R106" i="1" s="1"/>
  <c r="S106" i="1" s="1"/>
  <c r="P102" i="1"/>
  <c r="R102" i="1" s="1"/>
  <c r="S102" i="1" s="1"/>
  <c r="P362" i="1" l="1"/>
  <c r="R362" i="1" s="1"/>
  <c r="S362" i="1" s="1"/>
  <c r="R1103" i="1" l="1"/>
  <c r="S1103" i="1" s="1"/>
  <c r="P700" i="1" l="1"/>
  <c r="R700" i="1" s="1"/>
  <c r="S700" i="1" s="1"/>
  <c r="P266" i="1" l="1"/>
  <c r="R266" i="1" s="1"/>
  <c r="S266" i="1" s="1"/>
  <c r="P269" i="1"/>
  <c r="R269" i="1" s="1"/>
  <c r="S269" i="1" s="1"/>
  <c r="P758" i="1" l="1"/>
  <c r="R758" i="1" s="1"/>
  <c r="S758" i="1" s="1"/>
  <c r="P759" i="1"/>
  <c r="R759" i="1" s="1"/>
  <c r="S759" i="1" s="1"/>
  <c r="P760" i="1"/>
  <c r="R760" i="1" s="1"/>
  <c r="S760" i="1" s="1"/>
  <c r="P757" i="1"/>
  <c r="R757" i="1" s="1"/>
  <c r="S757" i="1" s="1"/>
  <c r="P954" i="1" l="1"/>
  <c r="J954" i="1"/>
  <c r="P859" i="1"/>
  <c r="R859" i="1" s="1"/>
  <c r="S859" i="1" s="1"/>
  <c r="J925" i="1"/>
  <c r="P925" i="1"/>
  <c r="P924" i="1"/>
  <c r="R924" i="1" s="1"/>
  <c r="S924" i="1" s="1"/>
  <c r="P1090" i="1"/>
  <c r="R1090" i="1" s="1"/>
  <c r="S1090" i="1" s="1"/>
  <c r="P446" i="1"/>
  <c r="R446" i="1" s="1"/>
  <c r="S446" i="1" s="1"/>
  <c r="P445" i="1"/>
  <c r="R445" i="1" s="1"/>
  <c r="S445" i="1" s="1"/>
  <c r="P444" i="1"/>
  <c r="R444" i="1" s="1"/>
  <c r="S444" i="1" s="1"/>
  <c r="J217" i="1"/>
  <c r="P217" i="1"/>
  <c r="P216" i="1"/>
  <c r="R216" i="1" s="1"/>
  <c r="S216" i="1" s="1"/>
  <c r="P114" i="1"/>
  <c r="R114" i="1" s="1"/>
  <c r="S114" i="1" s="1"/>
  <c r="P103" i="1"/>
  <c r="R103" i="1" s="1"/>
  <c r="S103" i="1" s="1"/>
  <c r="P100" i="1"/>
  <c r="R100" i="1" s="1"/>
  <c r="S100" i="1" s="1"/>
  <c r="P98" i="1"/>
  <c r="R98" i="1" s="1"/>
  <c r="S98" i="1" s="1"/>
  <c r="P82" i="1"/>
  <c r="R82" i="1" s="1"/>
  <c r="S82" i="1" s="1"/>
  <c r="P47" i="1"/>
  <c r="R47" i="1" s="1"/>
  <c r="S47" i="1" s="1"/>
  <c r="P661" i="1"/>
  <c r="R661" i="1" s="1"/>
  <c r="S661" i="1" s="1"/>
  <c r="P301" i="1"/>
  <c r="R301" i="1" s="1"/>
  <c r="S301" i="1" s="1"/>
  <c r="P302" i="1"/>
  <c r="R302" i="1" s="1"/>
  <c r="S302" i="1" s="1"/>
  <c r="J231" i="1"/>
  <c r="P231" i="1"/>
  <c r="P111" i="1"/>
  <c r="R111" i="1" s="1"/>
  <c r="S111" i="1" s="1"/>
  <c r="P110" i="1"/>
  <c r="R110" i="1" s="1"/>
  <c r="S110" i="1" s="1"/>
  <c r="P85" i="1"/>
  <c r="R85" i="1" s="1"/>
  <c r="S85" i="1" s="1"/>
  <c r="R925" i="1" l="1"/>
  <c r="S925" i="1" s="1"/>
  <c r="R954" i="1"/>
  <c r="S954" i="1" s="1"/>
  <c r="R217" i="1"/>
  <c r="S217" i="1" s="1"/>
  <c r="R231" i="1"/>
  <c r="S231" i="1" s="1"/>
  <c r="P623" i="1"/>
  <c r="J1234" i="1"/>
  <c r="P1234" i="1"/>
  <c r="P1295" i="1"/>
  <c r="R1295" i="1" s="1"/>
  <c r="S1295" i="1" s="1"/>
  <c r="P1287" i="1"/>
  <c r="R1287" i="1" s="1"/>
  <c r="S1287" i="1" s="1"/>
  <c r="P1284" i="1"/>
  <c r="R1284" i="1" s="1"/>
  <c r="S1284" i="1" s="1"/>
  <c r="P1280" i="1"/>
  <c r="J1280" i="1"/>
  <c r="P1279" i="1"/>
  <c r="J1279" i="1"/>
  <c r="P1278" i="1"/>
  <c r="J1278" i="1"/>
  <c r="P1277" i="1"/>
  <c r="J1277" i="1"/>
  <c r="P1276" i="1"/>
  <c r="R1276" i="1" s="1"/>
  <c r="S1276" i="1" s="1"/>
  <c r="P1275" i="1"/>
  <c r="J1275" i="1"/>
  <c r="P1274" i="1"/>
  <c r="J1274" i="1"/>
  <c r="P1273" i="1"/>
  <c r="J1273" i="1"/>
  <c r="P1272" i="1"/>
  <c r="J1272" i="1"/>
  <c r="P1268" i="1"/>
  <c r="R1268" i="1" s="1"/>
  <c r="S1268" i="1" s="1"/>
  <c r="P1267" i="1"/>
  <c r="R1267" i="1" s="1"/>
  <c r="S1267" i="1" s="1"/>
  <c r="P1266" i="1"/>
  <c r="R1266" i="1" s="1"/>
  <c r="S1266" i="1" s="1"/>
  <c r="P1264" i="1"/>
  <c r="R1264" i="1" s="1"/>
  <c r="S1264" i="1" s="1"/>
  <c r="P1261" i="1"/>
  <c r="R1261" i="1" s="1"/>
  <c r="S1261" i="1" s="1"/>
  <c r="P1260" i="1"/>
  <c r="R1260" i="1" s="1"/>
  <c r="S1260" i="1" s="1"/>
  <c r="P1259" i="1"/>
  <c r="R1259" i="1" s="1"/>
  <c r="S1259" i="1" s="1"/>
  <c r="P1256" i="1"/>
  <c r="R1256" i="1" s="1"/>
  <c r="S1256" i="1" s="1"/>
  <c r="P1255" i="1"/>
  <c r="R1255" i="1" s="1"/>
  <c r="S1255" i="1" s="1"/>
  <c r="P1248" i="1"/>
  <c r="J1248" i="1"/>
  <c r="P1247" i="1"/>
  <c r="J1247" i="1"/>
  <c r="P1245" i="1"/>
  <c r="J1245" i="1"/>
  <c r="P1244" i="1"/>
  <c r="J1244" i="1"/>
  <c r="P1243" i="1"/>
  <c r="J1243" i="1"/>
  <c r="P1241" i="1"/>
  <c r="R1241" i="1" s="1"/>
  <c r="S1241" i="1" s="1"/>
  <c r="S1240" i="1"/>
  <c r="P1238" i="1"/>
  <c r="J1238" i="1"/>
  <c r="P1237" i="1"/>
  <c r="J1237" i="1"/>
  <c r="P1230" i="1"/>
  <c r="R1230" i="1" s="1"/>
  <c r="S1230" i="1" s="1"/>
  <c r="S1229" i="1"/>
  <c r="P1227" i="1"/>
  <c r="R1227" i="1" s="1"/>
  <c r="S1227" i="1" s="1"/>
  <c r="P1226" i="1"/>
  <c r="R1226" i="1" s="1"/>
  <c r="S1226" i="1" s="1"/>
  <c r="P1225" i="1"/>
  <c r="J1225" i="1"/>
  <c r="P1224" i="1"/>
  <c r="J1224" i="1"/>
  <c r="P1222" i="1"/>
  <c r="R1222" i="1" s="1"/>
  <c r="S1222" i="1" s="1"/>
  <c r="P1221" i="1"/>
  <c r="R1221" i="1" s="1"/>
  <c r="S1221" i="1" s="1"/>
  <c r="P1219" i="1"/>
  <c r="R1219" i="1" s="1"/>
  <c r="S1219" i="1" s="1"/>
  <c r="P1218" i="1"/>
  <c r="R1218" i="1" s="1"/>
  <c r="S1218" i="1" s="1"/>
  <c r="P1217" i="1"/>
  <c r="R1217" i="1" s="1"/>
  <c r="S1217" i="1" s="1"/>
  <c r="P1213" i="1"/>
  <c r="J1213" i="1"/>
  <c r="P1210" i="1"/>
  <c r="J1210" i="1"/>
  <c r="P1209" i="1"/>
  <c r="J1209" i="1"/>
  <c r="P1208" i="1"/>
  <c r="R1208" i="1" s="1"/>
  <c r="S1208" i="1" s="1"/>
  <c r="P1207" i="1"/>
  <c r="R1207" i="1" s="1"/>
  <c r="S1207" i="1" s="1"/>
  <c r="J1206" i="1"/>
  <c r="P1206" i="1"/>
  <c r="J1205" i="1"/>
  <c r="P1205" i="1"/>
  <c r="P1203" i="1"/>
  <c r="R1203" i="1" s="1"/>
  <c r="S1203" i="1" s="1"/>
  <c r="P1201" i="1"/>
  <c r="R1201" i="1" s="1"/>
  <c r="S1201" i="1" s="1"/>
  <c r="P1200" i="1"/>
  <c r="R1200" i="1" s="1"/>
  <c r="S1200" i="1" s="1"/>
  <c r="P1197" i="1"/>
  <c r="R1197" i="1" s="1"/>
  <c r="S1197" i="1" s="1"/>
  <c r="P1196" i="1"/>
  <c r="R1196" i="1" s="1"/>
  <c r="S1196" i="1" s="1"/>
  <c r="P1194" i="1"/>
  <c r="R1194" i="1" s="1"/>
  <c r="S1194" i="1" s="1"/>
  <c r="P1193" i="1"/>
  <c r="R1193" i="1" s="1"/>
  <c r="S1193" i="1" s="1"/>
  <c r="P1192" i="1"/>
  <c r="R1192" i="1" s="1"/>
  <c r="S1192" i="1" s="1"/>
  <c r="P1191" i="1"/>
  <c r="R1191" i="1" s="1"/>
  <c r="S1191" i="1" s="1"/>
  <c r="P1190" i="1"/>
  <c r="R1190" i="1" s="1"/>
  <c r="S1190" i="1" s="1"/>
  <c r="P1186" i="1"/>
  <c r="R1186" i="1" s="1"/>
  <c r="S1186" i="1" s="1"/>
  <c r="P1183" i="1"/>
  <c r="R1183" i="1" s="1"/>
  <c r="S1183" i="1" s="1"/>
  <c r="P1180" i="1"/>
  <c r="R1180" i="1" s="1"/>
  <c r="S1180" i="1" s="1"/>
  <c r="P1179" i="1"/>
  <c r="R1179" i="1" s="1"/>
  <c r="S1179" i="1" s="1"/>
  <c r="P1178" i="1"/>
  <c r="R1178" i="1" s="1"/>
  <c r="S1178" i="1" s="1"/>
  <c r="P1176" i="1"/>
  <c r="J1176" i="1"/>
  <c r="P1175" i="1"/>
  <c r="J1175" i="1"/>
  <c r="P1174" i="1"/>
  <c r="J1174" i="1"/>
  <c r="P1172" i="1"/>
  <c r="R1172" i="1" s="1"/>
  <c r="S1172" i="1" s="1"/>
  <c r="P1170" i="1"/>
  <c r="R1170" i="1" s="1"/>
  <c r="S1170" i="1" s="1"/>
  <c r="P1169" i="1"/>
  <c r="R1169" i="1" s="1"/>
  <c r="S1169" i="1" s="1"/>
  <c r="P1166" i="1"/>
  <c r="R1166" i="1" s="1"/>
  <c r="S1166" i="1" s="1"/>
  <c r="P1164" i="1"/>
  <c r="R1164" i="1" s="1"/>
  <c r="S1164" i="1" s="1"/>
  <c r="P1162" i="1"/>
  <c r="R1162" i="1" s="1"/>
  <c r="S1162" i="1" s="1"/>
  <c r="P1161" i="1"/>
  <c r="R1161" i="1" s="1"/>
  <c r="S1161" i="1" s="1"/>
  <c r="P1160" i="1"/>
  <c r="R1160" i="1" s="1"/>
  <c r="S1160" i="1" s="1"/>
  <c r="P1159" i="1"/>
  <c r="R1159" i="1" s="1"/>
  <c r="S1159" i="1" s="1"/>
  <c r="P1156" i="1"/>
  <c r="J1156" i="1"/>
  <c r="P1155" i="1"/>
  <c r="J1155" i="1"/>
  <c r="J1154" i="1"/>
  <c r="P1154" i="1"/>
  <c r="P1153" i="1"/>
  <c r="J1153" i="1"/>
  <c r="P1152" i="1"/>
  <c r="R1152" i="1" s="1"/>
  <c r="S1152" i="1" s="1"/>
  <c r="P1151" i="1"/>
  <c r="J1151" i="1"/>
  <c r="P1149" i="1"/>
  <c r="J1149" i="1"/>
  <c r="J1147" i="1"/>
  <c r="P1147" i="1"/>
  <c r="P1146" i="1"/>
  <c r="J1146" i="1"/>
  <c r="P1145" i="1"/>
  <c r="J1145" i="1"/>
  <c r="P1143" i="1"/>
  <c r="R1143" i="1" s="1"/>
  <c r="S1143" i="1" s="1"/>
  <c r="P1142" i="1"/>
  <c r="J1142" i="1"/>
  <c r="P1141" i="1"/>
  <c r="J1141" i="1"/>
  <c r="P1140" i="1"/>
  <c r="J1140" i="1"/>
  <c r="P1139" i="1"/>
  <c r="J1139" i="1"/>
  <c r="P1138" i="1"/>
  <c r="J1138" i="1"/>
  <c r="P1137" i="1"/>
  <c r="J1137" i="1"/>
  <c r="P1136" i="1"/>
  <c r="J1136" i="1"/>
  <c r="P1135" i="1"/>
  <c r="J1135" i="1"/>
  <c r="P1132" i="1"/>
  <c r="R1132" i="1" s="1"/>
  <c r="S1132" i="1" s="1"/>
  <c r="P1131" i="1"/>
  <c r="R1131" i="1" s="1"/>
  <c r="S1131" i="1" s="1"/>
  <c r="P1130" i="1"/>
  <c r="R1130" i="1" s="1"/>
  <c r="S1130" i="1" s="1"/>
  <c r="P1129" i="1"/>
  <c r="R1129" i="1" s="1"/>
  <c r="S1129" i="1" s="1"/>
  <c r="P1128" i="1"/>
  <c r="R1128" i="1" s="1"/>
  <c r="S1128" i="1" s="1"/>
  <c r="P1127" i="1"/>
  <c r="R1127" i="1" s="1"/>
  <c r="S1127" i="1" s="1"/>
  <c r="P1126" i="1"/>
  <c r="R1126" i="1" s="1"/>
  <c r="S1126" i="1" s="1"/>
  <c r="P1125" i="1"/>
  <c r="R1125" i="1" s="1"/>
  <c r="S1125" i="1" s="1"/>
  <c r="P1124" i="1"/>
  <c r="R1124" i="1" s="1"/>
  <c r="S1124" i="1" s="1"/>
  <c r="P1122" i="1"/>
  <c r="J1122" i="1"/>
  <c r="P1119" i="1"/>
  <c r="R1119" i="1" s="1"/>
  <c r="S1119" i="1" s="1"/>
  <c r="P1118" i="1"/>
  <c r="R1118" i="1" s="1"/>
  <c r="S1118" i="1" s="1"/>
  <c r="P1117" i="1"/>
  <c r="R1117" i="1" s="1"/>
  <c r="S1117" i="1" s="1"/>
  <c r="P1114" i="1"/>
  <c r="J1114" i="1"/>
  <c r="P1112" i="1"/>
  <c r="R1112" i="1" s="1"/>
  <c r="S1112" i="1" s="1"/>
  <c r="P1111" i="1"/>
  <c r="R1111" i="1" s="1"/>
  <c r="S1111" i="1" s="1"/>
  <c r="P1107" i="1"/>
  <c r="J1107" i="1"/>
  <c r="P1106" i="1"/>
  <c r="J1106" i="1"/>
  <c r="P1104" i="1"/>
  <c r="R1104" i="1" s="1"/>
  <c r="S1104" i="1" s="1"/>
  <c r="P1101" i="1"/>
  <c r="J1101" i="1"/>
  <c r="P1100" i="1"/>
  <c r="J1100" i="1"/>
  <c r="P1097" i="1"/>
  <c r="J1097" i="1"/>
  <c r="P1096" i="1"/>
  <c r="J1096" i="1"/>
  <c r="P1095" i="1"/>
  <c r="R1095" i="1" s="1"/>
  <c r="S1095" i="1" s="1"/>
  <c r="P1094" i="1"/>
  <c r="R1094" i="1" s="1"/>
  <c r="S1094" i="1" s="1"/>
  <c r="P1093" i="1"/>
  <c r="J1093" i="1"/>
  <c r="P1092" i="1"/>
  <c r="J1092" i="1"/>
  <c r="P1088" i="1"/>
  <c r="R1088" i="1" s="1"/>
  <c r="S1088" i="1" s="1"/>
  <c r="P1084" i="1"/>
  <c r="R1084" i="1" s="1"/>
  <c r="S1084" i="1" s="1"/>
  <c r="P1078" i="1"/>
  <c r="R1078" i="1" s="1"/>
  <c r="S1078" i="1" s="1"/>
  <c r="P1072" i="1"/>
  <c r="R1072" i="1" s="1"/>
  <c r="S1072" i="1" s="1"/>
  <c r="P1071" i="1"/>
  <c r="J1071" i="1"/>
  <c r="P1070" i="1"/>
  <c r="J1070" i="1"/>
  <c r="P1067" i="1"/>
  <c r="R1067" i="1" s="1"/>
  <c r="S1067" i="1" s="1"/>
  <c r="P1065" i="1"/>
  <c r="R1065" i="1" s="1"/>
  <c r="S1065" i="1" s="1"/>
  <c r="P1059" i="1"/>
  <c r="J1059" i="1"/>
  <c r="P1058" i="1"/>
  <c r="J1058" i="1"/>
  <c r="P1057" i="1"/>
  <c r="J1057" i="1"/>
  <c r="P1056" i="1"/>
  <c r="J1056" i="1"/>
  <c r="P1054" i="1"/>
  <c r="J1054" i="1"/>
  <c r="P1053" i="1"/>
  <c r="J1053" i="1"/>
  <c r="P1052" i="1"/>
  <c r="J1052" i="1"/>
  <c r="J1051" i="1"/>
  <c r="P1051" i="1"/>
  <c r="P1050" i="1"/>
  <c r="J1050" i="1"/>
  <c r="P1048" i="1"/>
  <c r="R1048" i="1" s="1"/>
  <c r="S1048" i="1" s="1"/>
  <c r="P1047" i="1"/>
  <c r="R1047" i="1" s="1"/>
  <c r="S1047" i="1" s="1"/>
  <c r="P1046" i="1"/>
  <c r="R1046" i="1" s="1"/>
  <c r="S1046" i="1" s="1"/>
  <c r="P1044" i="1"/>
  <c r="R1044" i="1" s="1"/>
  <c r="S1044" i="1" s="1"/>
  <c r="P1043" i="1"/>
  <c r="R1043" i="1" s="1"/>
  <c r="S1043" i="1" s="1"/>
  <c r="P1042" i="1"/>
  <c r="R1042" i="1" s="1"/>
  <c r="S1042" i="1" s="1"/>
  <c r="P1036" i="1"/>
  <c r="J1036" i="1"/>
  <c r="P1034" i="1"/>
  <c r="R1034" i="1" s="1"/>
  <c r="S1034" i="1" s="1"/>
  <c r="P1030" i="1"/>
  <c r="R1030" i="1" s="1"/>
  <c r="S1030" i="1" s="1"/>
  <c r="P1029" i="1"/>
  <c r="R1029" i="1" s="1"/>
  <c r="S1029" i="1" s="1"/>
  <c r="P1028" i="1"/>
  <c r="R1028" i="1" s="1"/>
  <c r="S1028" i="1" s="1"/>
  <c r="P1027" i="1"/>
  <c r="R1027" i="1" s="1"/>
  <c r="S1027" i="1" s="1"/>
  <c r="P1026" i="1"/>
  <c r="R1026" i="1" s="1"/>
  <c r="S1026" i="1" s="1"/>
  <c r="P997" i="1"/>
  <c r="R997" i="1" s="1"/>
  <c r="S997" i="1" s="1"/>
  <c r="P996" i="1"/>
  <c r="R996" i="1" s="1"/>
  <c r="S996" i="1" s="1"/>
  <c r="P995" i="1"/>
  <c r="R995" i="1" s="1"/>
  <c r="S995" i="1" s="1"/>
  <c r="P994" i="1"/>
  <c r="R994" i="1" s="1"/>
  <c r="S994" i="1" s="1"/>
  <c r="P993" i="1"/>
  <c r="R993" i="1" s="1"/>
  <c r="S993" i="1" s="1"/>
  <c r="P992" i="1"/>
  <c r="R992" i="1" s="1"/>
  <c r="S992" i="1" s="1"/>
  <c r="P990" i="1"/>
  <c r="J990" i="1"/>
  <c r="P987" i="1"/>
  <c r="R987" i="1" s="1"/>
  <c r="S987" i="1" s="1"/>
  <c r="P985" i="1"/>
  <c r="R985" i="1" s="1"/>
  <c r="S985" i="1" s="1"/>
  <c r="P983" i="1"/>
  <c r="R983" i="1" s="1"/>
  <c r="S983" i="1" s="1"/>
  <c r="P968" i="1"/>
  <c r="R968" i="1" s="1"/>
  <c r="S968" i="1" s="1"/>
  <c r="P967" i="1"/>
  <c r="J967" i="1"/>
  <c r="P966" i="1"/>
  <c r="J966" i="1"/>
  <c r="P965" i="1"/>
  <c r="J965" i="1"/>
  <c r="P964" i="1"/>
  <c r="J964" i="1"/>
  <c r="P963" i="1"/>
  <c r="J963" i="1"/>
  <c r="P962" i="1"/>
  <c r="J962" i="1"/>
  <c r="P960" i="1"/>
  <c r="J960" i="1"/>
  <c r="P959" i="1"/>
  <c r="J959" i="1"/>
  <c r="J958" i="1"/>
  <c r="P958" i="1"/>
  <c r="J957" i="1"/>
  <c r="P957" i="1"/>
  <c r="P952" i="1"/>
  <c r="R952" i="1" s="1"/>
  <c r="S952" i="1" s="1"/>
  <c r="P951" i="1"/>
  <c r="R951" i="1" s="1"/>
  <c r="S951" i="1" s="1"/>
  <c r="P949" i="1"/>
  <c r="R949" i="1" s="1"/>
  <c r="S949" i="1" s="1"/>
  <c r="P948" i="1"/>
  <c r="R948" i="1" s="1"/>
  <c r="S948" i="1" s="1"/>
  <c r="P947" i="1"/>
  <c r="R947" i="1" s="1"/>
  <c r="S947" i="1" s="1"/>
  <c r="P945" i="1"/>
  <c r="R945" i="1" s="1"/>
  <c r="S945" i="1" s="1"/>
  <c r="P944" i="1"/>
  <c r="R944" i="1" s="1"/>
  <c r="S944" i="1" s="1"/>
  <c r="P943" i="1"/>
  <c r="R943" i="1" s="1"/>
  <c r="S943" i="1" s="1"/>
  <c r="P942" i="1"/>
  <c r="R942" i="1" s="1"/>
  <c r="S942" i="1" s="1"/>
  <c r="P941" i="1"/>
  <c r="R941" i="1" s="1"/>
  <c r="S941" i="1" s="1"/>
  <c r="P940" i="1"/>
  <c r="R940" i="1" s="1"/>
  <c r="S940" i="1" s="1"/>
  <c r="P938" i="1"/>
  <c r="R938" i="1" s="1"/>
  <c r="S938" i="1" s="1"/>
  <c r="P937" i="1"/>
  <c r="R937" i="1" s="1"/>
  <c r="S937" i="1" s="1"/>
  <c r="H933" i="1"/>
  <c r="P933" i="1" s="1"/>
  <c r="R933" i="1" s="1"/>
  <c r="S933" i="1" s="1"/>
  <c r="P929" i="1"/>
  <c r="J929" i="1"/>
  <c r="P927" i="1"/>
  <c r="R927" i="1" s="1"/>
  <c r="S927" i="1" s="1"/>
  <c r="P923" i="1"/>
  <c r="R923" i="1" s="1"/>
  <c r="S923" i="1" s="1"/>
  <c r="P922" i="1"/>
  <c r="R922" i="1" s="1"/>
  <c r="S922" i="1" s="1"/>
  <c r="P917" i="1"/>
  <c r="R917" i="1" s="1"/>
  <c r="S917" i="1" s="1"/>
  <c r="P915" i="1"/>
  <c r="R915" i="1" s="1"/>
  <c r="S915" i="1" s="1"/>
  <c r="P914" i="1"/>
  <c r="R914" i="1" s="1"/>
  <c r="S914" i="1" s="1"/>
  <c r="P912" i="1"/>
  <c r="J912" i="1"/>
  <c r="P910" i="1"/>
  <c r="J910" i="1"/>
  <c r="P909" i="1"/>
  <c r="R909" i="1" s="1"/>
  <c r="S909" i="1" s="1"/>
  <c r="P908" i="1"/>
  <c r="J908" i="1"/>
  <c r="P906" i="1"/>
  <c r="J906" i="1"/>
  <c r="P904" i="1"/>
  <c r="R904" i="1" s="1"/>
  <c r="S904" i="1" s="1"/>
  <c r="P902" i="1"/>
  <c r="R902" i="1" s="1"/>
  <c r="S902" i="1" s="1"/>
  <c r="P901" i="1"/>
  <c r="R901" i="1" s="1"/>
  <c r="S901" i="1" s="1"/>
  <c r="P900" i="1"/>
  <c r="R900" i="1" s="1"/>
  <c r="S900" i="1" s="1"/>
  <c r="P899" i="1"/>
  <c r="R899" i="1" s="1"/>
  <c r="S899" i="1" s="1"/>
  <c r="P898" i="1"/>
  <c r="R898" i="1" s="1"/>
  <c r="S898" i="1" s="1"/>
  <c r="P895" i="1"/>
  <c r="R895" i="1" s="1"/>
  <c r="S895" i="1" s="1"/>
  <c r="P894" i="1"/>
  <c r="R894" i="1" s="1"/>
  <c r="S894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2" i="1"/>
  <c r="R882" i="1" s="1"/>
  <c r="S882" i="1" s="1"/>
  <c r="P880" i="1"/>
  <c r="J880" i="1"/>
  <c r="P879" i="1"/>
  <c r="J879" i="1"/>
  <c r="P878" i="1"/>
  <c r="J878" i="1"/>
  <c r="P876" i="1"/>
  <c r="J876" i="1"/>
  <c r="P875" i="1"/>
  <c r="J875" i="1"/>
  <c r="P874" i="1"/>
  <c r="J874" i="1"/>
  <c r="P873" i="1"/>
  <c r="J873" i="1"/>
  <c r="P871" i="1"/>
  <c r="J871" i="1"/>
  <c r="J870" i="1"/>
  <c r="P870" i="1"/>
  <c r="P869" i="1"/>
  <c r="J869" i="1"/>
  <c r="P868" i="1"/>
  <c r="R868" i="1" s="1"/>
  <c r="S868" i="1" s="1"/>
  <c r="P866" i="1"/>
  <c r="J866" i="1"/>
  <c r="P865" i="1"/>
  <c r="J865" i="1"/>
  <c r="J864" i="1"/>
  <c r="P864" i="1"/>
  <c r="J863" i="1"/>
  <c r="P863" i="1"/>
  <c r="P862" i="1"/>
  <c r="J862" i="1"/>
  <c r="P860" i="1"/>
  <c r="J860" i="1"/>
  <c r="P858" i="1"/>
  <c r="J858" i="1"/>
  <c r="P855" i="1"/>
  <c r="R855" i="1" s="1"/>
  <c r="S855" i="1" s="1"/>
  <c r="P854" i="1"/>
  <c r="R854" i="1" s="1"/>
  <c r="S854" i="1" s="1"/>
  <c r="P853" i="1"/>
  <c r="R853" i="1" s="1"/>
  <c r="S853" i="1" s="1"/>
  <c r="P852" i="1"/>
  <c r="R852" i="1" s="1"/>
  <c r="S852" i="1" s="1"/>
  <c r="P850" i="1"/>
  <c r="R850" i="1" s="1"/>
  <c r="S850" i="1" s="1"/>
  <c r="P848" i="1"/>
  <c r="R848" i="1" s="1"/>
  <c r="S848" i="1" s="1"/>
  <c r="P841" i="1"/>
  <c r="R841" i="1" s="1"/>
  <c r="S841" i="1" s="1"/>
  <c r="P840" i="1"/>
  <c r="R840" i="1" s="1"/>
  <c r="S840" i="1" s="1"/>
  <c r="P838" i="1"/>
  <c r="R838" i="1" s="1"/>
  <c r="S838" i="1" s="1"/>
  <c r="P837" i="1"/>
  <c r="R837" i="1" s="1"/>
  <c r="S837" i="1" s="1"/>
  <c r="P835" i="1"/>
  <c r="R835" i="1" s="1"/>
  <c r="S835" i="1" s="1"/>
  <c r="P831" i="1"/>
  <c r="R831" i="1" s="1"/>
  <c r="S831" i="1" s="1"/>
  <c r="P826" i="1"/>
  <c r="J826" i="1"/>
  <c r="P821" i="1"/>
  <c r="J821" i="1"/>
  <c r="P820" i="1"/>
  <c r="J820" i="1"/>
  <c r="P817" i="1"/>
  <c r="R817" i="1" s="1"/>
  <c r="S817" i="1" s="1"/>
  <c r="P814" i="1"/>
  <c r="R814" i="1" s="1"/>
  <c r="S814" i="1" s="1"/>
  <c r="P812" i="1"/>
  <c r="J812" i="1"/>
  <c r="P811" i="1"/>
  <c r="P808" i="1"/>
  <c r="R808" i="1" s="1"/>
  <c r="S808" i="1" s="1"/>
  <c r="P806" i="1"/>
  <c r="R806" i="1" s="1"/>
  <c r="S806" i="1" s="1"/>
  <c r="P805" i="1"/>
  <c r="J805" i="1"/>
  <c r="P802" i="1"/>
  <c r="J802" i="1"/>
  <c r="P801" i="1"/>
  <c r="J801" i="1"/>
  <c r="P800" i="1"/>
  <c r="J800" i="1"/>
  <c r="P797" i="1"/>
  <c r="R797" i="1" s="1"/>
  <c r="S797" i="1" s="1"/>
  <c r="P794" i="1"/>
  <c r="J794" i="1"/>
  <c r="P793" i="1"/>
  <c r="J793" i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6" i="1"/>
  <c r="R786" i="1" s="1"/>
  <c r="S786" i="1" s="1"/>
  <c r="P779" i="1"/>
  <c r="R779" i="1" s="1"/>
  <c r="S779" i="1" s="1"/>
  <c r="P778" i="1"/>
  <c r="R778" i="1" s="1"/>
  <c r="S778" i="1" s="1"/>
  <c r="P774" i="1"/>
  <c r="R774" i="1" s="1"/>
  <c r="S774" i="1" s="1"/>
  <c r="P753" i="1"/>
  <c r="R753" i="1" s="1"/>
  <c r="S753" i="1" s="1"/>
  <c r="P751" i="1"/>
  <c r="J751" i="1"/>
  <c r="P750" i="1"/>
  <c r="R750" i="1" s="1"/>
  <c r="S750" i="1" s="1"/>
  <c r="P749" i="1"/>
  <c r="R749" i="1" s="1"/>
  <c r="S749" i="1" s="1"/>
  <c r="P748" i="1"/>
  <c r="R748" i="1" s="1"/>
  <c r="S748" i="1" s="1"/>
  <c r="P746" i="1"/>
  <c r="J746" i="1"/>
  <c r="P745" i="1"/>
  <c r="J745" i="1"/>
  <c r="P744" i="1"/>
  <c r="J744" i="1"/>
  <c r="P743" i="1"/>
  <c r="J743" i="1"/>
  <c r="J742" i="1"/>
  <c r="P742" i="1"/>
  <c r="P741" i="1"/>
  <c r="J741" i="1"/>
  <c r="P740" i="1"/>
  <c r="J740" i="1"/>
  <c r="P739" i="1"/>
  <c r="J739" i="1"/>
  <c r="P738" i="1"/>
  <c r="R738" i="1" s="1"/>
  <c r="S738" i="1" s="1"/>
  <c r="P737" i="1"/>
  <c r="J737" i="1"/>
  <c r="J736" i="1"/>
  <c r="P736" i="1"/>
  <c r="P734" i="1"/>
  <c r="J734" i="1"/>
  <c r="P733" i="1"/>
  <c r="J733" i="1"/>
  <c r="P732" i="1"/>
  <c r="J732" i="1"/>
  <c r="P729" i="1"/>
  <c r="J729" i="1"/>
  <c r="P724" i="1"/>
  <c r="J724" i="1"/>
  <c r="P721" i="1"/>
  <c r="J721" i="1"/>
  <c r="P720" i="1"/>
  <c r="J720" i="1"/>
  <c r="P717" i="1"/>
  <c r="J717" i="1"/>
  <c r="P716" i="1"/>
  <c r="J716" i="1"/>
  <c r="P715" i="1"/>
  <c r="R715" i="1" s="1"/>
  <c r="S715" i="1" s="1"/>
  <c r="P714" i="1"/>
  <c r="J714" i="1"/>
  <c r="P713" i="1"/>
  <c r="J713" i="1"/>
  <c r="P712" i="1"/>
  <c r="R712" i="1" s="1"/>
  <c r="S712" i="1" s="1"/>
  <c r="P710" i="1"/>
  <c r="R710" i="1" s="1"/>
  <c r="S710" i="1" s="1"/>
  <c r="P709" i="1"/>
  <c r="R709" i="1" s="1"/>
  <c r="S709" i="1" s="1"/>
  <c r="P707" i="1"/>
  <c r="R707" i="1" s="1"/>
  <c r="S707" i="1" s="1"/>
  <c r="P706" i="1"/>
  <c r="R706" i="1" s="1"/>
  <c r="S706" i="1" s="1"/>
  <c r="P704" i="1"/>
  <c r="R704" i="1" s="1"/>
  <c r="S704" i="1" s="1"/>
  <c r="P703" i="1"/>
  <c r="R703" i="1" s="1"/>
  <c r="S703" i="1" s="1"/>
  <c r="P702" i="1"/>
  <c r="R702" i="1" s="1"/>
  <c r="S702" i="1" s="1"/>
  <c r="P698" i="1"/>
  <c r="R698" i="1" s="1"/>
  <c r="S698" i="1" s="1"/>
  <c r="P697" i="1"/>
  <c r="R697" i="1" s="1"/>
  <c r="S697" i="1" s="1"/>
  <c r="P696" i="1"/>
  <c r="R696" i="1" s="1"/>
  <c r="S696" i="1" s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87" i="1"/>
  <c r="R687" i="1" s="1"/>
  <c r="S687" i="1" s="1"/>
  <c r="P686" i="1"/>
  <c r="R686" i="1" s="1"/>
  <c r="S686" i="1" s="1"/>
  <c r="P684" i="1"/>
  <c r="R684" i="1" s="1"/>
  <c r="S684" i="1" s="1"/>
  <c r="P683" i="1"/>
  <c r="R683" i="1" s="1"/>
  <c r="S683" i="1" s="1"/>
  <c r="P682" i="1"/>
  <c r="R682" i="1" s="1"/>
  <c r="S682" i="1" s="1"/>
  <c r="P681" i="1"/>
  <c r="R681" i="1" s="1"/>
  <c r="S681" i="1" s="1"/>
  <c r="P674" i="1"/>
  <c r="J674" i="1"/>
  <c r="P673" i="1"/>
  <c r="J673" i="1"/>
  <c r="P672" i="1"/>
  <c r="R672" i="1" s="1"/>
  <c r="S672" i="1" s="1"/>
  <c r="P671" i="1"/>
  <c r="R671" i="1" s="1"/>
  <c r="S671" i="1" s="1"/>
  <c r="P670" i="1"/>
  <c r="R670" i="1" s="1"/>
  <c r="S670" i="1" s="1"/>
  <c r="P669" i="1"/>
  <c r="J669" i="1"/>
  <c r="P668" i="1"/>
  <c r="R668" i="1" s="1"/>
  <c r="S668" i="1" s="1"/>
  <c r="P662" i="1"/>
  <c r="R662" i="1" s="1"/>
  <c r="S662" i="1" s="1"/>
  <c r="P660" i="1"/>
  <c r="R660" i="1" s="1"/>
  <c r="S660" i="1" s="1"/>
  <c r="P657" i="1"/>
  <c r="R657" i="1" s="1"/>
  <c r="S657" i="1" s="1"/>
  <c r="P655" i="1"/>
  <c r="R655" i="1" s="1"/>
  <c r="S655" i="1" s="1"/>
  <c r="P653" i="1"/>
  <c r="R653" i="1" s="1"/>
  <c r="S653" i="1" s="1"/>
  <c r="P652" i="1"/>
  <c r="R652" i="1" s="1"/>
  <c r="S652" i="1" s="1"/>
  <c r="P649" i="1"/>
  <c r="R649" i="1" s="1"/>
  <c r="S649" i="1" s="1"/>
  <c r="P645" i="1"/>
  <c r="J645" i="1"/>
  <c r="P644" i="1"/>
  <c r="J644" i="1"/>
  <c r="P637" i="1"/>
  <c r="R637" i="1" s="1"/>
  <c r="S637" i="1" s="1"/>
  <c r="P636" i="1"/>
  <c r="R636" i="1" s="1"/>
  <c r="S636" i="1" s="1"/>
  <c r="J633" i="1"/>
  <c r="P633" i="1"/>
  <c r="J632" i="1"/>
  <c r="P632" i="1"/>
  <c r="P631" i="1"/>
  <c r="J631" i="1"/>
  <c r="P629" i="1"/>
  <c r="R629" i="1" s="1"/>
  <c r="S629" i="1" s="1"/>
  <c r="P628" i="1"/>
  <c r="R628" i="1" s="1"/>
  <c r="S628" i="1" s="1"/>
  <c r="P625" i="1"/>
  <c r="R625" i="1" s="1"/>
  <c r="S625" i="1" s="1"/>
  <c r="J624" i="1"/>
  <c r="P624" i="1"/>
  <c r="J623" i="1"/>
  <c r="J622" i="1"/>
  <c r="P622" i="1"/>
  <c r="P619" i="1"/>
  <c r="R619" i="1" s="1"/>
  <c r="S619" i="1" s="1"/>
  <c r="P618" i="1"/>
  <c r="R618" i="1" s="1"/>
  <c r="S618" i="1" s="1"/>
  <c r="P617" i="1"/>
  <c r="R617" i="1" s="1"/>
  <c r="S617" i="1" s="1"/>
  <c r="P616" i="1"/>
  <c r="R616" i="1" s="1"/>
  <c r="S616" i="1" s="1"/>
  <c r="P615" i="1"/>
  <c r="R615" i="1" s="1"/>
  <c r="S615" i="1" s="1"/>
  <c r="P611" i="1"/>
  <c r="R611" i="1" s="1"/>
  <c r="S611" i="1" s="1"/>
  <c r="J608" i="1"/>
  <c r="P608" i="1"/>
  <c r="P607" i="1"/>
  <c r="J607" i="1"/>
  <c r="P606" i="1"/>
  <c r="J606" i="1"/>
  <c r="P605" i="1"/>
  <c r="J605" i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9" i="1"/>
  <c r="R599" i="1" s="1"/>
  <c r="S599" i="1" s="1"/>
  <c r="P598" i="1"/>
  <c r="R598" i="1" s="1"/>
  <c r="S598" i="1" s="1"/>
  <c r="P595" i="1"/>
  <c r="R595" i="1" s="1"/>
  <c r="S595" i="1" s="1"/>
  <c r="P592" i="1"/>
  <c r="R592" i="1" s="1"/>
  <c r="S592" i="1" s="1"/>
  <c r="P590" i="1"/>
  <c r="R590" i="1" s="1"/>
  <c r="S590" i="1" s="1"/>
  <c r="J587" i="1"/>
  <c r="P587" i="1"/>
  <c r="J586" i="1"/>
  <c r="P586" i="1"/>
  <c r="P585" i="1"/>
  <c r="J585" i="1"/>
  <c r="J581" i="1"/>
  <c r="P581" i="1"/>
  <c r="P580" i="1"/>
  <c r="J580" i="1"/>
  <c r="P579" i="1"/>
  <c r="J579" i="1"/>
  <c r="P577" i="1"/>
  <c r="J577" i="1"/>
  <c r="P576" i="1"/>
  <c r="J576" i="1"/>
  <c r="J575" i="1"/>
  <c r="P575" i="1"/>
  <c r="P574" i="1"/>
  <c r="J574" i="1"/>
  <c r="S573" i="1"/>
  <c r="P568" i="1"/>
  <c r="J568" i="1"/>
  <c r="P567" i="1"/>
  <c r="J567" i="1"/>
  <c r="J566" i="1"/>
  <c r="P566" i="1"/>
  <c r="P564" i="1"/>
  <c r="J564" i="1"/>
  <c r="P562" i="1"/>
  <c r="J562" i="1"/>
  <c r="P561" i="1"/>
  <c r="J561" i="1"/>
  <c r="P560" i="1"/>
  <c r="J560" i="1"/>
  <c r="P553" i="1"/>
  <c r="J553" i="1"/>
  <c r="P548" i="1"/>
  <c r="R548" i="1" s="1"/>
  <c r="S548" i="1" s="1"/>
  <c r="P545" i="1"/>
  <c r="J545" i="1"/>
  <c r="P544" i="1"/>
  <c r="J544" i="1"/>
  <c r="P543" i="1"/>
  <c r="J543" i="1"/>
  <c r="P536" i="1"/>
  <c r="J536" i="1"/>
  <c r="P535" i="1"/>
  <c r="J535" i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5" i="1"/>
  <c r="R525" i="1" s="1"/>
  <c r="S525" i="1" s="1"/>
  <c r="P524" i="1"/>
  <c r="R524" i="1" s="1"/>
  <c r="S524" i="1" s="1"/>
  <c r="P506" i="1"/>
  <c r="R506" i="1" s="1"/>
  <c r="S506" i="1" s="1"/>
  <c r="P505" i="1"/>
  <c r="R505" i="1" s="1"/>
  <c r="S505" i="1" s="1"/>
  <c r="P503" i="1"/>
  <c r="R503" i="1" s="1"/>
  <c r="S503" i="1" s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6" i="1"/>
  <c r="R496" i="1" s="1"/>
  <c r="S496" i="1" s="1"/>
  <c r="P495" i="1"/>
  <c r="R495" i="1" s="1"/>
  <c r="S495" i="1" s="1"/>
  <c r="P493" i="1"/>
  <c r="R493" i="1" s="1"/>
  <c r="S493" i="1" s="1"/>
  <c r="P488" i="1"/>
  <c r="R488" i="1" s="1"/>
  <c r="S488" i="1" s="1"/>
  <c r="P486" i="1"/>
  <c r="J486" i="1"/>
  <c r="P481" i="1"/>
  <c r="J481" i="1"/>
  <c r="P480" i="1"/>
  <c r="J480" i="1"/>
  <c r="P477" i="1"/>
  <c r="J477" i="1"/>
  <c r="P476" i="1"/>
  <c r="J476" i="1"/>
  <c r="P475" i="1"/>
  <c r="J475" i="1"/>
  <c r="P474" i="1"/>
  <c r="J474" i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3" i="1"/>
  <c r="R463" i="1" s="1"/>
  <c r="S463" i="1" s="1"/>
  <c r="P459" i="1"/>
  <c r="R459" i="1" s="1"/>
  <c r="S459" i="1" s="1"/>
  <c r="P457" i="1"/>
  <c r="R457" i="1" s="1"/>
  <c r="S457" i="1" s="1"/>
  <c r="P452" i="1"/>
  <c r="J452" i="1"/>
  <c r="P451" i="1"/>
  <c r="J451" i="1"/>
  <c r="P448" i="1"/>
  <c r="J448" i="1"/>
  <c r="P447" i="1"/>
  <c r="J447" i="1"/>
  <c r="P442" i="1"/>
  <c r="R442" i="1" s="1"/>
  <c r="S442" i="1" s="1"/>
  <c r="P441" i="1"/>
  <c r="R441" i="1" s="1"/>
  <c r="S441" i="1" s="1"/>
  <c r="P439" i="1"/>
  <c r="R439" i="1" s="1"/>
  <c r="S439" i="1" s="1"/>
  <c r="P437" i="1"/>
  <c r="R437" i="1" s="1"/>
  <c r="S437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29" i="1"/>
  <c r="J429" i="1"/>
  <c r="P417" i="1"/>
  <c r="J417" i="1"/>
  <c r="P414" i="1"/>
  <c r="J414" i="1"/>
  <c r="P413" i="1"/>
  <c r="J413" i="1"/>
  <c r="P412" i="1"/>
  <c r="J412" i="1"/>
  <c r="P410" i="1"/>
  <c r="J410" i="1"/>
  <c r="P409" i="1"/>
  <c r="J409" i="1"/>
  <c r="P406" i="1"/>
  <c r="J406" i="1"/>
  <c r="P402" i="1"/>
  <c r="R402" i="1" s="1"/>
  <c r="S402" i="1" s="1"/>
  <c r="P399" i="1"/>
  <c r="R399" i="1" s="1"/>
  <c r="S399" i="1" s="1"/>
  <c r="P396" i="1"/>
  <c r="R396" i="1" s="1"/>
  <c r="S396" i="1" s="1"/>
  <c r="P392" i="1"/>
  <c r="J392" i="1"/>
  <c r="P391" i="1"/>
  <c r="J391" i="1"/>
  <c r="P388" i="1"/>
  <c r="R388" i="1" s="1"/>
  <c r="S388" i="1" s="1"/>
  <c r="P386" i="1"/>
  <c r="R386" i="1" s="1"/>
  <c r="S386" i="1" s="1"/>
  <c r="P385" i="1"/>
  <c r="R385" i="1" s="1"/>
  <c r="S385" i="1" s="1"/>
  <c r="P382" i="1"/>
  <c r="R382" i="1" s="1"/>
  <c r="S382" i="1" s="1"/>
  <c r="P379" i="1"/>
  <c r="J379" i="1"/>
  <c r="P378" i="1"/>
  <c r="J378" i="1"/>
  <c r="P376" i="1"/>
  <c r="J376" i="1"/>
  <c r="P374" i="1"/>
  <c r="R374" i="1" s="1"/>
  <c r="S374" i="1" s="1"/>
  <c r="P373" i="1"/>
  <c r="R373" i="1" s="1"/>
  <c r="S373" i="1" s="1"/>
  <c r="P372" i="1"/>
  <c r="R372" i="1" s="1"/>
  <c r="S372" i="1" s="1"/>
  <c r="P371" i="1"/>
  <c r="R371" i="1" s="1"/>
  <c r="S371" i="1" s="1"/>
  <c r="P367" i="1"/>
  <c r="J367" i="1"/>
  <c r="P365" i="1"/>
  <c r="J365" i="1"/>
  <c r="P363" i="1"/>
  <c r="R363" i="1" s="1"/>
  <c r="S363" i="1" s="1"/>
  <c r="P361" i="1"/>
  <c r="R361" i="1" s="1"/>
  <c r="S361" i="1" s="1"/>
  <c r="P357" i="1"/>
  <c r="J357" i="1"/>
  <c r="P356" i="1"/>
  <c r="R356" i="1" s="1"/>
  <c r="S356" i="1" s="1"/>
  <c r="P353" i="1"/>
  <c r="R353" i="1" s="1"/>
  <c r="S353" i="1" s="1"/>
  <c r="J351" i="1"/>
  <c r="P351" i="1"/>
  <c r="J350" i="1"/>
  <c r="J349" i="1"/>
  <c r="P349" i="1"/>
  <c r="P347" i="1"/>
  <c r="R347" i="1" s="1"/>
  <c r="S347" i="1" s="1"/>
  <c r="J346" i="1"/>
  <c r="H346" i="1"/>
  <c r="P346" i="1" s="1"/>
  <c r="P344" i="1"/>
  <c r="R344" i="1" s="1"/>
  <c r="S344" i="1" s="1"/>
  <c r="P343" i="1"/>
  <c r="R343" i="1" s="1"/>
  <c r="S343" i="1" s="1"/>
  <c r="P341" i="1"/>
  <c r="R341" i="1" s="1"/>
  <c r="S341" i="1" s="1"/>
  <c r="P340" i="1"/>
  <c r="R340" i="1" s="1"/>
  <c r="S340" i="1" s="1"/>
  <c r="P332" i="1"/>
  <c r="R332" i="1" s="1"/>
  <c r="S332" i="1" s="1"/>
  <c r="P331" i="1"/>
  <c r="R331" i="1" s="1"/>
  <c r="S331" i="1" s="1"/>
  <c r="P329" i="1"/>
  <c r="R329" i="1" s="1"/>
  <c r="S329" i="1" s="1"/>
  <c r="P326" i="1"/>
  <c r="R326" i="1" s="1"/>
  <c r="S326" i="1" s="1"/>
  <c r="P323" i="1"/>
  <c r="J323" i="1"/>
  <c r="P322" i="1"/>
  <c r="R322" i="1" s="1"/>
  <c r="S322" i="1" s="1"/>
  <c r="P321" i="1"/>
  <c r="J321" i="1"/>
  <c r="P318" i="1"/>
  <c r="R318" i="1" s="1"/>
  <c r="S318" i="1" s="1"/>
  <c r="P316" i="1"/>
  <c r="R316" i="1" s="1"/>
  <c r="S316" i="1" s="1"/>
  <c r="P314" i="1"/>
  <c r="R314" i="1" s="1"/>
  <c r="S314" i="1" s="1"/>
  <c r="P311" i="1"/>
  <c r="J311" i="1"/>
  <c r="P310" i="1"/>
  <c r="J310" i="1"/>
  <c r="J309" i="1"/>
  <c r="P309" i="1"/>
  <c r="J308" i="1"/>
  <c r="P308" i="1"/>
  <c r="P307" i="1"/>
  <c r="J307" i="1"/>
  <c r="P306" i="1"/>
  <c r="J306" i="1"/>
  <c r="P305" i="1"/>
  <c r="R305" i="1" s="1"/>
  <c r="S305" i="1" s="1"/>
  <c r="P304" i="1"/>
  <c r="R304" i="1" s="1"/>
  <c r="S304" i="1" s="1"/>
  <c r="P300" i="1"/>
  <c r="J300" i="1"/>
  <c r="P299" i="1"/>
  <c r="J299" i="1"/>
  <c r="P295" i="1"/>
  <c r="R295" i="1" s="1"/>
  <c r="S295" i="1" s="1"/>
  <c r="P293" i="1"/>
  <c r="R293" i="1" s="1"/>
  <c r="S293" i="1" s="1"/>
  <c r="P292" i="1"/>
  <c r="R292" i="1" s="1"/>
  <c r="S292" i="1" s="1"/>
  <c r="P288" i="1"/>
  <c r="R288" i="1" s="1"/>
  <c r="S288" i="1" s="1"/>
  <c r="P286" i="1"/>
  <c r="R286" i="1" s="1"/>
  <c r="S286" i="1" s="1"/>
  <c r="P280" i="1"/>
  <c r="R280" i="1" s="1"/>
  <c r="S280" i="1" s="1"/>
  <c r="P276" i="1"/>
  <c r="R276" i="1" s="1"/>
  <c r="S276" i="1" s="1"/>
  <c r="J272" i="1"/>
  <c r="P272" i="1"/>
  <c r="P271" i="1"/>
  <c r="J271" i="1"/>
  <c r="P265" i="1"/>
  <c r="J265" i="1"/>
  <c r="P264" i="1"/>
  <c r="P260" i="1"/>
  <c r="J260" i="1"/>
  <c r="J257" i="1"/>
  <c r="P257" i="1"/>
  <c r="P256" i="1"/>
  <c r="J256" i="1"/>
  <c r="P255" i="1"/>
  <c r="J255" i="1"/>
  <c r="P254" i="1"/>
  <c r="J254" i="1"/>
  <c r="P249" i="1"/>
  <c r="J249" i="1"/>
  <c r="P247" i="1"/>
  <c r="J247" i="1"/>
  <c r="P244" i="1"/>
  <c r="J244" i="1"/>
  <c r="P243" i="1"/>
  <c r="J243" i="1"/>
  <c r="P240" i="1"/>
  <c r="J240" i="1"/>
  <c r="P239" i="1"/>
  <c r="J239" i="1"/>
  <c r="P238" i="1"/>
  <c r="J238" i="1"/>
  <c r="P237" i="1"/>
  <c r="J237" i="1"/>
  <c r="J235" i="1"/>
  <c r="H235" i="1"/>
  <c r="P235" i="1" s="1"/>
  <c r="J234" i="1"/>
  <c r="H234" i="1"/>
  <c r="P234" i="1" s="1"/>
  <c r="P230" i="1"/>
  <c r="J230" i="1"/>
  <c r="P228" i="1"/>
  <c r="J228" i="1"/>
  <c r="P225" i="1"/>
  <c r="J225" i="1"/>
  <c r="P223" i="1"/>
  <c r="J223" i="1"/>
  <c r="J218" i="1"/>
  <c r="P218" i="1"/>
  <c r="P215" i="1"/>
  <c r="J215" i="1"/>
  <c r="J214" i="1"/>
  <c r="P214" i="1"/>
  <c r="P213" i="1"/>
  <c r="J213" i="1"/>
  <c r="P209" i="1"/>
  <c r="J209" i="1"/>
  <c r="J208" i="1"/>
  <c r="P208" i="1"/>
  <c r="P207" i="1"/>
  <c r="J207" i="1"/>
  <c r="P206" i="1"/>
  <c r="J206" i="1"/>
  <c r="J205" i="1"/>
  <c r="P205" i="1"/>
  <c r="J204" i="1"/>
  <c r="P203" i="1"/>
  <c r="J203" i="1"/>
  <c r="P202" i="1"/>
  <c r="J202" i="1"/>
  <c r="P197" i="1"/>
  <c r="R197" i="1" s="1"/>
  <c r="S197" i="1" s="1"/>
  <c r="P195" i="1"/>
  <c r="R195" i="1" s="1"/>
  <c r="S195" i="1" s="1"/>
  <c r="P193" i="1"/>
  <c r="J193" i="1"/>
  <c r="P192" i="1"/>
  <c r="R192" i="1" s="1"/>
  <c r="S192" i="1" s="1"/>
  <c r="P191" i="1"/>
  <c r="J191" i="1"/>
  <c r="P190" i="1"/>
  <c r="J190" i="1"/>
  <c r="P188" i="1"/>
  <c r="R188" i="1" s="1"/>
  <c r="S188" i="1" s="1"/>
  <c r="P187" i="1"/>
  <c r="R187" i="1" s="1"/>
  <c r="S187" i="1" s="1"/>
  <c r="P185" i="1"/>
  <c r="R185" i="1" s="1"/>
  <c r="S185" i="1" s="1"/>
  <c r="P184" i="1"/>
  <c r="R184" i="1" s="1"/>
  <c r="S184" i="1" s="1"/>
  <c r="P183" i="1"/>
  <c r="R183" i="1" s="1"/>
  <c r="S183" i="1" s="1"/>
  <c r="P182" i="1"/>
  <c r="R182" i="1" s="1"/>
  <c r="S182" i="1" s="1"/>
  <c r="P181" i="1"/>
  <c r="R181" i="1" s="1"/>
  <c r="S181" i="1" s="1"/>
  <c r="P180" i="1"/>
  <c r="R180" i="1" s="1"/>
  <c r="S180" i="1" s="1"/>
  <c r="P178" i="1"/>
  <c r="R178" i="1" s="1"/>
  <c r="S178" i="1" s="1"/>
  <c r="P173" i="1"/>
  <c r="J173" i="1"/>
  <c r="J172" i="1"/>
  <c r="P172" i="1"/>
  <c r="P171" i="1"/>
  <c r="J171" i="1"/>
  <c r="P170" i="1"/>
  <c r="J170" i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1" i="1"/>
  <c r="J161" i="1"/>
  <c r="J159" i="1"/>
  <c r="P158" i="1"/>
  <c r="J158" i="1"/>
  <c r="J157" i="1"/>
  <c r="P157" i="1"/>
  <c r="J156" i="1"/>
  <c r="J155" i="1"/>
  <c r="P155" i="1"/>
  <c r="J154" i="1"/>
  <c r="P150" i="1"/>
  <c r="J150" i="1"/>
  <c r="P149" i="1"/>
  <c r="R149" i="1" s="1"/>
  <c r="S149" i="1" s="1"/>
  <c r="P148" i="1"/>
  <c r="R148" i="1" s="1"/>
  <c r="S148" i="1" s="1"/>
  <c r="P147" i="1"/>
  <c r="R147" i="1" s="1"/>
  <c r="S147" i="1" s="1"/>
  <c r="P145" i="1"/>
  <c r="R145" i="1" s="1"/>
  <c r="S145" i="1" s="1"/>
  <c r="P143" i="1"/>
  <c r="R143" i="1" s="1"/>
  <c r="S143" i="1" s="1"/>
  <c r="P142" i="1"/>
  <c r="R142" i="1" s="1"/>
  <c r="S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1" i="1"/>
  <c r="R131" i="1" s="1"/>
  <c r="S131" i="1" s="1"/>
  <c r="P130" i="1"/>
  <c r="R130" i="1" s="1"/>
  <c r="S130" i="1" s="1"/>
  <c r="P125" i="1"/>
  <c r="R125" i="1" s="1"/>
  <c r="S125" i="1" s="1"/>
  <c r="P122" i="1"/>
  <c r="R122" i="1" s="1"/>
  <c r="S122" i="1" s="1"/>
  <c r="P120" i="1"/>
  <c r="R120" i="1" s="1"/>
  <c r="S120" i="1" s="1"/>
  <c r="P118" i="1"/>
  <c r="R118" i="1" s="1"/>
  <c r="S118" i="1" s="1"/>
  <c r="P117" i="1"/>
  <c r="R117" i="1" s="1"/>
  <c r="S117" i="1" s="1"/>
  <c r="P108" i="1"/>
  <c r="R108" i="1" s="1"/>
  <c r="S108" i="1" s="1"/>
  <c r="P104" i="1"/>
  <c r="R104" i="1" s="1"/>
  <c r="S104" i="1" s="1"/>
  <c r="P96" i="1"/>
  <c r="R96" i="1" s="1"/>
  <c r="S96" i="1" s="1"/>
  <c r="P94" i="1"/>
  <c r="R94" i="1" s="1"/>
  <c r="S94" i="1" s="1"/>
  <c r="P93" i="1"/>
  <c r="R93" i="1" s="1"/>
  <c r="S93" i="1" s="1"/>
  <c r="P89" i="1"/>
  <c r="R89" i="1" s="1"/>
  <c r="S89" i="1" s="1"/>
  <c r="P88" i="1"/>
  <c r="R88" i="1" s="1"/>
  <c r="S88" i="1" s="1"/>
  <c r="P86" i="1"/>
  <c r="R86" i="1" s="1"/>
  <c r="S86" i="1" s="1"/>
  <c r="R83" i="1"/>
  <c r="S83" i="1" s="1"/>
  <c r="P80" i="1"/>
  <c r="R80" i="1" s="1"/>
  <c r="S80" i="1" s="1"/>
  <c r="P78" i="1"/>
  <c r="R78" i="1" s="1"/>
  <c r="S78" i="1" s="1"/>
  <c r="P77" i="1"/>
  <c r="R77" i="1" s="1"/>
  <c r="S77" i="1" s="1"/>
  <c r="P76" i="1"/>
  <c r="R76" i="1" s="1"/>
  <c r="S76" i="1" s="1"/>
  <c r="P60" i="1"/>
  <c r="R60" i="1" s="1"/>
  <c r="S60" i="1" s="1"/>
  <c r="P59" i="1"/>
  <c r="R59" i="1" s="1"/>
  <c r="S59" i="1" s="1"/>
  <c r="P58" i="1"/>
  <c r="R58" i="1" s="1"/>
  <c r="S58" i="1" s="1"/>
  <c r="J54" i="1"/>
  <c r="R54" i="1" s="1"/>
  <c r="S54" i="1" s="1"/>
  <c r="P53" i="1"/>
  <c r="J53" i="1"/>
  <c r="P52" i="1"/>
  <c r="J52" i="1"/>
  <c r="P50" i="1"/>
  <c r="J50" i="1"/>
  <c r="P48" i="1"/>
  <c r="R48" i="1" s="1"/>
  <c r="S48" i="1" s="1"/>
  <c r="P39" i="1"/>
  <c r="J39" i="1"/>
  <c r="P33" i="1"/>
  <c r="R33" i="1" s="1"/>
  <c r="S33" i="1" s="1"/>
  <c r="P31" i="1"/>
  <c r="R31" i="1" s="1"/>
  <c r="S31" i="1" s="1"/>
  <c r="P29" i="1"/>
  <c r="R29" i="1" s="1"/>
  <c r="S29" i="1" s="1"/>
  <c r="P24" i="1"/>
  <c r="R24" i="1" s="1"/>
  <c r="S24" i="1" s="1"/>
  <c r="P23" i="1"/>
  <c r="R23" i="1" s="1"/>
  <c r="S23" i="1" s="1"/>
  <c r="P22" i="1"/>
  <c r="R22" i="1" s="1"/>
  <c r="S22" i="1" s="1"/>
  <c r="P21" i="1"/>
  <c r="J21" i="1"/>
  <c r="P20" i="1"/>
  <c r="R20" i="1" s="1"/>
  <c r="S20" i="1" s="1"/>
  <c r="P19" i="1"/>
  <c r="J19" i="1"/>
  <c r="P18" i="1"/>
  <c r="R18" i="1" s="1"/>
  <c r="S18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6" i="1"/>
  <c r="R6" i="1" s="1"/>
  <c r="S6" i="1" s="1"/>
  <c r="R150" i="1" l="1"/>
  <c r="S150" i="1" s="1"/>
  <c r="R1234" i="1"/>
  <c r="S1234" i="1" s="1"/>
  <c r="R623" i="1"/>
  <c r="S623" i="1" s="1"/>
  <c r="R1272" i="1"/>
  <c r="S1272" i="1" s="1"/>
  <c r="R1274" i="1"/>
  <c r="S1274" i="1" s="1"/>
  <c r="R1237" i="1"/>
  <c r="S1237" i="1" s="1"/>
  <c r="R1244" i="1"/>
  <c r="S1244" i="1" s="1"/>
  <c r="R1247" i="1"/>
  <c r="S1247" i="1" s="1"/>
  <c r="R1278" i="1"/>
  <c r="S1278" i="1" s="1"/>
  <c r="R1280" i="1"/>
  <c r="S1280" i="1" s="1"/>
  <c r="R1225" i="1"/>
  <c r="S1225" i="1" s="1"/>
  <c r="R1156" i="1"/>
  <c r="S1156" i="1" s="1"/>
  <c r="R1210" i="1"/>
  <c r="S1210" i="1" s="1"/>
  <c r="R1070" i="1"/>
  <c r="S1070" i="1" s="1"/>
  <c r="R1096" i="1"/>
  <c r="S1096" i="1" s="1"/>
  <c r="R1100" i="1"/>
  <c r="S1100" i="1" s="1"/>
  <c r="R645" i="1"/>
  <c r="S645" i="1" s="1"/>
  <c r="R673" i="1"/>
  <c r="S673" i="1" s="1"/>
  <c r="R793" i="1"/>
  <c r="S793" i="1" s="1"/>
  <c r="R912" i="1"/>
  <c r="S912" i="1" s="1"/>
  <c r="R957" i="1"/>
  <c r="S957" i="1" s="1"/>
  <c r="R575" i="1"/>
  <c r="S575" i="1" s="1"/>
  <c r="R586" i="1"/>
  <c r="S586" i="1" s="1"/>
  <c r="R624" i="1"/>
  <c r="S624" i="1" s="1"/>
  <c r="R631" i="1"/>
  <c r="S631" i="1" s="1"/>
  <c r="R644" i="1"/>
  <c r="S644" i="1" s="1"/>
  <c r="R674" i="1"/>
  <c r="S674" i="1" s="1"/>
  <c r="R1071" i="1"/>
  <c r="S1071" i="1" s="1"/>
  <c r="R1097" i="1"/>
  <c r="S1097" i="1" s="1"/>
  <c r="R713" i="1"/>
  <c r="S713" i="1" s="1"/>
  <c r="R963" i="1"/>
  <c r="S963" i="1" s="1"/>
  <c r="R230" i="1"/>
  <c r="S230" i="1" s="1"/>
  <c r="R351" i="1"/>
  <c r="S351" i="1" s="1"/>
  <c r="R733" i="1"/>
  <c r="S733" i="1" s="1"/>
  <c r="R474" i="1"/>
  <c r="S474" i="1" s="1"/>
  <c r="R475" i="1"/>
  <c r="S475" i="1" s="1"/>
  <c r="R477" i="1"/>
  <c r="S477" i="1" s="1"/>
  <c r="R481" i="1"/>
  <c r="S481" i="1" s="1"/>
  <c r="R734" i="1"/>
  <c r="S734" i="1" s="1"/>
  <c r="R346" i="1"/>
  <c r="S346" i="1" s="1"/>
  <c r="R391" i="1"/>
  <c r="S391" i="1" s="1"/>
  <c r="R866" i="1"/>
  <c r="S866" i="1" s="1"/>
  <c r="R157" i="1"/>
  <c r="S157" i="1" s="1"/>
  <c r="R257" i="1"/>
  <c r="S257" i="1" s="1"/>
  <c r="R264" i="1"/>
  <c r="S264" i="1" s="1"/>
  <c r="R271" i="1"/>
  <c r="S271" i="1" s="1"/>
  <c r="R406" i="1"/>
  <c r="S406" i="1" s="1"/>
  <c r="R560" i="1"/>
  <c r="S560" i="1" s="1"/>
  <c r="R562" i="1"/>
  <c r="S562" i="1" s="1"/>
  <c r="R228" i="1"/>
  <c r="S228" i="1" s="1"/>
  <c r="R476" i="1"/>
  <c r="S476" i="1" s="1"/>
  <c r="R480" i="1"/>
  <c r="S480" i="1" s="1"/>
  <c r="R486" i="1"/>
  <c r="S486" i="1" s="1"/>
  <c r="R805" i="1"/>
  <c r="S805" i="1" s="1"/>
  <c r="R811" i="1"/>
  <c r="S811" i="1" s="1"/>
  <c r="R821" i="1"/>
  <c r="S821" i="1" s="1"/>
  <c r="R863" i="1"/>
  <c r="S863" i="1" s="1"/>
  <c r="R870" i="1"/>
  <c r="S870" i="1" s="1"/>
  <c r="R910" i="1"/>
  <c r="S910" i="1" s="1"/>
  <c r="R170" i="1"/>
  <c r="S170" i="1" s="1"/>
  <c r="R161" i="1"/>
  <c r="S161" i="1" s="1"/>
  <c r="R171" i="1"/>
  <c r="S171" i="1" s="1"/>
  <c r="R225" i="1"/>
  <c r="S225" i="1" s="1"/>
  <c r="R235" i="1"/>
  <c r="S235" i="1" s="1"/>
  <c r="R272" i="1"/>
  <c r="S272" i="1" s="1"/>
  <c r="R409" i="1"/>
  <c r="S409" i="1" s="1"/>
  <c r="R561" i="1"/>
  <c r="S561" i="1" s="1"/>
  <c r="R564" i="1"/>
  <c r="S564" i="1" s="1"/>
  <c r="R581" i="1"/>
  <c r="S581" i="1" s="1"/>
  <c r="R587" i="1"/>
  <c r="S587" i="1" s="1"/>
  <c r="R864" i="1"/>
  <c r="S864" i="1" s="1"/>
  <c r="R1149" i="1"/>
  <c r="S1149" i="1" s="1"/>
  <c r="R19" i="1"/>
  <c r="S19" i="1" s="1"/>
  <c r="R207" i="1"/>
  <c r="S207" i="1" s="1"/>
  <c r="R209" i="1"/>
  <c r="S209" i="1" s="1"/>
  <c r="R237" i="1"/>
  <c r="S237" i="1" s="1"/>
  <c r="R239" i="1"/>
  <c r="S239" i="1" s="1"/>
  <c r="R622" i="1"/>
  <c r="S622" i="1" s="1"/>
  <c r="R802" i="1"/>
  <c r="S802" i="1" s="1"/>
  <c r="R820" i="1"/>
  <c r="S820" i="1" s="1"/>
  <c r="R826" i="1"/>
  <c r="S826" i="1" s="1"/>
  <c r="R873" i="1"/>
  <c r="S873" i="1" s="1"/>
  <c r="R878" i="1"/>
  <c r="S878" i="1" s="1"/>
  <c r="R962" i="1"/>
  <c r="S962" i="1" s="1"/>
  <c r="R964" i="1"/>
  <c r="S964" i="1" s="1"/>
  <c r="R966" i="1"/>
  <c r="S966" i="1" s="1"/>
  <c r="R1036" i="1"/>
  <c r="S1036" i="1" s="1"/>
  <c r="R1052" i="1"/>
  <c r="S1052" i="1" s="1"/>
  <c r="R1056" i="1"/>
  <c r="S1056" i="1" s="1"/>
  <c r="R1107" i="1"/>
  <c r="S1107" i="1" s="1"/>
  <c r="R1114" i="1"/>
  <c r="S1114" i="1" s="1"/>
  <c r="R1224" i="1"/>
  <c r="S1224" i="1" s="1"/>
  <c r="R1238" i="1"/>
  <c r="S1238" i="1" s="1"/>
  <c r="R1243" i="1"/>
  <c r="S1243" i="1" s="1"/>
  <c r="R1245" i="1"/>
  <c r="S1245" i="1" s="1"/>
  <c r="R1248" i="1"/>
  <c r="S1248" i="1" s="1"/>
  <c r="R714" i="1"/>
  <c r="S714" i="1" s="1"/>
  <c r="R794" i="1"/>
  <c r="S794" i="1" s="1"/>
  <c r="R801" i="1"/>
  <c r="S801" i="1" s="1"/>
  <c r="R958" i="1"/>
  <c r="S958" i="1" s="1"/>
  <c r="R1153" i="1"/>
  <c r="S1153" i="1" s="1"/>
  <c r="R1155" i="1"/>
  <c r="S1155" i="1" s="1"/>
  <c r="R1209" i="1"/>
  <c r="S1209" i="1" s="1"/>
  <c r="R206" i="1"/>
  <c r="S206" i="1" s="1"/>
  <c r="R213" i="1"/>
  <c r="S213" i="1" s="1"/>
  <c r="R234" i="1"/>
  <c r="S234" i="1" s="1"/>
  <c r="R238" i="1"/>
  <c r="S238" i="1" s="1"/>
  <c r="R240" i="1"/>
  <c r="S240" i="1" s="1"/>
  <c r="R309" i="1"/>
  <c r="S309" i="1" s="1"/>
  <c r="R321" i="1"/>
  <c r="S321" i="1" s="1"/>
  <c r="R553" i="1"/>
  <c r="S553" i="1" s="1"/>
  <c r="R742" i="1"/>
  <c r="S742" i="1" s="1"/>
  <c r="R874" i="1"/>
  <c r="S874" i="1" s="1"/>
  <c r="R965" i="1"/>
  <c r="S965" i="1" s="1"/>
  <c r="R967" i="1"/>
  <c r="S967" i="1" s="1"/>
  <c r="R1053" i="1"/>
  <c r="S1053" i="1" s="1"/>
  <c r="R1057" i="1"/>
  <c r="S1057" i="1" s="1"/>
  <c r="R1106" i="1"/>
  <c r="S1106" i="1" s="1"/>
  <c r="R21" i="1"/>
  <c r="S21" i="1" s="1"/>
  <c r="R52" i="1"/>
  <c r="S52" i="1" s="1"/>
  <c r="R158" i="1"/>
  <c r="S158" i="1" s="1"/>
  <c r="R172" i="1"/>
  <c r="S172" i="1" s="1"/>
  <c r="R191" i="1"/>
  <c r="S191" i="1" s="1"/>
  <c r="R202" i="1"/>
  <c r="S202" i="1" s="1"/>
  <c r="R205" i="1"/>
  <c r="S205" i="1" s="1"/>
  <c r="R214" i="1"/>
  <c r="S214" i="1" s="1"/>
  <c r="R218" i="1"/>
  <c r="S218" i="1" s="1"/>
  <c r="R223" i="1"/>
  <c r="S223" i="1" s="1"/>
  <c r="R243" i="1"/>
  <c r="S243" i="1" s="1"/>
  <c r="R249" i="1"/>
  <c r="S249" i="1" s="1"/>
  <c r="R255" i="1"/>
  <c r="S255" i="1" s="1"/>
  <c r="R307" i="1"/>
  <c r="S307" i="1" s="1"/>
  <c r="R311" i="1"/>
  <c r="S311" i="1" s="1"/>
  <c r="R349" i="1"/>
  <c r="S349" i="1" s="1"/>
  <c r="R376" i="1"/>
  <c r="S376" i="1" s="1"/>
  <c r="R379" i="1"/>
  <c r="S379" i="1" s="1"/>
  <c r="R410" i="1"/>
  <c r="S410" i="1" s="1"/>
  <c r="R414" i="1"/>
  <c r="S414" i="1" s="1"/>
  <c r="R429" i="1"/>
  <c r="S429" i="1" s="1"/>
  <c r="R447" i="1"/>
  <c r="S447" i="1" s="1"/>
  <c r="R451" i="1"/>
  <c r="S451" i="1" s="1"/>
  <c r="R566" i="1"/>
  <c r="S566" i="1" s="1"/>
  <c r="R568" i="1"/>
  <c r="S568" i="1" s="1"/>
  <c r="R574" i="1"/>
  <c r="S574" i="1" s="1"/>
  <c r="R585" i="1"/>
  <c r="S585" i="1" s="1"/>
  <c r="R606" i="1"/>
  <c r="S606" i="1" s="1"/>
  <c r="R633" i="1"/>
  <c r="S633" i="1" s="1"/>
  <c r="R720" i="1"/>
  <c r="S720" i="1" s="1"/>
  <c r="R724" i="1"/>
  <c r="S724" i="1" s="1"/>
  <c r="R729" i="1"/>
  <c r="S729" i="1" s="1"/>
  <c r="R736" i="1"/>
  <c r="S736" i="1" s="1"/>
  <c r="R740" i="1"/>
  <c r="S740" i="1" s="1"/>
  <c r="R744" i="1"/>
  <c r="S744" i="1" s="1"/>
  <c r="R746" i="1"/>
  <c r="S746" i="1" s="1"/>
  <c r="R860" i="1"/>
  <c r="S860" i="1" s="1"/>
  <c r="R879" i="1"/>
  <c r="S879" i="1" s="1"/>
  <c r="R906" i="1"/>
  <c r="S906" i="1" s="1"/>
  <c r="R960" i="1"/>
  <c r="S960" i="1" s="1"/>
  <c r="R1051" i="1"/>
  <c r="S1051" i="1" s="1"/>
  <c r="R1058" i="1"/>
  <c r="S1058" i="1" s="1"/>
  <c r="R1122" i="1"/>
  <c r="S1122" i="1" s="1"/>
  <c r="R1137" i="1"/>
  <c r="S1137" i="1" s="1"/>
  <c r="R1139" i="1"/>
  <c r="S1139" i="1" s="1"/>
  <c r="R1141" i="1"/>
  <c r="S1141" i="1" s="1"/>
  <c r="R1147" i="1"/>
  <c r="S1147" i="1" s="1"/>
  <c r="R1154" i="1"/>
  <c r="S1154" i="1" s="1"/>
  <c r="R1174" i="1"/>
  <c r="S1174" i="1" s="1"/>
  <c r="R1176" i="1"/>
  <c r="S1176" i="1" s="1"/>
  <c r="R1213" i="1"/>
  <c r="S1213" i="1" s="1"/>
  <c r="R1277" i="1"/>
  <c r="S1277" i="1" s="1"/>
  <c r="R1279" i="1"/>
  <c r="S1279" i="1" s="1"/>
  <c r="R1273" i="1"/>
  <c r="S1273" i="1" s="1"/>
  <c r="R1275" i="1"/>
  <c r="S1275" i="1" s="1"/>
  <c r="R53" i="1"/>
  <c r="S53" i="1" s="1"/>
  <c r="R155" i="1"/>
  <c r="S155" i="1" s="1"/>
  <c r="R190" i="1"/>
  <c r="S190" i="1" s="1"/>
  <c r="R203" i="1"/>
  <c r="S203" i="1" s="1"/>
  <c r="R208" i="1"/>
  <c r="S208" i="1" s="1"/>
  <c r="R244" i="1"/>
  <c r="S244" i="1" s="1"/>
  <c r="R247" i="1"/>
  <c r="S247" i="1" s="1"/>
  <c r="R254" i="1"/>
  <c r="S254" i="1" s="1"/>
  <c r="R256" i="1"/>
  <c r="S256" i="1" s="1"/>
  <c r="R306" i="1"/>
  <c r="S306" i="1" s="1"/>
  <c r="R310" i="1"/>
  <c r="S310" i="1" s="1"/>
  <c r="R378" i="1"/>
  <c r="S378" i="1" s="1"/>
  <c r="R417" i="1"/>
  <c r="S417" i="1" s="1"/>
  <c r="R448" i="1"/>
  <c r="S448" i="1" s="1"/>
  <c r="R452" i="1"/>
  <c r="S452" i="1" s="1"/>
  <c r="R535" i="1"/>
  <c r="S535" i="1" s="1"/>
  <c r="R536" i="1"/>
  <c r="S536" i="1" s="1"/>
  <c r="R605" i="1"/>
  <c r="S605" i="1" s="1"/>
  <c r="R607" i="1"/>
  <c r="S607" i="1" s="1"/>
  <c r="R721" i="1"/>
  <c r="S721" i="1" s="1"/>
  <c r="R732" i="1"/>
  <c r="S732" i="1" s="1"/>
  <c r="R739" i="1"/>
  <c r="S739" i="1" s="1"/>
  <c r="R741" i="1"/>
  <c r="S741" i="1" s="1"/>
  <c r="R743" i="1"/>
  <c r="S743" i="1" s="1"/>
  <c r="R800" i="1"/>
  <c r="S800" i="1" s="1"/>
  <c r="R862" i="1"/>
  <c r="S862" i="1" s="1"/>
  <c r="R869" i="1"/>
  <c r="S869" i="1" s="1"/>
  <c r="R871" i="1"/>
  <c r="S871" i="1" s="1"/>
  <c r="R959" i="1"/>
  <c r="S959" i="1" s="1"/>
  <c r="R1059" i="1"/>
  <c r="S1059" i="1" s="1"/>
  <c r="R1135" i="1"/>
  <c r="S1135" i="1" s="1"/>
  <c r="R1136" i="1"/>
  <c r="S1136" i="1" s="1"/>
  <c r="R1140" i="1"/>
  <c r="S1140" i="1" s="1"/>
  <c r="R1142" i="1"/>
  <c r="S1142" i="1" s="1"/>
  <c r="R1151" i="1"/>
  <c r="S1151" i="1" s="1"/>
  <c r="R1175" i="1"/>
  <c r="S1175" i="1" s="1"/>
  <c r="R1206" i="1"/>
  <c r="S1206" i="1" s="1"/>
  <c r="R990" i="1"/>
  <c r="S990" i="1" s="1"/>
  <c r="R173" i="1"/>
  <c r="S173" i="1" s="1"/>
  <c r="R576" i="1"/>
  <c r="S576" i="1" s="1"/>
  <c r="R579" i="1"/>
  <c r="S579" i="1" s="1"/>
  <c r="R737" i="1"/>
  <c r="S737" i="1" s="1"/>
  <c r="R299" i="1"/>
  <c r="S299" i="1" s="1"/>
  <c r="R1092" i="1"/>
  <c r="S1092" i="1" s="1"/>
  <c r="R1146" i="1"/>
  <c r="S1146" i="1" s="1"/>
  <c r="R567" i="1"/>
  <c r="S567" i="1" s="1"/>
  <c r="R39" i="1"/>
  <c r="S39" i="1" s="1"/>
  <c r="R193" i="1"/>
  <c r="S193" i="1" s="1"/>
  <c r="R215" i="1"/>
  <c r="S215" i="1" s="1"/>
  <c r="R412" i="1"/>
  <c r="S412" i="1" s="1"/>
  <c r="R577" i="1"/>
  <c r="S577" i="1" s="1"/>
  <c r="R580" i="1"/>
  <c r="S580" i="1" s="1"/>
  <c r="R260" i="1"/>
  <c r="S260" i="1" s="1"/>
  <c r="R265" i="1"/>
  <c r="S265" i="1" s="1"/>
  <c r="R300" i="1"/>
  <c r="S300" i="1" s="1"/>
  <c r="R323" i="1"/>
  <c r="S323" i="1" s="1"/>
  <c r="R392" i="1"/>
  <c r="S392" i="1" s="1"/>
  <c r="R543" i="1"/>
  <c r="S543" i="1" s="1"/>
  <c r="R545" i="1"/>
  <c r="S545" i="1" s="1"/>
  <c r="R858" i="1"/>
  <c r="S858" i="1" s="1"/>
  <c r="R875" i="1"/>
  <c r="S875" i="1" s="1"/>
  <c r="R1050" i="1"/>
  <c r="S1050" i="1" s="1"/>
  <c r="R1093" i="1"/>
  <c r="S1093" i="1" s="1"/>
  <c r="R1145" i="1"/>
  <c r="S1145" i="1" s="1"/>
  <c r="R357" i="1"/>
  <c r="S357" i="1" s="1"/>
  <c r="R544" i="1"/>
  <c r="S544" i="1" s="1"/>
  <c r="R669" i="1"/>
  <c r="S669" i="1" s="1"/>
  <c r="R745" i="1"/>
  <c r="S745" i="1" s="1"/>
  <c r="R865" i="1"/>
  <c r="S865" i="1" s="1"/>
  <c r="R876" i="1"/>
  <c r="S876" i="1" s="1"/>
  <c r="R880" i="1"/>
  <c r="S880" i="1" s="1"/>
  <c r="R908" i="1"/>
  <c r="S908" i="1" s="1"/>
  <c r="R1101" i="1"/>
  <c r="S1101" i="1" s="1"/>
  <c r="P204" i="1"/>
  <c r="R204" i="1" s="1"/>
  <c r="S204" i="1" s="1"/>
  <c r="R308" i="1"/>
  <c r="S308" i="1" s="1"/>
  <c r="P154" i="1"/>
  <c r="R154" i="1" s="1"/>
  <c r="S154" i="1" s="1"/>
  <c r="P350" i="1"/>
  <c r="R350" i="1" s="1"/>
  <c r="S350" i="1" s="1"/>
  <c r="R50" i="1"/>
  <c r="S50" i="1" s="1"/>
  <c r="P156" i="1"/>
  <c r="R156" i="1" s="1"/>
  <c r="S156" i="1" s="1"/>
  <c r="P159" i="1"/>
  <c r="R159" i="1" s="1"/>
  <c r="S159" i="1" s="1"/>
  <c r="R365" i="1"/>
  <c r="S365" i="1" s="1"/>
  <c r="R413" i="1"/>
  <c r="S413" i="1" s="1"/>
  <c r="P539" i="1"/>
  <c r="R539" i="1" s="1"/>
  <c r="S539" i="1" s="1"/>
  <c r="R632" i="1"/>
  <c r="S632" i="1" s="1"/>
  <c r="R367" i="1"/>
  <c r="S367" i="1" s="1"/>
  <c r="R608" i="1"/>
  <c r="S608" i="1" s="1"/>
  <c r="R717" i="1"/>
  <c r="S717" i="1" s="1"/>
  <c r="R716" i="1"/>
  <c r="S716" i="1" s="1"/>
  <c r="P847" i="1"/>
  <c r="R847" i="1" s="1"/>
  <c r="S847" i="1" s="1"/>
  <c r="R929" i="1"/>
  <c r="S929" i="1" s="1"/>
  <c r="R1054" i="1"/>
  <c r="S1054" i="1" s="1"/>
  <c r="R751" i="1"/>
  <c r="S751" i="1" s="1"/>
  <c r="R812" i="1"/>
  <c r="S812" i="1" s="1"/>
  <c r="R1205" i="1"/>
  <c r="S1205" i="1" s="1"/>
  <c r="R1138" i="1"/>
  <c r="S1138" i="1" s="1"/>
  <c r="P1195" i="1"/>
  <c r="R1195" i="1" s="1"/>
  <c r="S1195" i="1" s="1"/>
</calcChain>
</file>

<file path=xl/sharedStrings.xml><?xml version="1.0" encoding="utf-8"?>
<sst xmlns="http://schemas.openxmlformats.org/spreadsheetml/2006/main" count="8339" uniqueCount="1061">
  <si>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</si>
  <si>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</si>
  <si>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</si>
  <si>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</si>
  <si>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</si>
  <si>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</si>
  <si>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</si>
  <si>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</si>
  <si>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</si>
  <si>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</si>
  <si>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</si>
  <si>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</si>
  <si>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</si>
  <si>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</si>
  <si>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</si>
  <si>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</si>
  <si>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</si>
  <si>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</si>
  <si>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</si>
  <si>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</si>
  <si>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</si>
  <si>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</si>
  <si>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</si>
  <si>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</si>
  <si>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</si>
  <si>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</si>
  <si>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</si>
  <si>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</si>
  <si>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</si>
  <si>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</si>
  <si>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</si>
  <si>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</si>
  <si>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</si>
  <si>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</si>
  <si>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</si>
  <si>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</si>
  <si>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</si>
  <si>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</si>
  <si>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</si>
  <si>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</si>
  <si>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</si>
  <si>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</si>
  <si>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</si>
  <si>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</si>
  <si>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</si>
  <si>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</si>
  <si>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</si>
  <si>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</si>
  <si>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</si>
  <si>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</si>
  <si>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</si>
  <si>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</si>
  <si>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</si>
  <si>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</si>
  <si>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</si>
  <si>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</si>
  <si>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</si>
  <si>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</si>
  <si>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</si>
  <si>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</si>
  <si>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</si>
  <si>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</si>
  <si>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</si>
  <si>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</si>
  <si>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</si>
  <si>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</si>
  <si>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</si>
  <si>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</si>
  <si>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</si>
  <si>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</si>
  <si>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</si>
  <si>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</si>
  <si>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</si>
  <si>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</si>
  <si>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</si>
  <si>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</si>
  <si>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</si>
  <si>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</si>
  <si>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</si>
  <si>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</si>
  <si>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</si>
  <si>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</si>
  <si>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</si>
  <si>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</si>
  <si>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</si>
  <si>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</si>
  <si>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</si>
  <si>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</si>
  <si>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</si>
  <si>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</si>
  <si>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</si>
  <si>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</si>
  <si>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</si>
  <si>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</si>
  <si>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</si>
  <si>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</si>
  <si>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</si>
  <si>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</si>
  <si>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</si>
  <si>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</si>
  <si>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</si>
  <si>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</si>
  <si>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</si>
  <si>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</si>
  <si>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</si>
  <si>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</si>
  <si>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</si>
  <si>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</si>
  <si>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</si>
  <si>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</si>
  <si>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</si>
  <si>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</si>
  <si>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</si>
  <si>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</si>
  <si>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</si>
  <si>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</si>
  <si>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</si>
  <si>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</si>
  <si>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</si>
  <si>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</si>
  <si>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</si>
  <si>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</si>
  <si>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</si>
  <si>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</si>
  <si>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</si>
  <si>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</si>
  <si>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</si>
  <si>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</si>
  <si>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</si>
  <si>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</si>
  <si>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</si>
  <si>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</si>
  <si>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</si>
  <si>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</si>
  <si>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</si>
  <si>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</si>
  <si>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</si>
  <si>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</si>
  <si>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</si>
  <si>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</si>
  <si>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</si>
  <si>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</si>
  <si>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</si>
  <si>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</si>
  <si>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</si>
  <si>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</si>
  <si>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</si>
  <si>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</si>
  <si>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</si>
  <si>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</si>
  <si>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</si>
  <si>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</si>
  <si>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</si>
  <si>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</si>
  <si>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</si>
  <si>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</si>
  <si>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</si>
  <si>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</si>
  <si>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</si>
  <si>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</si>
  <si>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</si>
  <si>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</si>
  <si>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</si>
  <si>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</si>
  <si>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</si>
  <si>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</si>
  <si>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</si>
  <si>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</si>
  <si>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</si>
  <si>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</si>
  <si>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</si>
  <si>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</si>
  <si>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</si>
  <si>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</si>
  <si>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</si>
  <si>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</si>
  <si>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</si>
  <si>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</si>
  <si>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</si>
  <si>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</si>
  <si>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</si>
  <si>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</si>
  <si>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</si>
  <si>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</si>
  <si>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</si>
  <si>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</si>
  <si>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</si>
  <si>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</si>
  <si>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</si>
  <si>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</si>
  <si>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</si>
  <si>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</si>
  <si>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</si>
  <si>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</si>
  <si>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</si>
  <si>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</si>
  <si>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</si>
  <si>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</si>
  <si>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</si>
  <si>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</si>
  <si>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</si>
  <si>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</si>
  <si>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</si>
  <si>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</si>
  <si>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</si>
  <si>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</si>
  <si>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</si>
  <si>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</si>
  <si>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</si>
  <si>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</si>
  <si>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</si>
  <si>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</si>
  <si>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</si>
  <si>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</si>
  <si>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</si>
  <si>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</si>
  <si>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</si>
  <si>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</si>
  <si>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</si>
  <si>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</si>
  <si>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</si>
  <si>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</si>
  <si>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</si>
  <si>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</si>
  <si>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</si>
  <si>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</si>
  <si>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</si>
  <si>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</si>
  <si>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</si>
  <si>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</si>
  <si>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</si>
  <si>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</si>
  <si>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</si>
  <si>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</si>
  <si>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</si>
  <si>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</si>
  <si>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</si>
  <si>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</si>
  <si>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</si>
  <si>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</si>
  <si>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</si>
  <si>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</si>
  <si>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</si>
  <si>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</si>
  <si>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</si>
  <si>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</si>
  <si>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</si>
  <si>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</si>
  <si>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</si>
  <si>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</si>
  <si>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</si>
  <si>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</si>
  <si>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</si>
  <si>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</si>
  <si>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</si>
  <si>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</si>
  <si>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</si>
  <si>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</si>
  <si>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</si>
  <si>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</si>
  <si>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</si>
  <si>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</si>
  <si>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</si>
  <si>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</si>
  <si>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</si>
  <si>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</si>
  <si>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</si>
  <si>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</si>
  <si>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</si>
  <si>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</si>
  <si>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</si>
  <si>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</si>
  <si>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</si>
  <si>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</si>
  <si>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</si>
  <si>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</si>
  <si>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</si>
  <si>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</si>
  <si>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</si>
  <si>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</si>
  <si>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</si>
  <si>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</si>
  <si>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</si>
  <si>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</si>
  <si>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</si>
  <si>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</si>
  <si>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</si>
  <si>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</si>
  <si>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</si>
  <si>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</si>
  <si>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</si>
  <si>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</si>
  <si>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</si>
  <si>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</si>
  <si>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</si>
  <si>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</si>
  <si>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</si>
  <si>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</si>
  <si>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</si>
  <si>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</si>
  <si>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</si>
  <si>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</si>
  <si>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</si>
  <si>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</si>
  <si>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</si>
  <si>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</si>
  <si>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</si>
  <si>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</si>
  <si>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</si>
  <si>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</si>
  <si>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</si>
  <si>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</si>
  <si>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</si>
  <si>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</si>
  <si>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</si>
  <si>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</si>
  <si>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</si>
  <si>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</si>
  <si>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</si>
  <si>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</si>
  <si>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</si>
  <si>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</si>
  <si>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</si>
  <si>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</si>
  <si>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</si>
  <si>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</si>
  <si>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</si>
  <si>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</si>
  <si>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</si>
  <si>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</si>
  <si>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</si>
  <si>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</si>
  <si>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</si>
  <si>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</si>
  <si>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</si>
  <si>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</si>
  <si>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</si>
  <si>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</si>
  <si>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</si>
  <si>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</si>
  <si>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</si>
  <si>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</si>
  <si>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</si>
  <si>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</si>
  <si>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</si>
  <si>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</si>
  <si>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</si>
  <si>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</si>
  <si>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</si>
  <si>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</si>
  <si>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</si>
  <si>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</si>
  <si>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</si>
  <si>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</si>
  <si>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</si>
  <si>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</si>
  <si>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</si>
  <si>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</si>
  <si>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</si>
  <si>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</si>
  <si>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</si>
  <si>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</si>
  <si>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</si>
  <si>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</si>
  <si>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</si>
  <si>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</si>
  <si>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</si>
  <si>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</si>
  <si>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</si>
  <si>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</si>
  <si>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</si>
  <si>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</si>
  <si>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</si>
  <si>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</si>
  <si>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</si>
  <si>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</si>
  <si>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</si>
  <si>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</si>
  <si>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</si>
  <si>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</si>
  <si>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</si>
  <si>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</si>
  <si>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</si>
  <si>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</si>
  <si>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</si>
  <si>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</si>
  <si>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</si>
  <si>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</si>
  <si>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</si>
  <si>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</si>
  <si>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</si>
  <si>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</si>
  <si>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</si>
  <si>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</si>
  <si>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</si>
  <si>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</si>
  <si>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</si>
  <si>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</si>
  <si>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</si>
  <si>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</si>
  <si>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</si>
  <si>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</si>
  <si>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</si>
  <si>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</si>
  <si>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</si>
  <si>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</si>
  <si>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</si>
  <si>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</si>
  <si>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</si>
  <si>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</si>
  <si>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</si>
  <si>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</si>
  <si>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</si>
  <si>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</si>
  <si>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</si>
  <si>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</si>
  <si>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</si>
  <si>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</si>
  <si>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</si>
  <si>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</si>
  <si>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</si>
  <si>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</si>
  <si>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</si>
  <si>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</si>
  <si>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</si>
  <si>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</si>
  <si>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</si>
  <si>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</si>
  <si>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</si>
  <si>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</si>
  <si>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</si>
  <si>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</si>
  <si>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</si>
  <si>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</si>
  <si>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</si>
  <si>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</si>
  <si>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</si>
  <si>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</si>
  <si>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</si>
  <si>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</si>
  <si>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</si>
  <si>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</si>
  <si>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</si>
  <si>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</si>
  <si>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</si>
  <si>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</si>
  <si>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</si>
  <si>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</si>
  <si>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</si>
  <si>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</si>
  <si>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</si>
  <si>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</si>
  <si>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</si>
  <si>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</si>
  <si>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</si>
  <si>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</si>
  <si>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</si>
  <si>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</si>
  <si>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</si>
  <si>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</si>
  <si>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</si>
  <si>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</si>
  <si>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</si>
  <si>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</si>
  <si>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</si>
  <si>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</si>
  <si>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</si>
  <si>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</si>
  <si>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</si>
  <si>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</si>
  <si>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</si>
  <si>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</si>
  <si>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</si>
  <si>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</si>
  <si>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</si>
  <si>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</si>
  <si>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</si>
  <si>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</si>
  <si>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</si>
  <si>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</si>
  <si>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</si>
  <si>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</si>
  <si>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</si>
  <si>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</si>
  <si>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</si>
  <si>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</si>
  <si>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</si>
  <si>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</si>
  <si>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</si>
  <si>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</si>
  <si>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</si>
  <si>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</si>
  <si>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</si>
  <si>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</si>
  <si>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</si>
  <si>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</si>
  <si>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</si>
  <si>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</si>
  <si>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</si>
  <si>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</si>
  <si>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</si>
  <si>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</si>
  <si>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</si>
  <si>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</si>
  <si>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</si>
  <si>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</si>
  <si>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</si>
  <si>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</si>
  <si>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</si>
  <si>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</si>
  <si>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</si>
  <si>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</si>
  <si>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</si>
  <si>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</si>
  <si>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</si>
  <si>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</si>
  <si>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</si>
  <si>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</si>
  <si>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</si>
  <si>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</si>
  <si>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</si>
  <si>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</si>
  <si>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</si>
  <si>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</si>
  <si>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</si>
  <si>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</si>
  <si>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</si>
  <si>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</si>
  <si>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</si>
  <si>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</si>
  <si>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</si>
  <si>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</si>
  <si>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</si>
  <si>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</si>
  <si>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</si>
  <si>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</si>
  <si>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</si>
  <si>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</si>
  <si>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</si>
  <si>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</si>
  <si>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</si>
  <si>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</si>
  <si>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</si>
  <si>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</si>
  <si>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</si>
  <si>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</si>
  <si>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</si>
  <si>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</si>
  <si>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</si>
  <si>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</si>
  <si>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</si>
  <si>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</si>
  <si>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</si>
  <si>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</si>
  <si>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</si>
  <si>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</si>
  <si>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</si>
  <si>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</si>
  <si>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</si>
  <si>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</si>
  <si>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</si>
  <si>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</si>
  <si>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</si>
  <si>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</si>
  <si>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</si>
  <si>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</si>
  <si>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</si>
  <si>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</si>
  <si>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</si>
  <si>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</si>
  <si>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</si>
  <si>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</si>
  <si>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</si>
  <si>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</si>
  <si>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</si>
  <si>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</si>
  <si>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</si>
  <si>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</si>
  <si>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</si>
  <si>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</si>
  <si>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</si>
  <si>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</si>
  <si>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</si>
  <si>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</si>
  <si>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</si>
  <si>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</si>
  <si>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</si>
  <si>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</si>
  <si>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</si>
  <si>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</si>
  <si>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</si>
  <si>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</si>
  <si>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</si>
  <si>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</si>
  <si>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</si>
  <si>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</si>
  <si>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</si>
  <si>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</si>
  <si>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</si>
  <si>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</si>
  <si>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</si>
  <si>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</si>
  <si>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</si>
  <si>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</si>
  <si>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</si>
  <si>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</si>
  <si>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</si>
  <si>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</si>
  <si>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</si>
  <si>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</si>
  <si>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</si>
  <si>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</si>
  <si>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</si>
  <si>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</si>
  <si>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</si>
  <si>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</si>
  <si>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</si>
  <si>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</si>
  <si>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</si>
  <si>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</si>
  <si>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</si>
  <si>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</si>
  <si>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</si>
  <si>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</si>
  <si>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</si>
  <si>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</si>
  <si>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</si>
  <si>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</si>
  <si>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</si>
  <si>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</si>
  <si>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</si>
  <si>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</si>
  <si>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</si>
  <si>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</si>
  <si>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</si>
  <si>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</si>
  <si>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</si>
  <si>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</si>
  <si>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</si>
  <si>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</si>
  <si>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</si>
  <si>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</si>
  <si>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</si>
  <si>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</si>
  <si>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</si>
  <si>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</si>
  <si>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</si>
  <si>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</si>
  <si>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</si>
  <si>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</si>
  <si>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</si>
  <si>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</si>
  <si>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</si>
  <si>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</si>
  <si>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</si>
  <si>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</si>
  <si>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</si>
  <si>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</si>
  <si>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</si>
  <si>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</si>
  <si>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</si>
  <si>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</si>
  <si>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</si>
  <si>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</si>
  <si>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</si>
  <si>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</si>
  <si>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</si>
  <si>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</si>
  <si>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</si>
  <si>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</si>
  <si>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</si>
  <si>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</si>
  <si>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</si>
  <si>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</si>
  <si>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</si>
  <si>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</si>
  <si>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</si>
  <si>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</si>
  <si>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</si>
  <si>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</si>
  <si>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</si>
  <si>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</si>
  <si>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</si>
  <si>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</si>
  <si>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</si>
  <si>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</si>
  <si>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</si>
  <si>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</si>
  <si>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</si>
  <si>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</si>
  <si>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</si>
  <si>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</si>
  <si>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</si>
  <si>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</si>
  <si>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</si>
  <si>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</si>
  <si>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</si>
  <si>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</si>
  <si>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</si>
  <si>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</si>
  <si>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</si>
  <si>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</si>
  <si>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</si>
  <si>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</si>
  <si>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</si>
  <si>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</si>
  <si>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</si>
  <si>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</si>
  <si>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</si>
  <si>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</si>
  <si>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</si>
  <si>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</si>
  <si>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</si>
  <si>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</si>
  <si>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</si>
  <si>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</si>
  <si>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</si>
  <si>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</si>
  <si>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</si>
  <si>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</si>
  <si>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</si>
  <si>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</si>
  <si>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</si>
  <si>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</si>
  <si>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</si>
  <si>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</si>
  <si>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</si>
  <si>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</si>
  <si>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</si>
  <si>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</si>
  <si>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</si>
  <si>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</si>
  <si>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</si>
  <si>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</si>
  <si>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</si>
  <si>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</si>
  <si>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</si>
  <si>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</si>
  <si>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</si>
  <si>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</si>
  <si>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</si>
  <si>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</si>
  <si>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</si>
  <si>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</si>
  <si>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</si>
  <si>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</si>
  <si>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</si>
  <si>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</si>
  <si>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</si>
  <si>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</si>
  <si>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</si>
  <si>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</si>
  <si>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</si>
  <si>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</si>
  <si>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</si>
  <si>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</si>
  <si>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</si>
  <si>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</si>
  <si>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</si>
  <si>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</si>
  <si>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</si>
  <si>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</si>
  <si>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</si>
  <si>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</si>
  <si>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</si>
  <si>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</si>
  <si>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</si>
  <si>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</si>
  <si>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</si>
  <si>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</si>
  <si>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</si>
  <si>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</si>
  <si>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</si>
  <si>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</si>
  <si>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</si>
  <si>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</si>
  <si>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</si>
  <si>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</si>
  <si>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</si>
  <si>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</si>
  <si>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</si>
  <si>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</si>
  <si>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</si>
  <si>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</si>
  <si>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</si>
  <si>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</si>
  <si>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</si>
  <si>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</si>
  <si>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</si>
  <si>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</si>
  <si>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</si>
  <si>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</si>
  <si>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</si>
  <si>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</si>
  <si>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</si>
  <si>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</si>
  <si>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</si>
  <si>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</si>
  <si>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</si>
  <si>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</si>
  <si>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</si>
  <si>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</si>
  <si>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</si>
  <si>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</si>
  <si>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</si>
  <si>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</si>
  <si>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</si>
  <si>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</si>
  <si>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</si>
  <si>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</si>
  <si>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</si>
  <si>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</si>
  <si>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</si>
  <si>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</si>
  <si>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</si>
  <si>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</si>
  <si>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</si>
  <si>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</si>
  <si>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</si>
  <si>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</si>
  <si>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</si>
  <si>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</si>
  <si>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</si>
  <si>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</si>
  <si>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</si>
  <si>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</si>
  <si>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</si>
  <si>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</si>
  <si>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</si>
  <si>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</si>
  <si>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</si>
  <si>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</si>
  <si>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</si>
  <si>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</si>
  <si>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</si>
  <si>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</si>
  <si>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</si>
  <si>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</si>
  <si>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</si>
  <si>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</si>
  <si>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</si>
  <si>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</si>
  <si>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</si>
  <si>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</si>
  <si>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</si>
  <si>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</si>
  <si>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</si>
  <si>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</si>
  <si>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</si>
  <si>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</si>
  <si>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</si>
  <si>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</si>
  <si>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</si>
  <si>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</si>
  <si>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</si>
  <si>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</si>
  <si>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</si>
  <si>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</si>
  <si>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</si>
  <si>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</si>
  <si>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</si>
  <si>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</si>
  <si>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</si>
  <si>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</si>
  <si>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</si>
  <si>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</si>
  <si>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</si>
  <si>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</si>
  <si>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</si>
  <si>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</si>
  <si>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</si>
  <si>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</si>
  <si>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</si>
  <si>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</si>
  <si>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</si>
  <si>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</si>
  <si>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</si>
  <si>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</si>
  <si>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</si>
  <si>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</si>
  <si>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</si>
  <si>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</si>
  <si>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</si>
  <si>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</si>
  <si>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</si>
  <si>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</si>
  <si>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</si>
  <si>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</si>
  <si>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</si>
  <si>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</si>
  <si>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</si>
  <si>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</si>
  <si>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</si>
  <si>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</si>
  <si>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</si>
  <si>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</si>
  <si>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</si>
  <si>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</si>
  <si>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</si>
  <si>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</si>
  <si>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</si>
  <si>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</si>
  <si>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</si>
  <si>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</si>
  <si>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</si>
  <si>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</si>
  <si>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</si>
  <si>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</si>
  <si>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</si>
  <si>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</si>
  <si>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</si>
  <si>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</si>
  <si>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</si>
  <si>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</si>
  <si>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</si>
  <si>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</si>
  <si>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</si>
  <si>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</si>
  <si>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</si>
  <si>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</si>
  <si>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</si>
  <si>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</si>
  <si>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</si>
  <si>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</si>
  <si>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</si>
  <si>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</si>
  <si>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</si>
  <si>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</si>
  <si>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</si>
  <si>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</si>
  <si>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</si>
  <si>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</si>
  <si>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</si>
  <si>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</si>
  <si>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</si>
  <si>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</si>
  <si>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</si>
  <si>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</si>
  <si>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</si>
  <si>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</si>
  <si>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</si>
  <si>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</si>
  <si>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</si>
  <si>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</si>
  <si>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</si>
  <si>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</si>
  <si>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</si>
  <si>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</si>
  <si>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</si>
  <si>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</si>
  <si>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</si>
  <si>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</si>
  <si>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</si>
  <si>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</si>
  <si>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</si>
  <si>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</si>
  <si>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</si>
  <si>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</si>
  <si>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</si>
  <si>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</si>
  <si>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</si>
  <si>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</si>
  <si>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</si>
  <si>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</si>
  <si>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</si>
  <si>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</si>
  <si>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</si>
  <si>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</si>
  <si>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</si>
  <si>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</si>
  <si>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</si>
  <si>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</si>
  <si>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</si>
  <si>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</si>
  <si>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</si>
  <si>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</si>
  <si>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</si>
  <si>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</si>
  <si>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</si>
  <si>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</si>
  <si>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</si>
  <si>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</si>
  <si>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</si>
  <si>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</si>
  <si>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</si>
  <si>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</si>
  <si>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</si>
  <si>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</si>
  <si>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</si>
  <si>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</si>
  <si>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</si>
  <si>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</si>
  <si>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</si>
  <si>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</si>
  <si>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</si>
  <si>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</si>
  <si>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</si>
  <si>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</si>
  <si>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</si>
  <si>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</si>
  <si>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</si>
  <si>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</si>
  <si>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</si>
  <si>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</si>
  <si>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</si>
  <si>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</si>
  <si>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</si>
  <si>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</si>
  <si>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</si>
  <si>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</si>
  <si>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</si>
  <si>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</si>
  <si>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</si>
  <si>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</si>
  <si>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</si>
  <si>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</si>
  <si>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</si>
  <si>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BUKU KANCING 32K1008-21 (A5)</t>
  </si>
  <si>
    <t>BUKU KANCING 32K1008-22 (A5)</t>
  </si>
  <si>
    <t>BUKU KANCING</t>
  </si>
  <si>
    <t>BUKU SPIRAL</t>
  </si>
  <si>
    <t>BUKU SPIRAL 016-19 (80L) (A5) PVC</t>
  </si>
  <si>
    <t>BUKU SPIRAL 016-20 (80L) (A5)</t>
  </si>
  <si>
    <t>BUKU SPIRAL 016-21 (80L) (A5) PVC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</si>
  <si>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</si>
  <si>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</si>
  <si>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</si>
  <si>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</si>
  <si>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</si>
  <si>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</si>
  <si>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</si>
  <si>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</si>
  <si>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</si>
  <si>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</si>
  <si>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</si>
  <si>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</si>
  <si>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</si>
  <si>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</si>
  <si>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</si>
  <si>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</si>
  <si>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</si>
  <si>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</si>
  <si>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</si>
  <si>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</si>
  <si>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</si>
  <si>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</si>
  <si>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</si>
  <si>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</si>
  <si>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</si>
  <si>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MECHANICAL PENCIL 2.0 MM TIZO TM-030-H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</si>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</sst>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name val="Cambria"/>
      <family val="1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5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3" fillId="0" borderId="0" xfId="1" applyNumberFormat="1" applyFont="1" applyFill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5" fillId="0" borderId="0" xfId="0" applyFont="1"/>
    <xf numFmtId="166" fontId="10" fillId="0" borderId="0" xfId="0" applyNumberFormat="1" applyFont="1" applyFill="1" applyAlignment="1"/>
    <xf numFmtId="0" fontId="15" fillId="0" borderId="0" xfId="0" applyFont="1" applyFill="1" applyBorder="1"/>
    <xf numFmtId="3" fontId="15" fillId="0" borderId="0" xfId="0" applyNumberFormat="1" applyFont="1"/>
    <xf numFmtId="0" fontId="15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5" fillId="0" borderId="0" xfId="0" applyNumberFormat="1" applyFont="1" applyAlignment="1"/>
    <xf numFmtId="0" fontId="15" fillId="0" borderId="0" xfId="0" applyFont="1" applyAlignment="1"/>
    <xf numFmtId="4" fontId="15" fillId="0" borderId="0" xfId="0" applyNumberFormat="1" applyFont="1"/>
    <xf numFmtId="10" fontId="15" fillId="0" borderId="0" xfId="0" applyNumberFormat="1" applyFont="1" applyAlignment="1">
      <alignment horizontal="center"/>
    </xf>
    <xf numFmtId="0" fontId="15" fillId="0" borderId="0" xfId="0" applyFont="1" applyFill="1"/>
    <xf numFmtId="3" fontId="15" fillId="0" borderId="0" xfId="0" applyNumberFormat="1" applyFont="1" applyFill="1"/>
    <xf numFmtId="0" fontId="15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/>
    <xf numFmtId="0" fontId="15" fillId="0" borderId="0" xfId="0" applyFont="1" applyFill="1" applyAlignment="1"/>
    <xf numFmtId="4" fontId="15" fillId="0" borderId="0" xfId="0" applyNumberFormat="1" applyFont="1" applyFill="1"/>
    <xf numFmtId="10" fontId="15" fillId="0" borderId="0" xfId="0" applyNumberFormat="1" applyFont="1" applyFill="1" applyAlignment="1">
      <alignment horizontal="center"/>
    </xf>
    <xf numFmtId="166" fontId="15" fillId="0" borderId="0" xfId="0" applyNumberFormat="1" applyFont="1" applyFill="1" applyAlignment="1"/>
    <xf numFmtId="0" fontId="15" fillId="0" borderId="0" xfId="0" applyFont="1" applyBorder="1"/>
    <xf numFmtId="0" fontId="15" fillId="3" borderId="0" xfId="0" applyFont="1" applyFill="1" applyBorder="1"/>
    <xf numFmtId="4" fontId="15" fillId="3" borderId="0" xfId="0" applyNumberFormat="1" applyFont="1" applyFill="1"/>
    <xf numFmtId="10" fontId="15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4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5" fillId="0" borderId="0" xfId="2" applyFont="1" applyFill="1" applyBorder="1"/>
    <xf numFmtId="0" fontId="15" fillId="0" borderId="9" xfId="0" applyFont="1" applyFill="1" applyBorder="1" applyAlignment="1"/>
    <xf numFmtId="0" fontId="15" fillId="0" borderId="0" xfId="2" applyFont="1" applyFill="1" applyBorder="1" applyAlignment="1">
      <alignment horizontal="left"/>
    </xf>
    <xf numFmtId="0" fontId="15" fillId="0" borderId="9" xfId="2" applyFont="1" applyFill="1" applyBorder="1"/>
    <xf numFmtId="0" fontId="15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5" fillId="4" borderId="0" xfId="0" applyFont="1" applyFill="1" applyBorder="1"/>
    <xf numFmtId="10" fontId="15" fillId="4" borderId="0" xfId="0" applyNumberFormat="1" applyFont="1" applyFill="1" applyAlignment="1">
      <alignment horizontal="center"/>
    </xf>
    <xf numFmtId="4" fontId="15" fillId="4" borderId="0" xfId="0" applyNumberFormat="1" applyFont="1" applyFill="1"/>
    <xf numFmtId="4" fontId="3" fillId="4" borderId="0" xfId="0" applyNumberFormat="1" applyFont="1" applyFill="1"/>
    <xf numFmtId="0" fontId="15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5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/>
    <xf numFmtId="0" fontId="15" fillId="0" borderId="0" xfId="0" applyFont="1" applyBorder="1" applyAlignment="1"/>
    <xf numFmtId="4" fontId="15" fillId="0" borderId="0" xfId="0" applyNumberFormat="1" applyFont="1" applyBorder="1"/>
    <xf numFmtId="10" fontId="15" fillId="0" borderId="0" xfId="0" applyNumberFormat="1" applyFont="1" applyBorder="1" applyAlignment="1">
      <alignment horizontal="center"/>
    </xf>
    <xf numFmtId="0" fontId="15" fillId="6" borderId="0" xfId="0" applyFont="1" applyFill="1" applyBorder="1"/>
    <xf numFmtId="0" fontId="3" fillId="6" borderId="0" xfId="0" applyFont="1" applyFill="1" applyBorder="1"/>
    <xf numFmtId="0" fontId="3" fillId="6" borderId="0" xfId="2" applyFont="1" applyFill="1" applyBorder="1"/>
    <xf numFmtId="3" fontId="17" fillId="0" borderId="0" xfId="0" quotePrefix="1" applyNumberFormat="1" applyFont="1" applyFill="1"/>
    <xf numFmtId="0" fontId="3" fillId="6" borderId="0" xfId="0" applyFont="1" applyFill="1" applyBorder="1" applyAlignment="1"/>
    <xf numFmtId="0" fontId="3" fillId="6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3" borderId="0" xfId="2" applyFont="1" applyFill="1" applyBorder="1"/>
    <xf numFmtId="4" fontId="3" fillId="3" borderId="0" xfId="0" applyNumberFormat="1" applyFont="1" applyFill="1" applyBorder="1"/>
    <xf numFmtId="3" fontId="15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/>
    <xf numFmtId="4" fontId="15" fillId="0" borderId="0" xfId="0" applyNumberFormat="1" applyFont="1" applyFill="1" applyBorder="1"/>
    <xf numFmtId="10" fontId="15" fillId="0" borderId="0" xfId="0" applyNumberFormat="1" applyFont="1" applyFill="1" applyBorder="1" applyAlignment="1">
      <alignment horizontal="center"/>
    </xf>
    <xf numFmtId="0" fontId="15" fillId="6" borderId="0" xfId="2" applyFont="1" applyFill="1" applyBorder="1"/>
    <xf numFmtId="0" fontId="15" fillId="6" borderId="9" xfId="2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8"/>
  <sheetViews>
    <sheetView tabSelected="1" zoomScaleNormal="100" workbookViewId="0">
      <pane xSplit="1" ySplit="3" topLeftCell="B755" activePane="bottomRight" state="frozen"/>
      <selection pane="topRight" activeCell="B1" sqref="B1"/>
      <selection pane="bottomLeft" activeCell="A4" sqref="A4"/>
      <selection pane="bottomRight" activeCell="A647" sqref="A647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802</v>
      </c>
    </row>
    <row r="2" spans="1:19" s="10" customFormat="1">
      <c r="A2" s="183" t="s">
        <v>0</v>
      </c>
      <c r="B2" s="182" t="s">
        <v>1</v>
      </c>
      <c r="C2" s="177" t="s">
        <v>2</v>
      </c>
      <c r="D2" s="177"/>
      <c r="E2" s="184" t="s">
        <v>647</v>
      </c>
      <c r="F2" s="179" t="s">
        <v>3</v>
      </c>
      <c r="G2" s="179"/>
      <c r="H2" s="179"/>
      <c r="I2" s="179"/>
      <c r="J2" s="180" t="s">
        <v>4</v>
      </c>
      <c r="K2" s="181"/>
      <c r="L2" s="181"/>
      <c r="M2" s="182"/>
      <c r="N2" s="173" t="s">
        <v>5</v>
      </c>
      <c r="O2" s="174"/>
      <c r="P2" s="177" t="s">
        <v>6</v>
      </c>
      <c r="Q2" s="177"/>
      <c r="R2" s="178" t="s">
        <v>7</v>
      </c>
      <c r="S2" s="178" t="s">
        <v>8</v>
      </c>
    </row>
    <row r="3" spans="1:19" s="10" customFormat="1">
      <c r="A3" s="183"/>
      <c r="B3" s="182"/>
      <c r="C3" s="177"/>
      <c r="D3" s="177"/>
      <c r="E3" s="184"/>
      <c r="F3" s="179" t="s">
        <v>9</v>
      </c>
      <c r="G3" s="179"/>
      <c r="H3" s="179" t="s">
        <v>10</v>
      </c>
      <c r="I3" s="179"/>
      <c r="J3" s="11" t="s">
        <v>11</v>
      </c>
      <c r="K3" s="12" t="s">
        <v>12</v>
      </c>
      <c r="L3" s="13" t="s">
        <v>13</v>
      </c>
      <c r="M3" s="13" t="s">
        <v>14</v>
      </c>
      <c r="N3" s="175"/>
      <c r="O3" s="176"/>
      <c r="P3" s="177"/>
      <c r="Q3" s="177"/>
      <c r="R3" s="178"/>
      <c r="S3" s="178"/>
    </row>
    <row r="4" spans="1:19" ht="15.75">
      <c r="A4" s="14" t="s">
        <v>15</v>
      </c>
    </row>
    <row r="5" spans="1:19">
      <c r="A5" s="15" t="s">
        <v>16</v>
      </c>
    </row>
    <row r="6" spans="1:19" s="67" customFormat="1">
      <c r="A6" s="66" t="s">
        <v>17</v>
      </c>
      <c r="B6" s="67" t="s">
        <v>18</v>
      </c>
      <c r="C6" s="68"/>
      <c r="D6" s="69" t="s">
        <v>19</v>
      </c>
      <c r="E6" s="70"/>
      <c r="F6" s="71">
        <v>1</v>
      </c>
      <c r="G6" s="72" t="s">
        <v>20</v>
      </c>
      <c r="H6" s="71">
        <v>60</v>
      </c>
      <c r="I6" s="72" t="s">
        <v>19</v>
      </c>
      <c r="J6" s="16">
        <v>45500</v>
      </c>
      <c r="K6" s="69" t="s">
        <v>19</v>
      </c>
      <c r="L6" s="73">
        <v>0.125</v>
      </c>
      <c r="M6" s="73">
        <v>0.05</v>
      </c>
      <c r="N6" s="71"/>
      <c r="O6" s="72" t="s">
        <v>19</v>
      </c>
      <c r="P6" s="68">
        <f t="shared" ref="P6:P11" si="0">(C6+(E6*F6*H6))-N6</f>
        <v>0</v>
      </c>
      <c r="Q6" s="72" t="s">
        <v>19</v>
      </c>
      <c r="R6" s="16">
        <f t="shared" ref="R6:R11" si="1">P6*(J6-(J6*L6)-((J6-(J6*L6))*M6))</f>
        <v>0</v>
      </c>
      <c r="S6" s="16">
        <f>R6/1.11</f>
        <v>0</v>
      </c>
    </row>
    <row r="7" spans="1:19" s="83" customFormat="1">
      <c r="A7" s="155" t="s">
        <v>1044</v>
      </c>
      <c r="B7" s="83" t="s">
        <v>18</v>
      </c>
      <c r="C7" s="86"/>
      <c r="D7" s="87" t="s">
        <v>19</v>
      </c>
      <c r="E7" s="88"/>
      <c r="F7" s="89">
        <v>1</v>
      </c>
      <c r="G7" s="90" t="s">
        <v>20</v>
      </c>
      <c r="H7" s="89">
        <v>60</v>
      </c>
      <c r="I7" s="90" t="s">
        <v>19</v>
      </c>
      <c r="J7" s="91">
        <v>60000</v>
      </c>
      <c r="K7" s="87" t="s">
        <v>19</v>
      </c>
      <c r="L7" s="92">
        <v>0.125</v>
      </c>
      <c r="M7" s="92">
        <v>0.05</v>
      </c>
      <c r="N7" s="89"/>
      <c r="O7" s="90" t="s">
        <v>19</v>
      </c>
      <c r="P7" s="86">
        <f t="shared" si="0"/>
        <v>0</v>
      </c>
      <c r="Q7" s="90" t="s">
        <v>19</v>
      </c>
      <c r="R7" s="91">
        <f t="shared" si="1"/>
        <v>0</v>
      </c>
      <c r="S7" s="91">
        <f>R7/1.11</f>
        <v>0</v>
      </c>
    </row>
    <row r="8" spans="1:19" s="67" customFormat="1">
      <c r="A8" s="66" t="s">
        <v>731</v>
      </c>
      <c r="B8" s="67" t="s">
        <v>18</v>
      </c>
      <c r="C8" s="68"/>
      <c r="D8" s="69" t="s">
        <v>19</v>
      </c>
      <c r="E8" s="70"/>
      <c r="F8" s="71">
        <v>1</v>
      </c>
      <c r="G8" s="72" t="s">
        <v>20</v>
      </c>
      <c r="H8" s="71">
        <v>48</v>
      </c>
      <c r="I8" s="72" t="s">
        <v>19</v>
      </c>
      <c r="J8" s="16">
        <v>26000</v>
      </c>
      <c r="K8" s="69" t="s">
        <v>19</v>
      </c>
      <c r="L8" s="73">
        <v>0.125</v>
      </c>
      <c r="M8" s="73">
        <v>0.05</v>
      </c>
      <c r="N8" s="71"/>
      <c r="O8" s="72" t="s">
        <v>19</v>
      </c>
      <c r="P8" s="68">
        <f t="shared" si="0"/>
        <v>0</v>
      </c>
      <c r="Q8" s="72" t="s">
        <v>19</v>
      </c>
      <c r="R8" s="16">
        <f t="shared" si="1"/>
        <v>0</v>
      </c>
      <c r="S8" s="16">
        <f t="shared" ref="S8:S141" si="2">R8/1.11</f>
        <v>0</v>
      </c>
    </row>
    <row r="9" spans="1:19" s="67" customFormat="1">
      <c r="A9" s="66" t="s">
        <v>21</v>
      </c>
      <c r="B9" s="67" t="s">
        <v>18</v>
      </c>
      <c r="C9" s="68"/>
      <c r="D9" s="69" t="s">
        <v>19</v>
      </c>
      <c r="E9" s="70"/>
      <c r="F9" s="71">
        <v>1</v>
      </c>
      <c r="G9" s="72" t="s">
        <v>20</v>
      </c>
      <c r="H9" s="71">
        <v>48</v>
      </c>
      <c r="I9" s="72" t="s">
        <v>19</v>
      </c>
      <c r="J9" s="16">
        <v>28000</v>
      </c>
      <c r="K9" s="69" t="s">
        <v>19</v>
      </c>
      <c r="L9" s="73">
        <v>0.125</v>
      </c>
      <c r="M9" s="73">
        <v>0.05</v>
      </c>
      <c r="N9" s="71"/>
      <c r="O9" s="72" t="s">
        <v>19</v>
      </c>
      <c r="P9" s="68">
        <f t="shared" si="0"/>
        <v>0</v>
      </c>
      <c r="Q9" s="72" t="s">
        <v>19</v>
      </c>
      <c r="R9" s="16">
        <f t="shared" si="1"/>
        <v>0</v>
      </c>
      <c r="S9" s="16">
        <f t="shared" si="2"/>
        <v>0</v>
      </c>
    </row>
    <row r="10" spans="1:19" s="67" customFormat="1">
      <c r="A10" s="66" t="s">
        <v>22</v>
      </c>
      <c r="B10" s="67" t="s">
        <v>18</v>
      </c>
      <c r="C10" s="68"/>
      <c r="D10" s="69" t="s">
        <v>19</v>
      </c>
      <c r="E10" s="70"/>
      <c r="F10" s="71">
        <v>1</v>
      </c>
      <c r="G10" s="72" t="s">
        <v>20</v>
      </c>
      <c r="H10" s="71">
        <v>48</v>
      </c>
      <c r="I10" s="72" t="s">
        <v>19</v>
      </c>
      <c r="J10" s="16">
        <v>31700</v>
      </c>
      <c r="K10" s="69" t="s">
        <v>19</v>
      </c>
      <c r="L10" s="73">
        <v>0.125</v>
      </c>
      <c r="M10" s="73">
        <v>0.05</v>
      </c>
      <c r="N10" s="71"/>
      <c r="O10" s="72" t="s">
        <v>19</v>
      </c>
      <c r="P10" s="68">
        <f t="shared" si="0"/>
        <v>0</v>
      </c>
      <c r="Q10" s="72" t="s">
        <v>19</v>
      </c>
      <c r="R10" s="16">
        <f t="shared" si="1"/>
        <v>0</v>
      </c>
      <c r="S10" s="16">
        <f t="shared" si="2"/>
        <v>0</v>
      </c>
    </row>
    <row r="11" spans="1:19" s="67" customFormat="1">
      <c r="A11" s="66" t="s">
        <v>23</v>
      </c>
      <c r="B11" s="67" t="s">
        <v>18</v>
      </c>
      <c r="C11" s="68"/>
      <c r="D11" s="69" t="s">
        <v>19</v>
      </c>
      <c r="E11" s="70"/>
      <c r="F11" s="71">
        <v>1</v>
      </c>
      <c r="G11" s="72" t="s">
        <v>20</v>
      </c>
      <c r="H11" s="71">
        <v>48</v>
      </c>
      <c r="I11" s="72" t="s">
        <v>19</v>
      </c>
      <c r="J11" s="16">
        <v>25000</v>
      </c>
      <c r="K11" s="69" t="s">
        <v>19</v>
      </c>
      <c r="L11" s="73">
        <v>0.125</v>
      </c>
      <c r="M11" s="73">
        <v>0.05</v>
      </c>
      <c r="N11" s="71"/>
      <c r="O11" s="72" t="s">
        <v>19</v>
      </c>
      <c r="P11" s="68">
        <f t="shared" si="0"/>
        <v>0</v>
      </c>
      <c r="Q11" s="72" t="s">
        <v>19</v>
      </c>
      <c r="R11" s="16">
        <f t="shared" si="1"/>
        <v>0</v>
      </c>
      <c r="S11" s="16">
        <f t="shared" si="2"/>
        <v>0</v>
      </c>
    </row>
    <row r="12" spans="1:19">
      <c r="A12" s="17" t="s">
        <v>945</v>
      </c>
      <c r="B12" s="83" t="s">
        <v>18</v>
      </c>
      <c r="D12" s="87" t="s">
        <v>19</v>
      </c>
      <c r="E12" s="88">
        <v>1</v>
      </c>
      <c r="F12" s="89">
        <v>1</v>
      </c>
      <c r="G12" s="90" t="s">
        <v>20</v>
      </c>
      <c r="H12" s="89">
        <v>48</v>
      </c>
      <c r="I12" s="90" t="s">
        <v>19</v>
      </c>
      <c r="J12" s="91">
        <v>27500</v>
      </c>
      <c r="K12" s="87" t="s">
        <v>19</v>
      </c>
      <c r="L12" s="92">
        <v>0.125</v>
      </c>
      <c r="M12" s="92">
        <v>0.05</v>
      </c>
      <c r="N12" s="89"/>
      <c r="O12" s="90" t="s">
        <v>19</v>
      </c>
      <c r="P12" s="86">
        <f t="shared" ref="P12:P15" si="3">(C12+(E12*F12*H12))-N12</f>
        <v>48</v>
      </c>
      <c r="Q12" s="90" t="s">
        <v>19</v>
      </c>
      <c r="R12" s="91">
        <f t="shared" ref="R12:R15" si="4">P12*(J12-(J12*L12)-((J12-(J12*L12))*M12))</f>
        <v>1097250</v>
      </c>
      <c r="S12" s="91">
        <f t="shared" ref="S12:S15" si="5">R12/1.11</f>
        <v>988513.51351351338</v>
      </c>
    </row>
    <row r="13" spans="1:19">
      <c r="A13" s="17" t="s">
        <v>946</v>
      </c>
      <c r="B13" s="83" t="s">
        <v>18</v>
      </c>
      <c r="D13" s="87" t="s">
        <v>19</v>
      </c>
      <c r="E13" s="88">
        <v>1</v>
      </c>
      <c r="F13" s="89">
        <v>1</v>
      </c>
      <c r="G13" s="90" t="s">
        <v>20</v>
      </c>
      <c r="H13" s="89">
        <v>48</v>
      </c>
      <c r="I13" s="90" t="s">
        <v>19</v>
      </c>
      <c r="J13" s="91">
        <v>26600</v>
      </c>
      <c r="K13" s="87" t="s">
        <v>19</v>
      </c>
      <c r="L13" s="92">
        <v>0.125</v>
      </c>
      <c r="M13" s="92">
        <v>0.05</v>
      </c>
      <c r="N13" s="89"/>
      <c r="O13" s="90" t="s">
        <v>19</v>
      </c>
      <c r="P13" s="86">
        <f t="shared" si="3"/>
        <v>48</v>
      </c>
      <c r="Q13" s="90" t="s">
        <v>19</v>
      </c>
      <c r="R13" s="91">
        <f t="shared" si="4"/>
        <v>1061340</v>
      </c>
      <c r="S13" s="91">
        <f t="shared" si="5"/>
        <v>956162.16216216213</v>
      </c>
    </row>
    <row r="14" spans="1:19">
      <c r="A14" s="17" t="s">
        <v>1014</v>
      </c>
      <c r="B14" s="2" t="s">
        <v>18</v>
      </c>
      <c r="D14" s="4" t="s">
        <v>19</v>
      </c>
      <c r="E14" s="5">
        <v>1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L14" s="9">
        <v>0.125</v>
      </c>
      <c r="M14" s="9">
        <v>0.05</v>
      </c>
      <c r="O14" s="7" t="s">
        <v>19</v>
      </c>
      <c r="P14" s="3">
        <f t="shared" ref="P14" si="6">(C14+(E14*F14*H14))-N14</f>
        <v>60</v>
      </c>
      <c r="Q14" s="7" t="s">
        <v>19</v>
      </c>
      <c r="R14" s="8">
        <f t="shared" ref="R14" si="7">P14*(J14-(J14*L14)-((J14-(J14*L14))*M14))</f>
        <v>1371562.5</v>
      </c>
      <c r="S14" s="8">
        <f t="shared" ref="S14" si="8">R14/1.11</f>
        <v>1235641.8918918918</v>
      </c>
    </row>
    <row r="15" spans="1:19">
      <c r="A15" s="17" t="s">
        <v>947</v>
      </c>
      <c r="B15" s="83" t="s">
        <v>18</v>
      </c>
      <c r="D15" s="87" t="s">
        <v>19</v>
      </c>
      <c r="E15" s="88">
        <v>1</v>
      </c>
      <c r="F15" s="89">
        <v>1</v>
      </c>
      <c r="G15" s="90" t="s">
        <v>20</v>
      </c>
      <c r="H15" s="89">
        <v>96</v>
      </c>
      <c r="I15" s="90" t="s">
        <v>19</v>
      </c>
      <c r="J15" s="91">
        <v>26500</v>
      </c>
      <c r="K15" s="87" t="s">
        <v>19</v>
      </c>
      <c r="L15" s="92">
        <v>0.125</v>
      </c>
      <c r="M15" s="92">
        <v>0.05</v>
      </c>
      <c r="N15" s="89"/>
      <c r="O15" s="90" t="s">
        <v>19</v>
      </c>
      <c r="P15" s="86">
        <f t="shared" si="3"/>
        <v>96</v>
      </c>
      <c r="Q15" s="90" t="s">
        <v>19</v>
      </c>
      <c r="R15" s="91">
        <f t="shared" si="4"/>
        <v>2114700</v>
      </c>
      <c r="S15" s="91">
        <f t="shared" si="5"/>
        <v>1905135.1351351349</v>
      </c>
    </row>
    <row r="16" spans="1:19" s="19" customFormat="1">
      <c r="A16" s="18" t="s">
        <v>986</v>
      </c>
      <c r="B16" s="93" t="s">
        <v>18</v>
      </c>
      <c r="C16" s="20"/>
      <c r="D16" s="95" t="s">
        <v>19</v>
      </c>
      <c r="E16" s="96">
        <v>1</v>
      </c>
      <c r="F16" s="97">
        <v>1</v>
      </c>
      <c r="G16" s="98" t="s">
        <v>20</v>
      </c>
      <c r="H16" s="97">
        <v>72</v>
      </c>
      <c r="I16" s="98" t="s">
        <v>19</v>
      </c>
      <c r="J16" s="99">
        <v>46000</v>
      </c>
      <c r="K16" s="95" t="s">
        <v>19</v>
      </c>
      <c r="L16" s="100">
        <v>0.125</v>
      </c>
      <c r="M16" s="100">
        <v>0.05</v>
      </c>
      <c r="N16" s="97"/>
      <c r="O16" s="98" t="s">
        <v>19</v>
      </c>
      <c r="P16" s="94">
        <f t="shared" ref="P16" si="9">(C16+(E16*F16*H16))-N16</f>
        <v>72</v>
      </c>
      <c r="Q16" s="98" t="s">
        <v>19</v>
      </c>
      <c r="R16" s="99">
        <f t="shared" ref="R16" si="10">P16*(J16-(J16*L16)-((J16-(J16*L16))*M16))</f>
        <v>2753100</v>
      </c>
      <c r="S16" s="99">
        <f t="shared" ref="S16" si="11">R16/1.11</f>
        <v>2480270.2702702698</v>
      </c>
    </row>
    <row r="17" spans="1:19">
      <c r="E17" s="70"/>
    </row>
    <row r="18" spans="1:19" s="67" customFormat="1">
      <c r="A18" s="66" t="s">
        <v>24</v>
      </c>
      <c r="B18" s="67" t="s">
        <v>25</v>
      </c>
      <c r="C18" s="68"/>
      <c r="D18" s="69" t="s">
        <v>19</v>
      </c>
      <c r="E18" s="70"/>
      <c r="F18" s="71">
        <v>1</v>
      </c>
      <c r="G18" s="72" t="s">
        <v>20</v>
      </c>
      <c r="H18" s="71">
        <v>60</v>
      </c>
      <c r="I18" s="72" t="s">
        <v>19</v>
      </c>
      <c r="J18" s="16">
        <v>23800</v>
      </c>
      <c r="K18" s="69" t="s">
        <v>19</v>
      </c>
      <c r="L18" s="73"/>
      <c r="M18" s="73">
        <v>0.17</v>
      </c>
      <c r="N18" s="71"/>
      <c r="O18" s="72" t="s">
        <v>19</v>
      </c>
      <c r="P18" s="68">
        <f t="shared" ref="P18:P24" si="12">(C18+(E18*F18*H18))-N18</f>
        <v>0</v>
      </c>
      <c r="Q18" s="72" t="s">
        <v>19</v>
      </c>
      <c r="R18" s="16">
        <f t="shared" ref="R18:R24" si="13">P18*(J18-(J18*L18)-((J18-(J18*L18))*M18))</f>
        <v>0</v>
      </c>
      <c r="S18" s="16">
        <f t="shared" si="2"/>
        <v>0</v>
      </c>
    </row>
    <row r="19" spans="1:19">
      <c r="A19" s="17" t="s">
        <v>26</v>
      </c>
      <c r="B19" s="2" t="s">
        <v>25</v>
      </c>
      <c r="C19" s="3">
        <v>42</v>
      </c>
      <c r="D19" s="4" t="s">
        <v>19</v>
      </c>
      <c r="F19" s="6">
        <v>1</v>
      </c>
      <c r="G19" s="7" t="s">
        <v>20</v>
      </c>
      <c r="H19" s="6">
        <v>60</v>
      </c>
      <c r="I19" s="7" t="s">
        <v>19</v>
      </c>
      <c r="J19" s="8">
        <f>1500000/60</f>
        <v>25000</v>
      </c>
      <c r="K19" s="4" t="s">
        <v>19</v>
      </c>
      <c r="M19" s="9">
        <v>0.17</v>
      </c>
      <c r="O19" s="7" t="s">
        <v>19</v>
      </c>
      <c r="P19" s="3">
        <f t="shared" si="12"/>
        <v>42</v>
      </c>
      <c r="Q19" s="7" t="s">
        <v>19</v>
      </c>
      <c r="R19" s="8">
        <f t="shared" si="13"/>
        <v>871500</v>
      </c>
      <c r="S19" s="8">
        <f t="shared" si="2"/>
        <v>785135.13513513503</v>
      </c>
    </row>
    <row r="20" spans="1:19" s="67" customFormat="1">
      <c r="A20" s="66" t="s">
        <v>27</v>
      </c>
      <c r="B20" s="67" t="s">
        <v>25</v>
      </c>
      <c r="C20" s="74"/>
      <c r="D20" s="69" t="s">
        <v>19</v>
      </c>
      <c r="E20" s="70"/>
      <c r="F20" s="71">
        <v>1</v>
      </c>
      <c r="G20" s="72" t="s">
        <v>20</v>
      </c>
      <c r="H20" s="71">
        <v>60</v>
      </c>
      <c r="I20" s="72" t="s">
        <v>19</v>
      </c>
      <c r="J20" s="16">
        <v>27500</v>
      </c>
      <c r="K20" s="69" t="s">
        <v>19</v>
      </c>
      <c r="L20" s="73"/>
      <c r="M20" s="73">
        <v>0.17</v>
      </c>
      <c r="N20" s="71"/>
      <c r="O20" s="72" t="s">
        <v>19</v>
      </c>
      <c r="P20" s="68">
        <f t="shared" si="12"/>
        <v>0</v>
      </c>
      <c r="Q20" s="72" t="s">
        <v>19</v>
      </c>
      <c r="R20" s="16">
        <f t="shared" si="13"/>
        <v>0</v>
      </c>
      <c r="S20" s="16">
        <f t="shared" si="2"/>
        <v>0</v>
      </c>
    </row>
    <row r="21" spans="1:19" s="67" customFormat="1">
      <c r="A21" s="66" t="s">
        <v>705</v>
      </c>
      <c r="B21" s="67" t="s">
        <v>25</v>
      </c>
      <c r="C21" s="74"/>
      <c r="D21" s="69" t="s">
        <v>19</v>
      </c>
      <c r="E21" s="70"/>
      <c r="F21" s="71">
        <v>1</v>
      </c>
      <c r="G21" s="72" t="s">
        <v>20</v>
      </c>
      <c r="H21" s="71">
        <v>36</v>
      </c>
      <c r="I21" s="72" t="s">
        <v>19</v>
      </c>
      <c r="J21" s="16">
        <f>2520000/36</f>
        <v>70000</v>
      </c>
      <c r="K21" s="69" t="s">
        <v>19</v>
      </c>
      <c r="L21" s="73"/>
      <c r="M21" s="73">
        <v>0.17</v>
      </c>
      <c r="N21" s="71"/>
      <c r="O21" s="72" t="s">
        <v>19</v>
      </c>
      <c r="P21" s="68">
        <f t="shared" si="12"/>
        <v>0</v>
      </c>
      <c r="Q21" s="72" t="s">
        <v>19</v>
      </c>
      <c r="R21" s="16">
        <f t="shared" si="13"/>
        <v>0</v>
      </c>
      <c r="S21" s="16">
        <f t="shared" si="2"/>
        <v>0</v>
      </c>
    </row>
    <row r="22" spans="1:19" s="67" customFormat="1">
      <c r="A22" s="66" t="s">
        <v>28</v>
      </c>
      <c r="B22" s="67" t="s">
        <v>25</v>
      </c>
      <c r="C22" s="74"/>
      <c r="D22" s="69" t="s">
        <v>19</v>
      </c>
      <c r="E22" s="70"/>
      <c r="F22" s="71">
        <v>1</v>
      </c>
      <c r="G22" s="72" t="s">
        <v>20</v>
      </c>
      <c r="H22" s="71">
        <v>36</v>
      </c>
      <c r="I22" s="72" t="s">
        <v>19</v>
      </c>
      <c r="J22" s="16">
        <v>50500</v>
      </c>
      <c r="K22" s="69" t="s">
        <v>19</v>
      </c>
      <c r="L22" s="73"/>
      <c r="M22" s="73">
        <v>0.17</v>
      </c>
      <c r="N22" s="71"/>
      <c r="O22" s="72" t="s">
        <v>19</v>
      </c>
      <c r="P22" s="68">
        <f t="shared" si="12"/>
        <v>0</v>
      </c>
      <c r="Q22" s="72" t="s">
        <v>19</v>
      </c>
      <c r="R22" s="16">
        <f t="shared" si="13"/>
        <v>0</v>
      </c>
      <c r="S22" s="16">
        <f t="shared" si="2"/>
        <v>0</v>
      </c>
    </row>
    <row r="23" spans="1:19" s="76" customFormat="1">
      <c r="A23" s="75" t="s">
        <v>29</v>
      </c>
      <c r="B23" s="76" t="s">
        <v>25</v>
      </c>
      <c r="C23" s="74"/>
      <c r="D23" s="77" t="s">
        <v>19</v>
      </c>
      <c r="E23" s="78"/>
      <c r="F23" s="79">
        <v>1</v>
      </c>
      <c r="G23" s="80" t="s">
        <v>20</v>
      </c>
      <c r="H23" s="79">
        <v>72</v>
      </c>
      <c r="I23" s="80" t="s">
        <v>19</v>
      </c>
      <c r="J23" s="81">
        <v>37000</v>
      </c>
      <c r="K23" s="77" t="s">
        <v>19</v>
      </c>
      <c r="L23" s="82"/>
      <c r="M23" s="82">
        <v>0.17</v>
      </c>
      <c r="N23" s="79"/>
      <c r="O23" s="80" t="s">
        <v>19</v>
      </c>
      <c r="P23" s="74">
        <f t="shared" si="12"/>
        <v>0</v>
      </c>
      <c r="Q23" s="80" t="s">
        <v>19</v>
      </c>
      <c r="R23" s="81">
        <f t="shared" si="13"/>
        <v>0</v>
      </c>
      <c r="S23" s="81">
        <f t="shared" si="2"/>
        <v>0</v>
      </c>
    </row>
    <row r="24" spans="1:19" s="67" customFormat="1">
      <c r="A24" s="66" t="s">
        <v>30</v>
      </c>
      <c r="B24" s="67" t="s">
        <v>25</v>
      </c>
      <c r="C24" s="74"/>
      <c r="D24" s="69" t="s">
        <v>19</v>
      </c>
      <c r="E24" s="70"/>
      <c r="F24" s="71">
        <v>1</v>
      </c>
      <c r="G24" s="72" t="s">
        <v>20</v>
      </c>
      <c r="H24" s="71">
        <v>72</v>
      </c>
      <c r="I24" s="72" t="s">
        <v>19</v>
      </c>
      <c r="J24" s="16">
        <v>30000</v>
      </c>
      <c r="K24" s="69" t="s">
        <v>19</v>
      </c>
      <c r="L24" s="73"/>
      <c r="M24" s="73">
        <v>0.17</v>
      </c>
      <c r="N24" s="71"/>
      <c r="O24" s="72" t="s">
        <v>19</v>
      </c>
      <c r="P24" s="68">
        <f t="shared" si="12"/>
        <v>0</v>
      </c>
      <c r="Q24" s="72" t="s">
        <v>19</v>
      </c>
      <c r="R24" s="16">
        <f t="shared" si="13"/>
        <v>0</v>
      </c>
      <c r="S24" s="16">
        <f t="shared" si="2"/>
        <v>0</v>
      </c>
    </row>
    <row r="25" spans="1:19" s="67" customFormat="1">
      <c r="A25" s="66"/>
      <c r="C25" s="74"/>
      <c r="D25" s="69"/>
      <c r="E25" s="70"/>
      <c r="F25" s="71"/>
      <c r="G25" s="72"/>
      <c r="H25" s="71"/>
      <c r="I25" s="72"/>
      <c r="J25" s="16"/>
      <c r="K25" s="69"/>
      <c r="L25" s="73"/>
      <c r="M25" s="73"/>
      <c r="N25" s="71"/>
      <c r="O25" s="72"/>
      <c r="P25" s="68"/>
      <c r="Q25" s="72"/>
      <c r="R25" s="16"/>
      <c r="S25" s="16"/>
    </row>
    <row r="26" spans="1:19" s="83" customFormat="1">
      <c r="A26" s="155" t="s">
        <v>1045</v>
      </c>
      <c r="B26" s="83" t="s">
        <v>171</v>
      </c>
      <c r="C26" s="86"/>
      <c r="D26" s="87" t="s">
        <v>19</v>
      </c>
      <c r="E26" s="88"/>
      <c r="F26" s="89">
        <v>1</v>
      </c>
      <c r="G26" s="90" t="s">
        <v>20</v>
      </c>
      <c r="H26" s="89">
        <v>84</v>
      </c>
      <c r="I26" s="90" t="s">
        <v>19</v>
      </c>
      <c r="J26" s="91">
        <v>23500</v>
      </c>
      <c r="K26" s="87" t="s">
        <v>19</v>
      </c>
      <c r="L26" s="92">
        <v>7.0000000000000007E-2</v>
      </c>
      <c r="M26" s="92"/>
      <c r="N26" s="89"/>
      <c r="O26" s="90" t="s">
        <v>19</v>
      </c>
      <c r="P26" s="86">
        <f>(C26+(E26*F26*H26))-N26</f>
        <v>0</v>
      </c>
      <c r="Q26" s="90" t="s">
        <v>19</v>
      </c>
      <c r="R26" s="91">
        <f>P26*(J26-(J26*L26)-((J26-(J26*L26))*M26))</f>
        <v>0</v>
      </c>
      <c r="S26" s="91">
        <f t="shared" ref="S26" si="14">R26/1.11</f>
        <v>0</v>
      </c>
    </row>
    <row r="27" spans="1:19" s="67" customFormat="1">
      <c r="A27" s="66"/>
      <c r="C27" s="68"/>
      <c r="D27" s="69"/>
      <c r="E27" s="70"/>
      <c r="F27" s="71"/>
      <c r="G27" s="72"/>
      <c r="H27" s="71"/>
      <c r="I27" s="72"/>
      <c r="J27" s="16"/>
      <c r="K27" s="69"/>
      <c r="L27" s="73"/>
      <c r="M27" s="73"/>
      <c r="N27" s="71"/>
      <c r="O27" s="72"/>
      <c r="P27" s="68"/>
      <c r="Q27" s="72"/>
      <c r="R27" s="16"/>
      <c r="S27" s="16"/>
    </row>
    <row r="28" spans="1:19">
      <c r="A28" s="15" t="s">
        <v>31</v>
      </c>
    </row>
    <row r="29" spans="1:19">
      <c r="A29" s="17" t="s">
        <v>32</v>
      </c>
      <c r="B29" s="2" t="s">
        <v>18</v>
      </c>
      <c r="C29" s="3">
        <v>117</v>
      </c>
      <c r="D29" s="4" t="s">
        <v>33</v>
      </c>
      <c r="E29" s="5">
        <v>6</v>
      </c>
      <c r="F29" s="6">
        <v>1</v>
      </c>
      <c r="G29" s="7" t="s">
        <v>20</v>
      </c>
      <c r="H29" s="6">
        <v>60</v>
      </c>
      <c r="I29" s="7" t="s">
        <v>33</v>
      </c>
      <c r="J29" s="8">
        <v>22200</v>
      </c>
      <c r="K29" s="4" t="s">
        <v>33</v>
      </c>
      <c r="L29" s="9">
        <v>0.125</v>
      </c>
      <c r="M29" s="9">
        <v>0.05</v>
      </c>
      <c r="O29" s="7" t="s">
        <v>33</v>
      </c>
      <c r="P29" s="3">
        <f t="shared" ref="P29:P36" si="15">(C29+(E29*F29*H29))-N29</f>
        <v>477</v>
      </c>
      <c r="Q29" s="7" t="s">
        <v>33</v>
      </c>
      <c r="R29" s="8">
        <f t="shared" ref="R29:R36" si="16">P29*(J29-(J29*L29)-((J29-(J29*L29))*M29))</f>
        <v>8802438.75</v>
      </c>
      <c r="S29" s="8">
        <f t="shared" si="2"/>
        <v>7930124.9999999991</v>
      </c>
    </row>
    <row r="30" spans="1:19" s="19" customFormat="1">
      <c r="A30" s="18" t="s">
        <v>987</v>
      </c>
      <c r="B30" s="19" t="s">
        <v>18</v>
      </c>
      <c r="C30" s="20"/>
      <c r="D30" s="21" t="s">
        <v>33</v>
      </c>
      <c r="E30" s="26">
        <v>2</v>
      </c>
      <c r="F30" s="22">
        <v>1</v>
      </c>
      <c r="G30" s="23" t="s">
        <v>20</v>
      </c>
      <c r="H30" s="22">
        <v>60</v>
      </c>
      <c r="I30" s="23" t="s">
        <v>33</v>
      </c>
      <c r="J30" s="24">
        <v>31500</v>
      </c>
      <c r="K30" s="21" t="s">
        <v>33</v>
      </c>
      <c r="L30" s="25">
        <v>0.125</v>
      </c>
      <c r="M30" s="25">
        <v>0.05</v>
      </c>
      <c r="N30" s="22"/>
      <c r="O30" s="23" t="s">
        <v>33</v>
      </c>
      <c r="P30" s="20">
        <f t="shared" ref="P30" si="17">(C30+(E30*F30*H30))-N30</f>
        <v>120</v>
      </c>
      <c r="Q30" s="23" t="s">
        <v>33</v>
      </c>
      <c r="R30" s="24">
        <f t="shared" ref="R30" si="18">P30*(J30-(J30*L30)-((J30-(J30*L30))*M30))</f>
        <v>3142125</v>
      </c>
      <c r="S30" s="24">
        <f t="shared" ref="S30" si="19">R30/1.11</f>
        <v>2830743.2432432431</v>
      </c>
    </row>
    <row r="31" spans="1:19">
      <c r="A31" s="17" t="s">
        <v>824</v>
      </c>
      <c r="B31" s="2" t="s">
        <v>18</v>
      </c>
      <c r="C31" s="3">
        <v>60</v>
      </c>
      <c r="D31" s="4" t="s">
        <v>33</v>
      </c>
      <c r="E31" s="5">
        <v>3</v>
      </c>
      <c r="F31" s="6">
        <v>1</v>
      </c>
      <c r="G31" s="7" t="s">
        <v>20</v>
      </c>
      <c r="H31" s="6">
        <v>60</v>
      </c>
      <c r="I31" s="7" t="s">
        <v>33</v>
      </c>
      <c r="J31" s="8">
        <v>31500</v>
      </c>
      <c r="K31" s="4" t="s">
        <v>33</v>
      </c>
      <c r="L31" s="9">
        <v>0.125</v>
      </c>
      <c r="M31" s="9">
        <v>0.05</v>
      </c>
      <c r="O31" s="7" t="s">
        <v>33</v>
      </c>
      <c r="P31" s="3">
        <f t="shared" si="15"/>
        <v>240</v>
      </c>
      <c r="Q31" s="7" t="s">
        <v>33</v>
      </c>
      <c r="R31" s="8">
        <f t="shared" si="16"/>
        <v>6284250</v>
      </c>
      <c r="S31" s="8">
        <f t="shared" si="2"/>
        <v>5661486.4864864862</v>
      </c>
    </row>
    <row r="32" spans="1:19" s="83" customFormat="1">
      <c r="A32" s="102" t="s">
        <v>837</v>
      </c>
      <c r="B32" s="83" t="s">
        <v>18</v>
      </c>
      <c r="C32" s="86"/>
      <c r="D32" s="87" t="s">
        <v>33</v>
      </c>
      <c r="E32" s="88">
        <v>1</v>
      </c>
      <c r="F32" s="89">
        <v>1</v>
      </c>
      <c r="G32" s="90" t="s">
        <v>20</v>
      </c>
      <c r="H32" s="89">
        <v>60</v>
      </c>
      <c r="I32" s="90" t="s">
        <v>33</v>
      </c>
      <c r="J32" s="91">
        <v>31200</v>
      </c>
      <c r="K32" s="87" t="s">
        <v>33</v>
      </c>
      <c r="L32" s="92">
        <v>0.125</v>
      </c>
      <c r="M32" s="92">
        <v>0.05</v>
      </c>
      <c r="N32" s="89"/>
      <c r="O32" s="90" t="s">
        <v>33</v>
      </c>
      <c r="P32" s="86">
        <f t="shared" si="15"/>
        <v>60</v>
      </c>
      <c r="Q32" s="90" t="s">
        <v>33</v>
      </c>
      <c r="R32" s="91">
        <f t="shared" si="16"/>
        <v>1556100</v>
      </c>
      <c r="S32" s="91">
        <f t="shared" si="2"/>
        <v>1401891.8918918918</v>
      </c>
    </row>
    <row r="33" spans="1:19" s="67" customFormat="1">
      <c r="A33" s="66" t="s">
        <v>693</v>
      </c>
      <c r="B33" s="67" t="s">
        <v>18</v>
      </c>
      <c r="C33" s="68"/>
      <c r="D33" s="69" t="s">
        <v>33</v>
      </c>
      <c r="E33" s="70"/>
      <c r="F33" s="71">
        <v>1</v>
      </c>
      <c r="G33" s="72" t="s">
        <v>20</v>
      </c>
      <c r="H33" s="71">
        <v>50</v>
      </c>
      <c r="I33" s="72" t="s">
        <v>33</v>
      </c>
      <c r="J33" s="16">
        <v>66000</v>
      </c>
      <c r="K33" s="69" t="s">
        <v>33</v>
      </c>
      <c r="L33" s="73">
        <v>0.125</v>
      </c>
      <c r="M33" s="73">
        <v>0.05</v>
      </c>
      <c r="N33" s="71"/>
      <c r="O33" s="72" t="s">
        <v>33</v>
      </c>
      <c r="P33" s="68">
        <f t="shared" si="15"/>
        <v>0</v>
      </c>
      <c r="Q33" s="72" t="s">
        <v>33</v>
      </c>
      <c r="R33" s="16">
        <f t="shared" si="16"/>
        <v>0</v>
      </c>
      <c r="S33" s="16">
        <f t="shared" si="2"/>
        <v>0</v>
      </c>
    </row>
    <row r="34" spans="1:19" s="19" customFormat="1">
      <c r="A34" s="18" t="s">
        <v>833</v>
      </c>
      <c r="B34" s="19" t="s">
        <v>18</v>
      </c>
      <c r="C34" s="20"/>
      <c r="D34" s="21" t="s">
        <v>33</v>
      </c>
      <c r="E34" s="26">
        <v>2</v>
      </c>
      <c r="F34" s="22">
        <v>1</v>
      </c>
      <c r="G34" s="23" t="s">
        <v>20</v>
      </c>
      <c r="H34" s="22">
        <v>60</v>
      </c>
      <c r="I34" s="23" t="s">
        <v>33</v>
      </c>
      <c r="J34" s="24">
        <v>31800</v>
      </c>
      <c r="K34" s="21" t="s">
        <v>33</v>
      </c>
      <c r="L34" s="25">
        <v>0.125</v>
      </c>
      <c r="M34" s="25">
        <v>0.05</v>
      </c>
      <c r="N34" s="22"/>
      <c r="O34" s="23" t="s">
        <v>33</v>
      </c>
      <c r="P34" s="20">
        <f t="shared" ref="P34" si="20">(C34+(E34*F34*H34))-N34</f>
        <v>120</v>
      </c>
      <c r="Q34" s="23" t="s">
        <v>33</v>
      </c>
      <c r="R34" s="24">
        <f t="shared" ref="R34" si="21">P34*(J34-(J34*L34)-((J34-(J34*L34))*M34))</f>
        <v>3172050</v>
      </c>
      <c r="S34" s="24">
        <f t="shared" ref="S34" si="22">R34/1.11</f>
        <v>2857702.7027027025</v>
      </c>
    </row>
    <row r="35" spans="1:19" s="93" customFormat="1">
      <c r="A35" s="85" t="s">
        <v>34</v>
      </c>
      <c r="B35" s="93" t="s">
        <v>18</v>
      </c>
      <c r="C35" s="94"/>
      <c r="D35" s="95" t="s">
        <v>33</v>
      </c>
      <c r="E35" s="96">
        <v>3</v>
      </c>
      <c r="F35" s="97">
        <v>1</v>
      </c>
      <c r="G35" s="98" t="s">
        <v>20</v>
      </c>
      <c r="H35" s="97">
        <v>180</v>
      </c>
      <c r="I35" s="98" t="s">
        <v>33</v>
      </c>
      <c r="J35" s="99">
        <v>9000</v>
      </c>
      <c r="K35" s="95" t="s">
        <v>33</v>
      </c>
      <c r="L35" s="100">
        <v>0.125</v>
      </c>
      <c r="M35" s="100">
        <v>0.05</v>
      </c>
      <c r="N35" s="97"/>
      <c r="O35" s="98" t="s">
        <v>33</v>
      </c>
      <c r="P35" s="94">
        <f t="shared" ref="P35" si="23">(C35+(E35*F35*H35))-N35</f>
        <v>540</v>
      </c>
      <c r="Q35" s="98" t="s">
        <v>33</v>
      </c>
      <c r="R35" s="99">
        <f t="shared" ref="R35" si="24">P35*(J35-(J35*L35)-((J35-(J35*L35))*M35))</f>
        <v>4039875</v>
      </c>
      <c r="S35" s="99">
        <f t="shared" ref="S35" si="25">R35/1.11</f>
        <v>3639527.0270270268</v>
      </c>
    </row>
    <row r="36" spans="1:19" s="67" customFormat="1">
      <c r="A36" s="66" t="s">
        <v>35</v>
      </c>
      <c r="B36" s="67" t="s">
        <v>18</v>
      </c>
      <c r="C36" s="68"/>
      <c r="D36" s="69" t="s">
        <v>33</v>
      </c>
      <c r="E36" s="70"/>
      <c r="F36" s="71">
        <v>1</v>
      </c>
      <c r="G36" s="72" t="s">
        <v>20</v>
      </c>
      <c r="H36" s="71">
        <v>32</v>
      </c>
      <c r="I36" s="72" t="s">
        <v>33</v>
      </c>
      <c r="J36" s="16">
        <v>64800</v>
      </c>
      <c r="K36" s="69" t="s">
        <v>33</v>
      </c>
      <c r="L36" s="73">
        <v>0.125</v>
      </c>
      <c r="M36" s="73">
        <v>0.05</v>
      </c>
      <c r="N36" s="71"/>
      <c r="O36" s="72" t="s">
        <v>33</v>
      </c>
      <c r="P36" s="68">
        <f t="shared" si="15"/>
        <v>0</v>
      </c>
      <c r="Q36" s="72" t="s">
        <v>33</v>
      </c>
      <c r="R36" s="16">
        <f t="shared" si="16"/>
        <v>0</v>
      </c>
      <c r="S36" s="16">
        <f t="shared" si="2"/>
        <v>0</v>
      </c>
    </row>
    <row r="37" spans="1:19" s="67" customFormat="1">
      <c r="A37" s="66"/>
      <c r="C37" s="68"/>
      <c r="D37" s="69"/>
      <c r="E37" s="70"/>
      <c r="F37" s="71"/>
      <c r="G37" s="72"/>
      <c r="H37" s="71"/>
      <c r="I37" s="72"/>
      <c r="J37" s="16"/>
      <c r="K37" s="69"/>
      <c r="L37" s="73"/>
      <c r="M37" s="73"/>
      <c r="N37" s="71"/>
      <c r="O37" s="72"/>
      <c r="P37" s="68"/>
      <c r="Q37" s="72"/>
      <c r="R37" s="16"/>
      <c r="S37" s="16"/>
    </row>
    <row r="39" spans="1:19">
      <c r="A39" s="17" t="s">
        <v>761</v>
      </c>
      <c r="B39" s="2" t="s">
        <v>25</v>
      </c>
      <c r="C39" s="3">
        <v>60</v>
      </c>
      <c r="D39" s="4" t="s">
        <v>33</v>
      </c>
      <c r="F39" s="6">
        <v>2</v>
      </c>
      <c r="G39" s="7" t="s">
        <v>98</v>
      </c>
      <c r="H39" s="6">
        <v>30</v>
      </c>
      <c r="I39" s="7" t="s">
        <v>33</v>
      </c>
      <c r="J39" s="8">
        <f>1800000/2/30</f>
        <v>30000</v>
      </c>
      <c r="K39" s="4" t="s">
        <v>33</v>
      </c>
      <c r="M39" s="9">
        <v>0.17</v>
      </c>
      <c r="O39" s="7" t="s">
        <v>33</v>
      </c>
      <c r="P39" s="3">
        <f t="shared" ref="P39:P43" si="26">(C39+(E39*F39*H39))-N39</f>
        <v>60</v>
      </c>
      <c r="Q39" s="7" t="s">
        <v>33</v>
      </c>
      <c r="R39" s="8">
        <f t="shared" ref="R39:R43" si="27">P39*(J39-(J39*L39)-((J39-(J39*L39))*M39))</f>
        <v>1494000</v>
      </c>
      <c r="S39" s="8">
        <f t="shared" ref="S39:S43" si="28">R39/1.11</f>
        <v>1345945.9459459458</v>
      </c>
    </row>
    <row r="40" spans="1:19" s="76" customFormat="1">
      <c r="A40" s="75" t="s">
        <v>750</v>
      </c>
      <c r="B40" s="76" t="s">
        <v>25</v>
      </c>
      <c r="C40" s="74"/>
      <c r="D40" s="77" t="s">
        <v>40</v>
      </c>
      <c r="E40" s="78">
        <v>1</v>
      </c>
      <c r="F40" s="79">
        <v>1</v>
      </c>
      <c r="G40" s="80" t="s">
        <v>20</v>
      </c>
      <c r="H40" s="79">
        <v>60</v>
      </c>
      <c r="I40" s="80" t="s">
        <v>40</v>
      </c>
      <c r="J40" s="81">
        <v>19200</v>
      </c>
      <c r="K40" s="77" t="s">
        <v>40</v>
      </c>
      <c r="L40" s="82"/>
      <c r="M40" s="82">
        <v>0.17</v>
      </c>
      <c r="N40" s="79"/>
      <c r="O40" s="80" t="s">
        <v>33</v>
      </c>
      <c r="P40" s="74">
        <f t="shared" si="26"/>
        <v>60</v>
      </c>
      <c r="Q40" s="80" t="s">
        <v>40</v>
      </c>
      <c r="R40" s="81">
        <f t="shared" si="27"/>
        <v>956160</v>
      </c>
      <c r="S40" s="81">
        <f t="shared" ref="S40" si="29">R40/1.11</f>
        <v>861405.40540540533</v>
      </c>
    </row>
    <row r="41" spans="1:19" s="67" customFormat="1">
      <c r="A41" s="66" t="s">
        <v>838</v>
      </c>
      <c r="B41" s="67" t="s">
        <v>25</v>
      </c>
      <c r="C41" s="68"/>
      <c r="D41" s="69" t="s">
        <v>40</v>
      </c>
      <c r="E41" s="70"/>
      <c r="F41" s="71">
        <v>1</v>
      </c>
      <c r="G41" s="72" t="s">
        <v>20</v>
      </c>
      <c r="H41" s="71">
        <v>120</v>
      </c>
      <c r="I41" s="72" t="s">
        <v>40</v>
      </c>
      <c r="J41" s="16">
        <f>1908000/120</f>
        <v>15900</v>
      </c>
      <c r="K41" s="69" t="s">
        <v>40</v>
      </c>
      <c r="L41" s="73"/>
      <c r="M41" s="73">
        <v>0.17</v>
      </c>
      <c r="N41" s="71"/>
      <c r="O41" s="72" t="s">
        <v>33</v>
      </c>
      <c r="P41" s="68">
        <f t="shared" si="26"/>
        <v>0</v>
      </c>
      <c r="Q41" s="72" t="s">
        <v>40</v>
      </c>
      <c r="R41" s="16">
        <f t="shared" si="27"/>
        <v>0</v>
      </c>
      <c r="S41" s="16">
        <f t="shared" si="28"/>
        <v>0</v>
      </c>
    </row>
    <row r="42" spans="1:19" s="67" customFormat="1">
      <c r="A42" s="66" t="s">
        <v>839</v>
      </c>
      <c r="B42" s="67" t="s">
        <v>25</v>
      </c>
      <c r="C42" s="68"/>
      <c r="D42" s="69" t="s">
        <v>40</v>
      </c>
      <c r="E42" s="70"/>
      <c r="F42" s="71">
        <v>1</v>
      </c>
      <c r="G42" s="72" t="s">
        <v>20</v>
      </c>
      <c r="H42" s="71">
        <v>60</v>
      </c>
      <c r="I42" s="72" t="s">
        <v>40</v>
      </c>
      <c r="J42" s="16">
        <f>1728000/60</f>
        <v>28800</v>
      </c>
      <c r="K42" s="69" t="s">
        <v>40</v>
      </c>
      <c r="L42" s="73"/>
      <c r="M42" s="73">
        <v>0.17</v>
      </c>
      <c r="N42" s="71"/>
      <c r="O42" s="72" t="s">
        <v>33</v>
      </c>
      <c r="P42" s="68">
        <f t="shared" si="26"/>
        <v>0</v>
      </c>
      <c r="Q42" s="72" t="s">
        <v>40</v>
      </c>
      <c r="R42" s="16">
        <f t="shared" si="27"/>
        <v>0</v>
      </c>
      <c r="S42" s="16">
        <f t="shared" si="28"/>
        <v>0</v>
      </c>
    </row>
    <row r="43" spans="1:19" s="67" customFormat="1">
      <c r="A43" s="66" t="s">
        <v>678</v>
      </c>
      <c r="B43" s="67" t="s">
        <v>25</v>
      </c>
      <c r="C43" s="68"/>
      <c r="D43" s="69" t="s">
        <v>33</v>
      </c>
      <c r="E43" s="70"/>
      <c r="F43" s="71">
        <v>1</v>
      </c>
      <c r="G43" s="72" t="s">
        <v>20</v>
      </c>
      <c r="H43" s="71">
        <v>32</v>
      </c>
      <c r="I43" s="72" t="s">
        <v>33</v>
      </c>
      <c r="J43" s="16">
        <f>1113600/32</f>
        <v>34800</v>
      </c>
      <c r="K43" s="69" t="s">
        <v>33</v>
      </c>
      <c r="L43" s="73"/>
      <c r="M43" s="73">
        <v>0.17</v>
      </c>
      <c r="N43" s="71"/>
      <c r="O43" s="72" t="s">
        <v>33</v>
      </c>
      <c r="P43" s="68">
        <f t="shared" si="26"/>
        <v>0</v>
      </c>
      <c r="Q43" s="72" t="s">
        <v>33</v>
      </c>
      <c r="R43" s="16">
        <f t="shared" si="27"/>
        <v>0</v>
      </c>
      <c r="S43" s="16">
        <f t="shared" si="28"/>
        <v>0</v>
      </c>
    </row>
    <row r="45" spans="1:19" ht="15.75">
      <c r="A45" s="14" t="s">
        <v>36</v>
      </c>
    </row>
    <row r="46" spans="1:19">
      <c r="A46" s="15" t="s">
        <v>37</v>
      </c>
    </row>
    <row r="47" spans="1:19" s="19" customFormat="1">
      <c r="A47" s="18" t="s">
        <v>807</v>
      </c>
      <c r="B47" s="19" t="s">
        <v>18</v>
      </c>
      <c r="C47" s="20"/>
      <c r="D47" s="21" t="s">
        <v>19</v>
      </c>
      <c r="E47" s="26">
        <v>2</v>
      </c>
      <c r="F47" s="22">
        <v>1</v>
      </c>
      <c r="G47" s="23" t="s">
        <v>20</v>
      </c>
      <c r="H47" s="22">
        <v>60</v>
      </c>
      <c r="I47" s="23" t="s">
        <v>19</v>
      </c>
      <c r="J47" s="24">
        <v>20800</v>
      </c>
      <c r="K47" s="21" t="s">
        <v>19</v>
      </c>
      <c r="L47" s="25">
        <v>0.125</v>
      </c>
      <c r="M47" s="25">
        <v>0.05</v>
      </c>
      <c r="N47" s="22"/>
      <c r="O47" s="23" t="s">
        <v>19</v>
      </c>
      <c r="P47" s="20">
        <f>(C47+(E47*F47*H47))-N47</f>
        <v>120</v>
      </c>
      <c r="Q47" s="23" t="s">
        <v>19</v>
      </c>
      <c r="R47" s="24">
        <f>P47*(J47-(J47*L47)-((J47-(J47*L47))*M47))</f>
        <v>2074800</v>
      </c>
      <c r="S47" s="24">
        <f t="shared" ref="S47" si="30">R47/1.11</f>
        <v>1869189.1891891891</v>
      </c>
    </row>
    <row r="48" spans="1:19" s="67" customFormat="1">
      <c r="A48" s="66" t="s">
        <v>38</v>
      </c>
      <c r="B48" s="67" t="s">
        <v>18</v>
      </c>
      <c r="C48" s="68"/>
      <c r="D48" s="69" t="s">
        <v>19</v>
      </c>
      <c r="E48" s="70"/>
      <c r="F48" s="71">
        <v>1</v>
      </c>
      <c r="G48" s="72" t="s">
        <v>20</v>
      </c>
      <c r="H48" s="71">
        <v>60</v>
      </c>
      <c r="I48" s="72" t="s">
        <v>19</v>
      </c>
      <c r="J48" s="16">
        <v>18500</v>
      </c>
      <c r="K48" s="69" t="s">
        <v>19</v>
      </c>
      <c r="L48" s="73">
        <v>0.125</v>
      </c>
      <c r="M48" s="73">
        <v>0.05</v>
      </c>
      <c r="N48" s="71"/>
      <c r="O48" s="72" t="s">
        <v>19</v>
      </c>
      <c r="P48" s="68">
        <f>(C48+(E48*F48*H48))-N48</f>
        <v>0</v>
      </c>
      <c r="Q48" s="72" t="s">
        <v>19</v>
      </c>
      <c r="R48" s="16">
        <f>P48*(J48-(J48*L48)-((J48-(J48*L48))*M48))</f>
        <v>0</v>
      </c>
      <c r="S48" s="16">
        <f t="shared" si="2"/>
        <v>0</v>
      </c>
    </row>
    <row r="50" spans="1:19" s="93" customFormat="1">
      <c r="A50" s="85" t="s">
        <v>39</v>
      </c>
      <c r="B50" s="93" t="s">
        <v>25</v>
      </c>
      <c r="C50" s="94"/>
      <c r="D50" s="95" t="s">
        <v>40</v>
      </c>
      <c r="E50" s="96">
        <v>6</v>
      </c>
      <c r="F50" s="97">
        <v>1</v>
      </c>
      <c r="G50" s="98" t="s">
        <v>20</v>
      </c>
      <c r="H50" s="97">
        <v>5</v>
      </c>
      <c r="I50" s="98" t="s">
        <v>40</v>
      </c>
      <c r="J50" s="99">
        <f>780000/5</f>
        <v>156000</v>
      </c>
      <c r="K50" s="95" t="s">
        <v>40</v>
      </c>
      <c r="L50" s="100"/>
      <c r="M50" s="100">
        <v>0.17</v>
      </c>
      <c r="N50" s="97"/>
      <c r="O50" s="101" t="s">
        <v>40</v>
      </c>
      <c r="P50" s="94">
        <f t="shared" ref="P50:P53" si="31">(C50+(E50*F50*H50))-N50</f>
        <v>30</v>
      </c>
      <c r="Q50" s="98" t="s">
        <v>40</v>
      </c>
      <c r="R50" s="99">
        <f t="shared" ref="R50:R53" si="32">P50*(J50-(J50*L50)-((J50-(J50*L50))*M50))</f>
        <v>3884400</v>
      </c>
      <c r="S50" s="99">
        <f t="shared" si="2"/>
        <v>3499459.4594594589</v>
      </c>
    </row>
    <row r="51" spans="1:19" s="76" customFormat="1">
      <c r="A51" s="28" t="s">
        <v>41</v>
      </c>
      <c r="B51" s="19" t="s">
        <v>25</v>
      </c>
      <c r="C51" s="20"/>
      <c r="D51" s="21" t="s">
        <v>40</v>
      </c>
      <c r="E51" s="26">
        <v>5</v>
      </c>
      <c r="F51" s="22">
        <v>1</v>
      </c>
      <c r="G51" s="23" t="s">
        <v>20</v>
      </c>
      <c r="H51" s="22">
        <v>5</v>
      </c>
      <c r="I51" s="23" t="s">
        <v>40</v>
      </c>
      <c r="J51" s="29">
        <v>153600</v>
      </c>
      <c r="K51" s="21" t="s">
        <v>40</v>
      </c>
      <c r="L51" s="25"/>
      <c r="M51" s="25">
        <v>0.17</v>
      </c>
      <c r="N51" s="22"/>
      <c r="O51" s="37" t="s">
        <v>40</v>
      </c>
      <c r="P51" s="20">
        <f t="shared" ref="P51" si="33">(C51+(E51*F51*H51))-N51</f>
        <v>25</v>
      </c>
      <c r="Q51" s="23" t="s">
        <v>40</v>
      </c>
      <c r="R51" s="24">
        <f t="shared" ref="R51" si="34">P51*(J51-(J51*L51)-((J51-(J51*L51))*M51))</f>
        <v>3187200</v>
      </c>
      <c r="S51" s="24">
        <f t="shared" ref="S51" si="35">R51/1.11</f>
        <v>2871351.351351351</v>
      </c>
    </row>
    <row r="52" spans="1:19" s="19" customFormat="1">
      <c r="A52" s="28" t="s">
        <v>41</v>
      </c>
      <c r="B52" s="19" t="s">
        <v>25</v>
      </c>
      <c r="C52" s="20">
        <v>17</v>
      </c>
      <c r="D52" s="21" t="s">
        <v>40</v>
      </c>
      <c r="E52" s="26"/>
      <c r="F52" s="22">
        <v>1</v>
      </c>
      <c r="G52" s="23" t="s">
        <v>20</v>
      </c>
      <c r="H52" s="22">
        <v>5</v>
      </c>
      <c r="I52" s="23" t="s">
        <v>40</v>
      </c>
      <c r="J52" s="29">
        <f>708000/5</f>
        <v>141600</v>
      </c>
      <c r="K52" s="21" t="s">
        <v>40</v>
      </c>
      <c r="L52" s="25"/>
      <c r="M52" s="25">
        <v>0.17</v>
      </c>
      <c r="N52" s="22"/>
      <c r="O52" s="37" t="s">
        <v>40</v>
      </c>
      <c r="P52" s="20">
        <f t="shared" si="31"/>
        <v>17</v>
      </c>
      <c r="Q52" s="23" t="s">
        <v>40</v>
      </c>
      <c r="R52" s="24">
        <f t="shared" si="32"/>
        <v>1997976</v>
      </c>
      <c r="S52" s="24">
        <f t="shared" si="2"/>
        <v>1799978.3783783782</v>
      </c>
    </row>
    <row r="53" spans="1:19" s="93" customFormat="1">
      <c r="A53" s="85" t="s">
        <v>901</v>
      </c>
      <c r="B53" s="93" t="s">
        <v>25</v>
      </c>
      <c r="C53" s="94"/>
      <c r="D53" s="95" t="s">
        <v>40</v>
      </c>
      <c r="E53" s="96">
        <v>3</v>
      </c>
      <c r="F53" s="97">
        <v>1</v>
      </c>
      <c r="G53" s="98" t="s">
        <v>20</v>
      </c>
      <c r="H53" s="97">
        <v>5</v>
      </c>
      <c r="I53" s="98" t="s">
        <v>40</v>
      </c>
      <c r="J53" s="99">
        <f>990000/5</f>
        <v>198000</v>
      </c>
      <c r="K53" s="95" t="s">
        <v>40</v>
      </c>
      <c r="L53" s="100"/>
      <c r="M53" s="100">
        <v>0.17</v>
      </c>
      <c r="N53" s="97"/>
      <c r="O53" s="101" t="s">
        <v>40</v>
      </c>
      <c r="P53" s="94">
        <f t="shared" si="31"/>
        <v>15</v>
      </c>
      <c r="Q53" s="98" t="s">
        <v>40</v>
      </c>
      <c r="R53" s="99">
        <f t="shared" si="32"/>
        <v>2465100</v>
      </c>
      <c r="S53" s="99">
        <f t="shared" si="2"/>
        <v>2220810.8108108104</v>
      </c>
    </row>
    <row r="54" spans="1:19" s="93" customFormat="1">
      <c r="A54" s="85" t="s">
        <v>42</v>
      </c>
      <c r="B54" s="93" t="s">
        <v>25</v>
      </c>
      <c r="C54" s="94"/>
      <c r="D54" s="95" t="s">
        <v>40</v>
      </c>
      <c r="E54" s="96">
        <v>2</v>
      </c>
      <c r="F54" s="97">
        <v>1</v>
      </c>
      <c r="G54" s="98" t="s">
        <v>20</v>
      </c>
      <c r="H54" s="97">
        <v>5</v>
      </c>
      <c r="I54" s="98" t="s">
        <v>40</v>
      </c>
      <c r="J54" s="99">
        <f>975000/5</f>
        <v>195000</v>
      </c>
      <c r="K54" s="95" t="s">
        <v>40</v>
      </c>
      <c r="L54" s="100"/>
      <c r="M54" s="100">
        <v>0.17</v>
      </c>
      <c r="N54" s="97"/>
      <c r="O54" s="101" t="s">
        <v>40</v>
      </c>
      <c r="P54" s="94">
        <f t="shared" ref="P54" si="36">(C54+(E54*F54*H54))-N54</f>
        <v>10</v>
      </c>
      <c r="Q54" s="98" t="s">
        <v>40</v>
      </c>
      <c r="R54" s="99">
        <f t="shared" ref="R54" si="37">P54*(J54-(J54*L54)-((J54-(J54*L54))*M54))</f>
        <v>1618500</v>
      </c>
      <c r="S54" s="99">
        <f t="shared" ref="S54" si="38">R54/1.11</f>
        <v>1458108.1081081079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37"/>
      <c r="P55" s="20"/>
      <c r="Q55" s="23"/>
      <c r="R55" s="24"/>
      <c r="S55" s="24"/>
    </row>
    <row r="56" spans="1:19" s="19" customFormat="1">
      <c r="A56" s="60" t="s">
        <v>696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3" customFormat="1">
      <c r="A57" s="85" t="s">
        <v>840</v>
      </c>
      <c r="B57" s="83" t="s">
        <v>699</v>
      </c>
      <c r="C57" s="86">
        <v>520</v>
      </c>
      <c r="D57" s="87" t="s">
        <v>19</v>
      </c>
      <c r="E57" s="88">
        <v>26</v>
      </c>
      <c r="F57" s="89">
        <v>1</v>
      </c>
      <c r="G57" s="90" t="s">
        <v>20</v>
      </c>
      <c r="H57" s="89">
        <v>100</v>
      </c>
      <c r="I57" s="90" t="s">
        <v>19</v>
      </c>
      <c r="J57" s="91">
        <v>6610</v>
      </c>
      <c r="K57" s="87" t="s">
        <v>19</v>
      </c>
      <c r="L57" s="92"/>
      <c r="M57" s="92"/>
      <c r="N57" s="89"/>
      <c r="O57" s="90" t="s">
        <v>19</v>
      </c>
      <c r="P57" s="86">
        <f>(C57+(E57*F57*H57))-N57</f>
        <v>3120</v>
      </c>
      <c r="Q57" s="90" t="s">
        <v>19</v>
      </c>
      <c r="R57" s="91">
        <f>P57*(J57-(J57*L57)-((J57-(J57*L57))*M57))</f>
        <v>20623200</v>
      </c>
      <c r="S57" s="91">
        <f t="shared" ref="S57" si="39">R57/1.11</f>
        <v>18579459.459459458</v>
      </c>
    </row>
    <row r="58" spans="1:19" s="19" customFormat="1">
      <c r="A58" s="18" t="s">
        <v>756</v>
      </c>
      <c r="B58" s="19" t="s">
        <v>699</v>
      </c>
      <c r="C58" s="20">
        <v>75</v>
      </c>
      <c r="D58" s="21" t="s">
        <v>19</v>
      </c>
      <c r="E58" s="26">
        <v>23</v>
      </c>
      <c r="F58" s="22">
        <v>1</v>
      </c>
      <c r="G58" s="23" t="s">
        <v>20</v>
      </c>
      <c r="H58" s="22">
        <v>50</v>
      </c>
      <c r="I58" s="23" t="s">
        <v>19</v>
      </c>
      <c r="J58" s="24">
        <v>12870</v>
      </c>
      <c r="K58" s="21" t="s">
        <v>19</v>
      </c>
      <c r="L58" s="25"/>
      <c r="M58" s="25"/>
      <c r="N58" s="22"/>
      <c r="O58" s="23" t="s">
        <v>19</v>
      </c>
      <c r="P58" s="20">
        <f>(C58+(E58*F58*H58))-N58</f>
        <v>1225</v>
      </c>
      <c r="Q58" s="23" t="s">
        <v>19</v>
      </c>
      <c r="R58" s="24">
        <f>P58*(J58-(J58*L58)-((J58-(J58*L58))*M58))</f>
        <v>15765750</v>
      </c>
      <c r="S58" s="24">
        <f t="shared" ref="S58:S60" si="40">R58/1.11</f>
        <v>14203378.378378376</v>
      </c>
    </row>
    <row r="59" spans="1:19" s="76" customFormat="1">
      <c r="A59" s="75" t="s">
        <v>697</v>
      </c>
      <c r="B59" s="76" t="s">
        <v>699</v>
      </c>
      <c r="C59" s="74"/>
      <c r="D59" s="77" t="s">
        <v>19</v>
      </c>
      <c r="E59" s="78"/>
      <c r="F59" s="79">
        <v>1</v>
      </c>
      <c r="G59" s="80" t="s">
        <v>20</v>
      </c>
      <c r="H59" s="79">
        <v>50</v>
      </c>
      <c r="I59" s="80" t="s">
        <v>19</v>
      </c>
      <c r="J59" s="81">
        <v>12870</v>
      </c>
      <c r="K59" s="77" t="s">
        <v>19</v>
      </c>
      <c r="L59" s="82"/>
      <c r="M59" s="82"/>
      <c r="N59" s="79"/>
      <c r="O59" s="80" t="s">
        <v>19</v>
      </c>
      <c r="P59" s="74">
        <f>(C59+(E59*F59*H59))-N59</f>
        <v>0</v>
      </c>
      <c r="Q59" s="80" t="s">
        <v>19</v>
      </c>
      <c r="R59" s="81">
        <f>P59*(J59-(J59*L59)-((J59-(J59*L59))*M59))</f>
        <v>0</v>
      </c>
      <c r="S59" s="81">
        <f t="shared" si="40"/>
        <v>0</v>
      </c>
    </row>
    <row r="60" spans="1:19" s="19" customFormat="1">
      <c r="A60" s="18" t="s">
        <v>698</v>
      </c>
      <c r="B60" s="19" t="s">
        <v>699</v>
      </c>
      <c r="C60" s="20">
        <v>5</v>
      </c>
      <c r="D60" s="21" t="s">
        <v>19</v>
      </c>
      <c r="E60" s="26"/>
      <c r="F60" s="22">
        <v>1</v>
      </c>
      <c r="G60" s="23" t="s">
        <v>20</v>
      </c>
      <c r="H60" s="22">
        <v>50</v>
      </c>
      <c r="I60" s="23" t="s">
        <v>19</v>
      </c>
      <c r="J60" s="24">
        <v>12870</v>
      </c>
      <c r="K60" s="21" t="s">
        <v>19</v>
      </c>
      <c r="L60" s="25"/>
      <c r="M60" s="25"/>
      <c r="N60" s="22"/>
      <c r="O60" s="23" t="s">
        <v>19</v>
      </c>
      <c r="P60" s="20">
        <f>(C60+(E60*F60*H60))-N60</f>
        <v>5</v>
      </c>
      <c r="Q60" s="23" t="s">
        <v>19</v>
      </c>
      <c r="R60" s="24">
        <f>P60*(J60-(J60*L60)-((J60-(J60*L60))*M60))</f>
        <v>64350</v>
      </c>
      <c r="S60" s="24">
        <f t="shared" si="40"/>
        <v>57972.972972972966</v>
      </c>
    </row>
    <row r="61" spans="1:19" s="93" customFormat="1">
      <c r="A61" s="85"/>
      <c r="C61" s="94"/>
      <c r="D61" s="95"/>
      <c r="E61" s="96"/>
      <c r="F61" s="97"/>
      <c r="G61" s="98"/>
      <c r="H61" s="97"/>
      <c r="I61" s="98"/>
      <c r="J61" s="99"/>
      <c r="K61" s="95"/>
      <c r="L61" s="100"/>
      <c r="M61" s="100"/>
      <c r="N61" s="97"/>
      <c r="O61" s="101"/>
      <c r="P61" s="94"/>
      <c r="Q61" s="98"/>
      <c r="R61" s="99"/>
      <c r="S61" s="99"/>
    </row>
    <row r="62" spans="1:19">
      <c r="A62" s="15" t="s">
        <v>841</v>
      </c>
      <c r="S62" s="16"/>
    </row>
    <row r="63" spans="1:19" s="83" customFormat="1">
      <c r="A63" s="85" t="s">
        <v>842</v>
      </c>
      <c r="B63" s="83" t="s">
        <v>699</v>
      </c>
      <c r="C63" s="86">
        <v>80</v>
      </c>
      <c r="D63" s="87" t="s">
        <v>98</v>
      </c>
      <c r="E63" s="88">
        <v>21</v>
      </c>
      <c r="F63" s="89">
        <v>1</v>
      </c>
      <c r="G63" s="90" t="s">
        <v>20</v>
      </c>
      <c r="H63" s="89">
        <v>20</v>
      </c>
      <c r="I63" s="90" t="s">
        <v>98</v>
      </c>
      <c r="J63" s="91">
        <v>14900</v>
      </c>
      <c r="K63" s="87" t="s">
        <v>98</v>
      </c>
      <c r="L63" s="92"/>
      <c r="M63" s="92"/>
      <c r="N63" s="89"/>
      <c r="O63" s="90" t="s">
        <v>98</v>
      </c>
      <c r="P63" s="86">
        <f>(C63+(E63*F63*H63))-N63</f>
        <v>500</v>
      </c>
      <c r="Q63" s="90" t="s">
        <v>98</v>
      </c>
      <c r="R63" s="91">
        <f>P63*(J63-(J63*L63)-((J63-(J63*L63))*M63))</f>
        <v>7450000</v>
      </c>
      <c r="S63" s="91">
        <f t="shared" ref="S63:S64" si="41">R63/1.11</f>
        <v>6711711.7117117113</v>
      </c>
    </row>
    <row r="64" spans="1:19" s="83" customFormat="1">
      <c r="A64" s="85" t="s">
        <v>843</v>
      </c>
      <c r="B64" s="83" t="s">
        <v>699</v>
      </c>
      <c r="C64" s="86">
        <v>20</v>
      </c>
      <c r="D64" s="87" t="s">
        <v>98</v>
      </c>
      <c r="E64" s="88">
        <v>38</v>
      </c>
      <c r="F64" s="89">
        <v>1</v>
      </c>
      <c r="G64" s="90" t="s">
        <v>20</v>
      </c>
      <c r="H64" s="89">
        <v>10</v>
      </c>
      <c r="I64" s="90" t="s">
        <v>98</v>
      </c>
      <c r="J64" s="91">
        <v>29900</v>
      </c>
      <c r="K64" s="87" t="s">
        <v>98</v>
      </c>
      <c r="L64" s="92"/>
      <c r="M64" s="92"/>
      <c r="N64" s="89"/>
      <c r="O64" s="90" t="s">
        <v>98</v>
      </c>
      <c r="P64" s="86">
        <f>(C64+(E64*F64*H64))-N64</f>
        <v>400</v>
      </c>
      <c r="Q64" s="90" t="s">
        <v>98</v>
      </c>
      <c r="R64" s="91">
        <f>P64*(J64-(J64*L64)-((J64-(J64*L64))*M64))</f>
        <v>11960000</v>
      </c>
      <c r="S64" s="91">
        <f t="shared" si="41"/>
        <v>10774774.774774773</v>
      </c>
    </row>
    <row r="65" spans="1:21" s="83" customFormat="1">
      <c r="A65" s="85"/>
      <c r="C65" s="86"/>
      <c r="D65" s="87"/>
      <c r="E65" s="88"/>
      <c r="F65" s="89"/>
      <c r="G65" s="90"/>
      <c r="H65" s="89"/>
      <c r="I65" s="90"/>
      <c r="J65" s="91"/>
      <c r="K65" s="87"/>
      <c r="L65" s="92"/>
      <c r="M65" s="92"/>
      <c r="N65" s="89"/>
      <c r="O65" s="90"/>
      <c r="P65" s="86"/>
      <c r="Q65" s="90"/>
      <c r="R65" s="91"/>
      <c r="S65" s="91"/>
    </row>
    <row r="66" spans="1:21" s="83" customFormat="1">
      <c r="A66" s="15" t="s">
        <v>1019</v>
      </c>
      <c r="C66" s="86"/>
      <c r="D66" s="87"/>
      <c r="E66" s="88"/>
      <c r="F66" s="89"/>
      <c r="G66" s="90"/>
      <c r="H66" s="89"/>
      <c r="I66" s="90"/>
      <c r="J66" s="91"/>
      <c r="K66" s="87"/>
      <c r="L66" s="92"/>
      <c r="M66" s="92"/>
      <c r="N66" s="89"/>
      <c r="O66" s="90"/>
      <c r="P66" s="86"/>
      <c r="Q66" s="90"/>
      <c r="R66" s="91"/>
      <c r="S66" s="91"/>
    </row>
    <row r="67" spans="1:21" s="83" customFormat="1">
      <c r="A67" s="85" t="s">
        <v>1017</v>
      </c>
      <c r="B67" s="83" t="s">
        <v>171</v>
      </c>
      <c r="C67" s="86"/>
      <c r="D67" s="87"/>
      <c r="E67" s="88">
        <v>3</v>
      </c>
      <c r="F67" s="89">
        <v>1</v>
      </c>
      <c r="G67" s="90" t="s">
        <v>20</v>
      </c>
      <c r="H67" s="89">
        <v>96</v>
      </c>
      <c r="I67" s="90" t="s">
        <v>831</v>
      </c>
      <c r="J67" s="91">
        <v>16500</v>
      </c>
      <c r="K67" s="87" t="s">
        <v>831</v>
      </c>
      <c r="L67" s="92">
        <v>7.0000000000000007E-2</v>
      </c>
      <c r="M67" s="92"/>
      <c r="N67" s="89"/>
      <c r="O67" s="90" t="s">
        <v>831</v>
      </c>
      <c r="P67" s="86">
        <f>(C67+(E67*F67*H67))-N67</f>
        <v>288</v>
      </c>
      <c r="Q67" s="90" t="s">
        <v>98</v>
      </c>
      <c r="R67" s="91">
        <f>P67*(J67-(J67*L67)-((J67-(J67*L67))*M67))</f>
        <v>4419360</v>
      </c>
      <c r="S67" s="91">
        <f t="shared" ref="S67" si="42">R67/1.11</f>
        <v>3981405.405405405</v>
      </c>
    </row>
    <row r="68" spans="1:21" s="83" customFormat="1">
      <c r="A68" s="85" t="s">
        <v>1018</v>
      </c>
      <c r="B68" s="83" t="s">
        <v>171</v>
      </c>
      <c r="C68" s="86"/>
      <c r="D68" s="87"/>
      <c r="E68" s="88">
        <v>3</v>
      </c>
      <c r="F68" s="89">
        <v>1</v>
      </c>
      <c r="G68" s="90" t="s">
        <v>20</v>
      </c>
      <c r="H68" s="89">
        <v>96</v>
      </c>
      <c r="I68" s="90" t="s">
        <v>831</v>
      </c>
      <c r="J68" s="91">
        <v>16500</v>
      </c>
      <c r="K68" s="87" t="s">
        <v>831</v>
      </c>
      <c r="L68" s="92">
        <v>7.0000000000000007E-2</v>
      </c>
      <c r="M68" s="92"/>
      <c r="N68" s="89"/>
      <c r="O68" s="90" t="s">
        <v>831</v>
      </c>
      <c r="P68" s="86">
        <f>(C68+(E68*F68*H68))-N68</f>
        <v>288</v>
      </c>
      <c r="Q68" s="90" t="s">
        <v>98</v>
      </c>
      <c r="R68" s="91">
        <f>P68*(J68-(J68*L68)-((J68-(J68*L68))*M68))</f>
        <v>4419360</v>
      </c>
      <c r="S68" s="91">
        <f t="shared" ref="S68" si="43">R68/1.11</f>
        <v>3981405.405405405</v>
      </c>
    </row>
    <row r="69" spans="1:21" s="83" customFormat="1">
      <c r="A69" s="85"/>
      <c r="C69" s="86"/>
      <c r="D69" s="87"/>
      <c r="E69" s="88"/>
      <c r="F69" s="89"/>
      <c r="G69" s="90"/>
      <c r="H69" s="89"/>
      <c r="I69" s="90"/>
      <c r="J69" s="91"/>
      <c r="K69" s="87"/>
      <c r="L69" s="92"/>
      <c r="M69" s="92"/>
      <c r="N69" s="89"/>
      <c r="O69" s="90"/>
      <c r="P69" s="86"/>
      <c r="Q69" s="90"/>
      <c r="R69" s="91"/>
      <c r="S69" s="91"/>
    </row>
    <row r="70" spans="1:21" s="83" customFormat="1">
      <c r="A70" s="15" t="s">
        <v>1020</v>
      </c>
      <c r="C70" s="86"/>
      <c r="D70" s="87"/>
      <c r="E70" s="88"/>
      <c r="F70" s="89"/>
      <c r="G70" s="90"/>
      <c r="H70" s="89"/>
      <c r="I70" s="90"/>
      <c r="J70" s="91"/>
      <c r="K70" s="87"/>
      <c r="L70" s="92"/>
      <c r="M70" s="92"/>
      <c r="N70" s="89"/>
      <c r="O70" s="90"/>
      <c r="P70" s="86"/>
      <c r="Q70" s="90"/>
      <c r="R70" s="91"/>
      <c r="S70" s="91"/>
    </row>
    <row r="71" spans="1:21" s="83" customFormat="1">
      <c r="A71" s="85" t="s">
        <v>1021</v>
      </c>
      <c r="B71" s="83" t="s">
        <v>171</v>
      </c>
      <c r="C71" s="86"/>
      <c r="D71" s="87"/>
      <c r="E71" s="88">
        <v>3</v>
      </c>
      <c r="F71" s="89">
        <v>1</v>
      </c>
      <c r="G71" s="90" t="s">
        <v>20</v>
      </c>
      <c r="H71" s="89">
        <v>160</v>
      </c>
      <c r="I71" s="90" t="s">
        <v>831</v>
      </c>
      <c r="J71" s="91">
        <v>10000</v>
      </c>
      <c r="K71" s="87" t="s">
        <v>831</v>
      </c>
      <c r="L71" s="92">
        <v>7.0000000000000007E-2</v>
      </c>
      <c r="M71" s="92"/>
      <c r="N71" s="89"/>
      <c r="O71" s="90" t="s">
        <v>831</v>
      </c>
      <c r="P71" s="86">
        <f>(C71+(E71*F71*H71))-N71</f>
        <v>480</v>
      </c>
      <c r="Q71" s="90" t="s">
        <v>98</v>
      </c>
      <c r="R71" s="91">
        <f>P71*(J71-(J71*L71)-((J71-(J71*L71))*M71))</f>
        <v>4464000</v>
      </c>
      <c r="S71" s="91">
        <f t="shared" ref="S71" si="44">R71/1.11</f>
        <v>4021621.6216216213</v>
      </c>
    </row>
    <row r="72" spans="1:21" s="83" customFormat="1">
      <c r="A72" s="85" t="s">
        <v>1022</v>
      </c>
      <c r="B72" s="83" t="s">
        <v>171</v>
      </c>
      <c r="C72" s="86"/>
      <c r="D72" s="87"/>
      <c r="E72" s="88">
        <v>3</v>
      </c>
      <c r="F72" s="89">
        <v>1</v>
      </c>
      <c r="G72" s="90" t="s">
        <v>20</v>
      </c>
      <c r="H72" s="89">
        <v>160</v>
      </c>
      <c r="I72" s="90" t="s">
        <v>831</v>
      </c>
      <c r="J72" s="91">
        <v>10000</v>
      </c>
      <c r="K72" s="87" t="s">
        <v>831</v>
      </c>
      <c r="L72" s="92">
        <v>7.0000000000000007E-2</v>
      </c>
      <c r="M72" s="92"/>
      <c r="N72" s="89"/>
      <c r="O72" s="90" t="s">
        <v>831</v>
      </c>
      <c r="P72" s="86">
        <f t="shared" ref="P72:P73" si="45">(C72+(E72*F72*H72))-N72</f>
        <v>480</v>
      </c>
      <c r="Q72" s="90" t="s">
        <v>98</v>
      </c>
      <c r="R72" s="91">
        <f t="shared" ref="R72:R73" si="46">P72*(J72-(J72*L72)-((J72-(J72*L72))*M72))</f>
        <v>4464000</v>
      </c>
      <c r="S72" s="91">
        <f t="shared" ref="S72:S73" si="47">R72/1.11</f>
        <v>4021621.6216216213</v>
      </c>
    </row>
    <row r="73" spans="1:21" s="83" customFormat="1">
      <c r="A73" s="85" t="s">
        <v>1023</v>
      </c>
      <c r="B73" s="83" t="s">
        <v>171</v>
      </c>
      <c r="C73" s="86"/>
      <c r="D73" s="87"/>
      <c r="E73" s="88">
        <v>3</v>
      </c>
      <c r="F73" s="89">
        <v>1</v>
      </c>
      <c r="G73" s="90" t="s">
        <v>20</v>
      </c>
      <c r="H73" s="89">
        <v>160</v>
      </c>
      <c r="I73" s="90" t="s">
        <v>831</v>
      </c>
      <c r="J73" s="91">
        <v>10000</v>
      </c>
      <c r="K73" s="87" t="s">
        <v>831</v>
      </c>
      <c r="L73" s="92">
        <v>7.0000000000000007E-2</v>
      </c>
      <c r="M73" s="92"/>
      <c r="N73" s="89"/>
      <c r="O73" s="90" t="s">
        <v>831</v>
      </c>
      <c r="P73" s="86">
        <f t="shared" si="45"/>
        <v>480</v>
      </c>
      <c r="Q73" s="90" t="s">
        <v>98</v>
      </c>
      <c r="R73" s="91">
        <f t="shared" si="46"/>
        <v>4464000</v>
      </c>
      <c r="S73" s="91">
        <f t="shared" si="47"/>
        <v>4021621.6216216213</v>
      </c>
    </row>
    <row r="74" spans="1:21" s="19" customFormat="1">
      <c r="A74" s="18"/>
      <c r="C74" s="20"/>
      <c r="D74" s="21"/>
      <c r="E74" s="26"/>
      <c r="F74" s="22"/>
      <c r="G74" s="23"/>
      <c r="H74" s="22"/>
      <c r="I74" s="23"/>
      <c r="J74" s="24"/>
      <c r="K74" s="21"/>
      <c r="L74" s="25"/>
      <c r="M74" s="25"/>
      <c r="N74" s="22"/>
      <c r="O74" s="23"/>
      <c r="P74" s="20"/>
      <c r="Q74" s="23"/>
      <c r="R74" s="24"/>
      <c r="S74" s="24"/>
    </row>
    <row r="75" spans="1:21" s="19" customFormat="1" ht="15.75">
      <c r="A75" s="35" t="s">
        <v>43</v>
      </c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21" s="19" customFormat="1">
      <c r="A76" s="75" t="s">
        <v>44</v>
      </c>
      <c r="B76" s="76" t="s">
        <v>45</v>
      </c>
      <c r="C76" s="74"/>
      <c r="D76" s="77" t="s">
        <v>19</v>
      </c>
      <c r="E76" s="78"/>
      <c r="F76" s="79">
        <v>2</v>
      </c>
      <c r="G76" s="80" t="s">
        <v>33</v>
      </c>
      <c r="H76" s="79">
        <v>20</v>
      </c>
      <c r="I76" s="80" t="s">
        <v>19</v>
      </c>
      <c r="J76" s="81">
        <v>64000</v>
      </c>
      <c r="K76" s="77" t="s">
        <v>19</v>
      </c>
      <c r="L76" s="82">
        <v>0.125</v>
      </c>
      <c r="M76" s="82">
        <v>0.05</v>
      </c>
      <c r="N76" s="79"/>
      <c r="O76" s="80" t="s">
        <v>19</v>
      </c>
      <c r="P76" s="74">
        <f t="shared" ref="P76:P125" si="48">(C76+(E76*F76*H76))-N76</f>
        <v>0</v>
      </c>
      <c r="Q76" s="80" t="s">
        <v>19</v>
      </c>
      <c r="R76" s="81">
        <f t="shared" ref="R76:R125" si="49">P76*(J76-(J76*L76)-((J76-(J76*L76))*M76))</f>
        <v>0</v>
      </c>
      <c r="S76" s="81">
        <f t="shared" ref="S76:S125" si="50">R76/1.11</f>
        <v>0</v>
      </c>
      <c r="T76" s="76"/>
      <c r="U76" s="76"/>
    </row>
    <row r="77" spans="1:21" s="93" customFormat="1">
      <c r="A77" s="18" t="s">
        <v>46</v>
      </c>
      <c r="B77" s="19" t="s">
        <v>45</v>
      </c>
      <c r="C77" s="20">
        <v>35</v>
      </c>
      <c r="D77" s="21" t="s">
        <v>19</v>
      </c>
      <c r="E77" s="26">
        <v>5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48"/>
        <v>635</v>
      </c>
      <c r="Q77" s="23" t="s">
        <v>19</v>
      </c>
      <c r="R77" s="24">
        <f t="shared" si="49"/>
        <v>24808656.25</v>
      </c>
      <c r="S77" s="24">
        <f t="shared" si="50"/>
        <v>22350140.765765764</v>
      </c>
      <c r="T77" s="19"/>
      <c r="U77" s="19"/>
    </row>
    <row r="78" spans="1:21" s="19" customFormat="1">
      <c r="A78" s="128" t="s">
        <v>47</v>
      </c>
      <c r="B78" s="19" t="s">
        <v>45</v>
      </c>
      <c r="C78" s="20"/>
      <c r="D78" s="21" t="s">
        <v>19</v>
      </c>
      <c r="E78" s="26">
        <v>7</v>
      </c>
      <c r="F78" s="22">
        <v>6</v>
      </c>
      <c r="G78" s="23" t="s">
        <v>33</v>
      </c>
      <c r="H78" s="22">
        <v>20</v>
      </c>
      <c r="I78" s="23" t="s">
        <v>19</v>
      </c>
      <c r="J78" s="24">
        <v>47000</v>
      </c>
      <c r="K78" s="21" t="s">
        <v>19</v>
      </c>
      <c r="L78" s="25">
        <v>0.125</v>
      </c>
      <c r="M78" s="127">
        <v>0.05</v>
      </c>
      <c r="N78" s="22"/>
      <c r="O78" s="23" t="s">
        <v>19</v>
      </c>
      <c r="P78" s="20">
        <f t="shared" si="48"/>
        <v>840</v>
      </c>
      <c r="Q78" s="23" t="s">
        <v>19</v>
      </c>
      <c r="R78" s="24">
        <f t="shared" si="49"/>
        <v>32817750</v>
      </c>
      <c r="S78" s="24">
        <f t="shared" si="50"/>
        <v>29565540.540540539</v>
      </c>
    </row>
    <row r="79" spans="1:21" s="93" customFormat="1">
      <c r="A79" s="128" t="s">
        <v>47</v>
      </c>
      <c r="B79" s="19" t="s">
        <v>45</v>
      </c>
      <c r="C79" s="20"/>
      <c r="D79" s="21" t="s">
        <v>19</v>
      </c>
      <c r="E79" s="26">
        <v>3</v>
      </c>
      <c r="F79" s="22">
        <v>6</v>
      </c>
      <c r="G79" s="23" t="s">
        <v>33</v>
      </c>
      <c r="H79" s="22">
        <v>20</v>
      </c>
      <c r="I79" s="23" t="s">
        <v>19</v>
      </c>
      <c r="J79" s="24">
        <v>47000</v>
      </c>
      <c r="K79" s="21" t="s">
        <v>19</v>
      </c>
      <c r="L79" s="25">
        <v>0.125</v>
      </c>
      <c r="M79" s="127">
        <v>0.1</v>
      </c>
      <c r="N79" s="22"/>
      <c r="O79" s="23" t="s">
        <v>19</v>
      </c>
      <c r="P79" s="20">
        <f t="shared" si="48"/>
        <v>360</v>
      </c>
      <c r="Q79" s="23" t="s">
        <v>19</v>
      </c>
      <c r="R79" s="24">
        <f t="shared" si="49"/>
        <v>13324500</v>
      </c>
      <c r="S79" s="24">
        <f t="shared" si="50"/>
        <v>12004054.054054054</v>
      </c>
      <c r="T79" s="19"/>
      <c r="U79" s="19"/>
    </row>
    <row r="80" spans="1:21" s="76" customFormat="1">
      <c r="A80" s="85" t="s">
        <v>48</v>
      </c>
      <c r="B80" s="93" t="s">
        <v>45</v>
      </c>
      <c r="C80" s="94"/>
      <c r="D80" s="95" t="s">
        <v>19</v>
      </c>
      <c r="E80" s="96">
        <v>1</v>
      </c>
      <c r="F80" s="97">
        <v>6</v>
      </c>
      <c r="G80" s="98" t="s">
        <v>33</v>
      </c>
      <c r="H80" s="97">
        <v>20</v>
      </c>
      <c r="I80" s="98" t="s">
        <v>19</v>
      </c>
      <c r="J80" s="99">
        <v>49000</v>
      </c>
      <c r="K80" s="95" t="s">
        <v>19</v>
      </c>
      <c r="L80" s="100">
        <v>0.125</v>
      </c>
      <c r="M80" s="100">
        <v>0.05</v>
      </c>
      <c r="N80" s="97"/>
      <c r="O80" s="98" t="s">
        <v>19</v>
      </c>
      <c r="P80" s="94">
        <f t="shared" si="48"/>
        <v>120</v>
      </c>
      <c r="Q80" s="98" t="s">
        <v>19</v>
      </c>
      <c r="R80" s="99">
        <f t="shared" si="49"/>
        <v>4887750</v>
      </c>
      <c r="S80" s="99">
        <f t="shared" si="50"/>
        <v>4403378.3783783782</v>
      </c>
      <c r="T80" s="93"/>
      <c r="U80" s="93"/>
    </row>
    <row r="81" spans="1:21" s="19" customFormat="1">
      <c r="A81" s="129" t="s">
        <v>49</v>
      </c>
      <c r="B81" s="93" t="s">
        <v>45</v>
      </c>
      <c r="C81" s="94"/>
      <c r="D81" s="95" t="s">
        <v>19</v>
      </c>
      <c r="E81" s="96">
        <v>5</v>
      </c>
      <c r="F81" s="97">
        <v>4</v>
      </c>
      <c r="G81" s="98" t="s">
        <v>33</v>
      </c>
      <c r="H81" s="97">
        <v>20</v>
      </c>
      <c r="I81" s="98" t="s">
        <v>19</v>
      </c>
      <c r="J81" s="99">
        <v>56000</v>
      </c>
      <c r="K81" s="95" t="s">
        <v>19</v>
      </c>
      <c r="L81" s="100">
        <v>0.125</v>
      </c>
      <c r="M81" s="130">
        <v>0.1</v>
      </c>
      <c r="N81" s="97"/>
      <c r="O81" s="98" t="s">
        <v>19</v>
      </c>
      <c r="P81" s="20">
        <f t="shared" si="48"/>
        <v>400</v>
      </c>
      <c r="Q81" s="98" t="s">
        <v>19</v>
      </c>
      <c r="R81" s="24">
        <f t="shared" si="49"/>
        <v>17640000</v>
      </c>
      <c r="S81" s="24">
        <f t="shared" si="50"/>
        <v>15891891.891891891</v>
      </c>
      <c r="T81" s="93"/>
      <c r="U81" s="93"/>
    </row>
    <row r="82" spans="1:21" s="19" customFormat="1">
      <c r="A82" s="128" t="s">
        <v>49</v>
      </c>
      <c r="B82" s="19" t="s">
        <v>45</v>
      </c>
      <c r="C82" s="20"/>
      <c r="D82" s="21" t="s">
        <v>19</v>
      </c>
      <c r="E82" s="26">
        <v>1</v>
      </c>
      <c r="F82" s="22">
        <v>4</v>
      </c>
      <c r="G82" s="23" t="s">
        <v>33</v>
      </c>
      <c r="H82" s="22">
        <v>20</v>
      </c>
      <c r="I82" s="23" t="s">
        <v>19</v>
      </c>
      <c r="J82" s="24">
        <v>56000</v>
      </c>
      <c r="K82" s="21" t="s">
        <v>19</v>
      </c>
      <c r="L82" s="25">
        <v>0.125</v>
      </c>
      <c r="M82" s="127">
        <v>0.05</v>
      </c>
      <c r="N82" s="22"/>
      <c r="O82" s="23" t="s">
        <v>19</v>
      </c>
      <c r="P82" s="20">
        <f t="shared" si="48"/>
        <v>80</v>
      </c>
      <c r="Q82" s="23" t="s">
        <v>19</v>
      </c>
      <c r="R82" s="24">
        <f t="shared" si="49"/>
        <v>3724000</v>
      </c>
      <c r="S82" s="24">
        <f t="shared" si="50"/>
        <v>3354954.9549549548</v>
      </c>
    </row>
    <row r="83" spans="1:21" s="19" customFormat="1">
      <c r="A83" s="28" t="s">
        <v>50</v>
      </c>
      <c r="B83" s="19" t="s">
        <v>45</v>
      </c>
      <c r="C83" s="20">
        <v>55</v>
      </c>
      <c r="D83" s="21" t="s">
        <v>19</v>
      </c>
      <c r="E83" s="26">
        <v>3</v>
      </c>
      <c r="F83" s="22">
        <v>6</v>
      </c>
      <c r="G83" s="23" t="s">
        <v>33</v>
      </c>
      <c r="H83" s="22">
        <v>20</v>
      </c>
      <c r="I83" s="23" t="s">
        <v>19</v>
      </c>
      <c r="J83" s="24">
        <v>47000</v>
      </c>
      <c r="K83" s="21" t="s">
        <v>19</v>
      </c>
      <c r="L83" s="25">
        <v>0.125</v>
      </c>
      <c r="M83" s="30">
        <v>0.05</v>
      </c>
      <c r="N83" s="22"/>
      <c r="O83" s="23" t="s">
        <v>19</v>
      </c>
      <c r="P83" s="20">
        <f t="shared" si="48"/>
        <v>415</v>
      </c>
      <c r="Q83" s="23" t="s">
        <v>19</v>
      </c>
      <c r="R83" s="24">
        <f t="shared" si="49"/>
        <v>16213531.25</v>
      </c>
      <c r="S83" s="24">
        <f t="shared" si="50"/>
        <v>14606784.909909908</v>
      </c>
    </row>
    <row r="84" spans="1:21" s="93" customFormat="1">
      <c r="A84" s="28" t="s">
        <v>50</v>
      </c>
      <c r="B84" s="19" t="s">
        <v>45</v>
      </c>
      <c r="C84" s="20"/>
      <c r="D84" s="21" t="s">
        <v>19</v>
      </c>
      <c r="E84" s="26">
        <v>3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30">
        <v>0.1</v>
      </c>
      <c r="N84" s="22"/>
      <c r="O84" s="23" t="s">
        <v>19</v>
      </c>
      <c r="P84" s="20">
        <f t="shared" si="48"/>
        <v>360</v>
      </c>
      <c r="Q84" s="23" t="s">
        <v>19</v>
      </c>
      <c r="R84" s="24">
        <f t="shared" si="49"/>
        <v>13324500</v>
      </c>
      <c r="S84" s="24">
        <f t="shared" si="50"/>
        <v>12004054.054054054</v>
      </c>
      <c r="T84" s="19"/>
      <c r="U84" s="19"/>
    </row>
    <row r="85" spans="1:21" s="93" customFormat="1">
      <c r="A85" s="18" t="s">
        <v>808</v>
      </c>
      <c r="B85" s="19" t="s">
        <v>45</v>
      </c>
      <c r="C85" s="20"/>
      <c r="D85" s="21" t="s">
        <v>19</v>
      </c>
      <c r="E85" s="26">
        <v>2</v>
      </c>
      <c r="F85" s="22">
        <v>4</v>
      </c>
      <c r="G85" s="23" t="s">
        <v>33</v>
      </c>
      <c r="H85" s="22">
        <v>20</v>
      </c>
      <c r="I85" s="23" t="s">
        <v>19</v>
      </c>
      <c r="J85" s="24">
        <v>60000</v>
      </c>
      <c r="K85" s="21" t="s">
        <v>19</v>
      </c>
      <c r="L85" s="25">
        <v>0.125</v>
      </c>
      <c r="M85" s="25">
        <v>0.1</v>
      </c>
      <c r="N85" s="22"/>
      <c r="O85" s="23" t="s">
        <v>19</v>
      </c>
      <c r="P85" s="20">
        <f t="shared" si="48"/>
        <v>160</v>
      </c>
      <c r="Q85" s="23" t="s">
        <v>19</v>
      </c>
      <c r="R85" s="24">
        <f t="shared" si="49"/>
        <v>7560000</v>
      </c>
      <c r="S85" s="24">
        <f t="shared" si="50"/>
        <v>6810810.81081081</v>
      </c>
      <c r="T85" s="19"/>
      <c r="U85" s="19"/>
    </row>
    <row r="86" spans="1:21" s="19" customFormat="1">
      <c r="A86" s="75" t="s">
        <v>51</v>
      </c>
      <c r="B86" s="76" t="s">
        <v>45</v>
      </c>
      <c r="C86" s="74"/>
      <c r="D86" s="77" t="s">
        <v>19</v>
      </c>
      <c r="E86" s="78"/>
      <c r="F86" s="79">
        <v>4</v>
      </c>
      <c r="G86" s="80" t="s">
        <v>33</v>
      </c>
      <c r="H86" s="79">
        <v>40</v>
      </c>
      <c r="I86" s="80" t="s">
        <v>19</v>
      </c>
      <c r="J86" s="81">
        <v>37000</v>
      </c>
      <c r="K86" s="77" t="s">
        <v>19</v>
      </c>
      <c r="L86" s="82">
        <v>0.125</v>
      </c>
      <c r="M86" s="82">
        <v>0.05</v>
      </c>
      <c r="N86" s="79"/>
      <c r="O86" s="80" t="s">
        <v>19</v>
      </c>
      <c r="P86" s="74">
        <f t="shared" si="48"/>
        <v>0</v>
      </c>
      <c r="Q86" s="80" t="s">
        <v>19</v>
      </c>
      <c r="R86" s="81">
        <f t="shared" si="49"/>
        <v>0</v>
      </c>
      <c r="S86" s="81">
        <f t="shared" si="50"/>
        <v>0</v>
      </c>
      <c r="T86" s="76"/>
      <c r="U86" s="76"/>
    </row>
    <row r="87" spans="1:21" s="19" customFormat="1">
      <c r="A87" s="128" t="s">
        <v>52</v>
      </c>
      <c r="B87" s="19" t="s">
        <v>45</v>
      </c>
      <c r="C87" s="20"/>
      <c r="D87" s="21" t="s">
        <v>19</v>
      </c>
      <c r="E87" s="26">
        <v>3</v>
      </c>
      <c r="F87" s="22">
        <v>4</v>
      </c>
      <c r="G87" s="23" t="s">
        <v>33</v>
      </c>
      <c r="H87" s="22">
        <v>20</v>
      </c>
      <c r="I87" s="23" t="s">
        <v>19</v>
      </c>
      <c r="J87" s="24">
        <v>50000</v>
      </c>
      <c r="K87" s="21" t="s">
        <v>19</v>
      </c>
      <c r="L87" s="25">
        <v>0.125</v>
      </c>
      <c r="M87" s="127">
        <v>0.1</v>
      </c>
      <c r="N87" s="22"/>
      <c r="O87" s="23" t="s">
        <v>19</v>
      </c>
      <c r="P87" s="20">
        <f t="shared" si="48"/>
        <v>240</v>
      </c>
      <c r="Q87" s="23" t="s">
        <v>19</v>
      </c>
      <c r="R87" s="24">
        <f t="shared" si="49"/>
        <v>9450000</v>
      </c>
      <c r="S87" s="24">
        <f t="shared" si="50"/>
        <v>8513513.5135135129</v>
      </c>
    </row>
    <row r="88" spans="1:21" s="19" customFormat="1">
      <c r="A88" s="129" t="s">
        <v>52</v>
      </c>
      <c r="B88" s="93" t="s">
        <v>45</v>
      </c>
      <c r="C88" s="94"/>
      <c r="D88" s="95" t="s">
        <v>19</v>
      </c>
      <c r="E88" s="96">
        <v>2</v>
      </c>
      <c r="F88" s="97">
        <v>4</v>
      </c>
      <c r="G88" s="98" t="s">
        <v>33</v>
      </c>
      <c r="H88" s="97">
        <v>20</v>
      </c>
      <c r="I88" s="98" t="s">
        <v>19</v>
      </c>
      <c r="J88" s="99">
        <v>50000</v>
      </c>
      <c r="K88" s="95" t="s">
        <v>19</v>
      </c>
      <c r="L88" s="100">
        <v>0.125</v>
      </c>
      <c r="M88" s="130">
        <v>0.05</v>
      </c>
      <c r="N88" s="97"/>
      <c r="O88" s="98" t="s">
        <v>19</v>
      </c>
      <c r="P88" s="94">
        <f t="shared" si="48"/>
        <v>160</v>
      </c>
      <c r="Q88" s="98" t="s">
        <v>19</v>
      </c>
      <c r="R88" s="99">
        <f t="shared" si="49"/>
        <v>6650000</v>
      </c>
      <c r="S88" s="99">
        <f t="shared" si="50"/>
        <v>5990990.9909909908</v>
      </c>
      <c r="T88" s="93"/>
      <c r="U88" s="93"/>
    </row>
    <row r="89" spans="1:21" s="93" customFormat="1">
      <c r="A89" s="85" t="s">
        <v>766</v>
      </c>
      <c r="B89" s="93" t="s">
        <v>45</v>
      </c>
      <c r="C89" s="94"/>
      <c r="D89" s="95" t="s">
        <v>19</v>
      </c>
      <c r="E89" s="96">
        <v>1</v>
      </c>
      <c r="F89" s="97">
        <v>4</v>
      </c>
      <c r="G89" s="98" t="s">
        <v>33</v>
      </c>
      <c r="H89" s="97">
        <v>20</v>
      </c>
      <c r="I89" s="98" t="s">
        <v>19</v>
      </c>
      <c r="J89" s="99">
        <v>50000</v>
      </c>
      <c r="K89" s="95" t="s">
        <v>19</v>
      </c>
      <c r="L89" s="100">
        <v>0.125</v>
      </c>
      <c r="M89" s="100">
        <v>0.05</v>
      </c>
      <c r="N89" s="97"/>
      <c r="O89" s="98" t="s">
        <v>19</v>
      </c>
      <c r="P89" s="94">
        <f t="shared" si="48"/>
        <v>80</v>
      </c>
      <c r="Q89" s="98" t="s">
        <v>19</v>
      </c>
      <c r="R89" s="99">
        <f t="shared" si="49"/>
        <v>3325000</v>
      </c>
      <c r="S89" s="99">
        <f t="shared" si="50"/>
        <v>2995495.4954954954</v>
      </c>
    </row>
    <row r="90" spans="1:21" s="19" customFormat="1">
      <c r="A90" s="128" t="s">
        <v>53</v>
      </c>
      <c r="B90" s="19" t="s">
        <v>45</v>
      </c>
      <c r="C90" s="20"/>
      <c r="D90" s="21" t="s">
        <v>19</v>
      </c>
      <c r="E90" s="26">
        <v>3</v>
      </c>
      <c r="F90" s="22">
        <v>4</v>
      </c>
      <c r="G90" s="23" t="s">
        <v>33</v>
      </c>
      <c r="H90" s="22">
        <v>20</v>
      </c>
      <c r="I90" s="23" t="s">
        <v>19</v>
      </c>
      <c r="J90" s="24">
        <v>67000</v>
      </c>
      <c r="K90" s="21" t="s">
        <v>19</v>
      </c>
      <c r="L90" s="25">
        <v>0.125</v>
      </c>
      <c r="M90" s="127">
        <v>0.1</v>
      </c>
      <c r="N90" s="22"/>
      <c r="O90" s="23" t="s">
        <v>19</v>
      </c>
      <c r="P90" s="20">
        <f t="shared" ref="P90" si="51">(C90+(E90*F90*H90))-N90</f>
        <v>240</v>
      </c>
      <c r="Q90" s="23" t="s">
        <v>19</v>
      </c>
      <c r="R90" s="24">
        <f t="shared" ref="R90" si="52">P90*(J90-(J90*L90)-((J90-(J90*L90))*M90))</f>
        <v>12663000</v>
      </c>
      <c r="S90" s="24">
        <f t="shared" ref="S90" si="53">R90/1.11</f>
        <v>11408108.108108107</v>
      </c>
    </row>
    <row r="91" spans="1:21" s="19" customFormat="1">
      <c r="A91" s="128" t="s">
        <v>53</v>
      </c>
      <c r="B91" s="19" t="s">
        <v>45</v>
      </c>
      <c r="C91" s="20"/>
      <c r="D91" s="21" t="s">
        <v>19</v>
      </c>
      <c r="E91" s="26">
        <v>1</v>
      </c>
      <c r="F91" s="22">
        <v>4</v>
      </c>
      <c r="G91" s="23" t="s">
        <v>33</v>
      </c>
      <c r="H91" s="22">
        <v>20</v>
      </c>
      <c r="I91" s="23" t="s">
        <v>19</v>
      </c>
      <c r="J91" s="24">
        <v>67000</v>
      </c>
      <c r="K91" s="21" t="s">
        <v>19</v>
      </c>
      <c r="L91" s="25">
        <v>0.125</v>
      </c>
      <c r="M91" s="127">
        <v>0.05</v>
      </c>
      <c r="N91" s="22"/>
      <c r="O91" s="23" t="s">
        <v>19</v>
      </c>
      <c r="P91" s="20">
        <f t="shared" si="48"/>
        <v>80</v>
      </c>
      <c r="Q91" s="23" t="s">
        <v>19</v>
      </c>
      <c r="R91" s="24">
        <f t="shared" si="49"/>
        <v>4455500</v>
      </c>
      <c r="S91" s="24">
        <f t="shared" si="50"/>
        <v>4013963.9639639636</v>
      </c>
    </row>
    <row r="92" spans="1:21" s="19" customFormat="1">
      <c r="A92" s="137" t="s">
        <v>907</v>
      </c>
      <c r="B92" s="138" t="s">
        <v>45</v>
      </c>
      <c r="C92" s="139"/>
      <c r="D92" s="140" t="s">
        <v>19</v>
      </c>
      <c r="E92" s="141">
        <v>1</v>
      </c>
      <c r="F92" s="142">
        <v>4</v>
      </c>
      <c r="G92" s="143" t="s">
        <v>33</v>
      </c>
      <c r="H92" s="142">
        <v>20</v>
      </c>
      <c r="I92" s="143" t="s">
        <v>19</v>
      </c>
      <c r="J92" s="144">
        <v>50000</v>
      </c>
      <c r="K92" s="140" t="s">
        <v>19</v>
      </c>
      <c r="L92" s="145">
        <v>0.125</v>
      </c>
      <c r="M92" s="145">
        <v>0.05</v>
      </c>
      <c r="N92" s="142"/>
      <c r="O92" s="143" t="s">
        <v>19</v>
      </c>
      <c r="P92" s="139">
        <f t="shared" ref="P92" si="54">(C92+(E92*F92*H92))-N92</f>
        <v>80</v>
      </c>
      <c r="Q92" s="143" t="s">
        <v>19</v>
      </c>
      <c r="R92" s="144">
        <f t="shared" ref="R92" si="55">P92*(J92-(J92*L92)-((J92-(J92*L92))*M92))</f>
        <v>3325000</v>
      </c>
      <c r="S92" s="144">
        <f t="shared" ref="S92" si="56">R92/1.11</f>
        <v>2995495.4954954954</v>
      </c>
    </row>
    <row r="93" spans="1:21" s="19" customFormat="1">
      <c r="A93" s="75" t="s">
        <v>765</v>
      </c>
      <c r="B93" s="76" t="s">
        <v>45</v>
      </c>
      <c r="C93" s="74"/>
      <c r="D93" s="77" t="s">
        <v>19</v>
      </c>
      <c r="E93" s="78"/>
      <c r="F93" s="79">
        <v>6</v>
      </c>
      <c r="G93" s="80" t="s">
        <v>33</v>
      </c>
      <c r="H93" s="79">
        <v>10</v>
      </c>
      <c r="I93" s="80" t="s">
        <v>19</v>
      </c>
      <c r="J93" s="81">
        <v>77000</v>
      </c>
      <c r="K93" s="77" t="s">
        <v>19</v>
      </c>
      <c r="L93" s="82">
        <v>0.125</v>
      </c>
      <c r="M93" s="82">
        <v>0.05</v>
      </c>
      <c r="N93" s="79"/>
      <c r="O93" s="80" t="s">
        <v>19</v>
      </c>
      <c r="P93" s="74">
        <f t="shared" si="48"/>
        <v>0</v>
      </c>
      <c r="Q93" s="80" t="s">
        <v>19</v>
      </c>
      <c r="R93" s="81">
        <f t="shared" si="49"/>
        <v>0</v>
      </c>
      <c r="S93" s="81">
        <f t="shared" si="50"/>
        <v>0</v>
      </c>
      <c r="T93" s="76"/>
      <c r="U93" s="76"/>
    </row>
    <row r="94" spans="1:21" s="19" customFormat="1">
      <c r="A94" s="75" t="s">
        <v>54</v>
      </c>
      <c r="B94" s="76" t="s">
        <v>45</v>
      </c>
      <c r="C94" s="74"/>
      <c r="D94" s="77" t="s">
        <v>19</v>
      </c>
      <c r="E94" s="78"/>
      <c r="F94" s="79">
        <v>6</v>
      </c>
      <c r="G94" s="80" t="s">
        <v>33</v>
      </c>
      <c r="H94" s="79">
        <v>10</v>
      </c>
      <c r="I94" s="80" t="s">
        <v>19</v>
      </c>
      <c r="J94" s="81">
        <v>73000</v>
      </c>
      <c r="K94" s="77" t="s">
        <v>19</v>
      </c>
      <c r="L94" s="82">
        <v>0.125</v>
      </c>
      <c r="M94" s="82">
        <v>0.05</v>
      </c>
      <c r="N94" s="79"/>
      <c r="O94" s="80" t="s">
        <v>19</v>
      </c>
      <c r="P94" s="74">
        <f t="shared" si="48"/>
        <v>0</v>
      </c>
      <c r="Q94" s="80" t="s">
        <v>19</v>
      </c>
      <c r="R94" s="81">
        <f t="shared" si="49"/>
        <v>0</v>
      </c>
      <c r="S94" s="81">
        <f t="shared" si="50"/>
        <v>0</v>
      </c>
      <c r="T94" s="76"/>
      <c r="U94" s="76"/>
    </row>
    <row r="95" spans="1:21" s="93" customFormat="1">
      <c r="A95" s="85" t="s">
        <v>55</v>
      </c>
      <c r="B95" s="93" t="s">
        <v>45</v>
      </c>
      <c r="C95" s="94"/>
      <c r="D95" s="95" t="s">
        <v>19</v>
      </c>
      <c r="E95" s="96">
        <v>1</v>
      </c>
      <c r="F95" s="97">
        <v>8</v>
      </c>
      <c r="G95" s="98" t="s">
        <v>33</v>
      </c>
      <c r="H95" s="97">
        <v>10</v>
      </c>
      <c r="I95" s="98" t="s">
        <v>19</v>
      </c>
      <c r="J95" s="99">
        <v>58000</v>
      </c>
      <c r="K95" s="95" t="s">
        <v>19</v>
      </c>
      <c r="L95" s="100">
        <v>0.125</v>
      </c>
      <c r="M95" s="100">
        <v>0.05</v>
      </c>
      <c r="N95" s="97"/>
      <c r="O95" s="98" t="s">
        <v>19</v>
      </c>
      <c r="P95" s="94">
        <f t="shared" ref="P95" si="57">(C95+(E95*F95*H95))-N95</f>
        <v>80</v>
      </c>
      <c r="Q95" s="98" t="s">
        <v>19</v>
      </c>
      <c r="R95" s="99">
        <f t="shared" ref="R95" si="58">P95*(J95-(J95*L95)-((J95-(J95*L95))*M95))</f>
        <v>3857000</v>
      </c>
      <c r="S95" s="99">
        <f t="shared" ref="S95" si="59">R95/1.11</f>
        <v>3474774.7747747744</v>
      </c>
    </row>
    <row r="96" spans="1:21" s="19" customFormat="1">
      <c r="A96" s="18" t="s">
        <v>56</v>
      </c>
      <c r="B96" s="19" t="s">
        <v>45</v>
      </c>
      <c r="C96" s="20">
        <v>112</v>
      </c>
      <c r="D96" s="21" t="s">
        <v>19</v>
      </c>
      <c r="E96" s="26">
        <v>1</v>
      </c>
      <c r="F96" s="22">
        <v>6</v>
      </c>
      <c r="G96" s="23" t="s">
        <v>33</v>
      </c>
      <c r="H96" s="22">
        <v>20</v>
      </c>
      <c r="I96" s="23" t="s">
        <v>19</v>
      </c>
      <c r="J96" s="24">
        <v>47000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si="48"/>
        <v>232</v>
      </c>
      <c r="Q96" s="23" t="s">
        <v>19</v>
      </c>
      <c r="R96" s="24">
        <f t="shared" si="49"/>
        <v>9063950</v>
      </c>
      <c r="S96" s="24">
        <f t="shared" si="50"/>
        <v>8165720.7207207195</v>
      </c>
    </row>
    <row r="97" spans="1:21" s="19" customFormat="1">
      <c r="A97" s="129" t="s">
        <v>57</v>
      </c>
      <c r="B97" s="93" t="s">
        <v>45</v>
      </c>
      <c r="C97" s="94">
        <v>82</v>
      </c>
      <c r="D97" s="95" t="s">
        <v>19</v>
      </c>
      <c r="E97" s="96">
        <v>4</v>
      </c>
      <c r="F97" s="97">
        <v>8</v>
      </c>
      <c r="G97" s="98" t="s">
        <v>33</v>
      </c>
      <c r="H97" s="97">
        <v>20</v>
      </c>
      <c r="I97" s="98" t="s">
        <v>19</v>
      </c>
      <c r="J97" s="99">
        <v>32000</v>
      </c>
      <c r="K97" s="95" t="s">
        <v>19</v>
      </c>
      <c r="L97" s="100">
        <v>0.125</v>
      </c>
      <c r="M97" s="130">
        <v>0.05</v>
      </c>
      <c r="N97" s="97"/>
      <c r="O97" s="98" t="s">
        <v>19</v>
      </c>
      <c r="P97" s="94">
        <f t="shared" si="48"/>
        <v>722</v>
      </c>
      <c r="Q97" s="98" t="s">
        <v>19</v>
      </c>
      <c r="R97" s="99">
        <f t="shared" si="49"/>
        <v>19205200</v>
      </c>
      <c r="S97" s="99">
        <f t="shared" si="50"/>
        <v>17301981.981981982</v>
      </c>
      <c r="T97" s="93"/>
      <c r="U97" s="93"/>
    </row>
    <row r="98" spans="1:21" s="76" customFormat="1">
      <c r="A98" s="128" t="s">
        <v>57</v>
      </c>
      <c r="B98" s="19" t="s">
        <v>45</v>
      </c>
      <c r="C98" s="20"/>
      <c r="D98" s="21" t="s">
        <v>19</v>
      </c>
      <c r="E98" s="26">
        <v>1</v>
      </c>
      <c r="F98" s="22">
        <v>8</v>
      </c>
      <c r="G98" s="23" t="s">
        <v>33</v>
      </c>
      <c r="H98" s="22">
        <v>20</v>
      </c>
      <c r="I98" s="23" t="s">
        <v>19</v>
      </c>
      <c r="J98" s="24">
        <v>32000</v>
      </c>
      <c r="K98" s="21" t="s">
        <v>19</v>
      </c>
      <c r="L98" s="25">
        <v>0.125</v>
      </c>
      <c r="M98" s="127">
        <v>0.1</v>
      </c>
      <c r="N98" s="22"/>
      <c r="O98" s="23" t="s">
        <v>19</v>
      </c>
      <c r="P98" s="20">
        <f t="shared" si="48"/>
        <v>160</v>
      </c>
      <c r="Q98" s="23" t="s">
        <v>19</v>
      </c>
      <c r="R98" s="24">
        <f t="shared" si="49"/>
        <v>4032000</v>
      </c>
      <c r="S98" s="24">
        <f t="shared" si="50"/>
        <v>3632432.4324324322</v>
      </c>
      <c r="T98" s="19"/>
      <c r="U98" s="19"/>
    </row>
    <row r="99" spans="1:21" s="93" customFormat="1">
      <c r="A99" s="103" t="s">
        <v>58</v>
      </c>
      <c r="B99" s="93" t="s">
        <v>45</v>
      </c>
      <c r="C99" s="94">
        <v>3</v>
      </c>
      <c r="D99" s="95" t="s">
        <v>19</v>
      </c>
      <c r="E99" s="96">
        <v>4</v>
      </c>
      <c r="F99" s="97">
        <v>8</v>
      </c>
      <c r="G99" s="98" t="s">
        <v>33</v>
      </c>
      <c r="H99" s="97">
        <v>20</v>
      </c>
      <c r="I99" s="98" t="s">
        <v>19</v>
      </c>
      <c r="J99" s="99">
        <v>27500</v>
      </c>
      <c r="K99" s="95" t="s">
        <v>19</v>
      </c>
      <c r="L99" s="100">
        <v>0.125</v>
      </c>
      <c r="M99" s="105">
        <v>0.05</v>
      </c>
      <c r="N99" s="97"/>
      <c r="O99" s="98" t="s">
        <v>19</v>
      </c>
      <c r="P99" s="94">
        <f t="shared" si="48"/>
        <v>643</v>
      </c>
      <c r="Q99" s="98" t="s">
        <v>19</v>
      </c>
      <c r="R99" s="99">
        <f t="shared" si="49"/>
        <v>14698578.125</v>
      </c>
      <c r="S99" s="99">
        <f t="shared" si="50"/>
        <v>13241962.274774773</v>
      </c>
    </row>
    <row r="100" spans="1:21" s="76" customFormat="1">
      <c r="A100" s="28" t="s">
        <v>58</v>
      </c>
      <c r="B100" s="19" t="s">
        <v>45</v>
      </c>
      <c r="C100" s="20"/>
      <c r="D100" s="21" t="s">
        <v>19</v>
      </c>
      <c r="E100" s="26">
        <v>1</v>
      </c>
      <c r="F100" s="22">
        <v>8</v>
      </c>
      <c r="G100" s="23" t="s">
        <v>33</v>
      </c>
      <c r="H100" s="22">
        <v>20</v>
      </c>
      <c r="I100" s="23" t="s">
        <v>19</v>
      </c>
      <c r="J100" s="24">
        <v>27500</v>
      </c>
      <c r="K100" s="21" t="s">
        <v>19</v>
      </c>
      <c r="L100" s="25">
        <v>0.125</v>
      </c>
      <c r="M100" s="30">
        <v>0.1</v>
      </c>
      <c r="N100" s="22"/>
      <c r="O100" s="23" t="s">
        <v>19</v>
      </c>
      <c r="P100" s="20">
        <f t="shared" si="48"/>
        <v>160</v>
      </c>
      <c r="Q100" s="23" t="s">
        <v>19</v>
      </c>
      <c r="R100" s="24">
        <f t="shared" si="49"/>
        <v>3465000</v>
      </c>
      <c r="S100" s="24">
        <f t="shared" si="50"/>
        <v>3121621.6216216213</v>
      </c>
      <c r="T100" s="19"/>
      <c r="U100" s="19"/>
    </row>
    <row r="101" spans="1:21" s="76" customFormat="1">
      <c r="A101" s="129" t="s">
        <v>59</v>
      </c>
      <c r="B101" s="93" t="s">
        <v>45</v>
      </c>
      <c r="C101" s="94">
        <v>9</v>
      </c>
      <c r="D101" s="95" t="s">
        <v>19</v>
      </c>
      <c r="E101" s="96"/>
      <c r="F101" s="97">
        <v>4</v>
      </c>
      <c r="G101" s="98" t="s">
        <v>33</v>
      </c>
      <c r="H101" s="97">
        <v>20</v>
      </c>
      <c r="I101" s="98" t="s">
        <v>19</v>
      </c>
      <c r="J101" s="131">
        <v>54000</v>
      </c>
      <c r="K101" s="95" t="s">
        <v>19</v>
      </c>
      <c r="L101" s="100">
        <v>0.125</v>
      </c>
      <c r="M101" s="100">
        <v>0.05</v>
      </c>
      <c r="N101" s="97"/>
      <c r="O101" s="98" t="s">
        <v>19</v>
      </c>
      <c r="P101" s="94">
        <f t="shared" si="48"/>
        <v>9</v>
      </c>
      <c r="Q101" s="98" t="s">
        <v>19</v>
      </c>
      <c r="R101" s="99">
        <f t="shared" si="49"/>
        <v>403987.5</v>
      </c>
      <c r="S101" s="99">
        <f t="shared" si="50"/>
        <v>363952.70270270266</v>
      </c>
      <c r="T101" s="93"/>
      <c r="U101" s="93"/>
    </row>
    <row r="102" spans="1:21" s="76" customFormat="1">
      <c r="A102" s="128" t="s">
        <v>59</v>
      </c>
      <c r="B102" s="19" t="s">
        <v>45</v>
      </c>
      <c r="C102" s="20"/>
      <c r="D102" s="21" t="s">
        <v>19</v>
      </c>
      <c r="E102" s="26">
        <v>3</v>
      </c>
      <c r="F102" s="22">
        <v>4</v>
      </c>
      <c r="G102" s="23" t="s">
        <v>33</v>
      </c>
      <c r="H102" s="22">
        <v>20</v>
      </c>
      <c r="I102" s="23" t="s">
        <v>19</v>
      </c>
      <c r="J102" s="132">
        <v>55000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48"/>
        <v>240</v>
      </c>
      <c r="Q102" s="23" t="s">
        <v>19</v>
      </c>
      <c r="R102" s="24">
        <f t="shared" si="49"/>
        <v>10972500</v>
      </c>
      <c r="S102" s="24">
        <f t="shared" si="50"/>
        <v>9885135.1351351347</v>
      </c>
      <c r="T102" s="19"/>
      <c r="U102" s="19"/>
    </row>
    <row r="103" spans="1:21" s="76" customFormat="1">
      <c r="A103" s="28" t="s">
        <v>60</v>
      </c>
      <c r="B103" s="19" t="s">
        <v>45</v>
      </c>
      <c r="C103" s="20"/>
      <c r="D103" s="21" t="s">
        <v>19</v>
      </c>
      <c r="E103" s="26">
        <v>2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74000</v>
      </c>
      <c r="K103" s="21" t="s">
        <v>19</v>
      </c>
      <c r="L103" s="25">
        <v>0.125</v>
      </c>
      <c r="M103" s="30">
        <v>0.1</v>
      </c>
      <c r="N103" s="22"/>
      <c r="O103" s="23" t="s">
        <v>19</v>
      </c>
      <c r="P103" s="20">
        <f t="shared" si="48"/>
        <v>120</v>
      </c>
      <c r="Q103" s="23" t="s">
        <v>19</v>
      </c>
      <c r="R103" s="24">
        <f t="shared" si="49"/>
        <v>6993000</v>
      </c>
      <c r="S103" s="24">
        <f t="shared" si="50"/>
        <v>6299999.9999999991</v>
      </c>
      <c r="T103" s="19"/>
      <c r="U103" s="19"/>
    </row>
    <row r="104" spans="1:21" s="76" customFormat="1">
      <c r="A104" s="28" t="s">
        <v>60</v>
      </c>
      <c r="B104" s="19" t="s">
        <v>45</v>
      </c>
      <c r="C104" s="20">
        <v>20</v>
      </c>
      <c r="D104" s="21" t="s">
        <v>19</v>
      </c>
      <c r="E104" s="26">
        <v>3</v>
      </c>
      <c r="F104" s="22">
        <v>6</v>
      </c>
      <c r="G104" s="23" t="s">
        <v>33</v>
      </c>
      <c r="H104" s="22">
        <v>10</v>
      </c>
      <c r="I104" s="23" t="s">
        <v>19</v>
      </c>
      <c r="J104" s="24">
        <v>74000</v>
      </c>
      <c r="K104" s="21" t="s">
        <v>19</v>
      </c>
      <c r="L104" s="25">
        <v>0.125</v>
      </c>
      <c r="M104" s="30">
        <v>0.05</v>
      </c>
      <c r="N104" s="22"/>
      <c r="O104" s="23" t="s">
        <v>19</v>
      </c>
      <c r="P104" s="20">
        <f t="shared" si="48"/>
        <v>200</v>
      </c>
      <c r="Q104" s="23" t="s">
        <v>19</v>
      </c>
      <c r="R104" s="24">
        <f t="shared" si="49"/>
        <v>12302500</v>
      </c>
      <c r="S104" s="24">
        <f t="shared" si="50"/>
        <v>11083333.333333332</v>
      </c>
      <c r="T104" s="19"/>
      <c r="U104" s="19"/>
    </row>
    <row r="105" spans="1:21" s="19" customFormat="1">
      <c r="A105" s="129" t="s">
        <v>61</v>
      </c>
      <c r="B105" s="93" t="s">
        <v>45</v>
      </c>
      <c r="C105" s="94">
        <v>4</v>
      </c>
      <c r="D105" s="95" t="s">
        <v>19</v>
      </c>
      <c r="E105" s="96"/>
      <c r="F105" s="97">
        <v>6</v>
      </c>
      <c r="G105" s="98" t="s">
        <v>33</v>
      </c>
      <c r="H105" s="97">
        <v>20</v>
      </c>
      <c r="I105" s="98" t="s">
        <v>19</v>
      </c>
      <c r="J105" s="99">
        <v>52000</v>
      </c>
      <c r="K105" s="95" t="s">
        <v>19</v>
      </c>
      <c r="L105" s="100">
        <v>0.125</v>
      </c>
      <c r="M105" s="130">
        <v>0.1</v>
      </c>
      <c r="N105" s="97"/>
      <c r="O105" s="98" t="s">
        <v>19</v>
      </c>
      <c r="P105" s="94">
        <f t="shared" si="48"/>
        <v>4</v>
      </c>
      <c r="Q105" s="98" t="s">
        <v>19</v>
      </c>
      <c r="R105" s="99">
        <f t="shared" si="49"/>
        <v>163800</v>
      </c>
      <c r="S105" s="99">
        <f t="shared" si="50"/>
        <v>147567.56756756754</v>
      </c>
      <c r="T105" s="93"/>
      <c r="U105" s="93"/>
    </row>
    <row r="106" spans="1:21" s="93" customFormat="1">
      <c r="A106" s="128" t="s">
        <v>61</v>
      </c>
      <c r="B106" s="19" t="s">
        <v>45</v>
      </c>
      <c r="C106" s="20"/>
      <c r="D106" s="21" t="s">
        <v>19</v>
      </c>
      <c r="E106" s="26">
        <v>2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52000</v>
      </c>
      <c r="K106" s="21" t="s">
        <v>19</v>
      </c>
      <c r="L106" s="25">
        <v>0.125</v>
      </c>
      <c r="M106" s="127">
        <v>0.05</v>
      </c>
      <c r="N106" s="22"/>
      <c r="O106" s="23" t="s">
        <v>19</v>
      </c>
      <c r="P106" s="20">
        <f t="shared" si="48"/>
        <v>240</v>
      </c>
      <c r="Q106" s="23" t="s">
        <v>19</v>
      </c>
      <c r="R106" s="24">
        <f t="shared" si="49"/>
        <v>10374000</v>
      </c>
      <c r="S106" s="24">
        <f t="shared" si="50"/>
        <v>9345945.9459459446</v>
      </c>
      <c r="T106" s="19"/>
      <c r="U106" s="19"/>
    </row>
    <row r="107" spans="1:21" s="19" customFormat="1">
      <c r="A107" s="28" t="s">
        <v>62</v>
      </c>
      <c r="B107" s="19" t="s">
        <v>45</v>
      </c>
      <c r="C107" s="20"/>
      <c r="D107" s="21" t="s">
        <v>19</v>
      </c>
      <c r="E107" s="26">
        <v>3</v>
      </c>
      <c r="F107" s="22">
        <v>6</v>
      </c>
      <c r="G107" s="23" t="s">
        <v>33</v>
      </c>
      <c r="H107" s="22">
        <v>20</v>
      </c>
      <c r="I107" s="23" t="s">
        <v>19</v>
      </c>
      <c r="J107" s="24">
        <v>32500</v>
      </c>
      <c r="K107" s="21" t="s">
        <v>19</v>
      </c>
      <c r="L107" s="25">
        <v>0.125</v>
      </c>
      <c r="M107" s="30">
        <v>0.1</v>
      </c>
      <c r="N107" s="22"/>
      <c r="O107" s="23" t="s">
        <v>19</v>
      </c>
      <c r="P107" s="20">
        <f t="shared" si="48"/>
        <v>360</v>
      </c>
      <c r="Q107" s="23" t="s">
        <v>19</v>
      </c>
      <c r="R107" s="24">
        <f t="shared" si="49"/>
        <v>9213750</v>
      </c>
      <c r="S107" s="24">
        <f t="shared" si="50"/>
        <v>8300675.6756756753</v>
      </c>
    </row>
    <row r="108" spans="1:21" s="93" customFormat="1">
      <c r="A108" s="28" t="s">
        <v>62</v>
      </c>
      <c r="B108" s="19" t="s">
        <v>45</v>
      </c>
      <c r="C108" s="20">
        <v>330</v>
      </c>
      <c r="D108" s="21" t="s">
        <v>19</v>
      </c>
      <c r="E108" s="26">
        <v>1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32500</v>
      </c>
      <c r="K108" s="21" t="s">
        <v>19</v>
      </c>
      <c r="L108" s="25">
        <v>0.125</v>
      </c>
      <c r="M108" s="30">
        <v>0.05</v>
      </c>
      <c r="N108" s="22"/>
      <c r="O108" s="23" t="s">
        <v>19</v>
      </c>
      <c r="P108" s="20">
        <f t="shared" si="48"/>
        <v>450</v>
      </c>
      <c r="Q108" s="23" t="s">
        <v>19</v>
      </c>
      <c r="R108" s="24">
        <f t="shared" si="49"/>
        <v>12157031.25</v>
      </c>
      <c r="S108" s="24">
        <f t="shared" si="50"/>
        <v>10952280.405405404</v>
      </c>
      <c r="T108" s="19"/>
      <c r="U108" s="19"/>
    </row>
    <row r="109" spans="1:21" s="93" customFormat="1">
      <c r="A109" s="28" t="s">
        <v>950</v>
      </c>
      <c r="B109" s="19" t="s">
        <v>45</v>
      </c>
      <c r="C109" s="20">
        <v>2</v>
      </c>
      <c r="D109" s="21" t="s">
        <v>19</v>
      </c>
      <c r="E109" s="26"/>
      <c r="F109" s="22">
        <v>6</v>
      </c>
      <c r="G109" s="23" t="s">
        <v>33</v>
      </c>
      <c r="H109" s="22">
        <v>20</v>
      </c>
      <c r="I109" s="23" t="s">
        <v>19</v>
      </c>
      <c r="J109" s="24">
        <v>32500</v>
      </c>
      <c r="K109" s="21" t="s">
        <v>19</v>
      </c>
      <c r="L109" s="30">
        <v>0.1</v>
      </c>
      <c r="M109" s="25">
        <v>0.05</v>
      </c>
      <c r="N109" s="22"/>
      <c r="O109" s="23" t="s">
        <v>19</v>
      </c>
      <c r="P109" s="20">
        <f t="shared" ref="P109" si="60">(C109+(E109*F109*H109))-N109</f>
        <v>2</v>
      </c>
      <c r="Q109" s="23" t="s">
        <v>19</v>
      </c>
      <c r="R109" s="24">
        <f t="shared" ref="R109" si="61">P109*(J109-(J109*L109)-((J109-(J109*L109))*M109))</f>
        <v>55575</v>
      </c>
      <c r="S109" s="24">
        <f t="shared" ref="S109" si="62">R109/1.11</f>
        <v>50067.567567567567</v>
      </c>
      <c r="T109" s="19"/>
      <c r="U109" s="19"/>
    </row>
    <row r="110" spans="1:21" s="19" customFormat="1">
      <c r="A110" s="18" t="s">
        <v>809</v>
      </c>
      <c r="B110" s="19" t="s">
        <v>45</v>
      </c>
      <c r="C110" s="20"/>
      <c r="D110" s="21" t="s">
        <v>19</v>
      </c>
      <c r="E110" s="26">
        <v>2</v>
      </c>
      <c r="F110" s="22">
        <v>8</v>
      </c>
      <c r="G110" s="23" t="s">
        <v>33</v>
      </c>
      <c r="H110" s="22">
        <v>10</v>
      </c>
      <c r="I110" s="23" t="s">
        <v>19</v>
      </c>
      <c r="J110" s="24">
        <v>62000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48"/>
        <v>160</v>
      </c>
      <c r="Q110" s="23" t="s">
        <v>19</v>
      </c>
      <c r="R110" s="24">
        <f t="shared" si="49"/>
        <v>7812000</v>
      </c>
      <c r="S110" s="24">
        <f t="shared" si="50"/>
        <v>7037837.8378378376</v>
      </c>
    </row>
    <row r="111" spans="1:21" s="93" customFormat="1">
      <c r="A111" s="18" t="s">
        <v>810</v>
      </c>
      <c r="B111" s="19" t="s">
        <v>45</v>
      </c>
      <c r="C111" s="20"/>
      <c r="D111" s="21" t="s">
        <v>19</v>
      </c>
      <c r="E111" s="26">
        <v>2</v>
      </c>
      <c r="F111" s="22">
        <v>6</v>
      </c>
      <c r="G111" s="23" t="s">
        <v>33</v>
      </c>
      <c r="H111" s="22">
        <v>10</v>
      </c>
      <c r="I111" s="23" t="s">
        <v>19</v>
      </c>
      <c r="J111" s="24">
        <v>88000</v>
      </c>
      <c r="K111" s="21" t="s">
        <v>19</v>
      </c>
      <c r="L111" s="25">
        <v>0.125</v>
      </c>
      <c r="M111" s="25">
        <v>0.1</v>
      </c>
      <c r="N111" s="22"/>
      <c r="O111" s="23" t="s">
        <v>19</v>
      </c>
      <c r="P111" s="20">
        <f t="shared" si="48"/>
        <v>120</v>
      </c>
      <c r="Q111" s="23" t="s">
        <v>19</v>
      </c>
      <c r="R111" s="24">
        <f t="shared" si="49"/>
        <v>8316000</v>
      </c>
      <c r="S111" s="24">
        <f t="shared" si="50"/>
        <v>7491891.8918918911</v>
      </c>
      <c r="T111" s="19"/>
      <c r="U111" s="19"/>
    </row>
    <row r="112" spans="1:21" s="19" customFormat="1">
      <c r="A112" s="85" t="s">
        <v>63</v>
      </c>
      <c r="B112" s="93" t="s">
        <v>45</v>
      </c>
      <c r="C112" s="94"/>
      <c r="D112" s="95" t="s">
        <v>19</v>
      </c>
      <c r="E112" s="96">
        <v>1</v>
      </c>
      <c r="F112" s="97">
        <v>6</v>
      </c>
      <c r="G112" s="98" t="s">
        <v>33</v>
      </c>
      <c r="H112" s="97">
        <v>10</v>
      </c>
      <c r="I112" s="98" t="s">
        <v>19</v>
      </c>
      <c r="J112" s="99">
        <v>75000</v>
      </c>
      <c r="K112" s="95" t="s">
        <v>19</v>
      </c>
      <c r="L112" s="100">
        <v>0.125</v>
      </c>
      <c r="M112" s="100">
        <v>0.05</v>
      </c>
      <c r="N112" s="97"/>
      <c r="O112" s="98" t="s">
        <v>19</v>
      </c>
      <c r="P112" s="94">
        <f t="shared" si="48"/>
        <v>60</v>
      </c>
      <c r="Q112" s="98" t="s">
        <v>19</v>
      </c>
      <c r="R112" s="99">
        <f t="shared" si="49"/>
        <v>3740625</v>
      </c>
      <c r="S112" s="99">
        <f t="shared" si="50"/>
        <v>3369932.4324324322</v>
      </c>
      <c r="T112" s="93"/>
      <c r="U112" s="93"/>
    </row>
    <row r="113" spans="1:21" s="19" customFormat="1">
      <c r="A113" s="128" t="s">
        <v>64</v>
      </c>
      <c r="B113" s="19" t="s">
        <v>45</v>
      </c>
      <c r="C113" s="20"/>
      <c r="D113" s="21" t="s">
        <v>19</v>
      </c>
      <c r="E113" s="26">
        <v>2</v>
      </c>
      <c r="F113" s="22">
        <v>6</v>
      </c>
      <c r="G113" s="23" t="s">
        <v>33</v>
      </c>
      <c r="H113" s="22">
        <v>10</v>
      </c>
      <c r="I113" s="23" t="s">
        <v>19</v>
      </c>
      <c r="J113" s="24">
        <v>79000</v>
      </c>
      <c r="K113" s="21" t="s">
        <v>19</v>
      </c>
      <c r="L113" s="25">
        <v>0.125</v>
      </c>
      <c r="M113" s="127">
        <v>0.1</v>
      </c>
      <c r="N113" s="22"/>
      <c r="O113" s="23" t="s">
        <v>19</v>
      </c>
      <c r="P113" s="20">
        <f t="shared" si="48"/>
        <v>120</v>
      </c>
      <c r="Q113" s="23" t="s">
        <v>19</v>
      </c>
      <c r="R113" s="24">
        <f t="shared" si="49"/>
        <v>7465500</v>
      </c>
      <c r="S113" s="24">
        <f t="shared" si="50"/>
        <v>6725675.6756756753</v>
      </c>
    </row>
    <row r="114" spans="1:21" s="93" customFormat="1">
      <c r="A114" s="128" t="s">
        <v>64</v>
      </c>
      <c r="B114" s="19" t="s">
        <v>45</v>
      </c>
      <c r="C114" s="20"/>
      <c r="D114" s="21" t="s">
        <v>19</v>
      </c>
      <c r="E114" s="26">
        <v>2</v>
      </c>
      <c r="F114" s="22">
        <v>6</v>
      </c>
      <c r="G114" s="23" t="s">
        <v>33</v>
      </c>
      <c r="H114" s="22">
        <v>10</v>
      </c>
      <c r="I114" s="23" t="s">
        <v>19</v>
      </c>
      <c r="J114" s="24">
        <v>79000</v>
      </c>
      <c r="K114" s="21" t="s">
        <v>19</v>
      </c>
      <c r="L114" s="25">
        <v>0.125</v>
      </c>
      <c r="M114" s="127">
        <v>0.05</v>
      </c>
      <c r="N114" s="22"/>
      <c r="O114" s="23" t="s">
        <v>19</v>
      </c>
      <c r="P114" s="20">
        <f t="shared" si="48"/>
        <v>120</v>
      </c>
      <c r="Q114" s="23" t="s">
        <v>19</v>
      </c>
      <c r="R114" s="24">
        <f t="shared" si="49"/>
        <v>7880250</v>
      </c>
      <c r="S114" s="24">
        <f t="shared" si="50"/>
        <v>7099324.3243243238</v>
      </c>
      <c r="T114" s="19"/>
      <c r="U114" s="19"/>
    </row>
    <row r="115" spans="1:21" s="19" customFormat="1">
      <c r="A115" s="103" t="s">
        <v>65</v>
      </c>
      <c r="B115" s="93" t="s">
        <v>45</v>
      </c>
      <c r="C115" s="94">
        <v>83</v>
      </c>
      <c r="D115" s="95" t="s">
        <v>19</v>
      </c>
      <c r="E115" s="96"/>
      <c r="F115" s="97">
        <v>6</v>
      </c>
      <c r="G115" s="98" t="s">
        <v>33</v>
      </c>
      <c r="H115" s="97">
        <v>10</v>
      </c>
      <c r="I115" s="98" t="s">
        <v>19</v>
      </c>
      <c r="J115" s="104">
        <v>75000</v>
      </c>
      <c r="K115" s="95" t="s">
        <v>19</v>
      </c>
      <c r="L115" s="100">
        <v>0.125</v>
      </c>
      <c r="M115" s="100">
        <v>0.05</v>
      </c>
      <c r="N115" s="97"/>
      <c r="O115" s="98" t="s">
        <v>19</v>
      </c>
      <c r="P115" s="94">
        <f t="shared" si="48"/>
        <v>83</v>
      </c>
      <c r="Q115" s="98" t="s">
        <v>19</v>
      </c>
      <c r="R115" s="99">
        <f t="shared" si="49"/>
        <v>5174531.25</v>
      </c>
      <c r="S115" s="99">
        <f t="shared" si="50"/>
        <v>4661739.8648648644</v>
      </c>
      <c r="T115" s="93"/>
      <c r="U115" s="93"/>
    </row>
    <row r="116" spans="1:21" s="19" customFormat="1">
      <c r="A116" s="28" t="s">
        <v>65</v>
      </c>
      <c r="B116" s="19" t="s">
        <v>45</v>
      </c>
      <c r="C116" s="20"/>
      <c r="D116" s="21" t="s">
        <v>19</v>
      </c>
      <c r="E116" s="26">
        <v>3</v>
      </c>
      <c r="F116" s="22">
        <v>6</v>
      </c>
      <c r="G116" s="23" t="s">
        <v>33</v>
      </c>
      <c r="H116" s="22">
        <v>10</v>
      </c>
      <c r="I116" s="23" t="s">
        <v>19</v>
      </c>
      <c r="J116" s="29">
        <v>82000</v>
      </c>
      <c r="K116" s="21" t="s">
        <v>19</v>
      </c>
      <c r="L116" s="25">
        <v>0.125</v>
      </c>
      <c r="M116" s="25">
        <v>0.05</v>
      </c>
      <c r="N116" s="22"/>
      <c r="O116" s="23" t="s">
        <v>19</v>
      </c>
      <c r="P116" s="20">
        <f t="shared" si="48"/>
        <v>180</v>
      </c>
      <c r="Q116" s="23" t="s">
        <v>19</v>
      </c>
      <c r="R116" s="24">
        <f t="shared" si="49"/>
        <v>12269250</v>
      </c>
      <c r="S116" s="24">
        <f t="shared" si="50"/>
        <v>11053378.378378378</v>
      </c>
    </row>
    <row r="117" spans="1:21" s="19" customFormat="1">
      <c r="A117" s="18" t="s">
        <v>66</v>
      </c>
      <c r="B117" s="19" t="s">
        <v>45</v>
      </c>
      <c r="C117" s="20">
        <v>27</v>
      </c>
      <c r="D117" s="21" t="s">
        <v>19</v>
      </c>
      <c r="E117" s="26">
        <v>1</v>
      </c>
      <c r="F117" s="22">
        <v>6</v>
      </c>
      <c r="G117" s="23" t="s">
        <v>33</v>
      </c>
      <c r="H117" s="22">
        <v>10</v>
      </c>
      <c r="I117" s="23" t="s">
        <v>19</v>
      </c>
      <c r="J117" s="24">
        <v>54000</v>
      </c>
      <c r="K117" s="21" t="s">
        <v>19</v>
      </c>
      <c r="L117" s="25">
        <v>0.125</v>
      </c>
      <c r="M117" s="25">
        <v>0.05</v>
      </c>
      <c r="N117" s="22"/>
      <c r="O117" s="23" t="s">
        <v>19</v>
      </c>
      <c r="P117" s="20">
        <f t="shared" si="48"/>
        <v>87</v>
      </c>
      <c r="Q117" s="23" t="s">
        <v>19</v>
      </c>
      <c r="R117" s="24">
        <f t="shared" si="49"/>
        <v>3905212.5</v>
      </c>
      <c r="S117" s="24">
        <f t="shared" si="50"/>
        <v>3518209.4594594589</v>
      </c>
    </row>
    <row r="118" spans="1:21" s="19" customFormat="1">
      <c r="A118" s="18" t="s">
        <v>903</v>
      </c>
      <c r="B118" s="19" t="s">
        <v>45</v>
      </c>
      <c r="C118" s="20">
        <v>4</v>
      </c>
      <c r="D118" s="21" t="s">
        <v>19</v>
      </c>
      <c r="E118" s="26"/>
      <c r="F118" s="22">
        <v>6</v>
      </c>
      <c r="G118" s="23" t="s">
        <v>33</v>
      </c>
      <c r="H118" s="22">
        <v>10</v>
      </c>
      <c r="I118" s="23" t="s">
        <v>19</v>
      </c>
      <c r="J118" s="24">
        <v>56000</v>
      </c>
      <c r="K118" s="21" t="s">
        <v>19</v>
      </c>
      <c r="L118" s="25">
        <v>0.125</v>
      </c>
      <c r="M118" s="25">
        <v>0.05</v>
      </c>
      <c r="N118" s="22"/>
      <c r="O118" s="23" t="s">
        <v>19</v>
      </c>
      <c r="P118" s="20">
        <f t="shared" si="48"/>
        <v>4</v>
      </c>
      <c r="Q118" s="23" t="s">
        <v>19</v>
      </c>
      <c r="R118" s="24">
        <f t="shared" si="49"/>
        <v>186200</v>
      </c>
      <c r="S118" s="24">
        <f t="shared" si="50"/>
        <v>167747.74774774772</v>
      </c>
    </row>
    <row r="119" spans="1:21" s="19" customFormat="1">
      <c r="A119" s="28" t="s">
        <v>67</v>
      </c>
      <c r="B119" s="19" t="s">
        <v>45</v>
      </c>
      <c r="C119" s="20"/>
      <c r="D119" s="21" t="s">
        <v>19</v>
      </c>
      <c r="E119" s="26">
        <v>4</v>
      </c>
      <c r="F119" s="22">
        <v>6</v>
      </c>
      <c r="G119" s="23" t="s">
        <v>33</v>
      </c>
      <c r="H119" s="22">
        <v>20</v>
      </c>
      <c r="I119" s="23" t="s">
        <v>19</v>
      </c>
      <c r="J119" s="24">
        <v>40000</v>
      </c>
      <c r="K119" s="21" t="s">
        <v>19</v>
      </c>
      <c r="L119" s="25">
        <v>0.125</v>
      </c>
      <c r="M119" s="30">
        <v>0.1</v>
      </c>
      <c r="N119" s="22"/>
      <c r="O119" s="23" t="s">
        <v>19</v>
      </c>
      <c r="P119" s="20">
        <f t="shared" si="48"/>
        <v>480</v>
      </c>
      <c r="Q119" s="23" t="s">
        <v>19</v>
      </c>
      <c r="R119" s="24">
        <f t="shared" si="49"/>
        <v>15120000</v>
      </c>
      <c r="S119" s="24">
        <f t="shared" si="50"/>
        <v>13621621.62162162</v>
      </c>
    </row>
    <row r="120" spans="1:21" s="19" customFormat="1">
      <c r="A120" s="28" t="s">
        <v>67</v>
      </c>
      <c r="B120" s="19" t="s">
        <v>45</v>
      </c>
      <c r="C120" s="20">
        <v>311</v>
      </c>
      <c r="D120" s="21" t="s">
        <v>19</v>
      </c>
      <c r="E120" s="26">
        <v>6</v>
      </c>
      <c r="F120" s="22">
        <v>6</v>
      </c>
      <c r="G120" s="23" t="s">
        <v>33</v>
      </c>
      <c r="H120" s="22">
        <v>20</v>
      </c>
      <c r="I120" s="23" t="s">
        <v>19</v>
      </c>
      <c r="J120" s="24">
        <v>40000</v>
      </c>
      <c r="K120" s="21" t="s">
        <v>19</v>
      </c>
      <c r="L120" s="25">
        <v>0.125</v>
      </c>
      <c r="M120" s="30">
        <v>0.05</v>
      </c>
      <c r="N120" s="22"/>
      <c r="O120" s="23" t="s">
        <v>19</v>
      </c>
      <c r="P120" s="20">
        <f t="shared" si="48"/>
        <v>1031</v>
      </c>
      <c r="Q120" s="23" t="s">
        <v>19</v>
      </c>
      <c r="R120" s="24">
        <f t="shared" si="49"/>
        <v>34280750</v>
      </c>
      <c r="S120" s="24">
        <f t="shared" si="50"/>
        <v>30883558.558558557</v>
      </c>
    </row>
    <row r="121" spans="1:21" s="19" customFormat="1">
      <c r="A121" s="128" t="s">
        <v>68</v>
      </c>
      <c r="B121" s="19" t="s">
        <v>45</v>
      </c>
      <c r="C121" s="20"/>
      <c r="D121" s="21" t="s">
        <v>19</v>
      </c>
      <c r="E121" s="26">
        <v>2</v>
      </c>
      <c r="F121" s="22">
        <v>1</v>
      </c>
      <c r="G121" s="23" t="s">
        <v>20</v>
      </c>
      <c r="H121" s="22">
        <v>60</v>
      </c>
      <c r="I121" s="23" t="s">
        <v>19</v>
      </c>
      <c r="J121" s="132">
        <v>74000</v>
      </c>
      <c r="K121" s="21" t="s">
        <v>19</v>
      </c>
      <c r="L121" s="25">
        <v>0.125</v>
      </c>
      <c r="M121" s="25">
        <v>0.1</v>
      </c>
      <c r="N121" s="22"/>
      <c r="O121" s="23" t="s">
        <v>19</v>
      </c>
      <c r="P121" s="20">
        <f t="shared" si="48"/>
        <v>120</v>
      </c>
      <c r="Q121" s="23" t="s">
        <v>19</v>
      </c>
      <c r="R121" s="24">
        <f t="shared" si="49"/>
        <v>6993000</v>
      </c>
      <c r="S121" s="24">
        <f t="shared" si="50"/>
        <v>6299999.9999999991</v>
      </c>
    </row>
    <row r="122" spans="1:21" s="19" customFormat="1">
      <c r="A122" s="128" t="s">
        <v>68</v>
      </c>
      <c r="B122" s="19" t="s">
        <v>45</v>
      </c>
      <c r="C122" s="20">
        <v>114</v>
      </c>
      <c r="D122" s="21" t="s">
        <v>19</v>
      </c>
      <c r="E122" s="26"/>
      <c r="F122" s="22">
        <v>6</v>
      </c>
      <c r="G122" s="23" t="s">
        <v>33</v>
      </c>
      <c r="H122" s="22">
        <v>10</v>
      </c>
      <c r="I122" s="23" t="s">
        <v>19</v>
      </c>
      <c r="J122" s="132">
        <v>66000</v>
      </c>
      <c r="K122" s="21" t="s">
        <v>19</v>
      </c>
      <c r="L122" s="25">
        <v>0.125</v>
      </c>
      <c r="M122" s="25">
        <v>0.1</v>
      </c>
      <c r="N122" s="22"/>
      <c r="O122" s="23" t="s">
        <v>19</v>
      </c>
      <c r="P122" s="20">
        <f t="shared" si="48"/>
        <v>114</v>
      </c>
      <c r="Q122" s="23" t="s">
        <v>19</v>
      </c>
      <c r="R122" s="24">
        <f t="shared" si="49"/>
        <v>5925150</v>
      </c>
      <c r="S122" s="24">
        <f t="shared" si="50"/>
        <v>5337972.9729729723</v>
      </c>
    </row>
    <row r="123" spans="1:21" s="19" customFormat="1">
      <c r="A123" s="28" t="s">
        <v>69</v>
      </c>
      <c r="B123" s="19" t="s">
        <v>45</v>
      </c>
      <c r="C123" s="20"/>
      <c r="D123" s="21" t="s">
        <v>19</v>
      </c>
      <c r="E123" s="26">
        <v>1</v>
      </c>
      <c r="F123" s="22">
        <v>4</v>
      </c>
      <c r="G123" s="23" t="s">
        <v>33</v>
      </c>
      <c r="H123" s="22">
        <v>40</v>
      </c>
      <c r="I123" s="23" t="s">
        <v>19</v>
      </c>
      <c r="J123" s="24">
        <v>28000</v>
      </c>
      <c r="K123" s="21" t="s">
        <v>19</v>
      </c>
      <c r="L123" s="25">
        <v>0.125</v>
      </c>
      <c r="M123" s="30">
        <v>0.05</v>
      </c>
      <c r="N123" s="22"/>
      <c r="O123" s="23" t="s">
        <v>19</v>
      </c>
      <c r="P123" s="20">
        <f t="shared" ref="P123" si="63">(C123+(E123*F123*H123))-N123</f>
        <v>160</v>
      </c>
      <c r="Q123" s="23" t="s">
        <v>19</v>
      </c>
      <c r="R123" s="24">
        <f t="shared" ref="R123" si="64">P123*(J123-(J123*L123)-((J123-(J123*L123))*M123))</f>
        <v>3724000</v>
      </c>
      <c r="S123" s="24">
        <f t="shared" ref="S123" si="65">R123/1.11</f>
        <v>3354954.9549549548</v>
      </c>
    </row>
    <row r="124" spans="1:21" s="19" customFormat="1">
      <c r="A124" s="28" t="s">
        <v>69</v>
      </c>
      <c r="B124" s="19" t="s">
        <v>45</v>
      </c>
      <c r="C124" s="20"/>
      <c r="D124" s="21" t="s">
        <v>19</v>
      </c>
      <c r="E124" s="26">
        <v>2</v>
      </c>
      <c r="F124" s="22">
        <v>4</v>
      </c>
      <c r="G124" s="23" t="s">
        <v>33</v>
      </c>
      <c r="H124" s="22">
        <v>40</v>
      </c>
      <c r="I124" s="23" t="s">
        <v>19</v>
      </c>
      <c r="J124" s="29">
        <v>28000</v>
      </c>
      <c r="K124" s="21" t="s">
        <v>19</v>
      </c>
      <c r="L124" s="25">
        <v>0.125</v>
      </c>
      <c r="M124" s="30">
        <v>0.1</v>
      </c>
      <c r="N124" s="22"/>
      <c r="O124" s="23" t="s">
        <v>19</v>
      </c>
      <c r="P124" s="20">
        <f t="shared" si="48"/>
        <v>320</v>
      </c>
      <c r="Q124" s="23" t="s">
        <v>19</v>
      </c>
      <c r="R124" s="24">
        <f t="shared" si="49"/>
        <v>7056000</v>
      </c>
      <c r="S124" s="24">
        <f t="shared" si="50"/>
        <v>6356756.7567567565</v>
      </c>
    </row>
    <row r="125" spans="1:21" s="19" customFormat="1">
      <c r="A125" s="28" t="s">
        <v>69</v>
      </c>
      <c r="B125" s="19" t="s">
        <v>45</v>
      </c>
      <c r="C125" s="20">
        <v>281</v>
      </c>
      <c r="D125" s="21" t="s">
        <v>19</v>
      </c>
      <c r="E125" s="26"/>
      <c r="F125" s="22">
        <v>4</v>
      </c>
      <c r="G125" s="23" t="s">
        <v>33</v>
      </c>
      <c r="H125" s="22">
        <v>40</v>
      </c>
      <c r="I125" s="23" t="s">
        <v>19</v>
      </c>
      <c r="J125" s="29">
        <v>27000</v>
      </c>
      <c r="K125" s="21" t="s">
        <v>19</v>
      </c>
      <c r="L125" s="25">
        <v>0.125</v>
      </c>
      <c r="M125" s="30">
        <v>0.05</v>
      </c>
      <c r="N125" s="22"/>
      <c r="O125" s="23" t="s">
        <v>19</v>
      </c>
      <c r="P125" s="20">
        <f t="shared" si="48"/>
        <v>281</v>
      </c>
      <c r="Q125" s="23" t="s">
        <v>19</v>
      </c>
      <c r="R125" s="24">
        <f t="shared" si="49"/>
        <v>6306693.75</v>
      </c>
      <c r="S125" s="24">
        <f t="shared" si="50"/>
        <v>5681706.0810810803</v>
      </c>
    </row>
    <row r="126" spans="1:21" s="19" customFormat="1">
      <c r="A126" s="18"/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21" s="19" customFormat="1" ht="15.75">
      <c r="A127" s="35" t="s">
        <v>70</v>
      </c>
      <c r="C127" s="20"/>
      <c r="D127" s="21"/>
      <c r="E127" s="26"/>
      <c r="F127" s="22"/>
      <c r="G127" s="23"/>
      <c r="H127" s="22"/>
      <c r="I127" s="23"/>
      <c r="J127" s="24"/>
      <c r="K127" s="21"/>
      <c r="L127" s="25"/>
      <c r="M127" s="25"/>
      <c r="N127" s="22"/>
      <c r="O127" s="23"/>
      <c r="P127" s="20"/>
      <c r="Q127" s="23"/>
      <c r="R127" s="24"/>
      <c r="S127" s="24"/>
    </row>
    <row r="128" spans="1:21" s="19" customFormat="1">
      <c r="A128" s="18" t="s">
        <v>825</v>
      </c>
      <c r="B128" s="19" t="s">
        <v>18</v>
      </c>
      <c r="C128" s="20"/>
      <c r="D128" s="21" t="s">
        <v>19</v>
      </c>
      <c r="E128" s="26">
        <v>1</v>
      </c>
      <c r="F128" s="22">
        <v>1</v>
      </c>
      <c r="G128" s="23" t="s">
        <v>20</v>
      </c>
      <c r="H128" s="22">
        <v>20</v>
      </c>
      <c r="I128" s="23" t="s">
        <v>19</v>
      </c>
      <c r="J128" s="24">
        <v>160000</v>
      </c>
      <c r="K128" s="21" t="s">
        <v>19</v>
      </c>
      <c r="L128" s="25">
        <v>0.125</v>
      </c>
      <c r="M128" s="25">
        <v>0.05</v>
      </c>
      <c r="N128" s="22"/>
      <c r="O128" s="23" t="s">
        <v>19</v>
      </c>
      <c r="P128" s="20">
        <f t="shared" ref="P128:P129" si="66">(C128+(E128*F128*H128))-N128</f>
        <v>20</v>
      </c>
      <c r="Q128" s="23" t="s">
        <v>19</v>
      </c>
      <c r="R128" s="24">
        <f t="shared" ref="R128:R129" si="67">P128*(J128-(J128*L128)-((J128-(J128*L128))*M128))</f>
        <v>2660000</v>
      </c>
      <c r="S128" s="24">
        <f t="shared" ref="S128:S129" si="68">R128/1.11</f>
        <v>2396396.3963963962</v>
      </c>
    </row>
    <row r="129" spans="1:19" s="19" customFormat="1">
      <c r="A129" s="18" t="s">
        <v>826</v>
      </c>
      <c r="B129" s="19" t="s">
        <v>18</v>
      </c>
      <c r="C129" s="20"/>
      <c r="D129" s="21" t="s">
        <v>19</v>
      </c>
      <c r="E129" s="26">
        <v>1</v>
      </c>
      <c r="F129" s="22">
        <v>1</v>
      </c>
      <c r="G129" s="23" t="s">
        <v>20</v>
      </c>
      <c r="H129" s="22">
        <v>16</v>
      </c>
      <c r="I129" s="23" t="s">
        <v>19</v>
      </c>
      <c r="J129" s="24">
        <v>187000</v>
      </c>
      <c r="K129" s="21" t="s">
        <v>19</v>
      </c>
      <c r="L129" s="25">
        <v>0.125</v>
      </c>
      <c r="M129" s="25">
        <v>0.05</v>
      </c>
      <c r="N129" s="22"/>
      <c r="O129" s="23" t="s">
        <v>19</v>
      </c>
      <c r="P129" s="20">
        <f t="shared" si="66"/>
        <v>16</v>
      </c>
      <c r="Q129" s="23" t="s">
        <v>19</v>
      </c>
      <c r="R129" s="24">
        <f t="shared" si="67"/>
        <v>2487100</v>
      </c>
      <c r="S129" s="24">
        <f t="shared" si="68"/>
        <v>2240630.6306306305</v>
      </c>
    </row>
    <row r="130" spans="1:19" s="76" customFormat="1">
      <c r="A130" s="75" t="s">
        <v>71</v>
      </c>
      <c r="B130" s="76" t="s">
        <v>18</v>
      </c>
      <c r="C130" s="74"/>
      <c r="D130" s="77" t="s">
        <v>19</v>
      </c>
      <c r="E130" s="78"/>
      <c r="F130" s="79">
        <v>1</v>
      </c>
      <c r="G130" s="80" t="s">
        <v>20</v>
      </c>
      <c r="H130" s="79">
        <v>6</v>
      </c>
      <c r="I130" s="80" t="s">
        <v>19</v>
      </c>
      <c r="J130" s="81">
        <v>390000</v>
      </c>
      <c r="K130" s="77" t="s">
        <v>19</v>
      </c>
      <c r="L130" s="82">
        <v>0.125</v>
      </c>
      <c r="M130" s="82">
        <v>0.05</v>
      </c>
      <c r="N130" s="79"/>
      <c r="O130" s="80" t="s">
        <v>19</v>
      </c>
      <c r="P130" s="74">
        <f>(C130+(E130*F130*H130))-N130</f>
        <v>0</v>
      </c>
      <c r="Q130" s="80" t="s">
        <v>19</v>
      </c>
      <c r="R130" s="81">
        <f>P130*(J130-(J130*L130)-((J130-(J130*L130))*M130))</f>
        <v>0</v>
      </c>
      <c r="S130" s="81">
        <f t="shared" si="2"/>
        <v>0</v>
      </c>
    </row>
    <row r="131" spans="1:19" s="93" customFormat="1">
      <c r="A131" s="85" t="s">
        <v>72</v>
      </c>
      <c r="B131" s="93" t="s">
        <v>18</v>
      </c>
      <c r="C131" s="94"/>
      <c r="D131" s="95" t="s">
        <v>19</v>
      </c>
      <c r="E131" s="96">
        <v>2</v>
      </c>
      <c r="F131" s="97">
        <v>1</v>
      </c>
      <c r="G131" s="98" t="s">
        <v>20</v>
      </c>
      <c r="H131" s="97">
        <v>6</v>
      </c>
      <c r="I131" s="98" t="s">
        <v>19</v>
      </c>
      <c r="J131" s="99">
        <v>500000</v>
      </c>
      <c r="K131" s="95" t="s">
        <v>19</v>
      </c>
      <c r="L131" s="100">
        <v>0.125</v>
      </c>
      <c r="M131" s="100">
        <v>0.05</v>
      </c>
      <c r="N131" s="97"/>
      <c r="O131" s="98" t="s">
        <v>19</v>
      </c>
      <c r="P131" s="94">
        <f>(C131+(E131*F131*H131))-N131</f>
        <v>12</v>
      </c>
      <c r="Q131" s="98" t="s">
        <v>19</v>
      </c>
      <c r="R131" s="99">
        <f>P131*(J131-(J131*L131)-((J131-(J131*L131))*M131))</f>
        <v>4987500</v>
      </c>
      <c r="S131" s="99">
        <f t="shared" si="2"/>
        <v>4493243.2432432426</v>
      </c>
    </row>
    <row r="132" spans="1:19" s="19" customFormat="1">
      <c r="A132" s="18"/>
      <c r="C132" s="20"/>
      <c r="D132" s="21"/>
      <c r="E132" s="26"/>
      <c r="F132" s="22"/>
      <c r="G132" s="23"/>
      <c r="H132" s="22"/>
      <c r="I132" s="23"/>
      <c r="J132" s="24"/>
      <c r="K132" s="21"/>
      <c r="L132" s="25"/>
      <c r="M132" s="25"/>
      <c r="N132" s="22"/>
      <c r="O132" s="23"/>
      <c r="P132" s="20"/>
      <c r="Q132" s="23"/>
      <c r="R132" s="24"/>
      <c r="S132" s="24"/>
    </row>
    <row r="133" spans="1:19" s="19" customFormat="1" ht="15.75">
      <c r="A133" s="35" t="s">
        <v>73</v>
      </c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60" t="s">
        <v>74</v>
      </c>
      <c r="C134" s="20"/>
      <c r="D134" s="21"/>
      <c r="E134" s="26"/>
      <c r="F134" s="22"/>
      <c r="G134" s="23"/>
      <c r="H134" s="22"/>
      <c r="I134" s="23"/>
      <c r="J134" s="24"/>
      <c r="K134" s="21"/>
      <c r="L134" s="25"/>
      <c r="M134" s="25"/>
      <c r="N134" s="22"/>
      <c r="O134" s="23"/>
      <c r="P134" s="20"/>
      <c r="Q134" s="23"/>
      <c r="R134" s="24"/>
      <c r="S134" s="24"/>
    </row>
    <row r="135" spans="1:19" s="93" customFormat="1">
      <c r="A135" s="124" t="s">
        <v>75</v>
      </c>
      <c r="B135" s="93" t="s">
        <v>18</v>
      </c>
      <c r="C135" s="94"/>
      <c r="D135" s="95" t="s">
        <v>76</v>
      </c>
      <c r="E135" s="96">
        <v>2</v>
      </c>
      <c r="F135" s="97">
        <v>1</v>
      </c>
      <c r="G135" s="98" t="s">
        <v>20</v>
      </c>
      <c r="H135" s="97">
        <v>48</v>
      </c>
      <c r="I135" s="98" t="s">
        <v>76</v>
      </c>
      <c r="J135" s="99">
        <v>14500</v>
      </c>
      <c r="K135" s="95" t="s">
        <v>76</v>
      </c>
      <c r="L135" s="100">
        <v>0.125</v>
      </c>
      <c r="M135" s="100">
        <v>0.05</v>
      </c>
      <c r="N135" s="97"/>
      <c r="O135" s="98" t="s">
        <v>76</v>
      </c>
      <c r="P135" s="94">
        <f t="shared" ref="P135:P150" si="69">(C135+(E135*F135*H135))-N135</f>
        <v>96</v>
      </c>
      <c r="Q135" s="98" t="s">
        <v>76</v>
      </c>
      <c r="R135" s="99">
        <f t="shared" ref="R135:R145" si="70">P135*(J135-(J135*L135)-((J135-(J135*L135))*M135))</f>
        <v>1157100</v>
      </c>
      <c r="S135" s="99">
        <f t="shared" si="2"/>
        <v>1042432.4324324323</v>
      </c>
    </row>
    <row r="136" spans="1:19" s="76" customFormat="1">
      <c r="A136" s="106" t="s">
        <v>794</v>
      </c>
      <c r="B136" s="76" t="s">
        <v>18</v>
      </c>
      <c r="C136" s="74"/>
      <c r="D136" s="77" t="s">
        <v>76</v>
      </c>
      <c r="E136" s="78"/>
      <c r="F136" s="79">
        <v>1</v>
      </c>
      <c r="G136" s="80" t="s">
        <v>20</v>
      </c>
      <c r="H136" s="79">
        <v>96</v>
      </c>
      <c r="I136" s="80" t="s">
        <v>76</v>
      </c>
      <c r="J136" s="81">
        <v>15500</v>
      </c>
      <c r="K136" s="77" t="s">
        <v>76</v>
      </c>
      <c r="L136" s="82">
        <v>0.125</v>
      </c>
      <c r="M136" s="82">
        <v>0.05</v>
      </c>
      <c r="N136" s="79"/>
      <c r="O136" s="80" t="s">
        <v>76</v>
      </c>
      <c r="P136" s="74">
        <f t="shared" si="69"/>
        <v>0</v>
      </c>
      <c r="Q136" s="80" t="s">
        <v>76</v>
      </c>
      <c r="R136" s="81">
        <f t="shared" si="70"/>
        <v>0</v>
      </c>
      <c r="S136" s="81">
        <f t="shared" si="2"/>
        <v>0</v>
      </c>
    </row>
    <row r="137" spans="1:19" s="93" customFormat="1">
      <c r="A137" s="124" t="s">
        <v>77</v>
      </c>
      <c r="B137" s="93" t="s">
        <v>18</v>
      </c>
      <c r="C137" s="94"/>
      <c r="D137" s="95" t="s">
        <v>76</v>
      </c>
      <c r="E137" s="96">
        <v>1</v>
      </c>
      <c r="F137" s="97">
        <v>1</v>
      </c>
      <c r="G137" s="98" t="s">
        <v>20</v>
      </c>
      <c r="H137" s="97">
        <v>96</v>
      </c>
      <c r="I137" s="98" t="s">
        <v>76</v>
      </c>
      <c r="J137" s="99">
        <v>12000</v>
      </c>
      <c r="K137" s="95" t="s">
        <v>76</v>
      </c>
      <c r="L137" s="100">
        <v>0.125</v>
      </c>
      <c r="M137" s="100">
        <v>0.05</v>
      </c>
      <c r="N137" s="97"/>
      <c r="O137" s="98" t="s">
        <v>76</v>
      </c>
      <c r="P137" s="94">
        <f t="shared" si="69"/>
        <v>96</v>
      </c>
      <c r="Q137" s="98" t="s">
        <v>76</v>
      </c>
      <c r="R137" s="99">
        <f t="shared" si="70"/>
        <v>957600</v>
      </c>
      <c r="S137" s="99">
        <f t="shared" si="2"/>
        <v>862702.70270270261</v>
      </c>
    </row>
    <row r="138" spans="1:19" s="76" customFormat="1">
      <c r="A138" s="106" t="s">
        <v>78</v>
      </c>
      <c r="B138" s="76" t="s">
        <v>18</v>
      </c>
      <c r="C138" s="74"/>
      <c r="D138" s="77" t="s">
        <v>76</v>
      </c>
      <c r="E138" s="78"/>
      <c r="F138" s="79">
        <v>1</v>
      </c>
      <c r="G138" s="80" t="s">
        <v>20</v>
      </c>
      <c r="H138" s="79">
        <v>48</v>
      </c>
      <c r="I138" s="80" t="s">
        <v>76</v>
      </c>
      <c r="J138" s="81">
        <v>19500</v>
      </c>
      <c r="K138" s="77" t="s">
        <v>76</v>
      </c>
      <c r="L138" s="82">
        <v>0.125</v>
      </c>
      <c r="M138" s="82">
        <v>0.05</v>
      </c>
      <c r="N138" s="79"/>
      <c r="O138" s="80" t="s">
        <v>76</v>
      </c>
      <c r="P138" s="74">
        <f t="shared" si="69"/>
        <v>0</v>
      </c>
      <c r="Q138" s="80" t="s">
        <v>76</v>
      </c>
      <c r="R138" s="81">
        <f t="shared" si="70"/>
        <v>0</v>
      </c>
      <c r="S138" s="81">
        <f t="shared" si="2"/>
        <v>0</v>
      </c>
    </row>
    <row r="139" spans="1:19" s="76" customFormat="1">
      <c r="A139" s="106" t="s">
        <v>79</v>
      </c>
      <c r="B139" s="76" t="s">
        <v>18</v>
      </c>
      <c r="C139" s="74"/>
      <c r="D139" s="77" t="s">
        <v>76</v>
      </c>
      <c r="E139" s="78"/>
      <c r="F139" s="79">
        <v>1</v>
      </c>
      <c r="G139" s="80" t="s">
        <v>20</v>
      </c>
      <c r="H139" s="79">
        <v>48</v>
      </c>
      <c r="I139" s="80" t="s">
        <v>76</v>
      </c>
      <c r="J139" s="81">
        <v>14800</v>
      </c>
      <c r="K139" s="77" t="s">
        <v>76</v>
      </c>
      <c r="L139" s="82">
        <v>0.125</v>
      </c>
      <c r="M139" s="82">
        <v>0.05</v>
      </c>
      <c r="N139" s="79"/>
      <c r="O139" s="80" t="s">
        <v>76</v>
      </c>
      <c r="P139" s="74">
        <f t="shared" si="69"/>
        <v>0</v>
      </c>
      <c r="Q139" s="80" t="s">
        <v>76</v>
      </c>
      <c r="R139" s="81">
        <f t="shared" si="70"/>
        <v>0</v>
      </c>
      <c r="S139" s="81">
        <f t="shared" si="2"/>
        <v>0</v>
      </c>
    </row>
    <row r="140" spans="1:19" s="76" customFormat="1">
      <c r="A140" s="107" t="s">
        <v>80</v>
      </c>
      <c r="B140" s="76" t="s">
        <v>18</v>
      </c>
      <c r="C140" s="74"/>
      <c r="D140" s="77" t="s">
        <v>76</v>
      </c>
      <c r="E140" s="78"/>
      <c r="F140" s="79">
        <v>1</v>
      </c>
      <c r="G140" s="80" t="s">
        <v>20</v>
      </c>
      <c r="H140" s="79">
        <v>24</v>
      </c>
      <c r="I140" s="80" t="s">
        <v>76</v>
      </c>
      <c r="J140" s="81">
        <v>25200</v>
      </c>
      <c r="K140" s="77" t="s">
        <v>76</v>
      </c>
      <c r="L140" s="82">
        <v>0.125</v>
      </c>
      <c r="M140" s="82">
        <v>0.05</v>
      </c>
      <c r="N140" s="79"/>
      <c r="O140" s="80" t="s">
        <v>76</v>
      </c>
      <c r="P140" s="74">
        <f t="shared" si="69"/>
        <v>0</v>
      </c>
      <c r="Q140" s="80" t="s">
        <v>76</v>
      </c>
      <c r="R140" s="81">
        <f t="shared" si="70"/>
        <v>0</v>
      </c>
      <c r="S140" s="81">
        <f t="shared" si="2"/>
        <v>0</v>
      </c>
    </row>
    <row r="141" spans="1:19" s="93" customFormat="1">
      <c r="A141" s="161" t="s">
        <v>81</v>
      </c>
      <c r="B141" s="93" t="s">
        <v>18</v>
      </c>
      <c r="C141" s="94"/>
      <c r="D141" s="95" t="s">
        <v>76</v>
      </c>
      <c r="E141" s="96">
        <v>1</v>
      </c>
      <c r="F141" s="97">
        <v>1</v>
      </c>
      <c r="G141" s="98" t="s">
        <v>20</v>
      </c>
      <c r="H141" s="97">
        <v>24</v>
      </c>
      <c r="I141" s="98" t="s">
        <v>76</v>
      </c>
      <c r="J141" s="99">
        <v>20200</v>
      </c>
      <c r="K141" s="95" t="s">
        <v>76</v>
      </c>
      <c r="L141" s="100">
        <v>0.125</v>
      </c>
      <c r="M141" s="100">
        <v>0.05</v>
      </c>
      <c r="N141" s="97"/>
      <c r="O141" s="98" t="s">
        <v>76</v>
      </c>
      <c r="P141" s="94">
        <f t="shared" si="69"/>
        <v>24</v>
      </c>
      <c r="Q141" s="98" t="s">
        <v>76</v>
      </c>
      <c r="R141" s="99">
        <f t="shared" si="70"/>
        <v>402990</v>
      </c>
      <c r="S141" s="99">
        <f t="shared" si="2"/>
        <v>363054.05405405402</v>
      </c>
    </row>
    <row r="142" spans="1:19" s="93" customFormat="1">
      <c r="A142" s="124" t="s">
        <v>795</v>
      </c>
      <c r="B142" s="93" t="s">
        <v>18</v>
      </c>
      <c r="C142" s="94"/>
      <c r="D142" s="95" t="s">
        <v>76</v>
      </c>
      <c r="E142" s="96">
        <v>2</v>
      </c>
      <c r="F142" s="97">
        <v>1</v>
      </c>
      <c r="G142" s="98" t="s">
        <v>20</v>
      </c>
      <c r="H142" s="97">
        <v>96</v>
      </c>
      <c r="I142" s="98" t="s">
        <v>76</v>
      </c>
      <c r="J142" s="99">
        <v>16500</v>
      </c>
      <c r="K142" s="95" t="s">
        <v>76</v>
      </c>
      <c r="L142" s="100">
        <v>0.125</v>
      </c>
      <c r="M142" s="100">
        <v>0.05</v>
      </c>
      <c r="N142" s="97"/>
      <c r="O142" s="98" t="s">
        <v>76</v>
      </c>
      <c r="P142" s="94">
        <f t="shared" si="69"/>
        <v>192</v>
      </c>
      <c r="Q142" s="98" t="s">
        <v>76</v>
      </c>
      <c r="R142" s="99">
        <f t="shared" si="70"/>
        <v>2633400</v>
      </c>
      <c r="S142" s="99">
        <f t="shared" ref="S142:S249" si="71">R142/1.11</f>
        <v>2372432.4324324322</v>
      </c>
    </row>
    <row r="143" spans="1:19" s="19" customFormat="1">
      <c r="A143" s="18" t="s">
        <v>82</v>
      </c>
      <c r="B143" s="19" t="s">
        <v>18</v>
      </c>
      <c r="C143" s="20">
        <v>53</v>
      </c>
      <c r="D143" s="21" t="s">
        <v>83</v>
      </c>
      <c r="E143" s="26">
        <v>8</v>
      </c>
      <c r="F143" s="22">
        <v>1</v>
      </c>
      <c r="G143" s="23" t="s">
        <v>20</v>
      </c>
      <c r="H143" s="22">
        <v>60</v>
      </c>
      <c r="I143" s="23" t="s">
        <v>83</v>
      </c>
      <c r="J143" s="24">
        <v>27600</v>
      </c>
      <c r="K143" s="21" t="s">
        <v>83</v>
      </c>
      <c r="L143" s="25">
        <v>0.125</v>
      </c>
      <c r="M143" s="25">
        <v>0.05</v>
      </c>
      <c r="N143" s="22"/>
      <c r="O143" s="23" t="s">
        <v>83</v>
      </c>
      <c r="P143" s="20">
        <f t="shared" si="69"/>
        <v>533</v>
      </c>
      <c r="Q143" s="23" t="s">
        <v>83</v>
      </c>
      <c r="R143" s="24">
        <f t="shared" si="70"/>
        <v>12228352.5</v>
      </c>
      <c r="S143" s="24">
        <f t="shared" si="71"/>
        <v>11016533.783783782</v>
      </c>
    </row>
    <row r="144" spans="1:19" s="93" customFormat="1">
      <c r="A144" s="85" t="s">
        <v>84</v>
      </c>
      <c r="B144" s="93" t="s">
        <v>18</v>
      </c>
      <c r="C144" s="94"/>
      <c r="D144" s="95" t="s">
        <v>83</v>
      </c>
      <c r="E144" s="96">
        <v>7</v>
      </c>
      <c r="F144" s="97">
        <v>1</v>
      </c>
      <c r="G144" s="98" t="s">
        <v>20</v>
      </c>
      <c r="H144" s="97">
        <v>50</v>
      </c>
      <c r="I144" s="98" t="s">
        <v>83</v>
      </c>
      <c r="J144" s="99">
        <v>31200</v>
      </c>
      <c r="K144" s="95" t="s">
        <v>83</v>
      </c>
      <c r="L144" s="100">
        <v>0.125</v>
      </c>
      <c r="M144" s="100">
        <v>0.05</v>
      </c>
      <c r="N144" s="97"/>
      <c r="O144" s="98" t="s">
        <v>83</v>
      </c>
      <c r="P144" s="94">
        <f t="shared" ref="P144" si="72">(C144+(E144*F144*H144))-N144</f>
        <v>350</v>
      </c>
      <c r="Q144" s="98" t="s">
        <v>83</v>
      </c>
      <c r="R144" s="99">
        <f t="shared" ref="R144" si="73">P144*(J144-(J144*L144)-((J144-(J144*L144))*M144))</f>
        <v>9077250</v>
      </c>
      <c r="S144" s="99">
        <f t="shared" ref="S144" si="74">R144/1.11</f>
        <v>8177702.702702702</v>
      </c>
    </row>
    <row r="145" spans="1:19" s="93" customFormat="1">
      <c r="A145" s="85" t="s">
        <v>85</v>
      </c>
      <c r="B145" s="93" t="s">
        <v>18</v>
      </c>
      <c r="C145" s="94"/>
      <c r="D145" s="95" t="s">
        <v>83</v>
      </c>
      <c r="E145" s="96">
        <v>10</v>
      </c>
      <c r="F145" s="97">
        <v>1</v>
      </c>
      <c r="G145" s="98" t="s">
        <v>20</v>
      </c>
      <c r="H145" s="97">
        <v>30</v>
      </c>
      <c r="I145" s="98" t="s">
        <v>83</v>
      </c>
      <c r="J145" s="99">
        <v>48600</v>
      </c>
      <c r="K145" s="95" t="s">
        <v>83</v>
      </c>
      <c r="L145" s="100">
        <v>0.125</v>
      </c>
      <c r="M145" s="100">
        <v>0.05</v>
      </c>
      <c r="N145" s="97"/>
      <c r="O145" s="98" t="s">
        <v>83</v>
      </c>
      <c r="P145" s="94">
        <f t="shared" si="69"/>
        <v>300</v>
      </c>
      <c r="Q145" s="98" t="s">
        <v>83</v>
      </c>
      <c r="R145" s="99">
        <f t="shared" si="70"/>
        <v>12119625</v>
      </c>
      <c r="S145" s="99">
        <f t="shared" si="71"/>
        <v>10918581.081081079</v>
      </c>
    </row>
    <row r="146" spans="1:19" s="93" customFormat="1">
      <c r="A146" s="155" t="s">
        <v>1046</v>
      </c>
      <c r="B146" s="93" t="s">
        <v>18</v>
      </c>
      <c r="C146" s="94"/>
      <c r="D146" s="95" t="s">
        <v>76</v>
      </c>
      <c r="E146" s="96"/>
      <c r="F146" s="97">
        <v>1</v>
      </c>
      <c r="G146" s="98" t="s">
        <v>20</v>
      </c>
      <c r="H146" s="97">
        <v>48</v>
      </c>
      <c r="I146" s="98" t="s">
        <v>76</v>
      </c>
      <c r="J146" s="99">
        <v>20300</v>
      </c>
      <c r="K146" s="95" t="s">
        <v>76</v>
      </c>
      <c r="L146" s="100">
        <v>0.125</v>
      </c>
      <c r="M146" s="100">
        <v>0.05</v>
      </c>
      <c r="N146" s="97"/>
      <c r="O146" s="98" t="s">
        <v>76</v>
      </c>
      <c r="P146" s="94">
        <f t="shared" ref="P146" si="75">(C146+(E146*F146*H146))-N146</f>
        <v>0</v>
      </c>
      <c r="Q146" s="98" t="s">
        <v>76</v>
      </c>
      <c r="R146" s="99">
        <f t="shared" ref="R146" si="76">P146*(J146-(J146*L146)-((J146-(J146*L146))*M146))</f>
        <v>0</v>
      </c>
      <c r="S146" s="99">
        <f t="shared" ref="S146" si="77">R146/1.11</f>
        <v>0</v>
      </c>
    </row>
    <row r="147" spans="1:19" s="19" customFormat="1">
      <c r="A147" s="18" t="s">
        <v>86</v>
      </c>
      <c r="B147" s="19" t="s">
        <v>18</v>
      </c>
      <c r="C147" s="20"/>
      <c r="D147" s="21" t="s">
        <v>83</v>
      </c>
      <c r="E147" s="26">
        <v>19</v>
      </c>
      <c r="F147" s="22">
        <v>1</v>
      </c>
      <c r="G147" s="23" t="s">
        <v>20</v>
      </c>
      <c r="H147" s="22">
        <v>20</v>
      </c>
      <c r="I147" s="23" t="s">
        <v>83</v>
      </c>
      <c r="J147" s="24">
        <v>67800</v>
      </c>
      <c r="K147" s="21" t="s">
        <v>83</v>
      </c>
      <c r="L147" s="25">
        <v>0.125</v>
      </c>
      <c r="M147" s="25">
        <v>0.05</v>
      </c>
      <c r="N147" s="22"/>
      <c r="O147" s="23" t="s">
        <v>83</v>
      </c>
      <c r="P147" s="20">
        <f t="shared" si="69"/>
        <v>380</v>
      </c>
      <c r="Q147" s="23" t="s">
        <v>83</v>
      </c>
      <c r="R147" s="24">
        <f t="shared" ref="R147:R152" si="78">P147*(J147-(J147*L147)-((J147-(J147*L147))*M147))</f>
        <v>21416325</v>
      </c>
      <c r="S147" s="24">
        <f t="shared" ref="S147:S152" si="79">R147/1.11</f>
        <v>19293986.486486483</v>
      </c>
    </row>
    <row r="148" spans="1:19" s="93" customFormat="1">
      <c r="A148" s="85" t="s">
        <v>87</v>
      </c>
      <c r="B148" s="93" t="s">
        <v>18</v>
      </c>
      <c r="C148" s="94"/>
      <c r="D148" s="95" t="s">
        <v>83</v>
      </c>
      <c r="E148" s="96">
        <v>18</v>
      </c>
      <c r="F148" s="97">
        <v>1</v>
      </c>
      <c r="G148" s="98" t="s">
        <v>20</v>
      </c>
      <c r="H148" s="97">
        <v>10</v>
      </c>
      <c r="I148" s="98" t="s">
        <v>83</v>
      </c>
      <c r="J148" s="99">
        <v>115800</v>
      </c>
      <c r="K148" s="95" t="s">
        <v>83</v>
      </c>
      <c r="L148" s="100">
        <v>0.125</v>
      </c>
      <c r="M148" s="100">
        <v>0.05</v>
      </c>
      <c r="N148" s="97"/>
      <c r="O148" s="98" t="s">
        <v>83</v>
      </c>
      <c r="P148" s="94">
        <f t="shared" si="69"/>
        <v>180</v>
      </c>
      <c r="Q148" s="98" t="s">
        <v>83</v>
      </c>
      <c r="R148" s="99">
        <f t="shared" si="78"/>
        <v>17326575</v>
      </c>
      <c r="S148" s="99">
        <f t="shared" si="79"/>
        <v>15609527.027027026</v>
      </c>
    </row>
    <row r="149" spans="1:19" s="19" customFormat="1">
      <c r="A149" s="18" t="s">
        <v>88</v>
      </c>
      <c r="B149" s="19" t="s">
        <v>18</v>
      </c>
      <c r="C149" s="20">
        <v>11</v>
      </c>
      <c r="D149" s="21" t="s">
        <v>83</v>
      </c>
      <c r="E149" s="26">
        <v>36</v>
      </c>
      <c r="F149" s="22">
        <v>1</v>
      </c>
      <c r="G149" s="23" t="s">
        <v>20</v>
      </c>
      <c r="H149" s="22">
        <v>5</v>
      </c>
      <c r="I149" s="23" t="s">
        <v>83</v>
      </c>
      <c r="J149" s="24">
        <v>177000</v>
      </c>
      <c r="K149" s="21" t="s">
        <v>83</v>
      </c>
      <c r="L149" s="25">
        <v>0.125</v>
      </c>
      <c r="M149" s="25">
        <v>0.05</v>
      </c>
      <c r="N149" s="22"/>
      <c r="O149" s="23" t="s">
        <v>83</v>
      </c>
      <c r="P149" s="20">
        <f t="shared" si="69"/>
        <v>191</v>
      </c>
      <c r="Q149" s="23" t="s">
        <v>83</v>
      </c>
      <c r="R149" s="24">
        <f t="shared" si="78"/>
        <v>28102068.75</v>
      </c>
      <c r="S149" s="24">
        <f t="shared" si="79"/>
        <v>25317179.054054052</v>
      </c>
    </row>
    <row r="150" spans="1:19" s="19" customFormat="1">
      <c r="A150" s="18" t="s">
        <v>89</v>
      </c>
      <c r="B150" s="19" t="s">
        <v>18</v>
      </c>
      <c r="C150" s="20">
        <v>105</v>
      </c>
      <c r="D150" s="21" t="s">
        <v>40</v>
      </c>
      <c r="E150" s="26">
        <v>12</v>
      </c>
      <c r="F150" s="22">
        <v>3</v>
      </c>
      <c r="G150" s="23" t="s">
        <v>83</v>
      </c>
      <c r="H150" s="22">
        <v>12</v>
      </c>
      <c r="I150" s="23" t="s">
        <v>40</v>
      </c>
      <c r="J150" s="24">
        <f>507600/12</f>
        <v>42300</v>
      </c>
      <c r="K150" s="21" t="s">
        <v>40</v>
      </c>
      <c r="L150" s="25">
        <v>0.125</v>
      </c>
      <c r="M150" s="25">
        <v>0.05</v>
      </c>
      <c r="N150" s="22"/>
      <c r="O150" s="23" t="s">
        <v>40</v>
      </c>
      <c r="P150" s="20">
        <f t="shared" si="69"/>
        <v>537</v>
      </c>
      <c r="Q150" s="23" t="s">
        <v>40</v>
      </c>
      <c r="R150" s="24">
        <f t="shared" si="78"/>
        <v>18881926.875</v>
      </c>
      <c r="S150" s="24">
        <f t="shared" si="79"/>
        <v>17010744.932432432</v>
      </c>
    </row>
    <row r="151" spans="1:19" s="19" customFormat="1">
      <c r="A151" s="18" t="s">
        <v>905</v>
      </c>
      <c r="B151" s="19" t="s">
        <v>18</v>
      </c>
      <c r="C151" s="20"/>
      <c r="D151" s="21" t="s">
        <v>40</v>
      </c>
      <c r="E151" s="26">
        <v>2</v>
      </c>
      <c r="F151" s="22">
        <v>2</v>
      </c>
      <c r="G151" s="23" t="s">
        <v>83</v>
      </c>
      <c r="H151" s="22">
        <v>12</v>
      </c>
      <c r="I151" s="23" t="s">
        <v>40</v>
      </c>
      <c r="J151" s="24">
        <v>85800</v>
      </c>
      <c r="K151" s="21" t="s">
        <v>40</v>
      </c>
      <c r="L151" s="25">
        <v>0.125</v>
      </c>
      <c r="M151" s="25">
        <v>0.05</v>
      </c>
      <c r="N151" s="22"/>
      <c r="O151" s="23" t="s">
        <v>40</v>
      </c>
      <c r="P151" s="20">
        <f t="shared" ref="P151" si="80">(C151+(E151*F151*H151))-N151</f>
        <v>48</v>
      </c>
      <c r="Q151" s="23" t="s">
        <v>40</v>
      </c>
      <c r="R151" s="24">
        <f t="shared" ref="R151" si="81">P151*(J151-(J151*L151)-((J151-(J151*L151))*M151))</f>
        <v>3423420</v>
      </c>
      <c r="S151" s="24">
        <f t="shared" ref="S151" si="82">R151/1.11</f>
        <v>3084162.1621621619</v>
      </c>
    </row>
    <row r="152" spans="1:19" s="19" customFormat="1">
      <c r="A152" s="18" t="s">
        <v>904</v>
      </c>
      <c r="B152" s="19" t="s">
        <v>18</v>
      </c>
      <c r="C152" s="20"/>
      <c r="D152" s="21" t="s">
        <v>40</v>
      </c>
      <c r="E152" s="26">
        <v>4</v>
      </c>
      <c r="F152" s="22">
        <v>1</v>
      </c>
      <c r="G152" s="23" t="s">
        <v>20</v>
      </c>
      <c r="H152" s="22">
        <v>20</v>
      </c>
      <c r="I152" s="23" t="s">
        <v>40</v>
      </c>
      <c r="J152" s="24">
        <v>108900</v>
      </c>
      <c r="K152" s="21" t="s">
        <v>40</v>
      </c>
      <c r="L152" s="25">
        <v>0.125</v>
      </c>
      <c r="M152" s="25">
        <v>0.05</v>
      </c>
      <c r="N152" s="22"/>
      <c r="O152" s="23" t="s">
        <v>40</v>
      </c>
      <c r="P152" s="20">
        <f t="shared" ref="P152" si="83">(C152+(E152*F152*H152))-N152</f>
        <v>80</v>
      </c>
      <c r="Q152" s="23" t="s">
        <v>40</v>
      </c>
      <c r="R152" s="24">
        <f t="shared" si="78"/>
        <v>7241850</v>
      </c>
      <c r="S152" s="24">
        <f t="shared" si="79"/>
        <v>6524189.1891891882</v>
      </c>
    </row>
    <row r="153" spans="1:19" s="19" customFormat="1">
      <c r="A153" s="18"/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8" t="s">
        <v>90</v>
      </c>
      <c r="B154" s="19" t="s">
        <v>25</v>
      </c>
      <c r="C154" s="20"/>
      <c r="D154" s="21" t="s">
        <v>83</v>
      </c>
      <c r="E154" s="26">
        <v>15</v>
      </c>
      <c r="F154" s="22">
        <v>1</v>
      </c>
      <c r="G154" s="23" t="s">
        <v>20</v>
      </c>
      <c r="H154" s="22">
        <v>50</v>
      </c>
      <c r="I154" s="23" t="s">
        <v>83</v>
      </c>
      <c r="J154" s="24">
        <f>1440000/50</f>
        <v>28800</v>
      </c>
      <c r="K154" s="21" t="s">
        <v>83</v>
      </c>
      <c r="L154" s="25"/>
      <c r="M154" s="25">
        <v>0.17</v>
      </c>
      <c r="N154" s="22"/>
      <c r="O154" s="23" t="s">
        <v>83</v>
      </c>
      <c r="P154" s="20">
        <f t="shared" ref="P154:P161" si="84">(C154+(E154*F154*H154))-N154</f>
        <v>750</v>
      </c>
      <c r="Q154" s="23" t="s">
        <v>83</v>
      </c>
      <c r="R154" s="24">
        <f t="shared" ref="R154:R161" si="85">P154*(J154-(J154*L154)-((J154-(J154*L154))*M154))</f>
        <v>17928000</v>
      </c>
      <c r="S154" s="24">
        <f t="shared" si="71"/>
        <v>16151351.351351351</v>
      </c>
    </row>
    <row r="155" spans="1:19" s="19" customFormat="1">
      <c r="A155" s="18" t="s">
        <v>91</v>
      </c>
      <c r="B155" s="19" t="s">
        <v>25</v>
      </c>
      <c r="C155" s="20">
        <v>43</v>
      </c>
      <c r="D155" s="21" t="s">
        <v>83</v>
      </c>
      <c r="E155" s="26">
        <v>20</v>
      </c>
      <c r="F155" s="22">
        <v>1</v>
      </c>
      <c r="G155" s="23" t="s">
        <v>20</v>
      </c>
      <c r="H155" s="22">
        <v>50</v>
      </c>
      <c r="I155" s="23" t="s">
        <v>83</v>
      </c>
      <c r="J155" s="24">
        <f>1590000/50</f>
        <v>31800</v>
      </c>
      <c r="K155" s="21" t="s">
        <v>83</v>
      </c>
      <c r="L155" s="25"/>
      <c r="M155" s="25">
        <v>0.17</v>
      </c>
      <c r="N155" s="22"/>
      <c r="O155" s="23" t="s">
        <v>83</v>
      </c>
      <c r="P155" s="20">
        <f t="shared" si="84"/>
        <v>1043</v>
      </c>
      <c r="Q155" s="23" t="s">
        <v>83</v>
      </c>
      <c r="R155" s="24">
        <f t="shared" si="85"/>
        <v>27528942</v>
      </c>
      <c r="S155" s="24">
        <f t="shared" si="71"/>
        <v>24800848.648648646</v>
      </c>
    </row>
    <row r="156" spans="1:19" s="19" customFormat="1">
      <c r="A156" s="18" t="s">
        <v>92</v>
      </c>
      <c r="B156" s="19" t="s">
        <v>25</v>
      </c>
      <c r="C156" s="20">
        <v>57</v>
      </c>
      <c r="D156" s="21" t="s">
        <v>83</v>
      </c>
      <c r="E156" s="26">
        <v>21</v>
      </c>
      <c r="F156" s="22">
        <v>1</v>
      </c>
      <c r="G156" s="23" t="s">
        <v>20</v>
      </c>
      <c r="H156" s="22">
        <v>30</v>
      </c>
      <c r="I156" s="23" t="s">
        <v>83</v>
      </c>
      <c r="J156" s="24">
        <f>1476000/30</f>
        <v>49200</v>
      </c>
      <c r="K156" s="21" t="s">
        <v>83</v>
      </c>
      <c r="L156" s="25"/>
      <c r="M156" s="25">
        <v>0.17</v>
      </c>
      <c r="N156" s="22"/>
      <c r="O156" s="23" t="s">
        <v>83</v>
      </c>
      <c r="P156" s="20">
        <f t="shared" si="84"/>
        <v>687</v>
      </c>
      <c r="Q156" s="23" t="s">
        <v>83</v>
      </c>
      <c r="R156" s="24">
        <f t="shared" si="85"/>
        <v>28054332</v>
      </c>
      <c r="S156" s="24">
        <f t="shared" si="71"/>
        <v>25274172.97297297</v>
      </c>
    </row>
    <row r="157" spans="1:19" s="19" customFormat="1">
      <c r="A157" s="18" t="s">
        <v>93</v>
      </c>
      <c r="B157" s="19" t="s">
        <v>25</v>
      </c>
      <c r="C157" s="20">
        <v>71</v>
      </c>
      <c r="D157" s="21" t="s">
        <v>83</v>
      </c>
      <c r="E157" s="26">
        <v>35</v>
      </c>
      <c r="F157" s="22">
        <v>1</v>
      </c>
      <c r="G157" s="23" t="s">
        <v>20</v>
      </c>
      <c r="H157" s="22">
        <v>20</v>
      </c>
      <c r="I157" s="23" t="s">
        <v>83</v>
      </c>
      <c r="J157" s="24">
        <f>1380000/20</f>
        <v>69000</v>
      </c>
      <c r="K157" s="21" t="s">
        <v>83</v>
      </c>
      <c r="L157" s="25"/>
      <c r="M157" s="25">
        <v>0.17</v>
      </c>
      <c r="N157" s="22"/>
      <c r="O157" s="23" t="s">
        <v>83</v>
      </c>
      <c r="P157" s="20">
        <f t="shared" si="84"/>
        <v>771</v>
      </c>
      <c r="Q157" s="23" t="s">
        <v>83</v>
      </c>
      <c r="R157" s="24">
        <f t="shared" si="85"/>
        <v>44155170</v>
      </c>
      <c r="S157" s="24">
        <f t="shared" si="71"/>
        <v>39779432.432432428</v>
      </c>
    </row>
    <row r="158" spans="1:19" s="19" customFormat="1">
      <c r="A158" s="18" t="s">
        <v>94</v>
      </c>
      <c r="B158" s="19" t="s">
        <v>25</v>
      </c>
      <c r="C158" s="20">
        <v>52</v>
      </c>
      <c r="D158" s="21" t="s">
        <v>83</v>
      </c>
      <c r="E158" s="26">
        <v>35</v>
      </c>
      <c r="F158" s="22">
        <v>1</v>
      </c>
      <c r="G158" s="23" t="s">
        <v>20</v>
      </c>
      <c r="H158" s="22">
        <v>10</v>
      </c>
      <c r="I158" s="23" t="s">
        <v>83</v>
      </c>
      <c r="J158" s="24">
        <f>1200000/10</f>
        <v>120000</v>
      </c>
      <c r="K158" s="21" t="s">
        <v>83</v>
      </c>
      <c r="L158" s="25"/>
      <c r="M158" s="25">
        <v>0.17</v>
      </c>
      <c r="N158" s="22"/>
      <c r="O158" s="23" t="s">
        <v>83</v>
      </c>
      <c r="P158" s="20">
        <f t="shared" si="84"/>
        <v>402</v>
      </c>
      <c r="Q158" s="23" t="s">
        <v>83</v>
      </c>
      <c r="R158" s="24">
        <f t="shared" si="85"/>
        <v>40039200</v>
      </c>
      <c r="S158" s="24">
        <f t="shared" si="71"/>
        <v>36071351.351351351</v>
      </c>
    </row>
    <row r="159" spans="1:19" s="19" customFormat="1">
      <c r="A159" s="18" t="s">
        <v>95</v>
      </c>
      <c r="B159" s="19" t="s">
        <v>25</v>
      </c>
      <c r="C159" s="20"/>
      <c r="D159" s="21" t="s">
        <v>83</v>
      </c>
      <c r="E159" s="26">
        <v>63</v>
      </c>
      <c r="F159" s="22">
        <v>1</v>
      </c>
      <c r="G159" s="23" t="s">
        <v>20</v>
      </c>
      <c r="H159" s="22">
        <v>5</v>
      </c>
      <c r="I159" s="23" t="s">
        <v>83</v>
      </c>
      <c r="J159" s="24">
        <f>900000/5</f>
        <v>180000</v>
      </c>
      <c r="K159" s="21" t="s">
        <v>83</v>
      </c>
      <c r="L159" s="25"/>
      <c r="M159" s="25">
        <v>0.17</v>
      </c>
      <c r="N159" s="22"/>
      <c r="O159" s="23" t="s">
        <v>83</v>
      </c>
      <c r="P159" s="20">
        <f t="shared" si="84"/>
        <v>315</v>
      </c>
      <c r="Q159" s="23" t="s">
        <v>83</v>
      </c>
      <c r="R159" s="24">
        <f t="shared" si="85"/>
        <v>47061000</v>
      </c>
      <c r="S159" s="24">
        <f t="shared" si="71"/>
        <v>42397297.297297291</v>
      </c>
    </row>
    <row r="160" spans="1:19" s="19" customFormat="1">
      <c r="A160" s="18" t="s">
        <v>906</v>
      </c>
      <c r="B160" s="19" t="s">
        <v>25</v>
      </c>
      <c r="C160" s="20"/>
      <c r="D160" s="21" t="s">
        <v>33</v>
      </c>
      <c r="E160" s="26">
        <v>3</v>
      </c>
      <c r="F160" s="22">
        <v>48</v>
      </c>
      <c r="G160" s="23" t="s">
        <v>33</v>
      </c>
      <c r="H160" s="22">
        <v>6</v>
      </c>
      <c r="I160" s="23" t="s">
        <v>831</v>
      </c>
      <c r="J160" s="24">
        <v>7150</v>
      </c>
      <c r="K160" s="21" t="s">
        <v>831</v>
      </c>
      <c r="L160" s="25"/>
      <c r="M160" s="25">
        <v>0.17</v>
      </c>
      <c r="N160" s="22"/>
      <c r="O160" s="23" t="s">
        <v>33</v>
      </c>
      <c r="P160" s="20">
        <f t="shared" ref="P160" si="86">(C160+(E160*F160*H160))-N160</f>
        <v>864</v>
      </c>
      <c r="Q160" s="23" t="s">
        <v>831</v>
      </c>
      <c r="R160" s="24">
        <f t="shared" ref="R160" si="87">P160*(J160-(J160*L160)-((J160-(J160*L160))*M160))</f>
        <v>5127408</v>
      </c>
      <c r="S160" s="24">
        <f t="shared" ref="S160" si="88">R160/1.11</f>
        <v>4619286.4864864862</v>
      </c>
    </row>
    <row r="161" spans="1:19" s="19" customFormat="1">
      <c r="A161" s="18" t="s">
        <v>706</v>
      </c>
      <c r="B161" s="19" t="s">
        <v>25</v>
      </c>
      <c r="C161" s="20">
        <v>345</v>
      </c>
      <c r="D161" s="21" t="s">
        <v>33</v>
      </c>
      <c r="E161" s="26">
        <v>12</v>
      </c>
      <c r="F161" s="22">
        <v>1</v>
      </c>
      <c r="G161" s="23" t="s">
        <v>20</v>
      </c>
      <c r="H161" s="22">
        <v>72</v>
      </c>
      <c r="I161" s="23" t="s">
        <v>33</v>
      </c>
      <c r="J161" s="24">
        <f>1548000/72</f>
        <v>21500</v>
      </c>
      <c r="K161" s="21" t="s">
        <v>33</v>
      </c>
      <c r="L161" s="25"/>
      <c r="M161" s="25">
        <v>0.17</v>
      </c>
      <c r="N161" s="22"/>
      <c r="O161" s="23" t="s">
        <v>33</v>
      </c>
      <c r="P161" s="20">
        <f t="shared" si="84"/>
        <v>1209</v>
      </c>
      <c r="Q161" s="23" t="s">
        <v>33</v>
      </c>
      <c r="R161" s="24">
        <f t="shared" si="85"/>
        <v>21574605</v>
      </c>
      <c r="S161" s="24">
        <f t="shared" si="71"/>
        <v>19436581.081081081</v>
      </c>
    </row>
    <row r="162" spans="1:19" s="19" customFormat="1">
      <c r="A162" s="18" t="s">
        <v>992</v>
      </c>
      <c r="B162" s="19" t="s">
        <v>25</v>
      </c>
      <c r="C162" s="20"/>
      <c r="D162" s="21" t="s">
        <v>33</v>
      </c>
      <c r="E162" s="26">
        <v>2</v>
      </c>
      <c r="F162" s="22">
        <v>1</v>
      </c>
      <c r="G162" s="23" t="s">
        <v>20</v>
      </c>
      <c r="H162" s="22">
        <v>48</v>
      </c>
      <c r="I162" s="23" t="s">
        <v>33</v>
      </c>
      <c r="J162" s="24">
        <v>42900</v>
      </c>
      <c r="K162" s="21" t="s">
        <v>33</v>
      </c>
      <c r="L162" s="25"/>
      <c r="M162" s="25">
        <v>0.17</v>
      </c>
      <c r="N162" s="22"/>
      <c r="O162" s="23" t="s">
        <v>33</v>
      </c>
      <c r="P162" s="20">
        <f t="shared" ref="P162" si="89">(C162+(E162*F162*H162))-N162</f>
        <v>96</v>
      </c>
      <c r="Q162" s="23" t="s">
        <v>33</v>
      </c>
      <c r="R162" s="24">
        <f t="shared" ref="R162" si="90">P162*(J162-(J162*L162)-((J162-(J162*L162))*M162))</f>
        <v>3418272</v>
      </c>
      <c r="S162" s="24">
        <f t="shared" ref="S162" si="91">R162/1.11</f>
        <v>3079524.3243243243</v>
      </c>
    </row>
    <row r="163" spans="1:19" s="19" customFormat="1">
      <c r="A163" s="18"/>
      <c r="C163" s="20"/>
      <c r="D163" s="21"/>
      <c r="E163" s="26"/>
      <c r="F163" s="22"/>
      <c r="G163" s="23"/>
      <c r="H163" s="22"/>
      <c r="I163" s="23"/>
      <c r="J163" s="24"/>
      <c r="K163" s="21"/>
      <c r="L163" s="25"/>
      <c r="M163" s="25"/>
      <c r="N163" s="22"/>
      <c r="O163" s="23"/>
      <c r="P163" s="20"/>
      <c r="Q163" s="23"/>
      <c r="R163" s="24"/>
      <c r="S163" s="24"/>
    </row>
    <row r="164" spans="1:19" s="19" customFormat="1">
      <c r="A164" s="60" t="s">
        <v>96</v>
      </c>
      <c r="C164" s="20"/>
      <c r="D164" s="21"/>
      <c r="E164" s="26"/>
      <c r="F164" s="22"/>
      <c r="G164" s="23"/>
      <c r="H164" s="22"/>
      <c r="I164" s="23"/>
      <c r="J164" s="24"/>
      <c r="K164" s="21"/>
      <c r="L164" s="25"/>
      <c r="M164" s="25"/>
      <c r="N164" s="22"/>
      <c r="O164" s="23"/>
      <c r="P164" s="20"/>
      <c r="Q164" s="23"/>
      <c r="R164" s="24"/>
      <c r="S164" s="24"/>
    </row>
    <row r="165" spans="1:19" s="19" customFormat="1">
      <c r="A165" s="18" t="s">
        <v>97</v>
      </c>
      <c r="B165" s="19" t="s">
        <v>18</v>
      </c>
      <c r="C165" s="20"/>
      <c r="D165" s="21" t="s">
        <v>33</v>
      </c>
      <c r="E165" s="26">
        <v>5</v>
      </c>
      <c r="F165" s="22">
        <v>50</v>
      </c>
      <c r="G165" s="23" t="s">
        <v>98</v>
      </c>
      <c r="H165" s="22">
        <v>10</v>
      </c>
      <c r="I165" s="23" t="s">
        <v>33</v>
      </c>
      <c r="J165" s="24">
        <v>1850</v>
      </c>
      <c r="K165" s="21" t="s">
        <v>33</v>
      </c>
      <c r="L165" s="25">
        <v>0.125</v>
      </c>
      <c r="M165" s="25">
        <v>0.05</v>
      </c>
      <c r="N165" s="22"/>
      <c r="O165" s="23" t="s">
        <v>33</v>
      </c>
      <c r="P165" s="20">
        <f>(C165+(E165*F165*H165))-N165</f>
        <v>2500</v>
      </c>
      <c r="Q165" s="23" t="s">
        <v>33</v>
      </c>
      <c r="R165" s="24">
        <f>P165*(J165-(J165*L165)-((J165-(J165*L165))*M165))</f>
        <v>3844531.25</v>
      </c>
      <c r="S165" s="24">
        <f t="shared" si="71"/>
        <v>3463541.6666666665</v>
      </c>
    </row>
    <row r="166" spans="1:19" s="19" customFormat="1">
      <c r="A166" s="18" t="s">
        <v>99</v>
      </c>
      <c r="B166" s="19" t="s">
        <v>18</v>
      </c>
      <c r="C166" s="20"/>
      <c r="D166" s="21" t="s">
        <v>33</v>
      </c>
      <c r="E166" s="26">
        <v>25</v>
      </c>
      <c r="F166" s="22">
        <v>50</v>
      </c>
      <c r="G166" s="23" t="s">
        <v>98</v>
      </c>
      <c r="H166" s="22">
        <v>10</v>
      </c>
      <c r="I166" s="23" t="s">
        <v>33</v>
      </c>
      <c r="J166" s="24">
        <v>1625</v>
      </c>
      <c r="K166" s="21" t="s">
        <v>33</v>
      </c>
      <c r="L166" s="25">
        <v>0.125</v>
      </c>
      <c r="M166" s="25">
        <v>0.05</v>
      </c>
      <c r="N166" s="22"/>
      <c r="O166" s="23" t="s">
        <v>33</v>
      </c>
      <c r="P166" s="20">
        <f>(C166+(E166*F166*H166))-N166</f>
        <v>12500</v>
      </c>
      <c r="Q166" s="23" t="s">
        <v>33</v>
      </c>
      <c r="R166" s="24">
        <f>P166*(J166-(J166*L166)-((J166-(J166*L166))*M166))</f>
        <v>16884765.625</v>
      </c>
      <c r="S166" s="24">
        <f t="shared" si="71"/>
        <v>15211500.563063061</v>
      </c>
    </row>
    <row r="167" spans="1:19" s="93" customFormat="1">
      <c r="A167" s="85" t="s">
        <v>100</v>
      </c>
      <c r="B167" s="93" t="s">
        <v>18</v>
      </c>
      <c r="C167" s="94"/>
      <c r="D167" s="95" t="s">
        <v>33</v>
      </c>
      <c r="E167" s="96">
        <v>13</v>
      </c>
      <c r="F167" s="97">
        <v>20</v>
      </c>
      <c r="G167" s="98" t="s">
        <v>98</v>
      </c>
      <c r="H167" s="97">
        <v>10</v>
      </c>
      <c r="I167" s="98" t="s">
        <v>33</v>
      </c>
      <c r="J167" s="99">
        <v>4400</v>
      </c>
      <c r="K167" s="95" t="s">
        <v>33</v>
      </c>
      <c r="L167" s="100">
        <v>0.125</v>
      </c>
      <c r="M167" s="100">
        <v>0.05</v>
      </c>
      <c r="N167" s="97"/>
      <c r="O167" s="98" t="s">
        <v>33</v>
      </c>
      <c r="P167" s="94">
        <f>(C167+(E167*F167*H167))-N167</f>
        <v>2600</v>
      </c>
      <c r="Q167" s="98" t="s">
        <v>33</v>
      </c>
      <c r="R167" s="99">
        <f>P167*(J167-(J167*L167)-((J167-(J167*L167))*M167))</f>
        <v>9509500</v>
      </c>
      <c r="S167" s="99">
        <f t="shared" si="71"/>
        <v>8567117.1171171162</v>
      </c>
    </row>
    <row r="168" spans="1:19" s="19" customFormat="1">
      <c r="A168" s="18" t="s">
        <v>101</v>
      </c>
      <c r="B168" s="19" t="s">
        <v>18</v>
      </c>
      <c r="C168" s="20">
        <v>792</v>
      </c>
      <c r="D168" s="21" t="s">
        <v>102</v>
      </c>
      <c r="E168" s="26">
        <v>8</v>
      </c>
      <c r="F168" s="22">
        <v>24</v>
      </c>
      <c r="G168" s="23" t="s">
        <v>33</v>
      </c>
      <c r="H168" s="22">
        <v>12</v>
      </c>
      <c r="I168" s="23" t="s">
        <v>102</v>
      </c>
      <c r="J168" s="24">
        <v>3100</v>
      </c>
      <c r="K168" s="21" t="s">
        <v>102</v>
      </c>
      <c r="L168" s="25">
        <v>0.125</v>
      </c>
      <c r="M168" s="25">
        <v>0.05</v>
      </c>
      <c r="N168" s="22"/>
      <c r="O168" s="23" t="s">
        <v>102</v>
      </c>
      <c r="P168" s="20">
        <f>(C168+(E168*F168*H168))-N168</f>
        <v>3096</v>
      </c>
      <c r="Q168" s="23" t="s">
        <v>102</v>
      </c>
      <c r="R168" s="24">
        <f>P168*(J168-(J168*L168)-((J168-(J168*L168))*M168))</f>
        <v>7978005</v>
      </c>
      <c r="S168" s="24">
        <f t="shared" si="71"/>
        <v>7187391.8918918911</v>
      </c>
    </row>
    <row r="169" spans="1:19" s="19" customFormat="1">
      <c r="A169" s="18"/>
      <c r="C169" s="20"/>
      <c r="D169" s="21"/>
      <c r="E169" s="26"/>
      <c r="F169" s="22"/>
      <c r="G169" s="23"/>
      <c r="H169" s="22"/>
      <c r="I169" s="23"/>
      <c r="J169" s="24"/>
      <c r="K169" s="21"/>
      <c r="L169" s="25"/>
      <c r="M169" s="25"/>
      <c r="N169" s="22"/>
      <c r="O169" s="23"/>
      <c r="P169" s="20"/>
      <c r="Q169" s="23"/>
      <c r="R169" s="24"/>
      <c r="S169" s="24"/>
    </row>
    <row r="170" spans="1:19" s="19" customFormat="1">
      <c r="A170" s="18" t="s">
        <v>103</v>
      </c>
      <c r="B170" s="19" t="s">
        <v>25</v>
      </c>
      <c r="C170" s="20">
        <v>390</v>
      </c>
      <c r="D170" s="21" t="s">
        <v>33</v>
      </c>
      <c r="E170" s="26">
        <v>14</v>
      </c>
      <c r="F170" s="22">
        <v>50</v>
      </c>
      <c r="G170" s="23" t="s">
        <v>98</v>
      </c>
      <c r="H170" s="22">
        <v>10</v>
      </c>
      <c r="I170" s="23" t="s">
        <v>33</v>
      </c>
      <c r="J170" s="24">
        <f>850000/50/10</f>
        <v>1700</v>
      </c>
      <c r="K170" s="21" t="s">
        <v>33</v>
      </c>
      <c r="L170" s="25"/>
      <c r="M170" s="25">
        <v>0.17</v>
      </c>
      <c r="N170" s="22"/>
      <c r="O170" s="23" t="s">
        <v>33</v>
      </c>
      <c r="P170" s="20">
        <f>(C170+(E170*F170*H170))-N170</f>
        <v>7390</v>
      </c>
      <c r="Q170" s="23" t="s">
        <v>33</v>
      </c>
      <c r="R170" s="24">
        <f>P170*(J170-(J170*L170)-((J170-(J170*L170))*M170))</f>
        <v>10427290</v>
      </c>
      <c r="S170" s="24">
        <f t="shared" si="71"/>
        <v>9393954.9549549539</v>
      </c>
    </row>
    <row r="171" spans="1:19" s="19" customFormat="1">
      <c r="A171" s="18" t="s">
        <v>104</v>
      </c>
      <c r="B171" s="19" t="s">
        <v>25</v>
      </c>
      <c r="C171" s="20">
        <v>1510</v>
      </c>
      <c r="D171" s="21" t="s">
        <v>33</v>
      </c>
      <c r="E171" s="26">
        <v>20</v>
      </c>
      <c r="F171" s="22">
        <v>50</v>
      </c>
      <c r="G171" s="23" t="s">
        <v>98</v>
      </c>
      <c r="H171" s="22">
        <v>10</v>
      </c>
      <c r="I171" s="23" t="s">
        <v>33</v>
      </c>
      <c r="J171" s="24">
        <f>800000/50/10</f>
        <v>1600</v>
      </c>
      <c r="K171" s="21" t="s">
        <v>33</v>
      </c>
      <c r="L171" s="25"/>
      <c r="M171" s="25">
        <v>0.17</v>
      </c>
      <c r="N171" s="22"/>
      <c r="O171" s="23" t="s">
        <v>33</v>
      </c>
      <c r="P171" s="20">
        <f>(C171+(E171*F171*H171))-N171</f>
        <v>11510</v>
      </c>
      <c r="Q171" s="23" t="s">
        <v>33</v>
      </c>
      <c r="R171" s="24">
        <f>P171*(J171-(J171*L171)-((J171-(J171*L171))*M171))</f>
        <v>15285280</v>
      </c>
      <c r="S171" s="24">
        <f t="shared" si="71"/>
        <v>13770522.522522522</v>
      </c>
    </row>
    <row r="172" spans="1:19" s="19" customFormat="1">
      <c r="A172" s="18" t="s">
        <v>105</v>
      </c>
      <c r="B172" s="19" t="s">
        <v>25</v>
      </c>
      <c r="C172" s="20">
        <v>810</v>
      </c>
      <c r="D172" s="21" t="s">
        <v>33</v>
      </c>
      <c r="E172" s="26">
        <v>27</v>
      </c>
      <c r="F172" s="22">
        <v>20</v>
      </c>
      <c r="G172" s="23" t="s">
        <v>98</v>
      </c>
      <c r="H172" s="22">
        <v>10</v>
      </c>
      <c r="I172" s="23" t="s">
        <v>33</v>
      </c>
      <c r="J172" s="24">
        <f>860000/20/10</f>
        <v>4300</v>
      </c>
      <c r="K172" s="21" t="s">
        <v>33</v>
      </c>
      <c r="L172" s="25"/>
      <c r="M172" s="25">
        <v>0.17</v>
      </c>
      <c r="N172" s="22"/>
      <c r="O172" s="23" t="s">
        <v>33</v>
      </c>
      <c r="P172" s="20">
        <f>(C172+(E172*F172*H172))-N172</f>
        <v>6210</v>
      </c>
      <c r="Q172" s="23" t="s">
        <v>33</v>
      </c>
      <c r="R172" s="24">
        <f>P172*(J172-(J172*L172)-((J172-(J172*L172))*M172))</f>
        <v>22163490</v>
      </c>
      <c r="S172" s="24">
        <f t="shared" si="71"/>
        <v>19967108.108108107</v>
      </c>
    </row>
    <row r="173" spans="1:19" s="19" customFormat="1">
      <c r="A173" s="18" t="s">
        <v>106</v>
      </c>
      <c r="B173" s="19" t="s">
        <v>25</v>
      </c>
      <c r="C173" s="20">
        <v>16</v>
      </c>
      <c r="D173" s="21" t="s">
        <v>40</v>
      </c>
      <c r="E173" s="26">
        <v>21</v>
      </c>
      <c r="F173" s="22">
        <v>1</v>
      </c>
      <c r="G173" s="23" t="s">
        <v>20</v>
      </c>
      <c r="H173" s="22">
        <v>48</v>
      </c>
      <c r="I173" s="23" t="s">
        <v>40</v>
      </c>
      <c r="J173" s="24">
        <f>1987200/48</f>
        <v>41400</v>
      </c>
      <c r="K173" s="21" t="s">
        <v>40</v>
      </c>
      <c r="L173" s="25"/>
      <c r="M173" s="25">
        <v>0.17</v>
      </c>
      <c r="N173" s="22"/>
      <c r="O173" s="23" t="s">
        <v>40</v>
      </c>
      <c r="P173" s="20">
        <f>(C173+(E173*F173*H173))-N173</f>
        <v>1024</v>
      </c>
      <c r="Q173" s="23" t="s">
        <v>40</v>
      </c>
      <c r="R173" s="24">
        <f>P173*(J173-(J173*L173)-((J173-(J173*L173))*M173))</f>
        <v>35186688</v>
      </c>
      <c r="S173" s="24">
        <f t="shared" si="71"/>
        <v>31699718.918918915</v>
      </c>
    </row>
    <row r="174" spans="1:19" s="19" customFormat="1">
      <c r="A174" s="18"/>
      <c r="C174" s="20"/>
      <c r="D174" s="21"/>
      <c r="E174" s="26"/>
      <c r="F174" s="22"/>
      <c r="G174" s="23"/>
      <c r="H174" s="22"/>
      <c r="I174" s="23"/>
      <c r="J174" s="24"/>
      <c r="K174" s="21"/>
      <c r="L174" s="25"/>
      <c r="M174" s="25"/>
      <c r="N174" s="22"/>
      <c r="O174" s="23"/>
      <c r="P174" s="20"/>
      <c r="Q174" s="23"/>
      <c r="R174" s="24"/>
      <c r="S174" s="24"/>
    </row>
    <row r="175" spans="1:19" s="19" customFormat="1" ht="15.75">
      <c r="A175" s="35" t="s">
        <v>107</v>
      </c>
      <c r="C175" s="20"/>
      <c r="D175" s="21"/>
      <c r="E175" s="26"/>
      <c r="F175" s="22"/>
      <c r="G175" s="23"/>
      <c r="H175" s="22"/>
      <c r="I175" s="23"/>
      <c r="J175" s="24"/>
      <c r="K175" s="21"/>
      <c r="L175" s="25"/>
      <c r="M175" s="25"/>
      <c r="N175" s="22"/>
      <c r="O175" s="23"/>
      <c r="P175" s="20"/>
      <c r="Q175" s="23"/>
      <c r="R175" s="24"/>
      <c r="S175" s="24"/>
    </row>
    <row r="176" spans="1:19" s="19" customFormat="1">
      <c r="A176" s="60" t="s">
        <v>108</v>
      </c>
      <c r="C176" s="20"/>
      <c r="D176" s="21"/>
      <c r="E176" s="26"/>
      <c r="F176" s="22"/>
      <c r="G176" s="23"/>
      <c r="H176" s="22"/>
      <c r="I176" s="23"/>
      <c r="J176" s="24"/>
      <c r="K176" s="21"/>
      <c r="L176" s="25"/>
      <c r="M176" s="25"/>
      <c r="N176" s="22"/>
      <c r="O176" s="23"/>
      <c r="P176" s="20"/>
      <c r="Q176" s="23"/>
      <c r="R176" s="24"/>
      <c r="S176" s="24"/>
    </row>
    <row r="177" spans="1:19" s="19" customFormat="1">
      <c r="A177" s="128" t="s">
        <v>109</v>
      </c>
      <c r="B177" s="19" t="s">
        <v>18</v>
      </c>
      <c r="C177" s="20"/>
      <c r="D177" s="21" t="s">
        <v>40</v>
      </c>
      <c r="E177" s="26">
        <v>30</v>
      </c>
      <c r="F177" s="22">
        <v>1</v>
      </c>
      <c r="G177" s="23" t="s">
        <v>20</v>
      </c>
      <c r="H177" s="22">
        <v>48</v>
      </c>
      <c r="I177" s="23" t="s">
        <v>40</v>
      </c>
      <c r="J177" s="24">
        <v>36000</v>
      </c>
      <c r="K177" s="21" t="s">
        <v>40</v>
      </c>
      <c r="L177" s="25">
        <v>0.125</v>
      </c>
      <c r="M177" s="127">
        <v>0.08</v>
      </c>
      <c r="N177" s="22"/>
      <c r="O177" s="23" t="s">
        <v>40</v>
      </c>
      <c r="P177" s="20">
        <f t="shared" ref="P177" si="92">(C177+(E177*F177*H177))-N177</f>
        <v>1440</v>
      </c>
      <c r="Q177" s="23" t="s">
        <v>40</v>
      </c>
      <c r="R177" s="24">
        <f t="shared" ref="R177" si="93">P177*(J177-(J177*L177)-((J177-(J177*L177))*M177))</f>
        <v>41731200</v>
      </c>
      <c r="S177" s="24">
        <f t="shared" ref="S177" si="94">R177/1.11</f>
        <v>37595675.675675675</v>
      </c>
    </row>
    <row r="178" spans="1:19" s="19" customFormat="1">
      <c r="A178" s="128" t="s">
        <v>109</v>
      </c>
      <c r="B178" s="19" t="s">
        <v>18</v>
      </c>
      <c r="C178" s="20">
        <v>145</v>
      </c>
      <c r="D178" s="21" t="s">
        <v>40</v>
      </c>
      <c r="E178" s="26">
        <v>24</v>
      </c>
      <c r="F178" s="22">
        <v>1</v>
      </c>
      <c r="G178" s="23" t="s">
        <v>20</v>
      </c>
      <c r="H178" s="22">
        <v>48</v>
      </c>
      <c r="I178" s="23" t="s">
        <v>40</v>
      </c>
      <c r="J178" s="24">
        <v>36000</v>
      </c>
      <c r="K178" s="21" t="s">
        <v>40</v>
      </c>
      <c r="L178" s="25">
        <v>0.125</v>
      </c>
      <c r="M178" s="127">
        <v>0.05</v>
      </c>
      <c r="N178" s="22"/>
      <c r="O178" s="23" t="s">
        <v>40</v>
      </c>
      <c r="P178" s="20">
        <f t="shared" ref="P178:P197" si="95">(C178+(E178*F178*H178))-N178</f>
        <v>1297</v>
      </c>
      <c r="Q178" s="23" t="s">
        <v>40</v>
      </c>
      <c r="R178" s="24">
        <f t="shared" ref="R178:R197" si="96">P178*(J178-(J178*L178)-((J178-(J178*L178))*M178))</f>
        <v>38812725</v>
      </c>
      <c r="S178" s="24">
        <f t="shared" si="71"/>
        <v>34966418.918918915</v>
      </c>
    </row>
    <row r="179" spans="1:19" s="19" customFormat="1">
      <c r="A179" s="28" t="s">
        <v>110</v>
      </c>
      <c r="B179" s="19" t="s">
        <v>18</v>
      </c>
      <c r="C179" s="20">
        <v>480</v>
      </c>
      <c r="D179" s="21" t="s">
        <v>40</v>
      </c>
      <c r="E179" s="26"/>
      <c r="F179" s="22">
        <v>1</v>
      </c>
      <c r="G179" s="23" t="s">
        <v>20</v>
      </c>
      <c r="H179" s="22">
        <v>48</v>
      </c>
      <c r="I179" s="23" t="s">
        <v>40</v>
      </c>
      <c r="J179" s="24">
        <v>36000</v>
      </c>
      <c r="K179" s="21" t="s">
        <v>40</v>
      </c>
      <c r="L179" s="25">
        <v>0.125</v>
      </c>
      <c r="M179" s="30">
        <v>0.1</v>
      </c>
      <c r="N179" s="22"/>
      <c r="O179" s="23" t="s">
        <v>40</v>
      </c>
      <c r="P179" s="20">
        <f t="shared" ref="P179" si="97">(C179+(E179*F179*H179))-N179</f>
        <v>480</v>
      </c>
      <c r="Q179" s="23" t="s">
        <v>40</v>
      </c>
      <c r="R179" s="24">
        <f t="shared" ref="R179" si="98">P179*(J179-(J179*L179)-((J179-(J179*L179))*M179))</f>
        <v>13608000</v>
      </c>
      <c r="S179" s="24">
        <f t="shared" ref="S179" si="99">R179/1.11</f>
        <v>12259459.459459458</v>
      </c>
    </row>
    <row r="180" spans="1:19" s="19" customFormat="1">
      <c r="A180" s="28" t="s">
        <v>110</v>
      </c>
      <c r="B180" s="19" t="s">
        <v>18</v>
      </c>
      <c r="C180" s="20">
        <v>24</v>
      </c>
      <c r="D180" s="21" t="s">
        <v>40</v>
      </c>
      <c r="E180" s="26">
        <v>22</v>
      </c>
      <c r="F180" s="22">
        <v>1</v>
      </c>
      <c r="G180" s="23" t="s">
        <v>20</v>
      </c>
      <c r="H180" s="22">
        <v>48</v>
      </c>
      <c r="I180" s="23" t="s">
        <v>40</v>
      </c>
      <c r="J180" s="24">
        <v>36000</v>
      </c>
      <c r="K180" s="21" t="s">
        <v>40</v>
      </c>
      <c r="L180" s="25">
        <v>0.125</v>
      </c>
      <c r="M180" s="30">
        <v>0.05</v>
      </c>
      <c r="N180" s="22"/>
      <c r="O180" s="23" t="s">
        <v>40</v>
      </c>
      <c r="P180" s="20">
        <f>(C180+(E180*F180*H180))-N180</f>
        <v>1080</v>
      </c>
      <c r="Q180" s="23" t="s">
        <v>40</v>
      </c>
      <c r="R180" s="24">
        <f>P180*(J180-(J180*L180)-((J180-(J180*L180))*M180))</f>
        <v>32319000</v>
      </c>
      <c r="S180" s="24">
        <f>R180/1.11</f>
        <v>29116216.216216214</v>
      </c>
    </row>
    <row r="181" spans="1:19" s="19" customFormat="1">
      <c r="A181" s="18" t="s">
        <v>723</v>
      </c>
      <c r="B181" s="19" t="s">
        <v>18</v>
      </c>
      <c r="C181" s="20">
        <v>96</v>
      </c>
      <c r="D181" s="21" t="s">
        <v>40</v>
      </c>
      <c r="E181" s="26">
        <v>16</v>
      </c>
      <c r="F181" s="22">
        <v>1</v>
      </c>
      <c r="G181" s="23" t="s">
        <v>20</v>
      </c>
      <c r="H181" s="22">
        <v>48</v>
      </c>
      <c r="I181" s="23" t="s">
        <v>40</v>
      </c>
      <c r="J181" s="24">
        <v>36000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si="95"/>
        <v>864</v>
      </c>
      <c r="Q181" s="23" t="s">
        <v>40</v>
      </c>
      <c r="R181" s="24">
        <f t="shared" si="96"/>
        <v>25855200</v>
      </c>
      <c r="S181" s="24">
        <f t="shared" si="71"/>
        <v>23292972.97297297</v>
      </c>
    </row>
    <row r="182" spans="1:19" s="93" customFormat="1">
      <c r="A182" s="85" t="s">
        <v>111</v>
      </c>
      <c r="B182" s="93" t="s">
        <v>18</v>
      </c>
      <c r="C182" s="94"/>
      <c r="D182" s="95" t="s">
        <v>40</v>
      </c>
      <c r="E182" s="96">
        <v>3</v>
      </c>
      <c r="F182" s="97">
        <v>1</v>
      </c>
      <c r="G182" s="98" t="s">
        <v>20</v>
      </c>
      <c r="H182" s="97">
        <v>48</v>
      </c>
      <c r="I182" s="98" t="s">
        <v>40</v>
      </c>
      <c r="J182" s="99">
        <v>39000</v>
      </c>
      <c r="K182" s="95" t="s">
        <v>40</v>
      </c>
      <c r="L182" s="100">
        <v>0.125</v>
      </c>
      <c r="M182" s="100">
        <v>0.05</v>
      </c>
      <c r="N182" s="97"/>
      <c r="O182" s="98" t="s">
        <v>40</v>
      </c>
      <c r="P182" s="94">
        <f t="shared" si="95"/>
        <v>144</v>
      </c>
      <c r="Q182" s="98" t="s">
        <v>40</v>
      </c>
      <c r="R182" s="99">
        <f t="shared" si="96"/>
        <v>4668300</v>
      </c>
      <c r="S182" s="99">
        <f t="shared" si="71"/>
        <v>4205675.6756756753</v>
      </c>
    </row>
    <row r="183" spans="1:19" s="19" customFormat="1">
      <c r="A183" s="18" t="s">
        <v>112</v>
      </c>
      <c r="B183" s="19" t="s">
        <v>18</v>
      </c>
      <c r="C183" s="20">
        <v>144</v>
      </c>
      <c r="D183" s="21" t="s">
        <v>40</v>
      </c>
      <c r="E183" s="26"/>
      <c r="F183" s="22">
        <v>1</v>
      </c>
      <c r="G183" s="23" t="s">
        <v>20</v>
      </c>
      <c r="H183" s="22">
        <v>48</v>
      </c>
      <c r="I183" s="23" t="s">
        <v>40</v>
      </c>
      <c r="J183" s="24">
        <v>54600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95"/>
        <v>144</v>
      </c>
      <c r="Q183" s="23" t="s">
        <v>40</v>
      </c>
      <c r="R183" s="24">
        <f t="shared" si="96"/>
        <v>6535620</v>
      </c>
      <c r="S183" s="24">
        <f t="shared" si="71"/>
        <v>5887945.9459459456</v>
      </c>
    </row>
    <row r="184" spans="1:19" s="19" customFormat="1">
      <c r="A184" s="18" t="s">
        <v>113</v>
      </c>
      <c r="B184" s="19" t="s">
        <v>18</v>
      </c>
      <c r="C184" s="20">
        <v>144</v>
      </c>
      <c r="D184" s="21" t="s">
        <v>40</v>
      </c>
      <c r="E184" s="26"/>
      <c r="F184" s="22">
        <v>1</v>
      </c>
      <c r="G184" s="23" t="s">
        <v>20</v>
      </c>
      <c r="H184" s="22">
        <v>48</v>
      </c>
      <c r="I184" s="23" t="s">
        <v>40</v>
      </c>
      <c r="J184" s="24">
        <v>30000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si="95"/>
        <v>144</v>
      </c>
      <c r="Q184" s="23" t="s">
        <v>40</v>
      </c>
      <c r="R184" s="24">
        <f t="shared" si="96"/>
        <v>3591000</v>
      </c>
      <c r="S184" s="24">
        <f t="shared" si="71"/>
        <v>3235135.1351351347</v>
      </c>
    </row>
    <row r="185" spans="1:19" s="19" customFormat="1">
      <c r="A185" s="18" t="s">
        <v>691</v>
      </c>
      <c r="B185" s="19" t="s">
        <v>18</v>
      </c>
      <c r="C185" s="20">
        <v>144</v>
      </c>
      <c r="D185" s="21" t="s">
        <v>40</v>
      </c>
      <c r="E185" s="26">
        <v>3</v>
      </c>
      <c r="F185" s="22">
        <v>1</v>
      </c>
      <c r="G185" s="23" t="s">
        <v>20</v>
      </c>
      <c r="H185" s="22">
        <v>48</v>
      </c>
      <c r="I185" s="23" t="s">
        <v>40</v>
      </c>
      <c r="J185" s="24">
        <v>48000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95"/>
        <v>288</v>
      </c>
      <c r="Q185" s="23" t="s">
        <v>40</v>
      </c>
      <c r="R185" s="24">
        <f t="shared" si="96"/>
        <v>11491200</v>
      </c>
      <c r="S185" s="24">
        <f t="shared" si="71"/>
        <v>10352432.432432432</v>
      </c>
    </row>
    <row r="186" spans="1:19" s="19" customFormat="1">
      <c r="A186" s="129" t="s">
        <v>114</v>
      </c>
      <c r="B186" s="19" t="s">
        <v>18</v>
      </c>
      <c r="C186" s="20"/>
      <c r="D186" s="21" t="s">
        <v>40</v>
      </c>
      <c r="E186" s="26">
        <v>19</v>
      </c>
      <c r="F186" s="22">
        <v>1</v>
      </c>
      <c r="G186" s="23" t="s">
        <v>20</v>
      </c>
      <c r="H186" s="22">
        <v>36</v>
      </c>
      <c r="I186" s="23" t="s">
        <v>40</v>
      </c>
      <c r="J186" s="24">
        <v>41400</v>
      </c>
      <c r="K186" s="21" t="s">
        <v>40</v>
      </c>
      <c r="L186" s="25">
        <v>0.125</v>
      </c>
      <c r="M186" s="127">
        <v>0.05</v>
      </c>
      <c r="N186" s="22"/>
      <c r="O186" s="23" t="s">
        <v>40</v>
      </c>
      <c r="P186" s="20">
        <f t="shared" ref="P186" si="100">(C186+(E186*F186*H186))-N186</f>
        <v>684</v>
      </c>
      <c r="Q186" s="23" t="s">
        <v>40</v>
      </c>
      <c r="R186" s="24">
        <f t="shared" ref="R186" si="101">P186*(J186-(J186*L186)-((J186-(J186*L186))*M186))</f>
        <v>23539005</v>
      </c>
      <c r="S186" s="24">
        <f t="shared" ref="S186" si="102">R186/1.11</f>
        <v>21206310.810810808</v>
      </c>
    </row>
    <row r="187" spans="1:19" s="19" customFormat="1">
      <c r="A187" s="128" t="s">
        <v>114</v>
      </c>
      <c r="B187" s="19" t="s">
        <v>18</v>
      </c>
      <c r="C187" s="20">
        <v>108</v>
      </c>
      <c r="D187" s="21" t="s">
        <v>40</v>
      </c>
      <c r="E187" s="26"/>
      <c r="F187" s="22">
        <v>1</v>
      </c>
      <c r="G187" s="23" t="s">
        <v>20</v>
      </c>
      <c r="H187" s="22">
        <v>36</v>
      </c>
      <c r="I187" s="23" t="s">
        <v>40</v>
      </c>
      <c r="J187" s="24">
        <v>41400</v>
      </c>
      <c r="K187" s="21" t="s">
        <v>40</v>
      </c>
      <c r="L187" s="25">
        <v>0.125</v>
      </c>
      <c r="M187" s="127">
        <v>0.1</v>
      </c>
      <c r="N187" s="22"/>
      <c r="O187" s="23" t="s">
        <v>40</v>
      </c>
      <c r="P187" s="20">
        <f t="shared" si="95"/>
        <v>108</v>
      </c>
      <c r="Q187" s="23" t="s">
        <v>40</v>
      </c>
      <c r="R187" s="24">
        <f t="shared" si="96"/>
        <v>3521070</v>
      </c>
      <c r="S187" s="24">
        <f t="shared" si="71"/>
        <v>3172135.1351351347</v>
      </c>
    </row>
    <row r="188" spans="1:19" s="19" customFormat="1">
      <c r="A188" s="18" t="s">
        <v>115</v>
      </c>
      <c r="B188" s="19" t="s">
        <v>18</v>
      </c>
      <c r="C188" s="20">
        <v>36</v>
      </c>
      <c r="D188" s="21" t="s">
        <v>40</v>
      </c>
      <c r="E188" s="26">
        <v>9</v>
      </c>
      <c r="F188" s="22">
        <v>1</v>
      </c>
      <c r="G188" s="23" t="s">
        <v>20</v>
      </c>
      <c r="H188" s="22">
        <v>36</v>
      </c>
      <c r="I188" s="23" t="s">
        <v>40</v>
      </c>
      <c r="J188" s="24">
        <v>41400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95"/>
        <v>360</v>
      </c>
      <c r="Q188" s="23" t="s">
        <v>40</v>
      </c>
      <c r="R188" s="24">
        <f t="shared" si="96"/>
        <v>12388950</v>
      </c>
      <c r="S188" s="24">
        <f t="shared" si="71"/>
        <v>11161216.216216216</v>
      </c>
    </row>
    <row r="189" spans="1:19" s="19" customFormat="1">
      <c r="A189" s="18" t="s">
        <v>911</v>
      </c>
      <c r="B189" s="19" t="s">
        <v>18</v>
      </c>
      <c r="C189" s="20"/>
      <c r="D189" s="21" t="s">
        <v>40</v>
      </c>
      <c r="E189" s="26">
        <v>10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v>43200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ref="P189" si="103">(C189+(E189*F189*H189))-N189</f>
        <v>360</v>
      </c>
      <c r="Q189" s="23" t="s">
        <v>40</v>
      </c>
      <c r="R189" s="24">
        <f t="shared" ref="R189" si="104">P189*(J189-(J189*L189)-((J189-(J189*L189))*M189))</f>
        <v>12927600</v>
      </c>
      <c r="S189" s="24">
        <f t="shared" ref="S189" si="105">R189/1.11</f>
        <v>11646486.486486485</v>
      </c>
    </row>
    <row r="190" spans="1:19" s="19" customFormat="1">
      <c r="A190" s="18" t="s">
        <v>116</v>
      </c>
      <c r="B190" s="19" t="s">
        <v>18</v>
      </c>
      <c r="C190" s="20">
        <v>528</v>
      </c>
      <c r="D190" s="21" t="s">
        <v>40</v>
      </c>
      <c r="E190" s="26">
        <v>20</v>
      </c>
      <c r="F190" s="22">
        <v>24</v>
      </c>
      <c r="G190" s="23" t="s">
        <v>33</v>
      </c>
      <c r="H190" s="22">
        <v>2</v>
      </c>
      <c r="I190" s="23" t="s">
        <v>40</v>
      </c>
      <c r="J190" s="24">
        <f>70800/2</f>
        <v>35400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si="95"/>
        <v>1488</v>
      </c>
      <c r="Q190" s="23" t="s">
        <v>40</v>
      </c>
      <c r="R190" s="24">
        <f t="shared" si="96"/>
        <v>43786260</v>
      </c>
      <c r="S190" s="24">
        <f t="shared" si="71"/>
        <v>39447081.081081077</v>
      </c>
    </row>
    <row r="191" spans="1:19" s="19" customFormat="1">
      <c r="A191" s="18" t="s">
        <v>117</v>
      </c>
      <c r="B191" s="19" t="s">
        <v>18</v>
      </c>
      <c r="C191" s="20">
        <v>240</v>
      </c>
      <c r="D191" s="21" t="s">
        <v>40</v>
      </c>
      <c r="E191" s="26">
        <v>20</v>
      </c>
      <c r="F191" s="22">
        <v>24</v>
      </c>
      <c r="G191" s="23" t="s">
        <v>33</v>
      </c>
      <c r="H191" s="22">
        <v>2</v>
      </c>
      <c r="I191" s="23" t="s">
        <v>40</v>
      </c>
      <c r="J191" s="24">
        <f>70800/2</f>
        <v>35400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95"/>
        <v>1200</v>
      </c>
      <c r="Q191" s="23" t="s">
        <v>40</v>
      </c>
      <c r="R191" s="24">
        <f t="shared" si="96"/>
        <v>35311500</v>
      </c>
      <c r="S191" s="24">
        <f t="shared" si="71"/>
        <v>31812162.162162159</v>
      </c>
    </row>
    <row r="192" spans="1:19" s="19" customFormat="1">
      <c r="A192" s="18" t="s">
        <v>118</v>
      </c>
      <c r="B192" s="19" t="s">
        <v>18</v>
      </c>
      <c r="C192" s="20">
        <v>29</v>
      </c>
      <c r="D192" s="21" t="s">
        <v>40</v>
      </c>
      <c r="E192" s="26">
        <v>13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v>34200</v>
      </c>
      <c r="K192" s="21" t="s">
        <v>40</v>
      </c>
      <c r="L192" s="25">
        <v>0.125</v>
      </c>
      <c r="M192" s="25">
        <v>0.05</v>
      </c>
      <c r="N192" s="22"/>
      <c r="O192" s="23" t="s">
        <v>40</v>
      </c>
      <c r="P192" s="20">
        <f t="shared" si="95"/>
        <v>497</v>
      </c>
      <c r="Q192" s="23" t="s">
        <v>40</v>
      </c>
      <c r="R192" s="24">
        <f t="shared" si="96"/>
        <v>14129088.75</v>
      </c>
      <c r="S192" s="24">
        <f t="shared" si="71"/>
        <v>12728908.783783782</v>
      </c>
    </row>
    <row r="193" spans="1:19" s="19" customFormat="1">
      <c r="A193" s="18" t="s">
        <v>119</v>
      </c>
      <c r="B193" s="19" t="s">
        <v>18</v>
      </c>
      <c r="C193" s="20">
        <v>48</v>
      </c>
      <c r="D193" s="21" t="s">
        <v>40</v>
      </c>
      <c r="E193" s="26"/>
      <c r="F193" s="22">
        <v>24</v>
      </c>
      <c r="G193" s="23" t="s">
        <v>33</v>
      </c>
      <c r="H193" s="22">
        <v>2</v>
      </c>
      <c r="I193" s="23" t="s">
        <v>40</v>
      </c>
      <c r="J193" s="24">
        <f>46800/2</f>
        <v>23400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95"/>
        <v>48</v>
      </c>
      <c r="Q193" s="23" t="s">
        <v>40</v>
      </c>
      <c r="R193" s="24">
        <f t="shared" si="96"/>
        <v>933660</v>
      </c>
      <c r="S193" s="24">
        <f t="shared" si="71"/>
        <v>841135.13513513503</v>
      </c>
    </row>
    <row r="194" spans="1:19" s="93" customFormat="1">
      <c r="A194" s="85" t="s">
        <v>954</v>
      </c>
      <c r="B194" s="93" t="s">
        <v>18</v>
      </c>
      <c r="C194" s="94"/>
      <c r="D194" s="95" t="s">
        <v>40</v>
      </c>
      <c r="E194" s="96">
        <v>2</v>
      </c>
      <c r="F194" s="97">
        <v>48</v>
      </c>
      <c r="G194" s="98" t="s">
        <v>33</v>
      </c>
      <c r="H194" s="97">
        <v>1</v>
      </c>
      <c r="I194" s="98" t="s">
        <v>40</v>
      </c>
      <c r="J194" s="99">
        <v>37200</v>
      </c>
      <c r="K194" s="95" t="s">
        <v>40</v>
      </c>
      <c r="L194" s="100">
        <v>0.125</v>
      </c>
      <c r="M194" s="100">
        <v>0.05</v>
      </c>
      <c r="N194" s="97"/>
      <c r="O194" s="98" t="s">
        <v>40</v>
      </c>
      <c r="P194" s="94">
        <f t="shared" si="95"/>
        <v>96</v>
      </c>
      <c r="Q194" s="98" t="s">
        <v>40</v>
      </c>
      <c r="R194" s="99">
        <f t="shared" si="96"/>
        <v>2968560</v>
      </c>
      <c r="S194" s="99">
        <f t="shared" si="71"/>
        <v>2674378.3783783782</v>
      </c>
    </row>
    <row r="195" spans="1:19" s="76" customFormat="1">
      <c r="A195" s="75" t="s">
        <v>120</v>
      </c>
      <c r="B195" s="76" t="s">
        <v>18</v>
      </c>
      <c r="C195" s="74"/>
      <c r="D195" s="77" t="s">
        <v>40</v>
      </c>
      <c r="E195" s="78"/>
      <c r="F195" s="79">
        <v>60</v>
      </c>
      <c r="G195" s="80" t="s">
        <v>33</v>
      </c>
      <c r="H195" s="79">
        <v>1</v>
      </c>
      <c r="I195" s="80" t="s">
        <v>40</v>
      </c>
      <c r="J195" s="81">
        <v>43200</v>
      </c>
      <c r="K195" s="77" t="s">
        <v>40</v>
      </c>
      <c r="L195" s="82">
        <v>0.125</v>
      </c>
      <c r="M195" s="82">
        <v>0.05</v>
      </c>
      <c r="N195" s="79"/>
      <c r="O195" s="80" t="s">
        <v>40</v>
      </c>
      <c r="P195" s="74">
        <f t="shared" si="95"/>
        <v>0</v>
      </c>
      <c r="Q195" s="80" t="s">
        <v>40</v>
      </c>
      <c r="R195" s="81">
        <f t="shared" si="96"/>
        <v>0</v>
      </c>
      <c r="S195" s="81">
        <f t="shared" si="71"/>
        <v>0</v>
      </c>
    </row>
    <row r="196" spans="1:19" s="93" customFormat="1">
      <c r="A196" s="85" t="s">
        <v>120</v>
      </c>
      <c r="B196" s="93" t="s">
        <v>18</v>
      </c>
      <c r="C196" s="94"/>
      <c r="D196" s="95" t="s">
        <v>40</v>
      </c>
      <c r="E196" s="96">
        <v>2</v>
      </c>
      <c r="F196" s="97">
        <v>60</v>
      </c>
      <c r="G196" s="98" t="s">
        <v>33</v>
      </c>
      <c r="H196" s="97">
        <v>1</v>
      </c>
      <c r="I196" s="98" t="s">
        <v>40</v>
      </c>
      <c r="J196" s="99">
        <v>45000</v>
      </c>
      <c r="K196" s="95" t="s">
        <v>40</v>
      </c>
      <c r="L196" s="100">
        <v>0.125</v>
      </c>
      <c r="M196" s="100">
        <v>0.05</v>
      </c>
      <c r="N196" s="97"/>
      <c r="O196" s="98" t="s">
        <v>40</v>
      </c>
      <c r="P196" s="94">
        <f t="shared" ref="P196" si="106">(C196+(E196*F196*H196))-N196</f>
        <v>120</v>
      </c>
      <c r="Q196" s="98" t="s">
        <v>40</v>
      </c>
      <c r="R196" s="99">
        <f t="shared" ref="R196" si="107">P196*(J196-(J196*L196)-((J196-(J196*L196))*M196))</f>
        <v>4488750</v>
      </c>
      <c r="S196" s="99">
        <f t="shared" ref="S196" si="108">R196/1.11</f>
        <v>4043918.9189189184</v>
      </c>
    </row>
    <row r="197" spans="1:19" s="19" customFormat="1">
      <c r="A197" s="18" t="s">
        <v>685</v>
      </c>
      <c r="B197" s="19" t="s">
        <v>18</v>
      </c>
      <c r="C197" s="20">
        <v>209</v>
      </c>
      <c r="D197" s="21" t="s">
        <v>40</v>
      </c>
      <c r="E197" s="26"/>
      <c r="F197" s="22">
        <v>120</v>
      </c>
      <c r="G197" s="23" t="s">
        <v>33</v>
      </c>
      <c r="H197" s="22">
        <v>1</v>
      </c>
      <c r="I197" s="23" t="s">
        <v>40</v>
      </c>
      <c r="J197" s="24">
        <v>17400</v>
      </c>
      <c r="K197" s="21" t="s">
        <v>40</v>
      </c>
      <c r="L197" s="25">
        <v>0.125</v>
      </c>
      <c r="M197" s="25">
        <v>0.05</v>
      </c>
      <c r="N197" s="22"/>
      <c r="O197" s="23" t="s">
        <v>40</v>
      </c>
      <c r="P197" s="20">
        <f t="shared" si="95"/>
        <v>209</v>
      </c>
      <c r="Q197" s="23" t="s">
        <v>40</v>
      </c>
      <c r="R197" s="24">
        <f t="shared" si="96"/>
        <v>3022923.75</v>
      </c>
      <c r="S197" s="24">
        <f t="shared" si="71"/>
        <v>2723354.7297297297</v>
      </c>
    </row>
    <row r="198" spans="1:19" s="19" customFormat="1">
      <c r="A198" s="18" t="s">
        <v>951</v>
      </c>
      <c r="B198" s="19" t="s">
        <v>18</v>
      </c>
      <c r="D198" s="21" t="s">
        <v>40</v>
      </c>
      <c r="E198" s="26">
        <v>2</v>
      </c>
      <c r="F198" s="22">
        <v>48</v>
      </c>
      <c r="G198" s="23" t="s">
        <v>33</v>
      </c>
      <c r="H198" s="22">
        <v>1</v>
      </c>
      <c r="I198" s="23" t="s">
        <v>40</v>
      </c>
      <c r="J198" s="24">
        <v>37200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:P200" si="109">(C198+(E198*F198*H198))-N198</f>
        <v>96</v>
      </c>
      <c r="Q198" s="23" t="s">
        <v>40</v>
      </c>
      <c r="R198" s="24">
        <f t="shared" ref="R198:R200" si="110">P198*(J198-(J198*L198)-((J198-(J198*L198))*M198))</f>
        <v>2968560</v>
      </c>
      <c r="S198" s="24">
        <f t="shared" ref="S198:S200" si="111">R198/1.11</f>
        <v>2674378.3783783782</v>
      </c>
    </row>
    <row r="199" spans="1:19" s="19" customFormat="1">
      <c r="A199" s="18" t="s">
        <v>952</v>
      </c>
      <c r="B199" s="19" t="s">
        <v>18</v>
      </c>
      <c r="D199" s="21" t="s">
        <v>40</v>
      </c>
      <c r="E199" s="26">
        <v>1</v>
      </c>
      <c r="F199" s="22">
        <v>48</v>
      </c>
      <c r="G199" s="23" t="s">
        <v>33</v>
      </c>
      <c r="H199" s="22">
        <v>1</v>
      </c>
      <c r="I199" s="23" t="s">
        <v>40</v>
      </c>
      <c r="J199" s="24">
        <v>54600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109"/>
        <v>48</v>
      </c>
      <c r="Q199" s="23" t="s">
        <v>40</v>
      </c>
      <c r="R199" s="24">
        <f t="shared" si="110"/>
        <v>2178540</v>
      </c>
      <c r="S199" s="24">
        <f t="shared" si="111"/>
        <v>1962648.6486486485</v>
      </c>
    </row>
    <row r="200" spans="1:19" s="19" customFormat="1">
      <c r="A200" s="18" t="s">
        <v>953</v>
      </c>
      <c r="B200" s="19" t="s">
        <v>18</v>
      </c>
      <c r="D200" s="21" t="s">
        <v>40</v>
      </c>
      <c r="E200" s="26">
        <v>1</v>
      </c>
      <c r="F200" s="22">
        <v>48</v>
      </c>
      <c r="G200" s="23" t="s">
        <v>33</v>
      </c>
      <c r="H200" s="22">
        <v>1</v>
      </c>
      <c r="I200" s="23" t="s">
        <v>40</v>
      </c>
      <c r="J200" s="24">
        <v>32400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si="109"/>
        <v>48</v>
      </c>
      <c r="Q200" s="23" t="s">
        <v>40</v>
      </c>
      <c r="R200" s="24">
        <f t="shared" si="110"/>
        <v>1292760</v>
      </c>
      <c r="S200" s="24">
        <f t="shared" si="111"/>
        <v>1164648.6486486485</v>
      </c>
    </row>
    <row r="201" spans="1:19" s="19" customFormat="1">
      <c r="A201" s="18"/>
      <c r="C201" s="20"/>
      <c r="D201" s="21"/>
      <c r="E201" s="26"/>
      <c r="F201" s="22"/>
      <c r="G201" s="23"/>
      <c r="H201" s="22"/>
      <c r="I201" s="23"/>
      <c r="J201" s="24"/>
      <c r="K201" s="21"/>
      <c r="L201" s="25"/>
      <c r="M201" s="25"/>
      <c r="N201" s="22"/>
      <c r="O201" s="23"/>
      <c r="P201" s="20"/>
      <c r="Q201" s="23"/>
      <c r="R201" s="24"/>
      <c r="S201" s="24"/>
    </row>
    <row r="202" spans="1:19" s="76" customFormat="1">
      <c r="A202" s="75" t="s">
        <v>121</v>
      </c>
      <c r="B202" s="76" t="s">
        <v>25</v>
      </c>
      <c r="C202" s="74"/>
      <c r="D202" s="77" t="s">
        <v>40</v>
      </c>
      <c r="E202" s="78"/>
      <c r="F202" s="79">
        <v>1</v>
      </c>
      <c r="G202" s="80" t="s">
        <v>20</v>
      </c>
      <c r="H202" s="79">
        <v>36</v>
      </c>
      <c r="I202" s="80" t="s">
        <v>40</v>
      </c>
      <c r="J202" s="81">
        <f>1954800/36</f>
        <v>54300</v>
      </c>
      <c r="K202" s="77" t="s">
        <v>40</v>
      </c>
      <c r="L202" s="82"/>
      <c r="M202" s="82">
        <v>0.17</v>
      </c>
      <c r="N202" s="79"/>
      <c r="O202" s="80" t="s">
        <v>40</v>
      </c>
      <c r="P202" s="74">
        <f t="shared" ref="P202:P209" si="112">(C202+(E202*F202*H202))-N202</f>
        <v>0</v>
      </c>
      <c r="Q202" s="80" t="s">
        <v>40</v>
      </c>
      <c r="R202" s="81">
        <f t="shared" ref="R202:R209" si="113">P202*(J202-(J202*L202)-((J202-(J202*L202))*M202))</f>
        <v>0</v>
      </c>
      <c r="S202" s="81">
        <f t="shared" si="71"/>
        <v>0</v>
      </c>
    </row>
    <row r="203" spans="1:19" s="93" customFormat="1">
      <c r="A203" s="85" t="s">
        <v>122</v>
      </c>
      <c r="B203" s="93" t="s">
        <v>25</v>
      </c>
      <c r="C203" s="94"/>
      <c r="D203" s="95" t="s">
        <v>40</v>
      </c>
      <c r="E203" s="96">
        <v>5</v>
      </c>
      <c r="F203" s="97">
        <v>1</v>
      </c>
      <c r="G203" s="98" t="s">
        <v>20</v>
      </c>
      <c r="H203" s="97">
        <v>36</v>
      </c>
      <c r="I203" s="98" t="s">
        <v>40</v>
      </c>
      <c r="J203" s="99">
        <f>1954800/36</f>
        <v>54300</v>
      </c>
      <c r="K203" s="95" t="s">
        <v>40</v>
      </c>
      <c r="L203" s="100"/>
      <c r="M203" s="100">
        <v>0.17</v>
      </c>
      <c r="N203" s="97"/>
      <c r="O203" s="98" t="s">
        <v>40</v>
      </c>
      <c r="P203" s="94">
        <f t="shared" si="112"/>
        <v>180</v>
      </c>
      <c r="Q203" s="98" t="s">
        <v>40</v>
      </c>
      <c r="R203" s="99">
        <f t="shared" si="113"/>
        <v>8112420</v>
      </c>
      <c r="S203" s="99">
        <f t="shared" si="71"/>
        <v>7308486.4864864862</v>
      </c>
    </row>
    <row r="204" spans="1:19" s="19" customFormat="1">
      <c r="A204" s="18" t="s">
        <v>123</v>
      </c>
      <c r="B204" s="19" t="s">
        <v>25</v>
      </c>
      <c r="C204" s="20">
        <v>1211</v>
      </c>
      <c r="D204" s="21" t="s">
        <v>40</v>
      </c>
      <c r="E204" s="26">
        <v>546</v>
      </c>
      <c r="F204" s="22">
        <v>1</v>
      </c>
      <c r="G204" s="23" t="s">
        <v>20</v>
      </c>
      <c r="H204" s="22">
        <v>36</v>
      </c>
      <c r="I204" s="23" t="s">
        <v>40</v>
      </c>
      <c r="J204" s="24">
        <f>1954800/36</f>
        <v>54300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112"/>
        <v>20867</v>
      </c>
      <c r="Q204" s="23" t="s">
        <v>40</v>
      </c>
      <c r="R204" s="24">
        <f t="shared" si="113"/>
        <v>940454823</v>
      </c>
      <c r="S204" s="24">
        <f t="shared" si="71"/>
        <v>847256597.29729724</v>
      </c>
    </row>
    <row r="205" spans="1:19" s="19" customFormat="1">
      <c r="A205" s="18" t="s">
        <v>124</v>
      </c>
      <c r="B205" s="19" t="s">
        <v>25</v>
      </c>
      <c r="C205" s="20">
        <v>84</v>
      </c>
      <c r="D205" s="21" t="s">
        <v>40</v>
      </c>
      <c r="E205" s="26">
        <v>31</v>
      </c>
      <c r="F205" s="22">
        <v>1</v>
      </c>
      <c r="G205" s="23" t="s">
        <v>20</v>
      </c>
      <c r="H205" s="22">
        <v>36</v>
      </c>
      <c r="I205" s="23" t="s">
        <v>40</v>
      </c>
      <c r="J205" s="24">
        <f>2008800/36</f>
        <v>55800</v>
      </c>
      <c r="K205" s="21" t="s">
        <v>40</v>
      </c>
      <c r="L205" s="25"/>
      <c r="M205" s="25">
        <v>0.17</v>
      </c>
      <c r="N205" s="22"/>
      <c r="O205" s="23" t="s">
        <v>40</v>
      </c>
      <c r="P205" s="20">
        <f t="shared" si="112"/>
        <v>1200</v>
      </c>
      <c r="Q205" s="23" t="s">
        <v>40</v>
      </c>
      <c r="R205" s="24">
        <f t="shared" si="113"/>
        <v>55576800</v>
      </c>
      <c r="S205" s="24">
        <f t="shared" si="71"/>
        <v>50069189.189189188</v>
      </c>
    </row>
    <row r="206" spans="1:19" s="19" customFormat="1">
      <c r="A206" s="18" t="s">
        <v>125</v>
      </c>
      <c r="B206" s="19" t="s">
        <v>25</v>
      </c>
      <c r="C206" s="20">
        <v>108</v>
      </c>
      <c r="D206" s="21" t="s">
        <v>40</v>
      </c>
      <c r="E206" s="26">
        <v>125</v>
      </c>
      <c r="F206" s="22">
        <v>1</v>
      </c>
      <c r="G206" s="23" t="s">
        <v>20</v>
      </c>
      <c r="H206" s="22">
        <v>36</v>
      </c>
      <c r="I206" s="23" t="s">
        <v>40</v>
      </c>
      <c r="J206" s="24">
        <f>1695600/36</f>
        <v>47100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112"/>
        <v>4608</v>
      </c>
      <c r="Q206" s="23" t="s">
        <v>40</v>
      </c>
      <c r="R206" s="24">
        <f t="shared" si="113"/>
        <v>180140544</v>
      </c>
      <c r="S206" s="24">
        <f t="shared" si="71"/>
        <v>162288778.37837836</v>
      </c>
    </row>
    <row r="207" spans="1:19" s="93" customFormat="1">
      <c r="A207" s="85" t="s">
        <v>126</v>
      </c>
      <c r="B207" s="93" t="s">
        <v>25</v>
      </c>
      <c r="C207" s="94"/>
      <c r="D207" s="95" t="s">
        <v>40</v>
      </c>
      <c r="E207" s="96">
        <v>7</v>
      </c>
      <c r="F207" s="97">
        <v>1</v>
      </c>
      <c r="G207" s="98" t="s">
        <v>20</v>
      </c>
      <c r="H207" s="97">
        <v>36</v>
      </c>
      <c r="I207" s="98" t="s">
        <v>40</v>
      </c>
      <c r="J207" s="99">
        <f>1922400/36</f>
        <v>53400</v>
      </c>
      <c r="K207" s="95" t="s">
        <v>40</v>
      </c>
      <c r="L207" s="100"/>
      <c r="M207" s="100">
        <v>0.17</v>
      </c>
      <c r="N207" s="97"/>
      <c r="O207" s="98" t="s">
        <v>40</v>
      </c>
      <c r="P207" s="94">
        <f t="shared" si="112"/>
        <v>252</v>
      </c>
      <c r="Q207" s="98" t="s">
        <v>40</v>
      </c>
      <c r="R207" s="99">
        <f t="shared" si="113"/>
        <v>11169144</v>
      </c>
      <c r="S207" s="99">
        <f t="shared" si="71"/>
        <v>10062291.891891891</v>
      </c>
    </row>
    <row r="208" spans="1:19" s="19" customFormat="1">
      <c r="A208" s="18" t="s">
        <v>127</v>
      </c>
      <c r="B208" s="19" t="s">
        <v>25</v>
      </c>
      <c r="C208" s="20">
        <v>245</v>
      </c>
      <c r="D208" s="21" t="s">
        <v>40</v>
      </c>
      <c r="E208" s="26">
        <v>41</v>
      </c>
      <c r="F208" s="22">
        <v>1</v>
      </c>
      <c r="G208" s="23" t="s">
        <v>20</v>
      </c>
      <c r="H208" s="22">
        <v>36</v>
      </c>
      <c r="I208" s="23" t="s">
        <v>40</v>
      </c>
      <c r="J208" s="24">
        <f>2052000/36</f>
        <v>57000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112"/>
        <v>1721</v>
      </c>
      <c r="Q208" s="23" t="s">
        <v>40</v>
      </c>
      <c r="R208" s="24">
        <f t="shared" si="113"/>
        <v>81420510</v>
      </c>
      <c r="S208" s="24">
        <f t="shared" si="71"/>
        <v>73351810.810810804</v>
      </c>
    </row>
    <row r="209" spans="1:19" s="19" customFormat="1">
      <c r="A209" s="18" t="s">
        <v>128</v>
      </c>
      <c r="B209" s="19" t="s">
        <v>25</v>
      </c>
      <c r="C209" s="20"/>
      <c r="D209" s="21" t="s">
        <v>40</v>
      </c>
      <c r="E209" s="26">
        <v>13</v>
      </c>
      <c r="F209" s="22">
        <v>1</v>
      </c>
      <c r="G209" s="23" t="s">
        <v>20</v>
      </c>
      <c r="H209" s="22">
        <v>36</v>
      </c>
      <c r="I209" s="23" t="s">
        <v>40</v>
      </c>
      <c r="J209" s="24">
        <f>2170800/36</f>
        <v>60300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112"/>
        <v>468</v>
      </c>
      <c r="Q209" s="23" t="s">
        <v>40</v>
      </c>
      <c r="R209" s="24">
        <f t="shared" si="113"/>
        <v>23422932</v>
      </c>
      <c r="S209" s="24">
        <f t="shared" si="71"/>
        <v>21101740.540540539</v>
      </c>
    </row>
    <row r="210" spans="1:19" s="19" customFormat="1">
      <c r="A210" s="18"/>
      <c r="C210" s="20"/>
      <c r="D210" s="21"/>
      <c r="E210" s="26"/>
      <c r="F210" s="22"/>
      <c r="G210" s="23"/>
      <c r="H210" s="22"/>
      <c r="I210" s="23"/>
      <c r="J210" s="24"/>
      <c r="K210" s="21"/>
      <c r="L210" s="25"/>
      <c r="M210" s="25"/>
      <c r="N210" s="22"/>
      <c r="O210" s="23"/>
      <c r="P210" s="20"/>
      <c r="Q210" s="23"/>
      <c r="R210" s="24"/>
      <c r="S210" s="24"/>
    </row>
    <row r="211" spans="1:19" s="19" customFormat="1">
      <c r="A211" s="60" t="s">
        <v>129</v>
      </c>
      <c r="C211" s="20"/>
      <c r="D211" s="21"/>
      <c r="E211" s="26"/>
      <c r="F211" s="22"/>
      <c r="G211" s="23"/>
      <c r="H211" s="22"/>
      <c r="I211" s="23"/>
      <c r="J211" s="24"/>
      <c r="K211" s="21"/>
      <c r="L211" s="25"/>
      <c r="M211" s="25"/>
      <c r="N211" s="22"/>
      <c r="O211" s="23"/>
      <c r="P211" s="20"/>
      <c r="Q211" s="23"/>
      <c r="R211" s="24"/>
      <c r="S211" s="24"/>
    </row>
    <row r="212" spans="1:19" s="19" customFormat="1">
      <c r="A212" s="18" t="s">
        <v>130</v>
      </c>
      <c r="B212" s="19" t="s">
        <v>18</v>
      </c>
      <c r="C212" s="20"/>
      <c r="D212" s="21" t="s">
        <v>40</v>
      </c>
      <c r="E212" s="26">
        <v>1</v>
      </c>
      <c r="F212" s="22">
        <v>1</v>
      </c>
      <c r="G212" s="23" t="s">
        <v>20</v>
      </c>
      <c r="H212" s="22">
        <v>60</v>
      </c>
      <c r="I212" s="23" t="s">
        <v>40</v>
      </c>
      <c r="J212" s="24">
        <f>4600*12</f>
        <v>55200</v>
      </c>
      <c r="K212" s="21" t="s">
        <v>40</v>
      </c>
      <c r="L212" s="25">
        <v>0.125</v>
      </c>
      <c r="M212" s="25">
        <v>0.1</v>
      </c>
      <c r="N212" s="22"/>
      <c r="O212" s="23" t="s">
        <v>40</v>
      </c>
      <c r="P212" s="20">
        <f t="shared" ref="P212" si="114">(C212+(E212*F212*H212))-N212</f>
        <v>60</v>
      </c>
      <c r="Q212" s="23" t="s">
        <v>40</v>
      </c>
      <c r="R212" s="24">
        <f t="shared" ref="R212" si="115">P212*(J212-(J212*L212)-((J212-(J212*L212))*M212))</f>
        <v>2608200</v>
      </c>
      <c r="S212" s="24">
        <f t="shared" ref="S212" si="116">R212/1.11</f>
        <v>2349729.7297297297</v>
      </c>
    </row>
    <row r="213" spans="1:19" s="19" customFormat="1">
      <c r="A213" s="18" t="s">
        <v>130</v>
      </c>
      <c r="B213" s="19" t="s">
        <v>18</v>
      </c>
      <c r="C213" s="20"/>
      <c r="D213" s="21" t="s">
        <v>40</v>
      </c>
      <c r="E213" s="26">
        <v>14</v>
      </c>
      <c r="F213" s="22">
        <v>1</v>
      </c>
      <c r="G213" s="23" t="s">
        <v>20</v>
      </c>
      <c r="H213" s="22">
        <v>60</v>
      </c>
      <c r="I213" s="23" t="s">
        <v>40</v>
      </c>
      <c r="J213" s="24">
        <f>4600*12</f>
        <v>55200</v>
      </c>
      <c r="K213" s="21" t="s">
        <v>40</v>
      </c>
      <c r="L213" s="25">
        <v>0.125</v>
      </c>
      <c r="M213" s="25">
        <v>0.05</v>
      </c>
      <c r="N213" s="22"/>
      <c r="O213" s="23" t="s">
        <v>40</v>
      </c>
      <c r="P213" s="20">
        <f t="shared" ref="P213:P235" si="117">(C213+(E213*F213*H213))-N213</f>
        <v>840</v>
      </c>
      <c r="Q213" s="23" t="s">
        <v>40</v>
      </c>
      <c r="R213" s="24">
        <f t="shared" ref="R213:R235" si="118">P213*(J213-(J213*L213)-((J213-(J213*L213))*M213))</f>
        <v>38543400</v>
      </c>
      <c r="S213" s="24">
        <f t="shared" si="71"/>
        <v>34723783.783783779</v>
      </c>
    </row>
    <row r="214" spans="1:19" s="93" customFormat="1">
      <c r="A214" s="85" t="s">
        <v>131</v>
      </c>
      <c r="B214" s="93" t="s">
        <v>18</v>
      </c>
      <c r="C214" s="94"/>
      <c r="D214" s="95" t="s">
        <v>40</v>
      </c>
      <c r="E214" s="96">
        <v>7</v>
      </c>
      <c r="F214" s="97">
        <v>1</v>
      </c>
      <c r="G214" s="98" t="s">
        <v>20</v>
      </c>
      <c r="H214" s="97">
        <v>60</v>
      </c>
      <c r="I214" s="98" t="s">
        <v>40</v>
      </c>
      <c r="J214" s="99">
        <f>4500*12</f>
        <v>54000</v>
      </c>
      <c r="K214" s="95" t="s">
        <v>40</v>
      </c>
      <c r="L214" s="100">
        <v>0.125</v>
      </c>
      <c r="M214" s="100">
        <v>0.05</v>
      </c>
      <c r="N214" s="97"/>
      <c r="O214" s="98" t="s">
        <v>40</v>
      </c>
      <c r="P214" s="94">
        <f t="shared" si="117"/>
        <v>420</v>
      </c>
      <c r="Q214" s="98" t="s">
        <v>40</v>
      </c>
      <c r="R214" s="99">
        <f t="shared" si="118"/>
        <v>18852750</v>
      </c>
      <c r="S214" s="99">
        <f t="shared" si="71"/>
        <v>16984459.459459458</v>
      </c>
    </row>
    <row r="215" spans="1:19" s="76" customFormat="1">
      <c r="A215" s="75" t="s">
        <v>692</v>
      </c>
      <c r="B215" s="76" t="s">
        <v>18</v>
      </c>
      <c r="C215" s="74"/>
      <c r="D215" s="77" t="s">
        <v>40</v>
      </c>
      <c r="E215" s="78"/>
      <c r="F215" s="79">
        <v>1</v>
      </c>
      <c r="G215" s="80" t="s">
        <v>20</v>
      </c>
      <c r="H215" s="79">
        <v>60</v>
      </c>
      <c r="I215" s="80" t="s">
        <v>40</v>
      </c>
      <c r="J215" s="81">
        <f>4500*12</f>
        <v>54000</v>
      </c>
      <c r="K215" s="77" t="s">
        <v>40</v>
      </c>
      <c r="L215" s="82">
        <v>0.125</v>
      </c>
      <c r="M215" s="82">
        <v>0.05</v>
      </c>
      <c r="N215" s="79"/>
      <c r="O215" s="80" t="s">
        <v>40</v>
      </c>
      <c r="P215" s="74">
        <f t="shared" si="117"/>
        <v>0</v>
      </c>
      <c r="Q215" s="80" t="s">
        <v>40</v>
      </c>
      <c r="R215" s="81">
        <f t="shared" si="118"/>
        <v>0</v>
      </c>
      <c r="S215" s="81">
        <f t="shared" si="71"/>
        <v>0</v>
      </c>
    </row>
    <row r="216" spans="1:19" s="19" customFormat="1">
      <c r="A216" s="18" t="s">
        <v>132</v>
      </c>
      <c r="B216" s="19" t="s">
        <v>18</v>
      </c>
      <c r="C216" s="20"/>
      <c r="D216" s="21" t="s">
        <v>40</v>
      </c>
      <c r="E216" s="26">
        <v>1</v>
      </c>
      <c r="F216" s="22">
        <v>1</v>
      </c>
      <c r="G216" s="23" t="s">
        <v>20</v>
      </c>
      <c r="H216" s="22">
        <v>30</v>
      </c>
      <c r="I216" s="23" t="s">
        <v>40</v>
      </c>
      <c r="J216" s="24">
        <v>69600</v>
      </c>
      <c r="K216" s="21" t="s">
        <v>40</v>
      </c>
      <c r="L216" s="25">
        <v>0.125</v>
      </c>
      <c r="M216" s="25">
        <v>0.05</v>
      </c>
      <c r="N216" s="22"/>
      <c r="O216" s="23" t="s">
        <v>40</v>
      </c>
      <c r="P216" s="20">
        <f t="shared" ref="P216" si="119">(C216+(E216*F216*H216))-N216</f>
        <v>30</v>
      </c>
      <c r="Q216" s="23" t="s">
        <v>40</v>
      </c>
      <c r="R216" s="24">
        <f t="shared" ref="R216" si="120">P216*(J216-(J216*L216)-((J216-(J216*L216))*M216))</f>
        <v>1735650</v>
      </c>
      <c r="S216" s="24">
        <f t="shared" ref="S216" si="121">R216/1.11</f>
        <v>1563648.6486486485</v>
      </c>
    </row>
    <row r="217" spans="1:19" s="19" customFormat="1">
      <c r="A217" s="18" t="s">
        <v>717</v>
      </c>
      <c r="B217" s="19" t="s">
        <v>18</v>
      </c>
      <c r="C217" s="20"/>
      <c r="D217" s="21" t="s">
        <v>40</v>
      </c>
      <c r="E217" s="26">
        <v>4</v>
      </c>
      <c r="F217" s="22">
        <v>1</v>
      </c>
      <c r="G217" s="23" t="s">
        <v>20</v>
      </c>
      <c r="H217" s="22">
        <v>30</v>
      </c>
      <c r="I217" s="23" t="s">
        <v>40</v>
      </c>
      <c r="J217" s="24">
        <f>11000*12</f>
        <v>132000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ref="P217" si="122">(C217+(E217*F217*H217))-N217</f>
        <v>120</v>
      </c>
      <c r="Q217" s="23" t="s">
        <v>40</v>
      </c>
      <c r="R217" s="24">
        <f t="shared" ref="R217" si="123">P217*(J217-(J217*L217)-((J217-(J217*L217))*M217))</f>
        <v>13167000</v>
      </c>
      <c r="S217" s="24">
        <f t="shared" ref="S217" si="124">R217/1.11</f>
        <v>11862162.162162161</v>
      </c>
    </row>
    <row r="218" spans="1:19" s="19" customFormat="1">
      <c r="A218" s="18" t="s">
        <v>133</v>
      </c>
      <c r="B218" s="19" t="s">
        <v>18</v>
      </c>
      <c r="C218" s="20">
        <v>3099</v>
      </c>
      <c r="D218" s="21" t="s">
        <v>40</v>
      </c>
      <c r="E218" s="26">
        <v>98</v>
      </c>
      <c r="F218" s="22">
        <v>1</v>
      </c>
      <c r="G218" s="23" t="s">
        <v>20</v>
      </c>
      <c r="H218" s="22">
        <v>60</v>
      </c>
      <c r="I218" s="23" t="s">
        <v>40</v>
      </c>
      <c r="J218" s="24">
        <f>4800*12</f>
        <v>57600</v>
      </c>
      <c r="K218" s="21" t="s">
        <v>40</v>
      </c>
      <c r="L218" s="25">
        <v>0.125</v>
      </c>
      <c r="M218" s="25">
        <v>0.05</v>
      </c>
      <c r="N218" s="22"/>
      <c r="O218" s="23" t="s">
        <v>40</v>
      </c>
      <c r="P218" s="20">
        <f t="shared" si="117"/>
        <v>8979</v>
      </c>
      <c r="Q218" s="23" t="s">
        <v>40</v>
      </c>
      <c r="R218" s="24">
        <f t="shared" si="118"/>
        <v>429914520</v>
      </c>
      <c r="S218" s="24">
        <f t="shared" si="71"/>
        <v>387310378.37837833</v>
      </c>
    </row>
    <row r="219" spans="1:19" s="19" customFormat="1">
      <c r="A219" s="156" t="s">
        <v>133</v>
      </c>
      <c r="B219" s="19" t="s">
        <v>18</v>
      </c>
      <c r="C219" s="20"/>
      <c r="D219" s="21" t="s">
        <v>40</v>
      </c>
      <c r="E219" s="26"/>
      <c r="F219" s="22">
        <v>1</v>
      </c>
      <c r="G219" s="23" t="s">
        <v>20</v>
      </c>
      <c r="H219" s="22">
        <v>60</v>
      </c>
      <c r="I219" s="23" t="s">
        <v>40</v>
      </c>
      <c r="J219" s="24">
        <v>51600</v>
      </c>
      <c r="K219" s="21" t="s">
        <v>40</v>
      </c>
      <c r="L219" s="25">
        <v>0.125</v>
      </c>
      <c r="M219" s="25">
        <v>0.05</v>
      </c>
      <c r="N219" s="22"/>
      <c r="O219" s="23" t="s">
        <v>40</v>
      </c>
      <c r="P219" s="20">
        <f t="shared" ref="P219:P220" si="125">(C219+(E219*F219*H219))-N219</f>
        <v>0</v>
      </c>
      <c r="Q219" s="23" t="s">
        <v>40</v>
      </c>
      <c r="R219" s="24">
        <f t="shared" ref="R219:R220" si="126">P219*(J219-(J219*L219)-((J219-(J219*L219))*M219))</f>
        <v>0</v>
      </c>
      <c r="S219" s="24">
        <f t="shared" ref="S219:S220" si="127">R219/1.11</f>
        <v>0</v>
      </c>
    </row>
    <row r="220" spans="1:19" s="19" customFormat="1">
      <c r="A220" s="18" t="s">
        <v>912</v>
      </c>
      <c r="B220" s="19" t="s">
        <v>18</v>
      </c>
      <c r="C220" s="20"/>
      <c r="D220" s="21" t="s">
        <v>40</v>
      </c>
      <c r="E220" s="26">
        <v>18</v>
      </c>
      <c r="F220" s="22">
        <v>1</v>
      </c>
      <c r="G220" s="23" t="s">
        <v>20</v>
      </c>
      <c r="H220" s="22">
        <v>60</v>
      </c>
      <c r="I220" s="23" t="s">
        <v>40</v>
      </c>
      <c r="J220" s="24">
        <f>4800*12</f>
        <v>57600</v>
      </c>
      <c r="K220" s="21" t="s">
        <v>40</v>
      </c>
      <c r="L220" s="25">
        <v>0.125</v>
      </c>
      <c r="M220" s="25">
        <v>0.05</v>
      </c>
      <c r="N220" s="22"/>
      <c r="O220" s="23" t="s">
        <v>40</v>
      </c>
      <c r="P220" s="20">
        <f t="shared" si="125"/>
        <v>1080</v>
      </c>
      <c r="Q220" s="23" t="s">
        <v>40</v>
      </c>
      <c r="R220" s="24">
        <f t="shared" si="126"/>
        <v>51710400</v>
      </c>
      <c r="S220" s="24">
        <f t="shared" si="127"/>
        <v>46585945.945945941</v>
      </c>
    </row>
    <row r="221" spans="1:19" s="19" customFormat="1">
      <c r="A221" s="156" t="s">
        <v>912</v>
      </c>
      <c r="B221" s="19" t="s">
        <v>18</v>
      </c>
      <c r="C221" s="20"/>
      <c r="D221" s="21" t="s">
        <v>40</v>
      </c>
      <c r="E221" s="26"/>
      <c r="F221" s="22">
        <v>1</v>
      </c>
      <c r="G221" s="23" t="s">
        <v>20</v>
      </c>
      <c r="H221" s="22">
        <v>60</v>
      </c>
      <c r="I221" s="23" t="s">
        <v>40</v>
      </c>
      <c r="J221" s="24">
        <v>51600</v>
      </c>
      <c r="K221" s="21" t="s">
        <v>40</v>
      </c>
      <c r="L221" s="25">
        <v>0.125</v>
      </c>
      <c r="M221" s="25">
        <v>0.05</v>
      </c>
      <c r="N221" s="22"/>
      <c r="O221" s="23" t="s">
        <v>40</v>
      </c>
      <c r="P221" s="20">
        <f t="shared" ref="P221" si="128">(C221+(E221*F221*H221))-N221</f>
        <v>0</v>
      </c>
      <c r="Q221" s="23" t="s">
        <v>40</v>
      </c>
      <c r="R221" s="24">
        <f t="shared" ref="R221" si="129">P221*(J221-(J221*L221)-((J221-(J221*L221))*M221))</f>
        <v>0</v>
      </c>
      <c r="S221" s="24">
        <f t="shared" ref="S221" si="130">R221/1.11</f>
        <v>0</v>
      </c>
    </row>
    <row r="222" spans="1:19" s="93" customFormat="1">
      <c r="A222" s="85" t="s">
        <v>844</v>
      </c>
      <c r="B222" s="93" t="s">
        <v>18</v>
      </c>
      <c r="C222" s="94"/>
      <c r="D222" s="95" t="s">
        <v>102</v>
      </c>
      <c r="E222" s="96">
        <v>1</v>
      </c>
      <c r="F222" s="97">
        <v>24</v>
      </c>
      <c r="G222" s="98" t="s">
        <v>33</v>
      </c>
      <c r="H222" s="97">
        <v>12</v>
      </c>
      <c r="I222" s="98" t="s">
        <v>102</v>
      </c>
      <c r="J222" s="99">
        <v>9300</v>
      </c>
      <c r="K222" s="95" t="s">
        <v>102</v>
      </c>
      <c r="L222" s="100">
        <v>0.125</v>
      </c>
      <c r="M222" s="100">
        <v>0.05</v>
      </c>
      <c r="N222" s="97"/>
      <c r="O222" s="98" t="s">
        <v>102</v>
      </c>
      <c r="P222" s="94">
        <f t="shared" si="117"/>
        <v>288</v>
      </c>
      <c r="Q222" s="98" t="s">
        <v>102</v>
      </c>
      <c r="R222" s="99">
        <f t="shared" si="118"/>
        <v>2226420</v>
      </c>
      <c r="S222" s="99">
        <f t="shared" si="71"/>
        <v>2005783.7837837837</v>
      </c>
    </row>
    <row r="223" spans="1:19" s="76" customFormat="1">
      <c r="A223" s="75" t="s">
        <v>134</v>
      </c>
      <c r="B223" s="76" t="s">
        <v>18</v>
      </c>
      <c r="C223" s="74"/>
      <c r="D223" s="77" t="s">
        <v>40</v>
      </c>
      <c r="E223" s="78"/>
      <c r="F223" s="79">
        <v>1</v>
      </c>
      <c r="G223" s="80" t="s">
        <v>20</v>
      </c>
      <c r="H223" s="79">
        <v>60</v>
      </c>
      <c r="I223" s="80" t="s">
        <v>40</v>
      </c>
      <c r="J223" s="81">
        <f>5800*12</f>
        <v>69600</v>
      </c>
      <c r="K223" s="77" t="s">
        <v>40</v>
      </c>
      <c r="L223" s="82">
        <v>0.125</v>
      </c>
      <c r="M223" s="82">
        <v>0.05</v>
      </c>
      <c r="N223" s="79"/>
      <c r="O223" s="80" t="s">
        <v>40</v>
      </c>
      <c r="P223" s="74">
        <f t="shared" si="117"/>
        <v>0</v>
      </c>
      <c r="Q223" s="80" t="s">
        <v>40</v>
      </c>
      <c r="R223" s="81">
        <f t="shared" si="118"/>
        <v>0</v>
      </c>
      <c r="S223" s="81">
        <f t="shared" si="71"/>
        <v>0</v>
      </c>
    </row>
    <row r="224" spans="1:19" s="19" customFormat="1">
      <c r="A224" s="156" t="s">
        <v>135</v>
      </c>
      <c r="B224" s="19" t="s">
        <v>18</v>
      </c>
      <c r="C224" s="20"/>
      <c r="D224" s="21" t="s">
        <v>40</v>
      </c>
      <c r="E224" s="26">
        <v>3</v>
      </c>
      <c r="F224" s="22">
        <v>1</v>
      </c>
      <c r="G224" s="23" t="s">
        <v>20</v>
      </c>
      <c r="H224" s="22">
        <v>40</v>
      </c>
      <c r="I224" s="23" t="s">
        <v>40</v>
      </c>
      <c r="J224" s="24">
        <f>8500*12</f>
        <v>102000</v>
      </c>
      <c r="K224" s="21" t="s">
        <v>40</v>
      </c>
      <c r="L224" s="25">
        <v>0.125</v>
      </c>
      <c r="M224" s="25">
        <v>0.1</v>
      </c>
      <c r="N224" s="22"/>
      <c r="O224" s="23" t="s">
        <v>40</v>
      </c>
      <c r="P224" s="20">
        <f t="shared" ref="P224" si="131">(C224+(E224*F224*H224))-N224</f>
        <v>120</v>
      </c>
      <c r="Q224" s="23" t="s">
        <v>40</v>
      </c>
      <c r="R224" s="24">
        <f t="shared" ref="R224" si="132">P224*(J224-(J224*L224)-((J224-(J224*L224))*M224))</f>
        <v>9639000</v>
      </c>
      <c r="S224" s="24">
        <f t="shared" ref="S224" si="133">R224/1.11</f>
        <v>8683783.7837837823</v>
      </c>
    </row>
    <row r="225" spans="1:19" s="19" customFormat="1">
      <c r="A225" s="18" t="s">
        <v>135</v>
      </c>
      <c r="B225" s="19" t="s">
        <v>18</v>
      </c>
      <c r="C225" s="20">
        <v>40</v>
      </c>
      <c r="D225" s="21" t="s">
        <v>40</v>
      </c>
      <c r="E225" s="26">
        <v>10</v>
      </c>
      <c r="F225" s="22">
        <v>1</v>
      </c>
      <c r="G225" s="23" t="s">
        <v>20</v>
      </c>
      <c r="H225" s="22">
        <v>40</v>
      </c>
      <c r="I225" s="23" t="s">
        <v>40</v>
      </c>
      <c r="J225" s="24">
        <f>8500*12</f>
        <v>102000</v>
      </c>
      <c r="K225" s="21" t="s">
        <v>40</v>
      </c>
      <c r="L225" s="25">
        <v>0.125</v>
      </c>
      <c r="M225" s="25">
        <v>0.05</v>
      </c>
      <c r="N225" s="22"/>
      <c r="O225" s="23" t="s">
        <v>40</v>
      </c>
      <c r="P225" s="20">
        <f t="shared" si="117"/>
        <v>440</v>
      </c>
      <c r="Q225" s="23" t="s">
        <v>40</v>
      </c>
      <c r="R225" s="24">
        <f t="shared" si="118"/>
        <v>37306500</v>
      </c>
      <c r="S225" s="24">
        <f t="shared" si="71"/>
        <v>33609459.459459454</v>
      </c>
    </row>
    <row r="226" spans="1:19" s="76" customFormat="1">
      <c r="A226" s="75" t="s">
        <v>845</v>
      </c>
      <c r="B226" s="76" t="s">
        <v>18</v>
      </c>
      <c r="C226" s="74"/>
      <c r="D226" s="77" t="s">
        <v>40</v>
      </c>
      <c r="E226" s="78"/>
      <c r="F226" s="79">
        <v>1</v>
      </c>
      <c r="G226" s="80" t="s">
        <v>20</v>
      </c>
      <c r="H226" s="79">
        <v>60</v>
      </c>
      <c r="I226" s="80" t="s">
        <v>40</v>
      </c>
      <c r="J226" s="81">
        <f>4000*12</f>
        <v>48000</v>
      </c>
      <c r="K226" s="77" t="s">
        <v>40</v>
      </c>
      <c r="L226" s="82">
        <v>0.125</v>
      </c>
      <c r="M226" s="82">
        <v>0.05</v>
      </c>
      <c r="N226" s="79"/>
      <c r="O226" s="80" t="s">
        <v>40</v>
      </c>
      <c r="P226" s="74">
        <f t="shared" si="117"/>
        <v>0</v>
      </c>
      <c r="Q226" s="80" t="s">
        <v>40</v>
      </c>
      <c r="R226" s="81">
        <f t="shared" si="118"/>
        <v>0</v>
      </c>
      <c r="S226" s="16">
        <f t="shared" si="71"/>
        <v>0</v>
      </c>
    </row>
    <row r="227" spans="1:19" s="93" customFormat="1">
      <c r="A227" s="85" t="s">
        <v>846</v>
      </c>
      <c r="B227" s="93" t="s">
        <v>18</v>
      </c>
      <c r="C227" s="94">
        <v>31</v>
      </c>
      <c r="D227" s="95" t="s">
        <v>40</v>
      </c>
      <c r="E227" s="96"/>
      <c r="F227" s="97">
        <v>1</v>
      </c>
      <c r="G227" s="98" t="s">
        <v>20</v>
      </c>
      <c r="H227" s="97">
        <v>40</v>
      </c>
      <c r="I227" s="98" t="s">
        <v>40</v>
      </c>
      <c r="J227" s="99">
        <f>5700*12</f>
        <v>68400</v>
      </c>
      <c r="K227" s="95" t="s">
        <v>40</v>
      </c>
      <c r="L227" s="100">
        <v>0.125</v>
      </c>
      <c r="M227" s="100">
        <v>0.05</v>
      </c>
      <c r="N227" s="97"/>
      <c r="O227" s="98" t="s">
        <v>40</v>
      </c>
      <c r="P227" s="94">
        <f t="shared" si="117"/>
        <v>31</v>
      </c>
      <c r="Q227" s="98" t="s">
        <v>40</v>
      </c>
      <c r="R227" s="99">
        <f t="shared" si="118"/>
        <v>1762582.5</v>
      </c>
      <c r="S227" s="91">
        <f t="shared" si="71"/>
        <v>1587912.1621621621</v>
      </c>
    </row>
    <row r="228" spans="1:19" s="19" customFormat="1">
      <c r="A228" s="18" t="s">
        <v>790</v>
      </c>
      <c r="B228" s="19" t="s">
        <v>18</v>
      </c>
      <c r="C228" s="20">
        <v>31</v>
      </c>
      <c r="D228" s="21" t="s">
        <v>40</v>
      </c>
      <c r="E228" s="26"/>
      <c r="F228" s="22">
        <v>1</v>
      </c>
      <c r="G228" s="23" t="s">
        <v>20</v>
      </c>
      <c r="H228" s="22">
        <v>40</v>
      </c>
      <c r="I228" s="23" t="s">
        <v>40</v>
      </c>
      <c r="J228" s="24">
        <f>5800*12</f>
        <v>69600</v>
      </c>
      <c r="K228" s="21" t="s">
        <v>40</v>
      </c>
      <c r="L228" s="25">
        <v>0.125</v>
      </c>
      <c r="M228" s="25">
        <v>0.05</v>
      </c>
      <c r="N228" s="22"/>
      <c r="O228" s="23" t="s">
        <v>40</v>
      </c>
      <c r="P228" s="20">
        <f t="shared" si="117"/>
        <v>31</v>
      </c>
      <c r="Q228" s="23" t="s">
        <v>40</v>
      </c>
      <c r="R228" s="24">
        <f t="shared" si="118"/>
        <v>1793505</v>
      </c>
      <c r="S228" s="24">
        <f t="shared" si="71"/>
        <v>1615770.2702702701</v>
      </c>
    </row>
    <row r="229" spans="1:19" s="93" customFormat="1">
      <c r="A229" s="85" t="s">
        <v>847</v>
      </c>
      <c r="B229" s="93" t="s">
        <v>18</v>
      </c>
      <c r="C229" s="94"/>
      <c r="D229" s="95" t="s">
        <v>40</v>
      </c>
      <c r="E229" s="96">
        <v>2</v>
      </c>
      <c r="F229" s="97">
        <v>1</v>
      </c>
      <c r="G229" s="98" t="s">
        <v>20</v>
      </c>
      <c r="H229" s="97">
        <v>40</v>
      </c>
      <c r="I229" s="98" t="s">
        <v>40</v>
      </c>
      <c r="J229" s="99">
        <f>10800*12</f>
        <v>129600</v>
      </c>
      <c r="K229" s="95" t="s">
        <v>40</v>
      </c>
      <c r="L229" s="100">
        <v>0.125</v>
      </c>
      <c r="M229" s="100">
        <v>0.05</v>
      </c>
      <c r="N229" s="97"/>
      <c r="O229" s="98" t="s">
        <v>40</v>
      </c>
      <c r="P229" s="94">
        <f t="shared" si="117"/>
        <v>80</v>
      </c>
      <c r="Q229" s="98" t="s">
        <v>40</v>
      </c>
      <c r="R229" s="99">
        <f t="shared" si="118"/>
        <v>8618400</v>
      </c>
      <c r="S229" s="91">
        <f t="shared" si="71"/>
        <v>7764324.3243243238</v>
      </c>
    </row>
    <row r="230" spans="1:19" s="76" customFormat="1">
      <c r="A230" s="75" t="s">
        <v>136</v>
      </c>
      <c r="B230" s="76" t="s">
        <v>18</v>
      </c>
      <c r="C230" s="74"/>
      <c r="D230" s="77" t="s">
        <v>40</v>
      </c>
      <c r="E230" s="78"/>
      <c r="F230" s="79">
        <v>1</v>
      </c>
      <c r="G230" s="80" t="s">
        <v>20</v>
      </c>
      <c r="H230" s="79">
        <v>40</v>
      </c>
      <c r="I230" s="80" t="s">
        <v>40</v>
      </c>
      <c r="J230" s="81">
        <f>8800*12</f>
        <v>105600</v>
      </c>
      <c r="K230" s="77" t="s">
        <v>40</v>
      </c>
      <c r="L230" s="82">
        <v>0.125</v>
      </c>
      <c r="M230" s="82">
        <v>0.05</v>
      </c>
      <c r="N230" s="79"/>
      <c r="O230" s="80" t="s">
        <v>40</v>
      </c>
      <c r="P230" s="74">
        <f t="shared" si="117"/>
        <v>0</v>
      </c>
      <c r="Q230" s="80" t="s">
        <v>40</v>
      </c>
      <c r="R230" s="81">
        <f t="shared" si="118"/>
        <v>0</v>
      </c>
      <c r="S230" s="81">
        <f t="shared" si="71"/>
        <v>0</v>
      </c>
    </row>
    <row r="231" spans="1:19" s="19" customFormat="1">
      <c r="A231" s="18" t="s">
        <v>811</v>
      </c>
      <c r="B231" s="19" t="s">
        <v>18</v>
      </c>
      <c r="C231" s="20"/>
      <c r="D231" s="21" t="s">
        <v>40</v>
      </c>
      <c r="E231" s="26">
        <v>1</v>
      </c>
      <c r="F231" s="22">
        <v>1</v>
      </c>
      <c r="G231" s="23" t="s">
        <v>20</v>
      </c>
      <c r="H231" s="22">
        <v>40</v>
      </c>
      <c r="I231" s="23" t="s">
        <v>40</v>
      </c>
      <c r="J231" s="24">
        <f>10000*12</f>
        <v>120000</v>
      </c>
      <c r="K231" s="21" t="s">
        <v>40</v>
      </c>
      <c r="L231" s="25">
        <v>0.125</v>
      </c>
      <c r="M231" s="25">
        <v>0.05</v>
      </c>
      <c r="N231" s="22"/>
      <c r="O231" s="23" t="s">
        <v>40</v>
      </c>
      <c r="P231" s="20">
        <f t="shared" si="117"/>
        <v>40</v>
      </c>
      <c r="Q231" s="23" t="s">
        <v>40</v>
      </c>
      <c r="R231" s="24">
        <f t="shared" si="118"/>
        <v>3990000</v>
      </c>
      <c r="S231" s="24">
        <f t="shared" si="71"/>
        <v>3594594.5945945941</v>
      </c>
    </row>
    <row r="232" spans="1:19" s="19" customFormat="1">
      <c r="A232" s="18" t="s">
        <v>896</v>
      </c>
      <c r="B232" s="19" t="s">
        <v>18</v>
      </c>
      <c r="C232" s="20"/>
      <c r="D232" s="21" t="s">
        <v>40</v>
      </c>
      <c r="E232" s="26">
        <v>1</v>
      </c>
      <c r="F232" s="22">
        <v>1</v>
      </c>
      <c r="G232" s="23" t="s">
        <v>20</v>
      </c>
      <c r="H232" s="22">
        <v>36</v>
      </c>
      <c r="I232" s="23" t="s">
        <v>40</v>
      </c>
      <c r="J232" s="24">
        <v>34800</v>
      </c>
      <c r="K232" s="21" t="s">
        <v>40</v>
      </c>
      <c r="L232" s="25">
        <v>0.125</v>
      </c>
      <c r="M232" s="25">
        <v>0.05</v>
      </c>
      <c r="N232" s="22"/>
      <c r="O232" s="23" t="s">
        <v>40</v>
      </c>
      <c r="P232" s="20">
        <f t="shared" ref="P232" si="134">(C232+(E232*F232*H232))-N232</f>
        <v>36</v>
      </c>
      <c r="Q232" s="23" t="s">
        <v>40</v>
      </c>
      <c r="R232" s="24">
        <f t="shared" ref="R232" si="135">P232*(J232-(J232*L232)-((J232-(J232*L232))*M232))</f>
        <v>1041390</v>
      </c>
      <c r="S232" s="24">
        <f t="shared" ref="S232" si="136">R232/1.11</f>
        <v>938189.18918918911</v>
      </c>
    </row>
    <row r="233" spans="1:19" s="93" customFormat="1">
      <c r="A233" s="85" t="s">
        <v>872</v>
      </c>
      <c r="B233" s="93" t="s">
        <v>18</v>
      </c>
      <c r="C233" s="94"/>
      <c r="D233" s="95" t="s">
        <v>40</v>
      </c>
      <c r="E233" s="96">
        <v>6</v>
      </c>
      <c r="F233" s="97">
        <v>1</v>
      </c>
      <c r="G233" s="98" t="s">
        <v>20</v>
      </c>
      <c r="H233" s="97">
        <f>360/12</f>
        <v>30</v>
      </c>
      <c r="I233" s="98" t="s">
        <v>40</v>
      </c>
      <c r="J233" s="99">
        <f>5400*12</f>
        <v>64800</v>
      </c>
      <c r="K233" s="95" t="s">
        <v>40</v>
      </c>
      <c r="L233" s="100">
        <v>0.125</v>
      </c>
      <c r="M233" s="100">
        <v>0.05</v>
      </c>
      <c r="N233" s="97"/>
      <c r="O233" s="98" t="s">
        <v>40</v>
      </c>
      <c r="P233" s="20">
        <f t="shared" ref="P233" si="137">(C233+(E233*F233*H233))-N233</f>
        <v>180</v>
      </c>
      <c r="Q233" s="23" t="s">
        <v>40</v>
      </c>
      <c r="R233" s="24">
        <f t="shared" ref="R233" si="138">P233*(J233-(J233*L233)-((J233-(J233*L233))*M233))</f>
        <v>9695700</v>
      </c>
      <c r="S233" s="24">
        <f t="shared" ref="S233" si="139">R233/1.11</f>
        <v>8734864.8648648635</v>
      </c>
    </row>
    <row r="234" spans="1:19" s="76" customFormat="1">
      <c r="A234" s="75" t="s">
        <v>791</v>
      </c>
      <c r="B234" s="76" t="s">
        <v>18</v>
      </c>
      <c r="C234" s="74"/>
      <c r="D234" s="77" t="s">
        <v>40</v>
      </c>
      <c r="E234" s="78"/>
      <c r="F234" s="79">
        <v>1</v>
      </c>
      <c r="G234" s="80" t="s">
        <v>20</v>
      </c>
      <c r="H234" s="79">
        <f>360/12</f>
        <v>30</v>
      </c>
      <c r="I234" s="80" t="s">
        <v>40</v>
      </c>
      <c r="J234" s="81">
        <f>4800*12</f>
        <v>57600</v>
      </c>
      <c r="K234" s="77" t="s">
        <v>40</v>
      </c>
      <c r="L234" s="82">
        <v>0.125</v>
      </c>
      <c r="M234" s="82">
        <v>0.05</v>
      </c>
      <c r="N234" s="79"/>
      <c r="O234" s="80" t="s">
        <v>40</v>
      </c>
      <c r="P234" s="74">
        <f t="shared" si="117"/>
        <v>0</v>
      </c>
      <c r="Q234" s="80" t="s">
        <v>40</v>
      </c>
      <c r="R234" s="81">
        <f t="shared" si="118"/>
        <v>0</v>
      </c>
      <c r="S234" s="81">
        <f t="shared" si="71"/>
        <v>0</v>
      </c>
    </row>
    <row r="235" spans="1:19" s="19" customFormat="1">
      <c r="A235" s="18" t="s">
        <v>792</v>
      </c>
      <c r="B235" s="19" t="s">
        <v>18</v>
      </c>
      <c r="C235" s="20">
        <v>3540</v>
      </c>
      <c r="D235" s="21" t="s">
        <v>40</v>
      </c>
      <c r="E235" s="26"/>
      <c r="F235" s="22">
        <v>1</v>
      </c>
      <c r="G235" s="23" t="s">
        <v>20</v>
      </c>
      <c r="H235" s="22">
        <f>360/12</f>
        <v>30</v>
      </c>
      <c r="I235" s="23" t="s">
        <v>40</v>
      </c>
      <c r="J235" s="24">
        <f>6000*12</f>
        <v>72000</v>
      </c>
      <c r="K235" s="21" t="s">
        <v>40</v>
      </c>
      <c r="L235" s="25">
        <v>0.125</v>
      </c>
      <c r="M235" s="25">
        <v>0.05</v>
      </c>
      <c r="N235" s="22"/>
      <c r="O235" s="23" t="s">
        <v>40</v>
      </c>
      <c r="P235" s="20">
        <f t="shared" si="117"/>
        <v>3540</v>
      </c>
      <c r="Q235" s="23" t="s">
        <v>40</v>
      </c>
      <c r="R235" s="24">
        <f t="shared" si="118"/>
        <v>211869000</v>
      </c>
      <c r="S235" s="24">
        <f t="shared" si="71"/>
        <v>190872972.97297296</v>
      </c>
    </row>
    <row r="236" spans="1:19" s="19" customFormat="1">
      <c r="A236" s="18"/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76" customFormat="1">
      <c r="A237" s="75" t="s">
        <v>137</v>
      </c>
      <c r="B237" s="76" t="s">
        <v>25</v>
      </c>
      <c r="C237" s="74"/>
      <c r="D237" s="77" t="s">
        <v>40</v>
      </c>
      <c r="E237" s="78"/>
      <c r="F237" s="79">
        <v>1</v>
      </c>
      <c r="G237" s="80" t="s">
        <v>20</v>
      </c>
      <c r="H237" s="79">
        <v>36</v>
      </c>
      <c r="I237" s="80" t="s">
        <v>40</v>
      </c>
      <c r="J237" s="81">
        <f>2095200/36</f>
        <v>58200</v>
      </c>
      <c r="K237" s="77" t="s">
        <v>40</v>
      </c>
      <c r="L237" s="82"/>
      <c r="M237" s="82">
        <v>0.17</v>
      </c>
      <c r="N237" s="79"/>
      <c r="O237" s="80" t="s">
        <v>40</v>
      </c>
      <c r="P237" s="74">
        <f t="shared" ref="P237:P272" si="140">(C237+(E237*F237*H237))-N237</f>
        <v>0</v>
      </c>
      <c r="Q237" s="80" t="s">
        <v>40</v>
      </c>
      <c r="R237" s="81">
        <f t="shared" ref="R237:R272" si="141">P237*(J237-(J237*L237)-((J237-(J237*L237))*M237))</f>
        <v>0</v>
      </c>
      <c r="S237" s="81">
        <f t="shared" si="71"/>
        <v>0</v>
      </c>
    </row>
    <row r="238" spans="1:19" s="19" customFormat="1">
      <c r="A238" s="18" t="s">
        <v>749</v>
      </c>
      <c r="B238" s="19" t="s">
        <v>25</v>
      </c>
      <c r="C238" s="20">
        <v>30</v>
      </c>
      <c r="D238" s="21" t="s">
        <v>40</v>
      </c>
      <c r="E238" s="26"/>
      <c r="F238" s="22">
        <v>1</v>
      </c>
      <c r="G238" s="23" t="s">
        <v>20</v>
      </c>
      <c r="H238" s="22">
        <v>36</v>
      </c>
      <c r="I238" s="23" t="s">
        <v>40</v>
      </c>
      <c r="J238" s="24">
        <f>2116800/36</f>
        <v>58800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40"/>
        <v>30</v>
      </c>
      <c r="Q238" s="23" t="s">
        <v>40</v>
      </c>
      <c r="R238" s="24">
        <f t="shared" si="141"/>
        <v>1464120</v>
      </c>
      <c r="S238" s="24">
        <f t="shared" si="71"/>
        <v>1319027.027027027</v>
      </c>
    </row>
    <row r="239" spans="1:19" s="76" customFormat="1">
      <c r="A239" s="75" t="s">
        <v>138</v>
      </c>
      <c r="B239" s="76" t="s">
        <v>25</v>
      </c>
      <c r="C239" s="74"/>
      <c r="D239" s="77" t="s">
        <v>40</v>
      </c>
      <c r="E239" s="78"/>
      <c r="F239" s="79">
        <v>1</v>
      </c>
      <c r="G239" s="80" t="s">
        <v>20</v>
      </c>
      <c r="H239" s="79">
        <v>48</v>
      </c>
      <c r="I239" s="80" t="s">
        <v>40</v>
      </c>
      <c r="J239" s="81">
        <f>2995200/48</f>
        <v>62400</v>
      </c>
      <c r="K239" s="77" t="s">
        <v>40</v>
      </c>
      <c r="L239" s="82"/>
      <c r="M239" s="82">
        <v>0.17</v>
      </c>
      <c r="N239" s="79"/>
      <c r="O239" s="80" t="s">
        <v>40</v>
      </c>
      <c r="P239" s="74">
        <f t="shared" si="140"/>
        <v>0</v>
      </c>
      <c r="Q239" s="80" t="s">
        <v>40</v>
      </c>
      <c r="R239" s="81">
        <f t="shared" si="141"/>
        <v>0</v>
      </c>
      <c r="S239" s="81">
        <f t="shared" si="71"/>
        <v>0</v>
      </c>
    </row>
    <row r="240" spans="1:19" s="19" customFormat="1">
      <c r="A240" s="18" t="s">
        <v>139</v>
      </c>
      <c r="B240" s="19" t="s">
        <v>25</v>
      </c>
      <c r="C240" s="20">
        <v>227</v>
      </c>
      <c r="D240" s="21" t="s">
        <v>40</v>
      </c>
      <c r="E240" s="26"/>
      <c r="F240" s="22">
        <v>1</v>
      </c>
      <c r="G240" s="23" t="s">
        <v>20</v>
      </c>
      <c r="H240" s="22">
        <v>48</v>
      </c>
      <c r="I240" s="23" t="s">
        <v>40</v>
      </c>
      <c r="J240" s="24">
        <f>3916800/48</f>
        <v>81600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40"/>
        <v>227</v>
      </c>
      <c r="Q240" s="23" t="s">
        <v>40</v>
      </c>
      <c r="R240" s="24">
        <f t="shared" si="141"/>
        <v>15374256</v>
      </c>
      <c r="S240" s="24">
        <f t="shared" si="71"/>
        <v>13850681.081081079</v>
      </c>
    </row>
    <row r="241" spans="1:19" s="19" customFormat="1">
      <c r="A241" s="156" t="s">
        <v>139</v>
      </c>
      <c r="B241" s="19" t="s">
        <v>25</v>
      </c>
      <c r="C241" s="20"/>
      <c r="D241" s="21" t="s">
        <v>40</v>
      </c>
      <c r="E241" s="26">
        <v>2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f>3916800/48</f>
        <v>81600</v>
      </c>
      <c r="K241" s="21" t="s">
        <v>40</v>
      </c>
      <c r="L241" s="25">
        <v>0.05</v>
      </c>
      <c r="M241" s="25">
        <v>0.17</v>
      </c>
      <c r="N241" s="22"/>
      <c r="O241" s="23" t="s">
        <v>40</v>
      </c>
      <c r="P241" s="20">
        <f t="shared" ref="P241" si="142">(C241+(E241*F241*H241))-N241</f>
        <v>96</v>
      </c>
      <c r="Q241" s="23" t="s">
        <v>40</v>
      </c>
      <c r="R241" s="24">
        <f t="shared" ref="R241" si="143">P241*(J241-(J241*L241)-((J241-(J241*L241))*M241))</f>
        <v>6176793.5999999996</v>
      </c>
      <c r="S241" s="24">
        <f t="shared" ref="S241" si="144">R241/1.11</f>
        <v>5564678.9189189179</v>
      </c>
    </row>
    <row r="242" spans="1:19" s="19" customFormat="1">
      <c r="A242" s="18" t="s">
        <v>955</v>
      </c>
      <c r="B242" s="19" t="s">
        <v>25</v>
      </c>
      <c r="C242" s="20"/>
      <c r="D242" s="21" t="s">
        <v>40</v>
      </c>
      <c r="E242" s="26">
        <v>1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96000</v>
      </c>
      <c r="K242" s="21" t="s">
        <v>40</v>
      </c>
      <c r="L242" s="25"/>
      <c r="M242" s="25">
        <v>0.17</v>
      </c>
      <c r="N242" s="22"/>
      <c r="O242" s="23" t="s">
        <v>40</v>
      </c>
      <c r="P242" s="20">
        <f t="shared" ref="P242" si="145">(C242+(E242*F242*H242))-N242</f>
        <v>48</v>
      </c>
      <c r="Q242" s="23" t="s">
        <v>40</v>
      </c>
      <c r="R242" s="24">
        <f t="shared" ref="R242" si="146">P242*(J242-(J242*L242)-((J242-(J242*L242))*M242))</f>
        <v>3824640</v>
      </c>
      <c r="S242" s="24">
        <f t="shared" ref="S242" si="147">R242/1.11</f>
        <v>3445621.6216216213</v>
      </c>
    </row>
    <row r="243" spans="1:19" s="19" customFormat="1">
      <c r="A243" s="18" t="s">
        <v>748</v>
      </c>
      <c r="B243" s="19" t="s">
        <v>25</v>
      </c>
      <c r="C243" s="20">
        <v>98</v>
      </c>
      <c r="D243" s="21" t="s">
        <v>40</v>
      </c>
      <c r="E243" s="26"/>
      <c r="F243" s="22">
        <v>1</v>
      </c>
      <c r="G243" s="23" t="s">
        <v>20</v>
      </c>
      <c r="H243" s="22">
        <v>48</v>
      </c>
      <c r="I243" s="23" t="s">
        <v>40</v>
      </c>
      <c r="J243" s="24">
        <f>4032000/48</f>
        <v>84000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40"/>
        <v>98</v>
      </c>
      <c r="Q243" s="23" t="s">
        <v>40</v>
      </c>
      <c r="R243" s="24">
        <f t="shared" si="141"/>
        <v>6832560</v>
      </c>
      <c r="S243" s="24">
        <f t="shared" si="71"/>
        <v>6155459.4594594585</v>
      </c>
    </row>
    <row r="244" spans="1:19" s="76" customFormat="1">
      <c r="A244" s="75" t="s">
        <v>140</v>
      </c>
      <c r="B244" s="76" t="s">
        <v>25</v>
      </c>
      <c r="C244" s="74"/>
      <c r="D244" s="77" t="s">
        <v>40</v>
      </c>
      <c r="E244" s="78"/>
      <c r="F244" s="79">
        <v>1</v>
      </c>
      <c r="G244" s="80" t="s">
        <v>20</v>
      </c>
      <c r="H244" s="79">
        <v>48</v>
      </c>
      <c r="I244" s="80" t="s">
        <v>40</v>
      </c>
      <c r="J244" s="81">
        <f>5100*12</f>
        <v>61200</v>
      </c>
      <c r="K244" s="77" t="s">
        <v>40</v>
      </c>
      <c r="L244" s="82"/>
      <c r="M244" s="82">
        <v>0.17</v>
      </c>
      <c r="N244" s="79"/>
      <c r="O244" s="80" t="s">
        <v>40</v>
      </c>
      <c r="P244" s="74">
        <f t="shared" si="140"/>
        <v>0</v>
      </c>
      <c r="Q244" s="80" t="s">
        <v>40</v>
      </c>
      <c r="R244" s="81">
        <f t="shared" si="141"/>
        <v>0</v>
      </c>
      <c r="S244" s="81">
        <f t="shared" si="71"/>
        <v>0</v>
      </c>
    </row>
    <row r="245" spans="1:19" s="19" customFormat="1">
      <c r="A245" s="18" t="s">
        <v>897</v>
      </c>
      <c r="B245" s="19" t="s">
        <v>25</v>
      </c>
      <c r="C245" s="20"/>
      <c r="D245" s="21" t="s">
        <v>40</v>
      </c>
      <c r="E245" s="26">
        <v>3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58800</v>
      </c>
      <c r="K245" s="21" t="s">
        <v>40</v>
      </c>
      <c r="L245" s="25"/>
      <c r="M245" s="25">
        <v>0.17</v>
      </c>
      <c r="N245" s="22"/>
      <c r="O245" s="23" t="s">
        <v>40</v>
      </c>
      <c r="P245" s="20">
        <f>(C245+(E245*F245*H245))-N245</f>
        <v>144</v>
      </c>
      <c r="Q245" s="23" t="s">
        <v>40</v>
      </c>
      <c r="R245" s="24">
        <f>P245*(J245-(J245*L245)-((J245-(J245*L245))*M245))</f>
        <v>7027776</v>
      </c>
      <c r="S245" s="24">
        <f>R245/1.11</f>
        <v>6331329.7297297288</v>
      </c>
    </row>
    <row r="246" spans="1:19" s="19" customFormat="1">
      <c r="A246" s="18" t="s">
        <v>898</v>
      </c>
      <c r="B246" s="19" t="s">
        <v>25</v>
      </c>
      <c r="C246" s="20"/>
      <c r="D246" s="21" t="s">
        <v>40</v>
      </c>
      <c r="E246" s="26">
        <v>4</v>
      </c>
      <c r="F246" s="22">
        <v>1</v>
      </c>
      <c r="G246" s="23" t="s">
        <v>20</v>
      </c>
      <c r="H246" s="22">
        <v>48</v>
      </c>
      <c r="I246" s="23" t="s">
        <v>40</v>
      </c>
      <c r="J246" s="24">
        <v>50400</v>
      </c>
      <c r="K246" s="21" t="s">
        <v>40</v>
      </c>
      <c r="L246" s="25"/>
      <c r="M246" s="25">
        <v>0.17</v>
      </c>
      <c r="N246" s="22"/>
      <c r="O246" s="23" t="s">
        <v>40</v>
      </c>
      <c r="P246" s="20">
        <f>(C246+(E246*F246*H246))-N246</f>
        <v>192</v>
      </c>
      <c r="Q246" s="23" t="s">
        <v>40</v>
      </c>
      <c r="R246" s="24">
        <f>P246*(J246-(J246*L246)-((J246-(J246*L246))*M246))</f>
        <v>8031744</v>
      </c>
      <c r="S246" s="24">
        <f>R246/1.11</f>
        <v>7235805.405405405</v>
      </c>
    </row>
    <row r="247" spans="1:19" s="19" customFormat="1">
      <c r="A247" s="18" t="s">
        <v>848</v>
      </c>
      <c r="B247" s="19" t="s">
        <v>25</v>
      </c>
      <c r="C247" s="20">
        <v>128</v>
      </c>
      <c r="D247" s="21" t="s">
        <v>40</v>
      </c>
      <c r="E247" s="26">
        <v>11</v>
      </c>
      <c r="F247" s="22">
        <v>1</v>
      </c>
      <c r="G247" s="23" t="s">
        <v>20</v>
      </c>
      <c r="H247" s="22">
        <v>48</v>
      </c>
      <c r="I247" s="23" t="s">
        <v>40</v>
      </c>
      <c r="J247" s="24">
        <f>2592000/48</f>
        <v>54000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si="140"/>
        <v>656</v>
      </c>
      <c r="Q247" s="23" t="s">
        <v>40</v>
      </c>
      <c r="R247" s="24">
        <f t="shared" si="141"/>
        <v>29401920</v>
      </c>
      <c r="S247" s="24">
        <f t="shared" si="71"/>
        <v>26488216.216216214</v>
      </c>
    </row>
    <row r="248" spans="1:19" s="19" customFormat="1">
      <c r="A248" s="156" t="s">
        <v>848</v>
      </c>
      <c r="B248" s="19" t="s">
        <v>25</v>
      </c>
      <c r="C248" s="20"/>
      <c r="D248" s="21" t="s">
        <v>40</v>
      </c>
      <c r="E248" s="26"/>
      <c r="F248" s="22">
        <v>1</v>
      </c>
      <c r="G248" s="23" t="s">
        <v>20</v>
      </c>
      <c r="H248" s="22">
        <v>48</v>
      </c>
      <c r="I248" s="23" t="s">
        <v>40</v>
      </c>
      <c r="J248" s="24">
        <v>49200</v>
      </c>
      <c r="K248" s="21" t="s">
        <v>40</v>
      </c>
      <c r="L248" s="25"/>
      <c r="M248" s="25">
        <v>0.17</v>
      </c>
      <c r="N248" s="22"/>
      <c r="O248" s="23" t="s">
        <v>40</v>
      </c>
      <c r="P248" s="20">
        <f t="shared" ref="P248" si="148">(C248+(E248*F248*H248))-N248</f>
        <v>0</v>
      </c>
      <c r="Q248" s="23" t="s">
        <v>40</v>
      </c>
      <c r="R248" s="24">
        <f t="shared" ref="R248" si="149">P248*(J248-(J248*L248)-((J248-(J248*L248))*M248))</f>
        <v>0</v>
      </c>
      <c r="S248" s="24">
        <f t="shared" ref="S248" si="150">R248/1.11</f>
        <v>0</v>
      </c>
    </row>
    <row r="249" spans="1:19" s="19" customFormat="1">
      <c r="A249" s="18" t="s">
        <v>141</v>
      </c>
      <c r="B249" s="19" t="s">
        <v>25</v>
      </c>
      <c r="C249" s="20">
        <v>66</v>
      </c>
      <c r="D249" s="21" t="s">
        <v>40</v>
      </c>
      <c r="E249" s="26">
        <v>5</v>
      </c>
      <c r="F249" s="22">
        <v>1</v>
      </c>
      <c r="G249" s="23" t="s">
        <v>20</v>
      </c>
      <c r="H249" s="22">
        <v>48</v>
      </c>
      <c r="I249" s="23" t="s">
        <v>40</v>
      </c>
      <c r="J249" s="24">
        <f>2448000/48</f>
        <v>51000</v>
      </c>
      <c r="K249" s="21" t="s">
        <v>40</v>
      </c>
      <c r="L249" s="25"/>
      <c r="M249" s="25">
        <v>0.17</v>
      </c>
      <c r="N249" s="22"/>
      <c r="O249" s="23" t="s">
        <v>40</v>
      </c>
      <c r="P249" s="20">
        <f t="shared" si="140"/>
        <v>306</v>
      </c>
      <c r="Q249" s="23" t="s">
        <v>40</v>
      </c>
      <c r="R249" s="24">
        <f t="shared" si="141"/>
        <v>12952980</v>
      </c>
      <c r="S249" s="24">
        <f t="shared" si="71"/>
        <v>11669351.351351351</v>
      </c>
    </row>
    <row r="250" spans="1:19" s="93" customFormat="1">
      <c r="A250" s="85" t="s">
        <v>849</v>
      </c>
      <c r="B250" s="93" t="s">
        <v>25</v>
      </c>
      <c r="C250" s="94">
        <v>60</v>
      </c>
      <c r="D250" s="95" t="s">
        <v>40</v>
      </c>
      <c r="E250" s="96">
        <v>1</v>
      </c>
      <c r="F250" s="97">
        <v>1</v>
      </c>
      <c r="G250" s="98" t="s">
        <v>20</v>
      </c>
      <c r="H250" s="97">
        <v>48</v>
      </c>
      <c r="I250" s="98" t="s">
        <v>40</v>
      </c>
      <c r="J250" s="99">
        <f>2592000/48</f>
        <v>54000</v>
      </c>
      <c r="K250" s="95" t="s">
        <v>40</v>
      </c>
      <c r="L250" s="100"/>
      <c r="M250" s="100">
        <v>0.17</v>
      </c>
      <c r="N250" s="97"/>
      <c r="O250" s="98" t="s">
        <v>40</v>
      </c>
      <c r="P250" s="94">
        <f t="shared" si="140"/>
        <v>108</v>
      </c>
      <c r="Q250" s="98" t="s">
        <v>40</v>
      </c>
      <c r="R250" s="99">
        <f t="shared" si="141"/>
        <v>4840560</v>
      </c>
      <c r="S250" s="99">
        <f t="shared" ref="S250" si="151">R250/1.11</f>
        <v>4360864.8648648644</v>
      </c>
    </row>
    <row r="251" spans="1:19" s="93" customFormat="1">
      <c r="A251" s="155" t="s">
        <v>849</v>
      </c>
      <c r="B251" s="93" t="s">
        <v>25</v>
      </c>
      <c r="C251" s="94"/>
      <c r="D251" s="95" t="s">
        <v>40</v>
      </c>
      <c r="E251" s="96">
        <v>2</v>
      </c>
      <c r="F251" s="97">
        <v>1</v>
      </c>
      <c r="G251" s="98" t="s">
        <v>20</v>
      </c>
      <c r="H251" s="97">
        <v>48</v>
      </c>
      <c r="I251" s="98" t="s">
        <v>40</v>
      </c>
      <c r="J251" s="99">
        <f>2592000/48</f>
        <v>54000</v>
      </c>
      <c r="K251" s="95" t="s">
        <v>40</v>
      </c>
      <c r="L251" s="100">
        <v>0.05</v>
      </c>
      <c r="M251" s="100">
        <v>0.17</v>
      </c>
      <c r="N251" s="97"/>
      <c r="O251" s="98" t="s">
        <v>40</v>
      </c>
      <c r="P251" s="94">
        <f t="shared" ref="P251" si="152">(C251+(E251*F251*H251))-N251</f>
        <v>96</v>
      </c>
      <c r="Q251" s="98" t="s">
        <v>40</v>
      </c>
      <c r="R251" s="99">
        <f t="shared" ref="R251" si="153">P251*(J251-(J251*L251)-((J251-(J251*L251))*M251))</f>
        <v>4087584</v>
      </c>
      <c r="S251" s="99">
        <f t="shared" ref="S251" si="154">R251/1.11</f>
        <v>3682508.1081081079</v>
      </c>
    </row>
    <row r="252" spans="1:19" s="19" customFormat="1">
      <c r="A252" s="18" t="s">
        <v>899</v>
      </c>
      <c r="B252" s="19" t="s">
        <v>25</v>
      </c>
      <c r="C252" s="20"/>
      <c r="D252" s="21" t="s">
        <v>40</v>
      </c>
      <c r="E252" s="26">
        <v>3</v>
      </c>
      <c r="F252" s="22">
        <v>1</v>
      </c>
      <c r="G252" s="23" t="s">
        <v>20</v>
      </c>
      <c r="H252" s="22">
        <v>48</v>
      </c>
      <c r="I252" s="23" t="s">
        <v>40</v>
      </c>
      <c r="J252" s="24">
        <v>56400</v>
      </c>
      <c r="K252" s="21" t="s">
        <v>40</v>
      </c>
      <c r="L252" s="25"/>
      <c r="M252" s="25">
        <v>0.17</v>
      </c>
      <c r="N252" s="22"/>
      <c r="O252" s="23" t="s">
        <v>40</v>
      </c>
      <c r="P252" s="20">
        <f t="shared" ref="P252" si="155">(C252+(E252*F252*H252))-N252</f>
        <v>144</v>
      </c>
      <c r="Q252" s="23" t="s">
        <v>40</v>
      </c>
      <c r="R252" s="24">
        <f t="shared" ref="R252" si="156">P252*(J252-(J252*L252)-((J252-(J252*L252))*M252))</f>
        <v>6740928</v>
      </c>
      <c r="S252" s="24">
        <f t="shared" ref="S252" si="157">R252/1.11</f>
        <v>6072908.1081081079</v>
      </c>
    </row>
    <row r="253" spans="1:19" s="93" customFormat="1">
      <c r="A253" s="85" t="s">
        <v>882</v>
      </c>
      <c r="B253" s="93" t="s">
        <v>25</v>
      </c>
      <c r="C253" s="94"/>
      <c r="D253" s="95" t="s">
        <v>40</v>
      </c>
      <c r="E253" s="96">
        <v>5</v>
      </c>
      <c r="F253" s="97">
        <v>1</v>
      </c>
      <c r="G253" s="98" t="s">
        <v>20</v>
      </c>
      <c r="H253" s="97">
        <v>36</v>
      </c>
      <c r="I253" s="98" t="s">
        <v>40</v>
      </c>
      <c r="J253" s="99">
        <v>50400</v>
      </c>
      <c r="K253" s="95" t="s">
        <v>40</v>
      </c>
      <c r="L253" s="100"/>
      <c r="M253" s="100">
        <v>0.17</v>
      </c>
      <c r="N253" s="97"/>
      <c r="O253" s="98" t="s">
        <v>40</v>
      </c>
      <c r="P253" s="94">
        <f t="shared" ref="P253" si="158">(C253+(E253*F253*H253))-N253</f>
        <v>180</v>
      </c>
      <c r="Q253" s="98" t="s">
        <v>40</v>
      </c>
      <c r="R253" s="99">
        <f t="shared" ref="R253" si="159">P253*(J253-(J253*L253)-((J253-(J253*L253))*M253))</f>
        <v>7529760</v>
      </c>
      <c r="S253" s="99">
        <f t="shared" ref="S253" si="160">R253/1.11</f>
        <v>6783567.5675675673</v>
      </c>
    </row>
    <row r="254" spans="1:19" s="76" customFormat="1">
      <c r="A254" s="75" t="s">
        <v>142</v>
      </c>
      <c r="B254" s="76" t="s">
        <v>25</v>
      </c>
      <c r="C254" s="74"/>
      <c r="D254" s="77" t="s">
        <v>40</v>
      </c>
      <c r="E254" s="78"/>
      <c r="F254" s="79">
        <v>1</v>
      </c>
      <c r="G254" s="80" t="s">
        <v>20</v>
      </c>
      <c r="H254" s="79">
        <v>24</v>
      </c>
      <c r="I254" s="80" t="s">
        <v>40</v>
      </c>
      <c r="J254" s="81">
        <f>2491200/24</f>
        <v>103800</v>
      </c>
      <c r="K254" s="77" t="s">
        <v>40</v>
      </c>
      <c r="L254" s="82"/>
      <c r="M254" s="82">
        <v>0.17</v>
      </c>
      <c r="N254" s="79"/>
      <c r="O254" s="80" t="s">
        <v>40</v>
      </c>
      <c r="P254" s="74">
        <f t="shared" si="140"/>
        <v>0</v>
      </c>
      <c r="Q254" s="80" t="s">
        <v>40</v>
      </c>
      <c r="R254" s="81">
        <f t="shared" si="141"/>
        <v>0</v>
      </c>
      <c r="S254" s="81">
        <f t="shared" ref="S254:S378" si="161">R254/1.11</f>
        <v>0</v>
      </c>
    </row>
    <row r="255" spans="1:19" s="76" customFormat="1">
      <c r="A255" s="75" t="s">
        <v>143</v>
      </c>
      <c r="B255" s="76" t="s">
        <v>25</v>
      </c>
      <c r="C255" s="74"/>
      <c r="D255" s="77" t="s">
        <v>40</v>
      </c>
      <c r="E255" s="78"/>
      <c r="F255" s="79">
        <v>1</v>
      </c>
      <c r="G255" s="80" t="s">
        <v>20</v>
      </c>
      <c r="H255" s="79">
        <v>36</v>
      </c>
      <c r="I255" s="80" t="s">
        <v>40</v>
      </c>
      <c r="J255" s="81">
        <f>3736800/36</f>
        <v>103800</v>
      </c>
      <c r="K255" s="77" t="s">
        <v>40</v>
      </c>
      <c r="L255" s="82"/>
      <c r="M255" s="82">
        <v>0.17</v>
      </c>
      <c r="N255" s="79"/>
      <c r="O255" s="80" t="s">
        <v>40</v>
      </c>
      <c r="P255" s="74">
        <f t="shared" si="140"/>
        <v>0</v>
      </c>
      <c r="Q255" s="80" t="s">
        <v>40</v>
      </c>
      <c r="R255" s="81">
        <f t="shared" si="141"/>
        <v>0</v>
      </c>
      <c r="S255" s="81">
        <f t="shared" si="161"/>
        <v>0</v>
      </c>
    </row>
    <row r="256" spans="1:19" s="93" customFormat="1">
      <c r="A256" s="85" t="s">
        <v>144</v>
      </c>
      <c r="B256" s="93" t="s">
        <v>25</v>
      </c>
      <c r="C256" s="94"/>
      <c r="D256" s="95" t="s">
        <v>40</v>
      </c>
      <c r="E256" s="96">
        <v>1</v>
      </c>
      <c r="F256" s="97">
        <v>1</v>
      </c>
      <c r="G256" s="98" t="s">
        <v>20</v>
      </c>
      <c r="H256" s="97">
        <v>48</v>
      </c>
      <c r="I256" s="98" t="s">
        <v>40</v>
      </c>
      <c r="J256" s="99">
        <f>2592000/48</f>
        <v>54000</v>
      </c>
      <c r="K256" s="95" t="s">
        <v>40</v>
      </c>
      <c r="L256" s="100"/>
      <c r="M256" s="100">
        <v>0.17</v>
      </c>
      <c r="N256" s="97"/>
      <c r="O256" s="98" t="s">
        <v>40</v>
      </c>
      <c r="P256" s="94">
        <f t="shared" si="140"/>
        <v>48</v>
      </c>
      <c r="Q256" s="98" t="s">
        <v>40</v>
      </c>
      <c r="R256" s="99">
        <f t="shared" si="141"/>
        <v>2151360</v>
      </c>
      <c r="S256" s="99">
        <f t="shared" si="161"/>
        <v>1938162.1621621619</v>
      </c>
    </row>
    <row r="257" spans="1:19" s="19" customFormat="1">
      <c r="A257" s="18" t="s">
        <v>850</v>
      </c>
      <c r="B257" s="19" t="s">
        <v>25</v>
      </c>
      <c r="C257" s="20">
        <v>144</v>
      </c>
      <c r="D257" s="21" t="s">
        <v>40</v>
      </c>
      <c r="E257" s="26">
        <v>32</v>
      </c>
      <c r="F257" s="22">
        <v>1</v>
      </c>
      <c r="G257" s="23" t="s">
        <v>20</v>
      </c>
      <c r="H257" s="22">
        <v>48</v>
      </c>
      <c r="I257" s="23" t="s">
        <v>40</v>
      </c>
      <c r="J257" s="24">
        <f>2880000/48</f>
        <v>60000</v>
      </c>
      <c r="K257" s="21" t="s">
        <v>40</v>
      </c>
      <c r="L257" s="25"/>
      <c r="M257" s="25">
        <v>0.17</v>
      </c>
      <c r="N257" s="22"/>
      <c r="O257" s="23" t="s">
        <v>40</v>
      </c>
      <c r="P257" s="20">
        <f t="shared" si="140"/>
        <v>1680</v>
      </c>
      <c r="Q257" s="23" t="s">
        <v>40</v>
      </c>
      <c r="R257" s="24">
        <f t="shared" si="141"/>
        <v>83664000</v>
      </c>
      <c r="S257" s="24">
        <f t="shared" si="161"/>
        <v>75372972.972972959</v>
      </c>
    </row>
    <row r="258" spans="1:19" s="19" customFormat="1">
      <c r="A258" s="156" t="s">
        <v>850</v>
      </c>
      <c r="B258" s="19" t="s">
        <v>25</v>
      </c>
      <c r="C258" s="20"/>
      <c r="D258" s="21" t="s">
        <v>40</v>
      </c>
      <c r="E258" s="26">
        <v>10</v>
      </c>
      <c r="F258" s="22">
        <v>1</v>
      </c>
      <c r="G258" s="23" t="s">
        <v>20</v>
      </c>
      <c r="H258" s="22">
        <v>48</v>
      </c>
      <c r="I258" s="23" t="s">
        <v>40</v>
      </c>
      <c r="J258" s="24">
        <f>2880000/48</f>
        <v>60000</v>
      </c>
      <c r="K258" s="21" t="s">
        <v>40</v>
      </c>
      <c r="L258" s="25">
        <v>0.05</v>
      </c>
      <c r="M258" s="25">
        <v>0.17</v>
      </c>
      <c r="N258" s="22"/>
      <c r="O258" s="23" t="s">
        <v>40</v>
      </c>
      <c r="P258" s="20">
        <f t="shared" ref="P258" si="162">(C258+(E258*F258*H258))-N258</f>
        <v>480</v>
      </c>
      <c r="Q258" s="23" t="s">
        <v>40</v>
      </c>
      <c r="R258" s="24">
        <f t="shared" ref="R258" si="163">P258*(J258-(J258*L258)-((J258-(J258*L258))*M258))</f>
        <v>22708800</v>
      </c>
      <c r="S258" s="24">
        <f t="shared" ref="S258" si="164">R258/1.11</f>
        <v>20458378.378378376</v>
      </c>
    </row>
    <row r="259" spans="1:19" s="19" customFormat="1">
      <c r="A259" s="156" t="s">
        <v>850</v>
      </c>
      <c r="B259" s="19" t="s">
        <v>25</v>
      </c>
      <c r="C259" s="20"/>
      <c r="D259" s="21" t="s">
        <v>40</v>
      </c>
      <c r="E259" s="26"/>
      <c r="F259" s="22">
        <v>1</v>
      </c>
      <c r="G259" s="23" t="s">
        <v>20</v>
      </c>
      <c r="H259" s="22">
        <v>48</v>
      </c>
      <c r="I259" s="23" t="s">
        <v>40</v>
      </c>
      <c r="J259" s="24">
        <v>54000</v>
      </c>
      <c r="K259" s="21" t="s">
        <v>40</v>
      </c>
      <c r="L259" s="25"/>
      <c r="M259" s="25">
        <v>0.17</v>
      </c>
      <c r="N259" s="22"/>
      <c r="O259" s="23" t="s">
        <v>40</v>
      </c>
      <c r="P259" s="20">
        <f t="shared" ref="P259" si="165">(C259+(E259*F259*H259))-N259</f>
        <v>0</v>
      </c>
      <c r="Q259" s="23" t="s">
        <v>40</v>
      </c>
      <c r="R259" s="24">
        <f t="shared" ref="R259" si="166">P259*(J259-(J259*L259)-((J259-(J259*L259))*M259))</f>
        <v>0</v>
      </c>
      <c r="S259" s="24">
        <f t="shared" ref="S259" si="167">R259/1.11</f>
        <v>0</v>
      </c>
    </row>
    <row r="260" spans="1:19" s="19" customFormat="1">
      <c r="A260" s="18" t="s">
        <v>145</v>
      </c>
      <c r="B260" s="19" t="s">
        <v>25</v>
      </c>
      <c r="C260" s="20">
        <v>64</v>
      </c>
      <c r="D260" s="21" t="s">
        <v>40</v>
      </c>
      <c r="E260" s="26">
        <v>1</v>
      </c>
      <c r="F260" s="22">
        <v>1</v>
      </c>
      <c r="G260" s="23" t="s">
        <v>20</v>
      </c>
      <c r="H260" s="22">
        <v>48</v>
      </c>
      <c r="I260" s="23" t="s">
        <v>40</v>
      </c>
      <c r="J260" s="24">
        <f>2880000/48</f>
        <v>60000</v>
      </c>
      <c r="K260" s="21" t="s">
        <v>40</v>
      </c>
      <c r="L260" s="25"/>
      <c r="M260" s="25">
        <v>0.17</v>
      </c>
      <c r="N260" s="22"/>
      <c r="O260" s="23" t="s">
        <v>40</v>
      </c>
      <c r="P260" s="20">
        <f t="shared" si="140"/>
        <v>112</v>
      </c>
      <c r="Q260" s="23" t="s">
        <v>40</v>
      </c>
      <c r="R260" s="24">
        <f t="shared" si="141"/>
        <v>5577600</v>
      </c>
      <c r="S260" s="24">
        <f t="shared" si="161"/>
        <v>5024864.8648648644</v>
      </c>
    </row>
    <row r="261" spans="1:19" s="19" customFormat="1">
      <c r="A261" s="156" t="s">
        <v>145</v>
      </c>
      <c r="B261" s="19" t="s">
        <v>25</v>
      </c>
      <c r="C261" s="20"/>
      <c r="D261" s="21" t="s">
        <v>40</v>
      </c>
      <c r="E261" s="26">
        <v>1</v>
      </c>
      <c r="F261" s="22">
        <v>1</v>
      </c>
      <c r="G261" s="23" t="s">
        <v>20</v>
      </c>
      <c r="H261" s="22">
        <v>48</v>
      </c>
      <c r="I261" s="23" t="s">
        <v>40</v>
      </c>
      <c r="J261" s="24">
        <f>2880000/48</f>
        <v>60000</v>
      </c>
      <c r="K261" s="21" t="s">
        <v>40</v>
      </c>
      <c r="L261" s="25">
        <v>0.05</v>
      </c>
      <c r="M261" s="25">
        <v>0.17</v>
      </c>
      <c r="N261" s="22"/>
      <c r="O261" s="23" t="s">
        <v>40</v>
      </c>
      <c r="P261" s="20">
        <f t="shared" ref="P261" si="168">(C261+(E261*F261*H261))-N261</f>
        <v>48</v>
      </c>
      <c r="Q261" s="23" t="s">
        <v>40</v>
      </c>
      <c r="R261" s="24">
        <f t="shared" ref="R261" si="169">P261*(J261-(J261*L261)-((J261-(J261*L261))*M261))</f>
        <v>2270880</v>
      </c>
      <c r="S261" s="24">
        <f t="shared" ref="S261" si="170">R261/1.11</f>
        <v>2045837.8378378376</v>
      </c>
    </row>
    <row r="262" spans="1:19" s="19" customFormat="1">
      <c r="A262" s="18" t="s">
        <v>146</v>
      </c>
      <c r="B262" s="19" t="s">
        <v>25</v>
      </c>
      <c r="C262" s="20"/>
      <c r="D262" s="21" t="s">
        <v>40</v>
      </c>
      <c r="E262" s="26">
        <v>3</v>
      </c>
      <c r="F262" s="22">
        <v>1</v>
      </c>
      <c r="G262" s="23" t="s">
        <v>20</v>
      </c>
      <c r="H262" s="22">
        <v>48</v>
      </c>
      <c r="I262" s="23" t="s">
        <v>40</v>
      </c>
      <c r="J262" s="24">
        <f>3024000/48</f>
        <v>63000</v>
      </c>
      <c r="K262" s="21" t="s">
        <v>40</v>
      </c>
      <c r="L262" s="25"/>
      <c r="M262" s="25">
        <v>0.17</v>
      </c>
      <c r="N262" s="22"/>
      <c r="O262" s="23" t="s">
        <v>40</v>
      </c>
      <c r="P262" s="20">
        <f t="shared" si="140"/>
        <v>144</v>
      </c>
      <c r="Q262" s="23" t="s">
        <v>40</v>
      </c>
      <c r="R262" s="24">
        <f t="shared" si="141"/>
        <v>7529760</v>
      </c>
      <c r="S262" s="24">
        <f t="shared" si="161"/>
        <v>6783567.5675675673</v>
      </c>
    </row>
    <row r="263" spans="1:19" s="19" customFormat="1">
      <c r="A263" s="156" t="s">
        <v>146</v>
      </c>
      <c r="B263" s="19" t="s">
        <v>25</v>
      </c>
      <c r="C263" s="20"/>
      <c r="D263" s="21" t="s">
        <v>40</v>
      </c>
      <c r="E263" s="26">
        <v>3</v>
      </c>
      <c r="F263" s="22">
        <v>1</v>
      </c>
      <c r="G263" s="23" t="s">
        <v>20</v>
      </c>
      <c r="H263" s="22">
        <v>48</v>
      </c>
      <c r="I263" s="23" t="s">
        <v>40</v>
      </c>
      <c r="J263" s="24">
        <f>3024000/48</f>
        <v>63000</v>
      </c>
      <c r="K263" s="21" t="s">
        <v>40</v>
      </c>
      <c r="L263" s="25">
        <v>0.05</v>
      </c>
      <c r="M263" s="25">
        <v>0.17</v>
      </c>
      <c r="N263" s="22"/>
      <c r="O263" s="23" t="s">
        <v>40</v>
      </c>
      <c r="P263" s="20">
        <f t="shared" ref="P263" si="171">(C263+(E263*F263*H263))-N263</f>
        <v>144</v>
      </c>
      <c r="Q263" s="23" t="s">
        <v>40</v>
      </c>
      <c r="R263" s="24">
        <f t="shared" ref="R263" si="172">P263*(J263-(J263*L263)-((J263-(J263*L263))*M263))</f>
        <v>7153272</v>
      </c>
      <c r="S263" s="24">
        <f t="shared" ref="S263" si="173">R263/1.11</f>
        <v>6444389.1891891882</v>
      </c>
    </row>
    <row r="264" spans="1:19" s="19" customFormat="1">
      <c r="A264" s="18" t="s">
        <v>147</v>
      </c>
      <c r="B264" s="19" t="s">
        <v>25</v>
      </c>
      <c r="C264" s="20">
        <v>43</v>
      </c>
      <c r="D264" s="21" t="s">
        <v>40</v>
      </c>
      <c r="E264" s="26">
        <v>5</v>
      </c>
      <c r="F264" s="22">
        <v>1</v>
      </c>
      <c r="G264" s="23" t="s">
        <v>20</v>
      </c>
      <c r="H264" s="22">
        <v>48</v>
      </c>
      <c r="I264" s="23" t="s">
        <v>40</v>
      </c>
      <c r="J264" s="24">
        <f>2995200/48</f>
        <v>62400</v>
      </c>
      <c r="K264" s="21" t="s">
        <v>40</v>
      </c>
      <c r="L264" s="25"/>
      <c r="M264" s="25">
        <v>0.17</v>
      </c>
      <c r="N264" s="22"/>
      <c r="O264" s="23" t="s">
        <v>40</v>
      </c>
      <c r="P264" s="20">
        <f t="shared" si="140"/>
        <v>283</v>
      </c>
      <c r="Q264" s="23" t="s">
        <v>40</v>
      </c>
      <c r="R264" s="24">
        <f t="shared" si="141"/>
        <v>14657136</v>
      </c>
      <c r="S264" s="24">
        <f t="shared" si="161"/>
        <v>13204627.027027026</v>
      </c>
    </row>
    <row r="265" spans="1:19" s="19" customFormat="1">
      <c r="A265" s="18" t="s">
        <v>148</v>
      </c>
      <c r="B265" s="19" t="s">
        <v>25</v>
      </c>
      <c r="C265" s="20"/>
      <c r="D265" s="21" t="s">
        <v>40</v>
      </c>
      <c r="E265" s="26">
        <v>6</v>
      </c>
      <c r="F265" s="22">
        <v>1</v>
      </c>
      <c r="G265" s="23" t="s">
        <v>20</v>
      </c>
      <c r="H265" s="22">
        <v>48</v>
      </c>
      <c r="I265" s="23" t="s">
        <v>40</v>
      </c>
      <c r="J265" s="24">
        <f>2995200/48</f>
        <v>62400</v>
      </c>
      <c r="K265" s="21" t="s">
        <v>40</v>
      </c>
      <c r="L265" s="25"/>
      <c r="M265" s="25">
        <v>0.17</v>
      </c>
      <c r="N265" s="22"/>
      <c r="O265" s="23" t="s">
        <v>40</v>
      </c>
      <c r="P265" s="20">
        <f t="shared" si="140"/>
        <v>288</v>
      </c>
      <c r="Q265" s="23" t="s">
        <v>40</v>
      </c>
      <c r="R265" s="24">
        <f t="shared" si="141"/>
        <v>14916096</v>
      </c>
      <c r="S265" s="24">
        <f t="shared" si="161"/>
        <v>13437924.324324323</v>
      </c>
    </row>
    <row r="266" spans="1:19" s="19" customFormat="1">
      <c r="A266" s="18" t="s">
        <v>819</v>
      </c>
      <c r="B266" s="19" t="s">
        <v>25</v>
      </c>
      <c r="C266" s="20"/>
      <c r="D266" s="21" t="s">
        <v>40</v>
      </c>
      <c r="E266" s="26">
        <v>26</v>
      </c>
      <c r="F266" s="22">
        <v>1</v>
      </c>
      <c r="G266" s="23" t="s">
        <v>20</v>
      </c>
      <c r="H266" s="22">
        <v>48</v>
      </c>
      <c r="I266" s="23" t="s">
        <v>40</v>
      </c>
      <c r="J266" s="24">
        <v>60000</v>
      </c>
      <c r="K266" s="21" t="s">
        <v>40</v>
      </c>
      <c r="L266" s="25"/>
      <c r="M266" s="25">
        <v>0.17</v>
      </c>
      <c r="N266" s="22"/>
      <c r="O266" s="23" t="s">
        <v>40</v>
      </c>
      <c r="P266" s="20">
        <f t="shared" si="140"/>
        <v>1248</v>
      </c>
      <c r="Q266" s="23" t="s">
        <v>40</v>
      </c>
      <c r="R266" s="24">
        <f t="shared" ref="R266" si="174">P266*(J266-(J266*L266)-((J266-(J266*L266))*M266))</f>
        <v>62150400</v>
      </c>
      <c r="S266" s="24">
        <f t="shared" ref="S266" si="175">R266/1.11</f>
        <v>55991351.351351343</v>
      </c>
    </row>
    <row r="267" spans="1:19" s="19" customFormat="1">
      <c r="A267" s="18" t="s">
        <v>819</v>
      </c>
      <c r="B267" s="19" t="s">
        <v>25</v>
      </c>
      <c r="C267" s="20"/>
      <c r="D267" s="21" t="s">
        <v>40</v>
      </c>
      <c r="E267" s="26">
        <v>6</v>
      </c>
      <c r="F267" s="22">
        <v>1</v>
      </c>
      <c r="G267" s="23" t="s">
        <v>20</v>
      </c>
      <c r="H267" s="22">
        <v>48</v>
      </c>
      <c r="I267" s="23" t="s">
        <v>40</v>
      </c>
      <c r="J267" s="24">
        <v>60000</v>
      </c>
      <c r="K267" s="21" t="s">
        <v>40</v>
      </c>
      <c r="L267" s="25">
        <v>0.05</v>
      </c>
      <c r="M267" s="25">
        <v>0.17</v>
      </c>
      <c r="N267" s="22"/>
      <c r="O267" s="23" t="s">
        <v>40</v>
      </c>
      <c r="P267" s="20">
        <f t="shared" ref="P267" si="176">(C267+(E267*F267*H267))-N267</f>
        <v>288</v>
      </c>
      <c r="Q267" s="23" t="s">
        <v>40</v>
      </c>
      <c r="R267" s="24">
        <f t="shared" ref="R267" si="177">P267*(J267-(J267*L267)-((J267-(J267*L267))*M267))</f>
        <v>13625280</v>
      </c>
      <c r="S267" s="24">
        <f t="shared" ref="S267" si="178">R267/1.11</f>
        <v>12275027.027027026</v>
      </c>
    </row>
    <row r="268" spans="1:19" s="19" customFormat="1">
      <c r="A268" s="18" t="s">
        <v>883</v>
      </c>
      <c r="B268" s="19" t="s">
        <v>25</v>
      </c>
      <c r="C268" s="20"/>
      <c r="D268" s="21" t="s">
        <v>40</v>
      </c>
      <c r="E268" s="26">
        <v>7</v>
      </c>
      <c r="F268" s="22">
        <v>1</v>
      </c>
      <c r="G268" s="23" t="s">
        <v>20</v>
      </c>
      <c r="H268" s="22">
        <v>36</v>
      </c>
      <c r="I268" s="23" t="s">
        <v>40</v>
      </c>
      <c r="J268" s="24">
        <v>55800</v>
      </c>
      <c r="K268" s="21" t="s">
        <v>40</v>
      </c>
      <c r="L268" s="25"/>
      <c r="M268" s="25">
        <v>0.17</v>
      </c>
      <c r="N268" s="22"/>
      <c r="O268" s="23" t="s">
        <v>40</v>
      </c>
      <c r="P268" s="20">
        <f t="shared" ref="P268" si="179">(C268+(E268*F268*H268))-N268</f>
        <v>252</v>
      </c>
      <c r="Q268" s="23" t="s">
        <v>40</v>
      </c>
      <c r="R268" s="24">
        <f t="shared" ref="R268" si="180">P268*(J268-(J268*L268)-((J268-(J268*L268))*M268))</f>
        <v>11671128</v>
      </c>
      <c r="S268" s="24">
        <f t="shared" ref="S268" si="181">R268/1.11</f>
        <v>10514529.729729729</v>
      </c>
    </row>
    <row r="269" spans="1:19" s="19" customFormat="1">
      <c r="A269" s="18" t="s">
        <v>818</v>
      </c>
      <c r="B269" s="19" t="s">
        <v>25</v>
      </c>
      <c r="C269" s="20"/>
      <c r="D269" s="21" t="s">
        <v>40</v>
      </c>
      <c r="E269" s="26">
        <v>9</v>
      </c>
      <c r="F269" s="22">
        <v>1</v>
      </c>
      <c r="G269" s="23" t="s">
        <v>20</v>
      </c>
      <c r="H269" s="22">
        <v>48</v>
      </c>
      <c r="I269" s="23" t="s">
        <v>40</v>
      </c>
      <c r="J269" s="24">
        <v>69600</v>
      </c>
      <c r="K269" s="21" t="s">
        <v>40</v>
      </c>
      <c r="L269" s="25"/>
      <c r="M269" s="25">
        <v>0.17</v>
      </c>
      <c r="N269" s="22"/>
      <c r="O269" s="23" t="s">
        <v>40</v>
      </c>
      <c r="P269" s="20">
        <f t="shared" si="140"/>
        <v>432</v>
      </c>
      <c r="Q269" s="23" t="s">
        <v>40</v>
      </c>
      <c r="R269" s="24">
        <f t="shared" ref="R269" si="182">P269*(J269-(J269*L269)-((J269-(J269*L269))*M269))</f>
        <v>24955776</v>
      </c>
      <c r="S269" s="24">
        <f t="shared" ref="S269" si="183">R269/1.11</f>
        <v>22482681.081081077</v>
      </c>
    </row>
    <row r="270" spans="1:19" s="19" customFormat="1">
      <c r="A270" s="18" t="s">
        <v>818</v>
      </c>
      <c r="B270" s="19" t="s">
        <v>25</v>
      </c>
      <c r="C270" s="20"/>
      <c r="D270" s="21" t="s">
        <v>40</v>
      </c>
      <c r="E270" s="26">
        <v>5</v>
      </c>
      <c r="F270" s="22">
        <v>1</v>
      </c>
      <c r="G270" s="23" t="s">
        <v>20</v>
      </c>
      <c r="H270" s="22">
        <v>48</v>
      </c>
      <c r="I270" s="23" t="s">
        <v>40</v>
      </c>
      <c r="J270" s="24">
        <v>69600</v>
      </c>
      <c r="K270" s="21" t="s">
        <v>40</v>
      </c>
      <c r="L270" s="25">
        <v>0.05</v>
      </c>
      <c r="M270" s="25">
        <v>0.17</v>
      </c>
      <c r="N270" s="22"/>
      <c r="O270" s="23" t="s">
        <v>40</v>
      </c>
      <c r="P270" s="20">
        <f t="shared" ref="P270" si="184">(C270+(E270*F270*H270))-N270</f>
        <v>240</v>
      </c>
      <c r="Q270" s="23" t="s">
        <v>40</v>
      </c>
      <c r="R270" s="24">
        <f t="shared" ref="R270" si="185">P270*(J270-(J270*L270)-((J270-(J270*L270))*M270))</f>
        <v>13171104</v>
      </c>
      <c r="S270" s="24">
        <f t="shared" ref="S270" si="186">R270/1.11</f>
        <v>11865859.459459458</v>
      </c>
    </row>
    <row r="271" spans="1:19" s="93" customFormat="1">
      <c r="A271" s="85" t="s">
        <v>724</v>
      </c>
      <c r="B271" s="93" t="s">
        <v>25</v>
      </c>
      <c r="C271" s="94"/>
      <c r="D271" s="95" t="s">
        <v>40</v>
      </c>
      <c r="E271" s="96">
        <v>9</v>
      </c>
      <c r="F271" s="97">
        <v>1</v>
      </c>
      <c r="G271" s="98" t="s">
        <v>20</v>
      </c>
      <c r="H271" s="97">
        <v>36</v>
      </c>
      <c r="I271" s="98" t="s">
        <v>40</v>
      </c>
      <c r="J271" s="99">
        <f>3240000/36</f>
        <v>90000</v>
      </c>
      <c r="K271" s="95" t="s">
        <v>40</v>
      </c>
      <c r="L271" s="100"/>
      <c r="M271" s="100">
        <v>0.17</v>
      </c>
      <c r="N271" s="97"/>
      <c r="O271" s="98" t="s">
        <v>40</v>
      </c>
      <c r="P271" s="94">
        <f t="shared" si="140"/>
        <v>324</v>
      </c>
      <c r="Q271" s="98" t="s">
        <v>40</v>
      </c>
      <c r="R271" s="99">
        <f t="shared" si="141"/>
        <v>24202800</v>
      </c>
      <c r="S271" s="99">
        <f>R271/1.11</f>
        <v>21804324.324324321</v>
      </c>
    </row>
    <row r="272" spans="1:19" s="19" customFormat="1">
      <c r="A272" s="18" t="s">
        <v>781</v>
      </c>
      <c r="B272" s="19" t="s">
        <v>25</v>
      </c>
      <c r="C272" s="20">
        <v>10</v>
      </c>
      <c r="D272" s="21" t="s">
        <v>40</v>
      </c>
      <c r="E272" s="26">
        <v>4</v>
      </c>
      <c r="F272" s="22">
        <v>1</v>
      </c>
      <c r="G272" s="23" t="s">
        <v>20</v>
      </c>
      <c r="H272" s="22">
        <v>36</v>
      </c>
      <c r="I272" s="23" t="s">
        <v>40</v>
      </c>
      <c r="J272" s="24">
        <f>4406400/36</f>
        <v>122400</v>
      </c>
      <c r="K272" s="21" t="s">
        <v>40</v>
      </c>
      <c r="L272" s="25"/>
      <c r="M272" s="25">
        <v>0.17</v>
      </c>
      <c r="N272" s="22"/>
      <c r="O272" s="23" t="s">
        <v>40</v>
      </c>
      <c r="P272" s="20">
        <f t="shared" si="140"/>
        <v>154</v>
      </c>
      <c r="Q272" s="23" t="s">
        <v>40</v>
      </c>
      <c r="R272" s="24">
        <f t="shared" si="141"/>
        <v>15645168</v>
      </c>
      <c r="S272" s="24">
        <f>R272/1.11</f>
        <v>14094745.945945945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 ht="15.75">
      <c r="A274" s="35" t="s">
        <v>149</v>
      </c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93" customFormat="1">
      <c r="A275" s="133" t="s">
        <v>701</v>
      </c>
      <c r="B275" s="93" t="s">
        <v>18</v>
      </c>
      <c r="C275" s="94"/>
      <c r="D275" s="95" t="s">
        <v>151</v>
      </c>
      <c r="E275" s="96">
        <v>10</v>
      </c>
      <c r="F275" s="97">
        <v>12</v>
      </c>
      <c r="G275" s="98" t="s">
        <v>33</v>
      </c>
      <c r="H275" s="97">
        <v>12</v>
      </c>
      <c r="I275" s="98" t="s">
        <v>151</v>
      </c>
      <c r="J275" s="99">
        <v>11000</v>
      </c>
      <c r="K275" s="95" t="s">
        <v>151</v>
      </c>
      <c r="L275" s="100">
        <v>0.125</v>
      </c>
      <c r="M275" s="130">
        <v>0.08</v>
      </c>
      <c r="N275" s="97"/>
      <c r="O275" s="98" t="s">
        <v>151</v>
      </c>
      <c r="P275" s="94">
        <f t="shared" ref="P275" si="187">(C275+(E275*F275*H275))-N275</f>
        <v>1440</v>
      </c>
      <c r="Q275" s="98" t="s">
        <v>151</v>
      </c>
      <c r="R275" s="99">
        <f t="shared" ref="R275" si="188">P275*(J275-(J275*L275)-((J275-(J275*L275))*M275))</f>
        <v>12751200</v>
      </c>
      <c r="S275" s="99">
        <f t="shared" ref="S275" si="189">R275/1.11</f>
        <v>11487567.567567566</v>
      </c>
    </row>
    <row r="276" spans="1:19" s="93" customFormat="1">
      <c r="A276" s="133" t="s">
        <v>701</v>
      </c>
      <c r="B276" s="93" t="s">
        <v>18</v>
      </c>
      <c r="C276" s="94"/>
      <c r="D276" s="95" t="s">
        <v>151</v>
      </c>
      <c r="E276" s="96">
        <v>2</v>
      </c>
      <c r="F276" s="97">
        <v>12</v>
      </c>
      <c r="G276" s="98" t="s">
        <v>33</v>
      </c>
      <c r="H276" s="97">
        <v>12</v>
      </c>
      <c r="I276" s="98" t="s">
        <v>151</v>
      </c>
      <c r="J276" s="99">
        <v>11000</v>
      </c>
      <c r="K276" s="95" t="s">
        <v>151</v>
      </c>
      <c r="L276" s="100">
        <v>0.125</v>
      </c>
      <c r="M276" s="130">
        <v>0.05</v>
      </c>
      <c r="N276" s="97"/>
      <c r="O276" s="98" t="s">
        <v>151</v>
      </c>
      <c r="P276" s="94">
        <f t="shared" ref="P276:P297" si="190">(C276+(E276*F276*H276))-N276</f>
        <v>288</v>
      </c>
      <c r="Q276" s="98" t="s">
        <v>151</v>
      </c>
      <c r="R276" s="99">
        <f t="shared" ref="R276:R297" si="191">P276*(J276-(J276*L276)-((J276-(J276*L276))*M276))</f>
        <v>2633400</v>
      </c>
      <c r="S276" s="99">
        <f t="shared" si="161"/>
        <v>2372432.4324324322</v>
      </c>
    </row>
    <row r="277" spans="1:19" s="93" customFormat="1">
      <c r="A277" s="146" t="s">
        <v>150</v>
      </c>
      <c r="B277" s="93" t="s">
        <v>18</v>
      </c>
      <c r="C277" s="94"/>
      <c r="D277" s="95" t="s">
        <v>151</v>
      </c>
      <c r="E277" s="96">
        <v>10</v>
      </c>
      <c r="F277" s="97">
        <v>12</v>
      </c>
      <c r="G277" s="98" t="s">
        <v>33</v>
      </c>
      <c r="H277" s="97">
        <v>12</v>
      </c>
      <c r="I277" s="98" t="s">
        <v>151</v>
      </c>
      <c r="J277" s="99">
        <v>11600</v>
      </c>
      <c r="K277" s="95" t="s">
        <v>151</v>
      </c>
      <c r="L277" s="100">
        <v>0.125</v>
      </c>
      <c r="M277" s="105">
        <v>0.08</v>
      </c>
      <c r="N277" s="97"/>
      <c r="O277" s="98" t="s">
        <v>151</v>
      </c>
      <c r="P277" s="94">
        <f t="shared" ref="P277" si="192">(C277+(E277*F277*H277))-N277</f>
        <v>1440</v>
      </c>
      <c r="Q277" s="98" t="s">
        <v>151</v>
      </c>
      <c r="R277" s="99">
        <f t="shared" ref="R277" si="193">P277*(J277-(J277*L277)-((J277-(J277*L277))*M277))</f>
        <v>13446720</v>
      </c>
      <c r="S277" s="99">
        <f t="shared" ref="S277" si="194">R277/1.11</f>
        <v>12114162.162162161</v>
      </c>
    </row>
    <row r="278" spans="1:19" s="93" customFormat="1">
      <c r="A278" s="146" t="s">
        <v>150</v>
      </c>
      <c r="B278" s="93" t="s">
        <v>18</v>
      </c>
      <c r="C278" s="94"/>
      <c r="D278" s="95" t="s">
        <v>151</v>
      </c>
      <c r="E278" s="96">
        <v>20</v>
      </c>
      <c r="F278" s="97">
        <v>12</v>
      </c>
      <c r="G278" s="98" t="s">
        <v>33</v>
      </c>
      <c r="H278" s="97">
        <v>12</v>
      </c>
      <c r="I278" s="98" t="s">
        <v>151</v>
      </c>
      <c r="J278" s="99">
        <v>11600</v>
      </c>
      <c r="K278" s="95" t="s">
        <v>151</v>
      </c>
      <c r="L278" s="100">
        <v>0.125</v>
      </c>
      <c r="M278" s="105">
        <v>0.05</v>
      </c>
      <c r="N278" s="97"/>
      <c r="O278" s="98" t="s">
        <v>151</v>
      </c>
      <c r="P278" s="94">
        <f t="shared" ref="P278" si="195">(C278+(E278*F278*H278))-N278</f>
        <v>2880</v>
      </c>
      <c r="Q278" s="98" t="s">
        <v>151</v>
      </c>
      <c r="R278" s="99">
        <f t="shared" ref="R278" si="196">P278*(J278-(J278*L278)-((J278-(J278*L278))*M278))</f>
        <v>27770400</v>
      </c>
      <c r="S278" s="99">
        <f t="shared" ref="S278" si="197">R278/1.11</f>
        <v>25018378.378378376</v>
      </c>
    </row>
    <row r="279" spans="1:19" s="19" customFormat="1">
      <c r="A279" s="134" t="s">
        <v>152</v>
      </c>
      <c r="B279" s="19" t="s">
        <v>18</v>
      </c>
      <c r="C279" s="20"/>
      <c r="D279" s="21" t="s">
        <v>151</v>
      </c>
      <c r="E279" s="26">
        <v>5</v>
      </c>
      <c r="F279" s="22">
        <v>6</v>
      </c>
      <c r="G279" s="23" t="s">
        <v>33</v>
      </c>
      <c r="H279" s="22">
        <v>24</v>
      </c>
      <c r="I279" s="23" t="s">
        <v>151</v>
      </c>
      <c r="J279" s="24">
        <v>9000</v>
      </c>
      <c r="K279" s="21" t="s">
        <v>151</v>
      </c>
      <c r="L279" s="25">
        <v>0.125</v>
      </c>
      <c r="M279" s="127">
        <v>0.08</v>
      </c>
      <c r="N279" s="22"/>
      <c r="O279" s="23" t="s">
        <v>151</v>
      </c>
      <c r="P279" s="20">
        <f t="shared" ref="P279" si="198">(C279+(E279*F279*H279))-N279</f>
        <v>720</v>
      </c>
      <c r="Q279" s="23" t="s">
        <v>151</v>
      </c>
      <c r="R279" s="24">
        <f t="shared" ref="R279" si="199">P279*(J279-(J279*L279)-((J279-(J279*L279))*M279))</f>
        <v>5216400</v>
      </c>
      <c r="S279" s="24">
        <f t="shared" ref="S279" si="200">R279/1.11</f>
        <v>4699459.4594594594</v>
      </c>
    </row>
    <row r="280" spans="1:19" s="19" customFormat="1">
      <c r="A280" s="134" t="s">
        <v>152</v>
      </c>
      <c r="B280" s="19" t="s">
        <v>18</v>
      </c>
      <c r="C280" s="20">
        <v>276</v>
      </c>
      <c r="D280" s="21" t="s">
        <v>151</v>
      </c>
      <c r="E280" s="26">
        <v>17</v>
      </c>
      <c r="F280" s="22">
        <v>6</v>
      </c>
      <c r="G280" s="23" t="s">
        <v>33</v>
      </c>
      <c r="H280" s="22">
        <v>24</v>
      </c>
      <c r="I280" s="23" t="s">
        <v>151</v>
      </c>
      <c r="J280" s="24">
        <v>9000</v>
      </c>
      <c r="K280" s="21" t="s">
        <v>151</v>
      </c>
      <c r="L280" s="25">
        <v>0.125</v>
      </c>
      <c r="M280" s="127">
        <v>0.05</v>
      </c>
      <c r="N280" s="22"/>
      <c r="O280" s="23" t="s">
        <v>151</v>
      </c>
      <c r="P280" s="20">
        <f t="shared" si="190"/>
        <v>2724</v>
      </c>
      <c r="Q280" s="23" t="s">
        <v>151</v>
      </c>
      <c r="R280" s="24">
        <f t="shared" si="191"/>
        <v>20378925</v>
      </c>
      <c r="S280" s="24">
        <f t="shared" si="161"/>
        <v>18359391.891891889</v>
      </c>
    </row>
    <row r="281" spans="1:19" s="19" customFormat="1">
      <c r="A281" s="156" t="s">
        <v>153</v>
      </c>
      <c r="B281" s="19" t="s">
        <v>18</v>
      </c>
      <c r="C281" s="20"/>
      <c r="D281" s="21" t="s">
        <v>151</v>
      </c>
      <c r="E281" s="26">
        <v>20</v>
      </c>
      <c r="F281" s="22">
        <v>1</v>
      </c>
      <c r="G281" s="23" t="s">
        <v>20</v>
      </c>
      <c r="H281" s="22">
        <v>144</v>
      </c>
      <c r="I281" s="23" t="s">
        <v>151</v>
      </c>
      <c r="J281" s="24">
        <v>11900</v>
      </c>
      <c r="K281" s="21" t="s">
        <v>151</v>
      </c>
      <c r="L281" s="25">
        <v>0.125</v>
      </c>
      <c r="M281" s="25">
        <v>0.1</v>
      </c>
      <c r="N281" s="22"/>
      <c r="O281" s="23" t="s">
        <v>151</v>
      </c>
      <c r="P281" s="20">
        <f t="shared" si="190"/>
        <v>2880</v>
      </c>
      <c r="Q281" s="23" t="s">
        <v>151</v>
      </c>
      <c r="R281" s="24">
        <f t="shared" si="191"/>
        <v>26989200</v>
      </c>
      <c r="S281" s="24">
        <f t="shared" si="161"/>
        <v>24314594.594594594</v>
      </c>
    </row>
    <row r="282" spans="1:19" s="19" customFormat="1">
      <c r="A282" s="28" t="s">
        <v>153</v>
      </c>
      <c r="B282" s="19" t="s">
        <v>18</v>
      </c>
      <c r="C282" s="20"/>
      <c r="D282" s="21" t="s">
        <v>151</v>
      </c>
      <c r="E282" s="26">
        <v>90</v>
      </c>
      <c r="F282" s="22">
        <v>1</v>
      </c>
      <c r="G282" s="23" t="s">
        <v>20</v>
      </c>
      <c r="H282" s="22">
        <v>144</v>
      </c>
      <c r="I282" s="23" t="s">
        <v>151</v>
      </c>
      <c r="J282" s="24">
        <v>11900</v>
      </c>
      <c r="K282" s="21" t="s">
        <v>151</v>
      </c>
      <c r="L282" s="25">
        <v>0.125</v>
      </c>
      <c r="M282" s="30">
        <v>0.08</v>
      </c>
      <c r="N282" s="22"/>
      <c r="O282" s="23" t="s">
        <v>151</v>
      </c>
      <c r="P282" s="20">
        <f t="shared" ref="P282" si="201">(C282+(E282*F282*H282))-N282</f>
        <v>12960</v>
      </c>
      <c r="Q282" s="23" t="s">
        <v>151</v>
      </c>
      <c r="R282" s="24">
        <f t="shared" ref="R282" si="202">P282*(J282-(J282*L282)-((J282-(J282*L282))*M282))</f>
        <v>124150320</v>
      </c>
      <c r="S282" s="24">
        <f t="shared" ref="S282" si="203">R282/1.11</f>
        <v>111847135.13513513</v>
      </c>
    </row>
    <row r="283" spans="1:19" s="19" customFormat="1">
      <c r="A283" s="28" t="s">
        <v>153</v>
      </c>
      <c r="B283" s="19" t="s">
        <v>18</v>
      </c>
      <c r="C283" s="20">
        <v>397</v>
      </c>
      <c r="D283" s="21" t="s">
        <v>151</v>
      </c>
      <c r="E283" s="26">
        <v>245</v>
      </c>
      <c r="F283" s="22">
        <v>1</v>
      </c>
      <c r="G283" s="23" t="s">
        <v>20</v>
      </c>
      <c r="H283" s="22">
        <v>144</v>
      </c>
      <c r="I283" s="23" t="s">
        <v>151</v>
      </c>
      <c r="J283" s="24">
        <v>11900</v>
      </c>
      <c r="K283" s="21" t="s">
        <v>151</v>
      </c>
      <c r="L283" s="25">
        <v>0.125</v>
      </c>
      <c r="M283" s="30">
        <v>0.05</v>
      </c>
      <c r="N283" s="22"/>
      <c r="O283" s="23" t="s">
        <v>151</v>
      </c>
      <c r="P283" s="20">
        <f t="shared" si="190"/>
        <v>35677</v>
      </c>
      <c r="Q283" s="23" t="s">
        <v>151</v>
      </c>
      <c r="R283" s="24">
        <f t="shared" si="191"/>
        <v>352912424.375</v>
      </c>
      <c r="S283" s="24">
        <f t="shared" si="161"/>
        <v>317939121.05855852</v>
      </c>
    </row>
    <row r="284" spans="1:19" s="19" customFormat="1">
      <c r="A284" s="156" t="s">
        <v>154</v>
      </c>
      <c r="B284" s="19" t="s">
        <v>18</v>
      </c>
      <c r="C284" s="20"/>
      <c r="D284" s="21" t="s">
        <v>151</v>
      </c>
      <c r="E284" s="26">
        <v>20</v>
      </c>
      <c r="F284" s="22">
        <v>6</v>
      </c>
      <c r="G284" s="23" t="s">
        <v>33</v>
      </c>
      <c r="H284" s="22">
        <v>12</v>
      </c>
      <c r="I284" s="23" t="s">
        <v>151</v>
      </c>
      <c r="J284" s="24">
        <v>23000</v>
      </c>
      <c r="K284" s="21" t="s">
        <v>151</v>
      </c>
      <c r="L284" s="25">
        <v>0.125</v>
      </c>
      <c r="M284" s="25">
        <v>0.1</v>
      </c>
      <c r="N284" s="22"/>
      <c r="O284" s="23" t="s">
        <v>151</v>
      </c>
      <c r="P284" s="20">
        <f t="shared" si="190"/>
        <v>1440</v>
      </c>
      <c r="Q284" s="23" t="s">
        <v>151</v>
      </c>
      <c r="R284" s="24">
        <f t="shared" si="191"/>
        <v>26082000</v>
      </c>
      <c r="S284" s="24">
        <f t="shared" si="161"/>
        <v>23497297.297297295</v>
      </c>
    </row>
    <row r="285" spans="1:19" s="19" customFormat="1">
      <c r="A285" s="128" t="s">
        <v>154</v>
      </c>
      <c r="B285" s="19" t="s">
        <v>18</v>
      </c>
      <c r="C285" s="20"/>
      <c r="D285" s="21" t="s">
        <v>151</v>
      </c>
      <c r="E285" s="26">
        <v>35</v>
      </c>
      <c r="F285" s="22">
        <v>6</v>
      </c>
      <c r="G285" s="23" t="s">
        <v>33</v>
      </c>
      <c r="H285" s="22">
        <v>12</v>
      </c>
      <c r="I285" s="23" t="s">
        <v>151</v>
      </c>
      <c r="J285" s="24">
        <v>23000</v>
      </c>
      <c r="K285" s="21" t="s">
        <v>151</v>
      </c>
      <c r="L285" s="25">
        <v>0.125</v>
      </c>
      <c r="M285" s="127">
        <v>0.08</v>
      </c>
      <c r="N285" s="22"/>
      <c r="O285" s="23" t="s">
        <v>151</v>
      </c>
      <c r="P285" s="20">
        <f t="shared" ref="P285" si="204">(C285+(E285*F285*H285))-N285</f>
        <v>2520</v>
      </c>
      <c r="Q285" s="23" t="s">
        <v>151</v>
      </c>
      <c r="R285" s="24">
        <f t="shared" ref="R285" si="205">P285*(J285-(J285*L285)-((J285-(J285*L285))*M285))</f>
        <v>46657800</v>
      </c>
      <c r="S285" s="24">
        <f t="shared" ref="S285" si="206">R285/1.11</f>
        <v>42034054.054054052</v>
      </c>
    </row>
    <row r="286" spans="1:19" s="19" customFormat="1">
      <c r="A286" s="128" t="s">
        <v>154</v>
      </c>
      <c r="B286" s="19" t="s">
        <v>18</v>
      </c>
      <c r="C286" s="20">
        <v>300</v>
      </c>
      <c r="D286" s="21" t="s">
        <v>151</v>
      </c>
      <c r="E286" s="26">
        <v>142</v>
      </c>
      <c r="F286" s="22">
        <v>6</v>
      </c>
      <c r="G286" s="23" t="s">
        <v>33</v>
      </c>
      <c r="H286" s="22">
        <v>12</v>
      </c>
      <c r="I286" s="23" t="s">
        <v>151</v>
      </c>
      <c r="J286" s="24">
        <v>23000</v>
      </c>
      <c r="K286" s="21" t="s">
        <v>151</v>
      </c>
      <c r="L286" s="25">
        <v>0.125</v>
      </c>
      <c r="M286" s="127">
        <v>0.05</v>
      </c>
      <c r="N286" s="22"/>
      <c r="O286" s="23" t="s">
        <v>151</v>
      </c>
      <c r="P286" s="20">
        <f t="shared" si="190"/>
        <v>10524</v>
      </c>
      <c r="Q286" s="23" t="s">
        <v>151</v>
      </c>
      <c r="R286" s="24">
        <f t="shared" si="191"/>
        <v>201205725</v>
      </c>
      <c r="S286" s="24">
        <f t="shared" si="161"/>
        <v>181266418.91891891</v>
      </c>
    </row>
    <row r="287" spans="1:19" s="19" customFormat="1">
      <c r="A287" s="28" t="s">
        <v>155</v>
      </c>
      <c r="B287" s="19" t="s">
        <v>18</v>
      </c>
      <c r="C287" s="20"/>
      <c r="D287" s="21" t="s">
        <v>151</v>
      </c>
      <c r="E287" s="26">
        <v>46</v>
      </c>
      <c r="F287" s="22">
        <v>8</v>
      </c>
      <c r="G287" s="23" t="s">
        <v>33</v>
      </c>
      <c r="H287" s="22">
        <v>6</v>
      </c>
      <c r="I287" s="23" t="s">
        <v>151</v>
      </c>
      <c r="J287" s="24">
        <v>29600</v>
      </c>
      <c r="K287" s="21" t="s">
        <v>151</v>
      </c>
      <c r="L287" s="25">
        <v>0.125</v>
      </c>
      <c r="M287" s="30">
        <v>0.08</v>
      </c>
      <c r="N287" s="22"/>
      <c r="O287" s="23" t="s">
        <v>151</v>
      </c>
      <c r="P287" s="20">
        <f t="shared" ref="P287" si="207">(C287+(E287*F287*H287))-N287</f>
        <v>2208</v>
      </c>
      <c r="Q287" s="23" t="s">
        <v>151</v>
      </c>
      <c r="R287" s="24">
        <f t="shared" ref="R287" si="208">P287*(J287-(J287*L287)-((J287-(J287*L287))*M287))</f>
        <v>52612224</v>
      </c>
      <c r="S287" s="24">
        <f t="shared" ref="S287" si="209">R287/1.11</f>
        <v>47398399.999999993</v>
      </c>
    </row>
    <row r="288" spans="1:19" s="19" customFormat="1">
      <c r="A288" s="28" t="s">
        <v>155</v>
      </c>
      <c r="B288" s="19" t="s">
        <v>18</v>
      </c>
      <c r="C288" s="20"/>
      <c r="D288" s="21" t="s">
        <v>151</v>
      </c>
      <c r="E288" s="26">
        <v>143</v>
      </c>
      <c r="F288" s="22">
        <v>8</v>
      </c>
      <c r="G288" s="23" t="s">
        <v>33</v>
      </c>
      <c r="H288" s="22">
        <v>6</v>
      </c>
      <c r="I288" s="23" t="s">
        <v>151</v>
      </c>
      <c r="J288" s="24">
        <v>29600</v>
      </c>
      <c r="K288" s="21" t="s">
        <v>151</v>
      </c>
      <c r="L288" s="25">
        <v>0.125</v>
      </c>
      <c r="M288" s="30">
        <v>0.05</v>
      </c>
      <c r="N288" s="22"/>
      <c r="O288" s="23" t="s">
        <v>151</v>
      </c>
      <c r="P288" s="20">
        <f t="shared" si="190"/>
        <v>6864</v>
      </c>
      <c r="Q288" s="23" t="s">
        <v>151</v>
      </c>
      <c r="R288" s="24">
        <f t="shared" si="191"/>
        <v>168888720</v>
      </c>
      <c r="S288" s="24">
        <f t="shared" si="161"/>
        <v>152152000</v>
      </c>
    </row>
    <row r="289" spans="1:19" s="19" customFormat="1">
      <c r="A289" s="28" t="s">
        <v>155</v>
      </c>
      <c r="B289" s="19" t="s">
        <v>18</v>
      </c>
      <c r="C289" s="20"/>
      <c r="D289" s="21" t="s">
        <v>151</v>
      </c>
      <c r="E289" s="26">
        <v>28</v>
      </c>
      <c r="F289" s="22">
        <v>8</v>
      </c>
      <c r="G289" s="23" t="s">
        <v>33</v>
      </c>
      <c r="H289" s="22">
        <v>6</v>
      </c>
      <c r="I289" s="23" t="s">
        <v>151</v>
      </c>
      <c r="J289" s="24">
        <v>29600</v>
      </c>
      <c r="K289" s="21" t="s">
        <v>151</v>
      </c>
      <c r="L289" s="25">
        <v>0.125</v>
      </c>
      <c r="M289" s="30">
        <v>0.1</v>
      </c>
      <c r="N289" s="22"/>
      <c r="O289" s="23" t="s">
        <v>151</v>
      </c>
      <c r="P289" s="20">
        <f t="shared" ref="P289:P290" si="210">(C289+(E289*F289*H289))-N289</f>
        <v>1344</v>
      </c>
      <c r="Q289" s="23" t="s">
        <v>151</v>
      </c>
      <c r="R289" s="24">
        <f t="shared" ref="R289:R290" si="211">P289*(J289-(J289*L289)-((J289-(J289*L289))*M289))</f>
        <v>31328640</v>
      </c>
      <c r="S289" s="24">
        <f t="shared" ref="S289" si="212">R289/1.11</f>
        <v>28223999.999999996</v>
      </c>
    </row>
    <row r="290" spans="1:19" s="19" customFormat="1">
      <c r="A290" s="156" t="s">
        <v>156</v>
      </c>
      <c r="B290" s="19" t="s">
        <v>18</v>
      </c>
      <c r="C290" s="20"/>
      <c r="D290" s="21" t="s">
        <v>151</v>
      </c>
      <c r="E290" s="26">
        <v>6</v>
      </c>
      <c r="F290" s="22">
        <v>6</v>
      </c>
      <c r="G290" s="23" t="s">
        <v>33</v>
      </c>
      <c r="H290" s="22">
        <v>6</v>
      </c>
      <c r="I290" s="23" t="s">
        <v>151</v>
      </c>
      <c r="J290" s="24">
        <v>41500</v>
      </c>
      <c r="K290" s="21" t="s">
        <v>151</v>
      </c>
      <c r="L290" s="25">
        <v>0.125</v>
      </c>
      <c r="M290" s="25">
        <v>0.1</v>
      </c>
      <c r="N290" s="22"/>
      <c r="O290" s="23" t="s">
        <v>151</v>
      </c>
      <c r="P290" s="20">
        <f t="shared" si="210"/>
        <v>216</v>
      </c>
      <c r="Q290" s="23" t="s">
        <v>151</v>
      </c>
      <c r="R290" s="24">
        <f t="shared" si="211"/>
        <v>7059150</v>
      </c>
      <c r="S290" s="24">
        <f>R290/1.11</f>
        <v>6359594.5945945941</v>
      </c>
    </row>
    <row r="291" spans="1:19" s="19" customFormat="1">
      <c r="A291" s="128" t="s">
        <v>156</v>
      </c>
      <c r="B291" s="19" t="s">
        <v>18</v>
      </c>
      <c r="C291" s="20"/>
      <c r="D291" s="21" t="s">
        <v>151</v>
      </c>
      <c r="E291" s="26">
        <v>32</v>
      </c>
      <c r="F291" s="22">
        <v>6</v>
      </c>
      <c r="G291" s="23" t="s">
        <v>33</v>
      </c>
      <c r="H291" s="22">
        <v>6</v>
      </c>
      <c r="I291" s="23" t="s">
        <v>151</v>
      </c>
      <c r="J291" s="24">
        <v>41500</v>
      </c>
      <c r="K291" s="21" t="s">
        <v>151</v>
      </c>
      <c r="L291" s="25">
        <v>0.125</v>
      </c>
      <c r="M291" s="127">
        <v>0.08</v>
      </c>
      <c r="N291" s="22"/>
      <c r="O291" s="23" t="s">
        <v>151</v>
      </c>
      <c r="P291" s="20">
        <f t="shared" ref="P291" si="213">(C291+(E291*F291*H291))-N291</f>
        <v>1152</v>
      </c>
      <c r="Q291" s="23" t="s">
        <v>151</v>
      </c>
      <c r="R291" s="24">
        <f t="shared" ref="R291" si="214">P291*(J291-(J291*L291)-((J291-(J291*L291))*M291))</f>
        <v>38485440</v>
      </c>
      <c r="S291" s="24">
        <f>R291/1.11</f>
        <v>34671567.567567565</v>
      </c>
    </row>
    <row r="292" spans="1:19" s="19" customFormat="1">
      <c r="A292" s="128" t="s">
        <v>156</v>
      </c>
      <c r="B292" s="19" t="s">
        <v>18</v>
      </c>
      <c r="C292" s="20">
        <v>242</v>
      </c>
      <c r="D292" s="21" t="s">
        <v>151</v>
      </c>
      <c r="E292" s="26">
        <v>95</v>
      </c>
      <c r="F292" s="22">
        <v>6</v>
      </c>
      <c r="G292" s="23" t="s">
        <v>33</v>
      </c>
      <c r="H292" s="22">
        <v>6</v>
      </c>
      <c r="I292" s="23" t="s">
        <v>151</v>
      </c>
      <c r="J292" s="24">
        <v>41500</v>
      </c>
      <c r="K292" s="21" t="s">
        <v>151</v>
      </c>
      <c r="L292" s="25">
        <v>0.125</v>
      </c>
      <c r="M292" s="127">
        <v>0.05</v>
      </c>
      <c r="N292" s="22"/>
      <c r="O292" s="23" t="s">
        <v>151</v>
      </c>
      <c r="P292" s="20">
        <f t="shared" si="190"/>
        <v>3662</v>
      </c>
      <c r="Q292" s="23" t="s">
        <v>151</v>
      </c>
      <c r="R292" s="24">
        <f t="shared" si="191"/>
        <v>126327556.25</v>
      </c>
      <c r="S292" s="24">
        <f>R292/1.11</f>
        <v>113808609.23423423</v>
      </c>
    </row>
    <row r="293" spans="1:19" s="19" customFormat="1">
      <c r="A293" s="18" t="s">
        <v>157</v>
      </c>
      <c r="B293" s="19" t="s">
        <v>18</v>
      </c>
      <c r="C293" s="20">
        <v>264</v>
      </c>
      <c r="D293" s="21" t="s">
        <v>151</v>
      </c>
      <c r="E293" s="26">
        <v>48</v>
      </c>
      <c r="F293" s="22">
        <v>4</v>
      </c>
      <c r="G293" s="23" t="s">
        <v>33</v>
      </c>
      <c r="H293" s="22">
        <v>6</v>
      </c>
      <c r="I293" s="23" t="s">
        <v>151</v>
      </c>
      <c r="J293" s="24">
        <v>58900</v>
      </c>
      <c r="K293" s="21" t="s">
        <v>151</v>
      </c>
      <c r="L293" s="25">
        <v>0.125</v>
      </c>
      <c r="M293" s="25">
        <v>0.05</v>
      </c>
      <c r="N293" s="22"/>
      <c r="O293" s="23" t="s">
        <v>151</v>
      </c>
      <c r="P293" s="20">
        <f t="shared" si="190"/>
        <v>1416</v>
      </c>
      <c r="Q293" s="23" t="s">
        <v>151</v>
      </c>
      <c r="R293" s="24">
        <f t="shared" si="191"/>
        <v>69328245</v>
      </c>
      <c r="S293" s="24">
        <f t="shared" si="161"/>
        <v>62457878.378378376</v>
      </c>
    </row>
    <row r="294" spans="1:19" s="19" customFormat="1">
      <c r="A294" s="156" t="s">
        <v>158</v>
      </c>
      <c r="B294" s="19" t="s">
        <v>18</v>
      </c>
      <c r="C294" s="20"/>
      <c r="D294" s="21" t="s">
        <v>151</v>
      </c>
      <c r="E294" s="26">
        <v>10</v>
      </c>
      <c r="F294" s="22">
        <v>4</v>
      </c>
      <c r="G294" s="23" t="s">
        <v>33</v>
      </c>
      <c r="H294" s="22">
        <v>6</v>
      </c>
      <c r="I294" s="23" t="s">
        <v>151</v>
      </c>
      <c r="J294" s="24">
        <v>66900</v>
      </c>
      <c r="K294" s="21" t="s">
        <v>151</v>
      </c>
      <c r="L294" s="25">
        <v>0.125</v>
      </c>
      <c r="M294" s="25">
        <v>0.1</v>
      </c>
      <c r="N294" s="22"/>
      <c r="O294" s="23" t="s">
        <v>151</v>
      </c>
      <c r="P294" s="20">
        <f t="shared" ref="P294" si="215">(C294+(E294*F294*H294))-N294</f>
        <v>240</v>
      </c>
      <c r="Q294" s="23" t="s">
        <v>151</v>
      </c>
      <c r="R294" s="24">
        <f t="shared" ref="R294" si="216">P294*(J294-(J294*L294)-((J294-(J294*L294))*M294))</f>
        <v>12644100</v>
      </c>
      <c r="S294" s="24">
        <f t="shared" ref="S294" si="217">R294/1.11</f>
        <v>11391081.081081079</v>
      </c>
    </row>
    <row r="295" spans="1:19" s="19" customFormat="1">
      <c r="A295" s="18" t="s">
        <v>158</v>
      </c>
      <c r="B295" s="19" t="s">
        <v>18</v>
      </c>
      <c r="C295" s="20">
        <v>278</v>
      </c>
      <c r="D295" s="21" t="s">
        <v>151</v>
      </c>
      <c r="E295" s="26">
        <v>56</v>
      </c>
      <c r="F295" s="22">
        <v>4</v>
      </c>
      <c r="G295" s="23" t="s">
        <v>33</v>
      </c>
      <c r="H295" s="22">
        <v>6</v>
      </c>
      <c r="I295" s="23" t="s">
        <v>151</v>
      </c>
      <c r="J295" s="24">
        <v>66900</v>
      </c>
      <c r="K295" s="21" t="s">
        <v>151</v>
      </c>
      <c r="L295" s="25">
        <v>0.125</v>
      </c>
      <c r="M295" s="25">
        <v>0.05</v>
      </c>
      <c r="N295" s="22"/>
      <c r="O295" s="23" t="s">
        <v>151</v>
      </c>
      <c r="P295" s="20">
        <f t="shared" si="190"/>
        <v>1622</v>
      </c>
      <c r="Q295" s="23" t="s">
        <v>151</v>
      </c>
      <c r="R295" s="24">
        <f t="shared" si="191"/>
        <v>90200433.75</v>
      </c>
      <c r="S295" s="24">
        <f t="shared" si="161"/>
        <v>81261652.027027026</v>
      </c>
    </row>
    <row r="296" spans="1:19" s="19" customFormat="1">
      <c r="A296" s="156" t="s">
        <v>695</v>
      </c>
      <c r="B296" s="19" t="s">
        <v>18</v>
      </c>
      <c r="C296" s="20"/>
      <c r="D296" s="21" t="s">
        <v>151</v>
      </c>
      <c r="E296" s="26">
        <v>6</v>
      </c>
      <c r="F296" s="22">
        <v>1</v>
      </c>
      <c r="G296" s="23" t="s">
        <v>20</v>
      </c>
      <c r="H296" s="22">
        <v>24</v>
      </c>
      <c r="I296" s="23" t="s">
        <v>151</v>
      </c>
      <c r="J296" s="24">
        <v>96000</v>
      </c>
      <c r="K296" s="21" t="s">
        <v>151</v>
      </c>
      <c r="L296" s="25">
        <v>0.125</v>
      </c>
      <c r="M296" s="25">
        <v>0.1</v>
      </c>
      <c r="N296" s="22"/>
      <c r="O296" s="23" t="s">
        <v>151</v>
      </c>
      <c r="P296" s="20">
        <f t="shared" ref="P296" si="218">(C296+(E296*F296*H296))-N296</f>
        <v>144</v>
      </c>
      <c r="Q296" s="23" t="s">
        <v>151</v>
      </c>
      <c r="R296" s="24">
        <f t="shared" ref="R296" si="219">P296*(J296-(J296*L296)-((J296-(J296*L296))*M296))</f>
        <v>10886400</v>
      </c>
      <c r="S296" s="24">
        <f t="shared" ref="S296" si="220">R296/1.11</f>
        <v>9807567.5675675664</v>
      </c>
    </row>
    <row r="297" spans="1:19" s="19" customFormat="1">
      <c r="A297" s="18" t="s">
        <v>695</v>
      </c>
      <c r="B297" s="19" t="s">
        <v>18</v>
      </c>
      <c r="C297" s="20"/>
      <c r="D297" s="21" t="s">
        <v>151</v>
      </c>
      <c r="E297" s="26">
        <v>17</v>
      </c>
      <c r="F297" s="22">
        <v>1</v>
      </c>
      <c r="G297" s="23" t="s">
        <v>20</v>
      </c>
      <c r="H297" s="22">
        <v>24</v>
      </c>
      <c r="I297" s="23" t="s">
        <v>151</v>
      </c>
      <c r="J297" s="24">
        <v>96000</v>
      </c>
      <c r="K297" s="21" t="s">
        <v>151</v>
      </c>
      <c r="L297" s="25">
        <v>0.125</v>
      </c>
      <c r="M297" s="25">
        <v>0.05</v>
      </c>
      <c r="N297" s="22"/>
      <c r="O297" s="23" t="s">
        <v>151</v>
      </c>
      <c r="P297" s="20">
        <f t="shared" si="190"/>
        <v>408</v>
      </c>
      <c r="Q297" s="23" t="s">
        <v>151</v>
      </c>
      <c r="R297" s="24">
        <f t="shared" si="191"/>
        <v>32558400</v>
      </c>
      <c r="S297" s="24">
        <f t="shared" si="161"/>
        <v>29331891.891891889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>
      <c r="A299" s="39" t="s">
        <v>159</v>
      </c>
      <c r="B299" s="19" t="s">
        <v>25</v>
      </c>
      <c r="C299" s="20"/>
      <c r="D299" s="21" t="s">
        <v>151</v>
      </c>
      <c r="E299" s="26">
        <v>3</v>
      </c>
      <c r="F299" s="22">
        <v>12</v>
      </c>
      <c r="G299" s="23" t="s">
        <v>40</v>
      </c>
      <c r="H299" s="22">
        <v>12</v>
      </c>
      <c r="I299" s="23" t="s">
        <v>151</v>
      </c>
      <c r="J299" s="24">
        <f>1728000/12/12</f>
        <v>12000</v>
      </c>
      <c r="K299" s="21" t="s">
        <v>151</v>
      </c>
      <c r="L299" s="25"/>
      <c r="M299" s="25">
        <v>0.17</v>
      </c>
      <c r="N299" s="22"/>
      <c r="O299" s="23" t="s">
        <v>151</v>
      </c>
      <c r="P299" s="20">
        <f>(C299+(E299*F299*H299))-N299</f>
        <v>432</v>
      </c>
      <c r="Q299" s="23" t="s">
        <v>151</v>
      </c>
      <c r="R299" s="24">
        <f>P299*(J299-(J299*L299)-((J299-(J299*L299))*M299))</f>
        <v>4302720</v>
      </c>
      <c r="S299" s="24">
        <f t="shared" si="161"/>
        <v>3876324.3243243238</v>
      </c>
    </row>
    <row r="300" spans="1:19" s="19" customFormat="1">
      <c r="A300" s="39" t="s">
        <v>160</v>
      </c>
      <c r="B300" s="19" t="s">
        <v>25</v>
      </c>
      <c r="C300" s="20">
        <v>168</v>
      </c>
      <c r="D300" s="21" t="s">
        <v>151</v>
      </c>
      <c r="E300" s="26">
        <v>2</v>
      </c>
      <c r="F300" s="22">
        <v>6</v>
      </c>
      <c r="G300" s="23" t="s">
        <v>40</v>
      </c>
      <c r="H300" s="22">
        <v>12</v>
      </c>
      <c r="I300" s="23" t="s">
        <v>151</v>
      </c>
      <c r="J300" s="24">
        <f>1548000/6/12</f>
        <v>21500</v>
      </c>
      <c r="K300" s="21" t="s">
        <v>151</v>
      </c>
      <c r="L300" s="25"/>
      <c r="M300" s="25">
        <v>0.17</v>
      </c>
      <c r="N300" s="22"/>
      <c r="O300" s="23" t="s">
        <v>151</v>
      </c>
      <c r="P300" s="20">
        <f>(C300+(E300*F300*H300))-N300</f>
        <v>312</v>
      </c>
      <c r="Q300" s="23" t="s">
        <v>151</v>
      </c>
      <c r="R300" s="24">
        <f>P300*(J300-(J300*L300)-((J300-(J300*L300))*M300))</f>
        <v>5567640</v>
      </c>
      <c r="S300" s="24">
        <f t="shared" si="161"/>
        <v>5015891.8918918911</v>
      </c>
    </row>
    <row r="301" spans="1:19" s="19" customFormat="1">
      <c r="A301" s="39" t="s">
        <v>812</v>
      </c>
      <c r="B301" s="19" t="s">
        <v>25</v>
      </c>
      <c r="C301" s="20"/>
      <c r="D301" s="21" t="s">
        <v>151</v>
      </c>
      <c r="E301" s="26">
        <v>1</v>
      </c>
      <c r="F301" s="22">
        <v>4</v>
      </c>
      <c r="G301" s="23" t="s">
        <v>40</v>
      </c>
      <c r="H301" s="22">
        <v>12</v>
      </c>
      <c r="I301" s="23" t="s">
        <v>151</v>
      </c>
      <c r="J301" s="24">
        <v>28500</v>
      </c>
      <c r="K301" s="21" t="s">
        <v>151</v>
      </c>
      <c r="L301" s="25"/>
      <c r="M301" s="25">
        <v>0.17</v>
      </c>
      <c r="N301" s="22"/>
      <c r="O301" s="23" t="s">
        <v>151</v>
      </c>
      <c r="P301" s="20">
        <f t="shared" ref="P301:P302" si="221">(C301+(E301*F301*H301))-N301</f>
        <v>48</v>
      </c>
      <c r="Q301" s="23" t="s">
        <v>151</v>
      </c>
      <c r="R301" s="24">
        <f t="shared" ref="R301:R302" si="222">P301*(J301-(J301*L301)-((J301-(J301*L301))*M301))</f>
        <v>1135440</v>
      </c>
      <c r="S301" s="24">
        <f t="shared" ref="S301:S302" si="223">R301/1.11</f>
        <v>1022918.9189189188</v>
      </c>
    </row>
    <row r="302" spans="1:19" s="19" customFormat="1">
      <c r="A302" s="39" t="s">
        <v>813</v>
      </c>
      <c r="B302" s="19" t="s">
        <v>25</v>
      </c>
      <c r="C302" s="20"/>
      <c r="D302" s="21" t="s">
        <v>151</v>
      </c>
      <c r="E302" s="26">
        <v>1</v>
      </c>
      <c r="F302" s="22">
        <v>4</v>
      </c>
      <c r="G302" s="23" t="s">
        <v>40</v>
      </c>
      <c r="H302" s="22">
        <v>12</v>
      </c>
      <c r="I302" s="23" t="s">
        <v>151</v>
      </c>
      <c r="J302" s="24">
        <v>31125</v>
      </c>
      <c r="K302" s="21" t="s">
        <v>151</v>
      </c>
      <c r="L302" s="25"/>
      <c r="M302" s="25">
        <v>0.17</v>
      </c>
      <c r="N302" s="22"/>
      <c r="O302" s="23" t="s">
        <v>151</v>
      </c>
      <c r="P302" s="20">
        <f t="shared" si="221"/>
        <v>48</v>
      </c>
      <c r="Q302" s="23" t="s">
        <v>151</v>
      </c>
      <c r="R302" s="24">
        <f t="shared" si="222"/>
        <v>1240020</v>
      </c>
      <c r="S302" s="24">
        <f t="shared" si="223"/>
        <v>1117135.1351351351</v>
      </c>
    </row>
    <row r="303" spans="1:19" s="19" customFormat="1">
      <c r="A303" s="39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76" customFormat="1">
      <c r="A304" s="108" t="s">
        <v>161</v>
      </c>
      <c r="B304" s="76" t="s">
        <v>25</v>
      </c>
      <c r="C304" s="74"/>
      <c r="D304" s="77" t="s">
        <v>151</v>
      </c>
      <c r="E304" s="78"/>
      <c r="F304" s="79">
        <v>8</v>
      </c>
      <c r="G304" s="80" t="s">
        <v>33</v>
      </c>
      <c r="H304" s="79">
        <v>12</v>
      </c>
      <c r="I304" s="80" t="s">
        <v>151</v>
      </c>
      <c r="J304" s="81">
        <v>12500</v>
      </c>
      <c r="K304" s="77" t="s">
        <v>151</v>
      </c>
      <c r="L304" s="82"/>
      <c r="M304" s="82">
        <v>0.17</v>
      </c>
      <c r="N304" s="79"/>
      <c r="O304" s="80" t="s">
        <v>151</v>
      </c>
      <c r="P304" s="74">
        <f t="shared" ref="P304:P311" si="224">(C304+(E304*F304*H304))-N304</f>
        <v>0</v>
      </c>
      <c r="Q304" s="80" t="s">
        <v>151</v>
      </c>
      <c r="R304" s="81">
        <f t="shared" ref="R304:R311" si="225">P304*(J304-(J304*L304)-((J304-(J304*L304))*M304))</f>
        <v>0</v>
      </c>
      <c r="S304" s="81">
        <f t="shared" si="161"/>
        <v>0</v>
      </c>
    </row>
    <row r="305" spans="1:19" s="76" customFormat="1">
      <c r="A305" s="108" t="s">
        <v>162</v>
      </c>
      <c r="B305" s="76" t="s">
        <v>25</v>
      </c>
      <c r="C305" s="74"/>
      <c r="D305" s="77" t="s">
        <v>151</v>
      </c>
      <c r="E305" s="78"/>
      <c r="F305" s="79">
        <v>1</v>
      </c>
      <c r="G305" s="80" t="s">
        <v>20</v>
      </c>
      <c r="H305" s="79">
        <v>144</v>
      </c>
      <c r="I305" s="80" t="s">
        <v>151</v>
      </c>
      <c r="J305" s="81">
        <v>11600</v>
      </c>
      <c r="K305" s="77" t="s">
        <v>151</v>
      </c>
      <c r="L305" s="82"/>
      <c r="M305" s="82">
        <v>0.17</v>
      </c>
      <c r="N305" s="79"/>
      <c r="O305" s="80" t="s">
        <v>151</v>
      </c>
      <c r="P305" s="74">
        <f t="shared" si="224"/>
        <v>0</v>
      </c>
      <c r="Q305" s="80" t="s">
        <v>151</v>
      </c>
      <c r="R305" s="81">
        <f t="shared" si="225"/>
        <v>0</v>
      </c>
      <c r="S305" s="81">
        <f t="shared" si="161"/>
        <v>0</v>
      </c>
    </row>
    <row r="306" spans="1:19" s="19" customFormat="1">
      <c r="A306" s="18" t="s">
        <v>163</v>
      </c>
      <c r="B306" s="19" t="s">
        <v>25</v>
      </c>
      <c r="C306" s="20">
        <v>4032</v>
      </c>
      <c r="D306" s="21" t="s">
        <v>151</v>
      </c>
      <c r="E306" s="26">
        <v>66</v>
      </c>
      <c r="F306" s="22">
        <v>12</v>
      </c>
      <c r="G306" s="23" t="s">
        <v>40</v>
      </c>
      <c r="H306" s="22">
        <v>12</v>
      </c>
      <c r="I306" s="23" t="s">
        <v>151</v>
      </c>
      <c r="J306" s="24">
        <f>2088000/144</f>
        <v>14500</v>
      </c>
      <c r="K306" s="21" t="s">
        <v>151</v>
      </c>
      <c r="L306" s="25"/>
      <c r="M306" s="25">
        <v>0.17</v>
      </c>
      <c r="N306" s="22"/>
      <c r="O306" s="23" t="s">
        <v>151</v>
      </c>
      <c r="P306" s="20">
        <f t="shared" si="224"/>
        <v>13536</v>
      </c>
      <c r="Q306" s="23" t="s">
        <v>151</v>
      </c>
      <c r="R306" s="24">
        <f t="shared" si="225"/>
        <v>162905760</v>
      </c>
      <c r="S306" s="24">
        <f t="shared" si="161"/>
        <v>146761945.94594592</v>
      </c>
    </row>
    <row r="307" spans="1:19" s="19" customFormat="1">
      <c r="A307" s="18" t="s">
        <v>164</v>
      </c>
      <c r="B307" s="19" t="s">
        <v>25</v>
      </c>
      <c r="C307" s="20">
        <v>648</v>
      </c>
      <c r="D307" s="21" t="s">
        <v>151</v>
      </c>
      <c r="E307" s="26">
        <v>28</v>
      </c>
      <c r="F307" s="22">
        <v>6</v>
      </c>
      <c r="G307" s="23" t="s">
        <v>40</v>
      </c>
      <c r="H307" s="22">
        <v>12</v>
      </c>
      <c r="I307" s="23" t="s">
        <v>151</v>
      </c>
      <c r="J307" s="24">
        <f>1944000/72</f>
        <v>27000</v>
      </c>
      <c r="K307" s="21" t="s">
        <v>151</v>
      </c>
      <c r="L307" s="25"/>
      <c r="M307" s="25">
        <v>0.17</v>
      </c>
      <c r="N307" s="22"/>
      <c r="O307" s="23" t="s">
        <v>151</v>
      </c>
      <c r="P307" s="20">
        <f t="shared" si="224"/>
        <v>2664</v>
      </c>
      <c r="Q307" s="23" t="s">
        <v>151</v>
      </c>
      <c r="R307" s="24">
        <f t="shared" si="225"/>
        <v>59700240</v>
      </c>
      <c r="S307" s="24">
        <f t="shared" si="161"/>
        <v>53783999.999999993</v>
      </c>
    </row>
    <row r="308" spans="1:19" s="19" customFormat="1">
      <c r="A308" s="18" t="s">
        <v>165</v>
      </c>
      <c r="B308" s="19" t="s">
        <v>25</v>
      </c>
      <c r="C308" s="20">
        <v>672</v>
      </c>
      <c r="D308" s="21" t="s">
        <v>151</v>
      </c>
      <c r="E308" s="26">
        <v>22</v>
      </c>
      <c r="F308" s="22">
        <v>8</v>
      </c>
      <c r="G308" s="23" t="s">
        <v>33</v>
      </c>
      <c r="H308" s="22">
        <v>6</v>
      </c>
      <c r="I308" s="23" t="s">
        <v>151</v>
      </c>
      <c r="J308" s="24">
        <f>1632000/8/6</f>
        <v>34000</v>
      </c>
      <c r="K308" s="21" t="s">
        <v>151</v>
      </c>
      <c r="L308" s="25"/>
      <c r="M308" s="25">
        <v>0.17</v>
      </c>
      <c r="N308" s="22"/>
      <c r="O308" s="23" t="s">
        <v>151</v>
      </c>
      <c r="P308" s="20">
        <f t="shared" si="224"/>
        <v>1728</v>
      </c>
      <c r="Q308" s="23" t="s">
        <v>151</v>
      </c>
      <c r="R308" s="24">
        <f t="shared" si="225"/>
        <v>48764160</v>
      </c>
      <c r="S308" s="24">
        <f t="shared" si="161"/>
        <v>43931675.675675675</v>
      </c>
    </row>
    <row r="309" spans="1:19" s="19" customFormat="1">
      <c r="A309" s="18" t="s">
        <v>166</v>
      </c>
      <c r="B309" s="19" t="s">
        <v>25</v>
      </c>
      <c r="C309" s="20">
        <v>180</v>
      </c>
      <c r="D309" s="21" t="s">
        <v>151</v>
      </c>
      <c r="E309" s="26">
        <v>21</v>
      </c>
      <c r="F309" s="22">
        <v>6</v>
      </c>
      <c r="G309" s="23" t="s">
        <v>33</v>
      </c>
      <c r="H309" s="22">
        <v>6</v>
      </c>
      <c r="I309" s="23" t="s">
        <v>151</v>
      </c>
      <c r="J309" s="24">
        <f>1710000/6/6</f>
        <v>47500</v>
      </c>
      <c r="K309" s="21" t="s">
        <v>151</v>
      </c>
      <c r="L309" s="25"/>
      <c r="M309" s="25">
        <v>0.17</v>
      </c>
      <c r="N309" s="22"/>
      <c r="O309" s="23" t="s">
        <v>151</v>
      </c>
      <c r="P309" s="20">
        <f t="shared" si="224"/>
        <v>936</v>
      </c>
      <c r="Q309" s="23" t="s">
        <v>151</v>
      </c>
      <c r="R309" s="24">
        <f t="shared" si="225"/>
        <v>36901800</v>
      </c>
      <c r="S309" s="24">
        <f t="shared" si="161"/>
        <v>33244864.864864863</v>
      </c>
    </row>
    <row r="310" spans="1:19" s="19" customFormat="1">
      <c r="A310" s="18" t="s">
        <v>167</v>
      </c>
      <c r="B310" s="19" t="s">
        <v>25</v>
      </c>
      <c r="C310" s="20">
        <v>30</v>
      </c>
      <c r="D310" s="21" t="s">
        <v>151</v>
      </c>
      <c r="E310" s="26">
        <v>11</v>
      </c>
      <c r="F310" s="22">
        <v>4</v>
      </c>
      <c r="G310" s="23" t="s">
        <v>33</v>
      </c>
      <c r="H310" s="22">
        <v>6</v>
      </c>
      <c r="I310" s="23" t="s">
        <v>151</v>
      </c>
      <c r="J310" s="24">
        <f>1656000/4/6</f>
        <v>69000</v>
      </c>
      <c r="K310" s="21" t="s">
        <v>151</v>
      </c>
      <c r="L310" s="25"/>
      <c r="M310" s="25">
        <v>0.17</v>
      </c>
      <c r="N310" s="22"/>
      <c r="O310" s="23" t="s">
        <v>151</v>
      </c>
      <c r="P310" s="20">
        <f t="shared" si="224"/>
        <v>294</v>
      </c>
      <c r="Q310" s="23" t="s">
        <v>151</v>
      </c>
      <c r="R310" s="24">
        <f t="shared" si="225"/>
        <v>16837380</v>
      </c>
      <c r="S310" s="24">
        <f t="shared" si="161"/>
        <v>15168810.81081081</v>
      </c>
    </row>
    <row r="311" spans="1:19" s="19" customFormat="1">
      <c r="A311" s="18" t="s">
        <v>168</v>
      </c>
      <c r="B311" s="19" t="s">
        <v>25</v>
      </c>
      <c r="C311" s="20">
        <v>42</v>
      </c>
      <c r="D311" s="21" t="s">
        <v>151</v>
      </c>
      <c r="E311" s="26">
        <v>18</v>
      </c>
      <c r="F311" s="22">
        <v>4</v>
      </c>
      <c r="G311" s="23" t="s">
        <v>33</v>
      </c>
      <c r="H311" s="22">
        <v>6</v>
      </c>
      <c r="I311" s="23" t="s">
        <v>151</v>
      </c>
      <c r="J311" s="24">
        <f>1824000/4/6</f>
        <v>76000</v>
      </c>
      <c r="K311" s="21" t="s">
        <v>151</v>
      </c>
      <c r="L311" s="25"/>
      <c r="M311" s="25">
        <v>0.17</v>
      </c>
      <c r="N311" s="22"/>
      <c r="O311" s="23" t="s">
        <v>151</v>
      </c>
      <c r="P311" s="20">
        <f t="shared" si="224"/>
        <v>474</v>
      </c>
      <c r="Q311" s="23" t="s">
        <v>151</v>
      </c>
      <c r="R311" s="24">
        <f t="shared" si="225"/>
        <v>29899920</v>
      </c>
      <c r="S311" s="24">
        <f t="shared" si="161"/>
        <v>26936864.864864863</v>
      </c>
    </row>
    <row r="312" spans="1:19" s="19" customFormat="1">
      <c r="A312" s="18"/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19" customFormat="1">
      <c r="A313" s="60" t="s">
        <v>169</v>
      </c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76" customFormat="1">
      <c r="A314" s="75" t="s">
        <v>170</v>
      </c>
      <c r="B314" s="76" t="s">
        <v>171</v>
      </c>
      <c r="C314" s="74"/>
      <c r="D314" s="77" t="s">
        <v>151</v>
      </c>
      <c r="E314" s="78"/>
      <c r="F314" s="79">
        <v>1</v>
      </c>
      <c r="G314" s="80" t="s">
        <v>20</v>
      </c>
      <c r="H314" s="79">
        <v>144</v>
      </c>
      <c r="I314" s="80" t="s">
        <v>151</v>
      </c>
      <c r="J314" s="81">
        <v>14000</v>
      </c>
      <c r="K314" s="77" t="s">
        <v>151</v>
      </c>
      <c r="L314" s="82">
        <v>0.05</v>
      </c>
      <c r="M314" s="82">
        <v>0.03</v>
      </c>
      <c r="N314" s="79"/>
      <c r="O314" s="80" t="s">
        <v>151</v>
      </c>
      <c r="P314" s="74">
        <f>(C314+(E314*F314*H314))-N314</f>
        <v>0</v>
      </c>
      <c r="Q314" s="80" t="s">
        <v>151</v>
      </c>
      <c r="R314" s="81">
        <f>P314*(J314-(J314*L314)-((J314-(J314*L314))*M314))</f>
        <v>0</v>
      </c>
      <c r="S314" s="81">
        <f t="shared" si="161"/>
        <v>0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172</v>
      </c>
      <c r="B316" s="19" t="s">
        <v>18</v>
      </c>
      <c r="C316" s="20">
        <f>360+324</f>
        <v>684</v>
      </c>
      <c r="D316" s="21" t="s">
        <v>151</v>
      </c>
      <c r="E316" s="26">
        <v>37</v>
      </c>
      <c r="F316" s="22">
        <v>12</v>
      </c>
      <c r="G316" s="23" t="s">
        <v>33</v>
      </c>
      <c r="H316" s="22">
        <v>12</v>
      </c>
      <c r="I316" s="23" t="s">
        <v>151</v>
      </c>
      <c r="J316" s="24">
        <v>18600</v>
      </c>
      <c r="K316" s="21" t="s">
        <v>151</v>
      </c>
      <c r="L316" s="25">
        <v>0.125</v>
      </c>
      <c r="M316" s="25">
        <v>0.05</v>
      </c>
      <c r="N316" s="22"/>
      <c r="O316" s="23" t="s">
        <v>151</v>
      </c>
      <c r="P316" s="20">
        <f>(C316+(E316*F316*H316))-N316</f>
        <v>6012</v>
      </c>
      <c r="Q316" s="23" t="s">
        <v>151</v>
      </c>
      <c r="R316" s="24">
        <f>P316*(J316-(J316*L316)-((J316-(J316*L316))*M316))</f>
        <v>92953035</v>
      </c>
      <c r="S316" s="24">
        <f t="shared" si="161"/>
        <v>83741472.972972959</v>
      </c>
    </row>
    <row r="317" spans="1:19" s="19" customFormat="1">
      <c r="A317" s="18" t="s">
        <v>913</v>
      </c>
      <c r="B317" s="19" t="s">
        <v>18</v>
      </c>
      <c r="C317" s="20"/>
      <c r="D317" s="21" t="s">
        <v>151</v>
      </c>
      <c r="E317" s="26">
        <v>7</v>
      </c>
      <c r="F317" s="22">
        <v>6</v>
      </c>
      <c r="G317" s="23" t="s">
        <v>33</v>
      </c>
      <c r="H317" s="22">
        <v>12</v>
      </c>
      <c r="I317" s="23" t="s">
        <v>151</v>
      </c>
      <c r="J317" s="24">
        <v>37200</v>
      </c>
      <c r="K317" s="21" t="s">
        <v>151</v>
      </c>
      <c r="L317" s="25">
        <v>0.125</v>
      </c>
      <c r="M317" s="25">
        <v>0.05</v>
      </c>
      <c r="N317" s="22"/>
      <c r="O317" s="23" t="s">
        <v>151</v>
      </c>
      <c r="P317" s="20">
        <f>(C317+(E317*F317*H317))-N317</f>
        <v>504</v>
      </c>
      <c r="Q317" s="23" t="s">
        <v>151</v>
      </c>
      <c r="R317" s="24">
        <f>P317*(J317-(J317*L317)-((J317-(J317*L317))*M317))</f>
        <v>15584940</v>
      </c>
      <c r="S317" s="24">
        <f t="shared" ref="S317" si="226">R317/1.11</f>
        <v>14040486.486486485</v>
      </c>
    </row>
    <row r="318" spans="1:19" s="19" customFormat="1">
      <c r="A318" s="18" t="s">
        <v>173</v>
      </c>
      <c r="B318" s="19" t="s">
        <v>18</v>
      </c>
      <c r="C318" s="20">
        <v>144</v>
      </c>
      <c r="D318" s="21" t="s">
        <v>151</v>
      </c>
      <c r="E318" s="26">
        <v>41</v>
      </c>
      <c r="F318" s="22">
        <v>12</v>
      </c>
      <c r="G318" s="23" t="s">
        <v>33</v>
      </c>
      <c r="H318" s="22">
        <v>12</v>
      </c>
      <c r="I318" s="23" t="s">
        <v>151</v>
      </c>
      <c r="J318" s="24">
        <v>23900</v>
      </c>
      <c r="K318" s="21" t="s">
        <v>151</v>
      </c>
      <c r="L318" s="25">
        <v>0.125</v>
      </c>
      <c r="M318" s="25">
        <v>0.05</v>
      </c>
      <c r="N318" s="22"/>
      <c r="O318" s="23" t="s">
        <v>151</v>
      </c>
      <c r="P318" s="20">
        <f>(C318+(E318*F318*H318))-N318</f>
        <v>6048</v>
      </c>
      <c r="Q318" s="23" t="s">
        <v>151</v>
      </c>
      <c r="R318" s="24">
        <f>P318*(J318-(J318*L318)-((J318-(J318*L318))*M318))</f>
        <v>120154860</v>
      </c>
      <c r="S318" s="24">
        <f t="shared" si="161"/>
        <v>108247621.62162161</v>
      </c>
    </row>
    <row r="319" spans="1:19" s="19" customFormat="1">
      <c r="A319" s="18" t="s">
        <v>174</v>
      </c>
      <c r="B319" s="19" t="s">
        <v>18</v>
      </c>
      <c r="C319" s="20">
        <v>72</v>
      </c>
      <c r="D319" s="21" t="s">
        <v>151</v>
      </c>
      <c r="E319" s="26">
        <v>11</v>
      </c>
      <c r="F319" s="22">
        <v>12</v>
      </c>
      <c r="G319" s="23" t="s">
        <v>33</v>
      </c>
      <c r="H319" s="22">
        <v>6</v>
      </c>
      <c r="I319" s="23" t="s">
        <v>151</v>
      </c>
      <c r="J319" s="24">
        <v>47800</v>
      </c>
      <c r="K319" s="21" t="s">
        <v>151</v>
      </c>
      <c r="L319" s="25">
        <v>0.125</v>
      </c>
      <c r="M319" s="25">
        <v>0.05</v>
      </c>
      <c r="N319" s="22"/>
      <c r="O319" s="23" t="s">
        <v>151</v>
      </c>
      <c r="P319" s="20">
        <f>(C319+(E319*F319*H319))-N319</f>
        <v>864</v>
      </c>
      <c r="Q319" s="23" t="s">
        <v>151</v>
      </c>
      <c r="R319" s="24">
        <f>P319*(J319-(J319*L319)-((J319-(J319*L319))*M319))</f>
        <v>34329960</v>
      </c>
      <c r="S319" s="24">
        <f t="shared" ref="S319" si="227">R319/1.11</f>
        <v>30927891.891891889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76" customFormat="1">
      <c r="A321" s="75" t="s">
        <v>175</v>
      </c>
      <c r="B321" s="76" t="s">
        <v>25</v>
      </c>
      <c r="C321" s="74"/>
      <c r="D321" s="77" t="s">
        <v>151</v>
      </c>
      <c r="E321" s="78"/>
      <c r="F321" s="79">
        <v>12</v>
      </c>
      <c r="G321" s="80" t="s">
        <v>40</v>
      </c>
      <c r="H321" s="79">
        <v>12</v>
      </c>
      <c r="I321" s="80" t="s">
        <v>151</v>
      </c>
      <c r="J321" s="81">
        <f>2592000/12/12</f>
        <v>18000</v>
      </c>
      <c r="K321" s="77" t="s">
        <v>151</v>
      </c>
      <c r="L321" s="82"/>
      <c r="M321" s="82">
        <v>0.17</v>
      </c>
      <c r="N321" s="79"/>
      <c r="O321" s="80" t="s">
        <v>151</v>
      </c>
      <c r="P321" s="74">
        <f t="shared" ref="P321:P326" si="228">(C321+(E321*F321*H321))-N321</f>
        <v>0</v>
      </c>
      <c r="Q321" s="80" t="s">
        <v>151</v>
      </c>
      <c r="R321" s="81">
        <f t="shared" ref="R321:R326" si="229">P321*(J321-(J321*L321)-((J321-(J321*L321))*M321))</f>
        <v>0</v>
      </c>
      <c r="S321" s="81">
        <f t="shared" si="161"/>
        <v>0</v>
      </c>
    </row>
    <row r="322" spans="1:19" s="76" customFormat="1">
      <c r="A322" s="75" t="s">
        <v>176</v>
      </c>
      <c r="B322" s="76" t="s">
        <v>25</v>
      </c>
      <c r="C322" s="74"/>
      <c r="D322" s="77" t="s">
        <v>151</v>
      </c>
      <c r="E322" s="78"/>
      <c r="F322" s="79">
        <v>8</v>
      </c>
      <c r="G322" s="80" t="s">
        <v>40</v>
      </c>
      <c r="H322" s="79">
        <v>12</v>
      </c>
      <c r="I322" s="80" t="s">
        <v>151</v>
      </c>
      <c r="J322" s="81">
        <v>24500</v>
      </c>
      <c r="K322" s="77" t="s">
        <v>151</v>
      </c>
      <c r="L322" s="82"/>
      <c r="M322" s="82">
        <v>0.17</v>
      </c>
      <c r="N322" s="79"/>
      <c r="O322" s="80" t="s">
        <v>151</v>
      </c>
      <c r="P322" s="74">
        <f t="shared" si="228"/>
        <v>0</v>
      </c>
      <c r="Q322" s="80" t="s">
        <v>151</v>
      </c>
      <c r="R322" s="81">
        <f t="shared" si="229"/>
        <v>0</v>
      </c>
      <c r="S322" s="81">
        <f t="shared" si="161"/>
        <v>0</v>
      </c>
    </row>
    <row r="323" spans="1:19" s="19" customFormat="1">
      <c r="A323" s="128" t="s">
        <v>177</v>
      </c>
      <c r="B323" s="19" t="s">
        <v>25</v>
      </c>
      <c r="C323" s="20">
        <v>288</v>
      </c>
      <c r="D323" s="21" t="s">
        <v>151</v>
      </c>
      <c r="E323" s="26"/>
      <c r="F323" s="22">
        <v>12</v>
      </c>
      <c r="G323" s="23" t="s">
        <v>40</v>
      </c>
      <c r="H323" s="22">
        <v>12</v>
      </c>
      <c r="I323" s="23" t="s">
        <v>151</v>
      </c>
      <c r="J323" s="24">
        <f>3888000/144</f>
        <v>27000</v>
      </c>
      <c r="K323" s="21" t="s">
        <v>151</v>
      </c>
      <c r="L323" s="127">
        <v>0.05</v>
      </c>
      <c r="M323" s="25">
        <v>0.17</v>
      </c>
      <c r="N323" s="22"/>
      <c r="O323" s="23" t="s">
        <v>151</v>
      </c>
      <c r="P323" s="20">
        <f t="shared" si="228"/>
        <v>288</v>
      </c>
      <c r="Q323" s="23" t="s">
        <v>151</v>
      </c>
      <c r="R323" s="24">
        <f t="shared" si="229"/>
        <v>6131376</v>
      </c>
      <c r="S323" s="24">
        <f t="shared" si="161"/>
        <v>5523762.1621621614</v>
      </c>
    </row>
    <row r="324" spans="1:19" s="19" customFormat="1">
      <c r="A324" s="128" t="s">
        <v>177</v>
      </c>
      <c r="B324" s="19" t="s">
        <v>25</v>
      </c>
      <c r="C324" s="20"/>
      <c r="D324" s="21" t="s">
        <v>151</v>
      </c>
      <c r="E324" s="26">
        <v>3</v>
      </c>
      <c r="F324" s="22">
        <v>12</v>
      </c>
      <c r="G324" s="23" t="s">
        <v>40</v>
      </c>
      <c r="H324" s="22">
        <v>12</v>
      </c>
      <c r="I324" s="23" t="s">
        <v>151</v>
      </c>
      <c r="J324" s="24">
        <f>3888000/144</f>
        <v>27000</v>
      </c>
      <c r="K324" s="21" t="s">
        <v>151</v>
      </c>
      <c r="L324" s="127"/>
      <c r="M324" s="25">
        <v>0.17</v>
      </c>
      <c r="N324" s="22"/>
      <c r="O324" s="23" t="s">
        <v>151</v>
      </c>
      <c r="P324" s="20">
        <f t="shared" si="228"/>
        <v>432</v>
      </c>
      <c r="Q324" s="23" t="s">
        <v>151</v>
      </c>
      <c r="R324" s="24">
        <f t="shared" si="229"/>
        <v>9681120</v>
      </c>
      <c r="S324" s="24">
        <f t="shared" ref="S324" si="230">R324/1.11</f>
        <v>8721729.7297297288</v>
      </c>
    </row>
    <row r="325" spans="1:19" s="19" customFormat="1">
      <c r="A325" s="18" t="s">
        <v>993</v>
      </c>
      <c r="B325" s="19" t="s">
        <v>25</v>
      </c>
      <c r="C325" s="20"/>
      <c r="D325" s="21" t="s">
        <v>151</v>
      </c>
      <c r="E325" s="26">
        <v>12</v>
      </c>
      <c r="F325" s="22">
        <v>6</v>
      </c>
      <c r="G325" s="23" t="s">
        <v>40</v>
      </c>
      <c r="H325" s="22">
        <v>12</v>
      </c>
      <c r="I325" s="23" t="s">
        <v>151</v>
      </c>
      <c r="J325" s="24">
        <v>50000</v>
      </c>
      <c r="K325" s="21" t="s">
        <v>151</v>
      </c>
      <c r="L325" s="25"/>
      <c r="M325" s="25">
        <v>0.17</v>
      </c>
      <c r="N325" s="22"/>
      <c r="O325" s="23" t="s">
        <v>151</v>
      </c>
      <c r="P325" s="20">
        <f t="shared" si="228"/>
        <v>864</v>
      </c>
      <c r="Q325" s="23" t="s">
        <v>151</v>
      </c>
      <c r="R325" s="24">
        <f t="shared" si="229"/>
        <v>35856000</v>
      </c>
      <c r="S325" s="24">
        <f t="shared" ref="S325" si="231">R325/1.11</f>
        <v>32302702.702702701</v>
      </c>
    </row>
    <row r="326" spans="1:19" s="76" customFormat="1">
      <c r="A326" s="75" t="s">
        <v>178</v>
      </c>
      <c r="B326" s="76" t="s">
        <v>25</v>
      </c>
      <c r="C326" s="74"/>
      <c r="D326" s="77" t="s">
        <v>151</v>
      </c>
      <c r="E326" s="78"/>
      <c r="F326" s="79">
        <v>6</v>
      </c>
      <c r="G326" s="80" t="s">
        <v>40</v>
      </c>
      <c r="H326" s="79">
        <v>12</v>
      </c>
      <c r="I326" s="80" t="s">
        <v>151</v>
      </c>
      <c r="J326" s="81">
        <v>36000</v>
      </c>
      <c r="K326" s="77" t="s">
        <v>151</v>
      </c>
      <c r="L326" s="82">
        <v>0.05</v>
      </c>
      <c r="M326" s="82">
        <v>0.17</v>
      </c>
      <c r="N326" s="79"/>
      <c r="O326" s="80" t="s">
        <v>151</v>
      </c>
      <c r="P326" s="74">
        <f t="shared" si="228"/>
        <v>0</v>
      </c>
      <c r="Q326" s="80" t="s">
        <v>151</v>
      </c>
      <c r="R326" s="81">
        <f t="shared" si="229"/>
        <v>0</v>
      </c>
      <c r="S326" s="81">
        <f t="shared" si="161"/>
        <v>0</v>
      </c>
    </row>
    <row r="327" spans="1:19" s="19" customFormat="1">
      <c r="A327" s="1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19" customFormat="1">
      <c r="A328" s="60" t="s">
        <v>179</v>
      </c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76" customFormat="1">
      <c r="A329" s="75" t="s">
        <v>180</v>
      </c>
      <c r="B329" s="76" t="s">
        <v>181</v>
      </c>
      <c r="C329" s="74"/>
      <c r="D329" s="77" t="s">
        <v>40</v>
      </c>
      <c r="E329" s="78"/>
      <c r="F329" s="79">
        <v>1</v>
      </c>
      <c r="G329" s="80" t="s">
        <v>20</v>
      </c>
      <c r="H329" s="79">
        <v>5</v>
      </c>
      <c r="I329" s="80" t="s">
        <v>40</v>
      </c>
      <c r="J329" s="81">
        <v>475000</v>
      </c>
      <c r="K329" s="77" t="s">
        <v>40</v>
      </c>
      <c r="L329" s="82"/>
      <c r="M329" s="82"/>
      <c r="N329" s="79"/>
      <c r="O329" s="80" t="s">
        <v>40</v>
      </c>
      <c r="P329" s="74">
        <f>(C329+(E329*F329*H329))-N329</f>
        <v>0</v>
      </c>
      <c r="Q329" s="80" t="s">
        <v>40</v>
      </c>
      <c r="R329" s="81">
        <f>P329*(J329-(J329*L329)-((J329-(J329*L329))*M329))</f>
        <v>0</v>
      </c>
      <c r="S329" s="81">
        <f t="shared" si="161"/>
        <v>0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93" customFormat="1">
      <c r="A331" s="85" t="s">
        <v>712</v>
      </c>
      <c r="B331" s="93" t="s">
        <v>18</v>
      </c>
      <c r="C331" s="94"/>
      <c r="D331" s="95" t="s">
        <v>151</v>
      </c>
      <c r="E331" s="96">
        <v>2</v>
      </c>
      <c r="F331" s="97">
        <v>8</v>
      </c>
      <c r="G331" s="98" t="s">
        <v>33</v>
      </c>
      <c r="H331" s="97">
        <v>12</v>
      </c>
      <c r="I331" s="98" t="s">
        <v>151</v>
      </c>
      <c r="J331" s="99">
        <v>26800</v>
      </c>
      <c r="K331" s="95" t="s">
        <v>151</v>
      </c>
      <c r="L331" s="100">
        <v>0.125</v>
      </c>
      <c r="M331" s="100">
        <v>0.05</v>
      </c>
      <c r="N331" s="97"/>
      <c r="O331" s="98" t="s">
        <v>151</v>
      </c>
      <c r="P331" s="94">
        <f t="shared" ref="P331:P336" si="232">(C331+(E331*F331*H331))-N331</f>
        <v>192</v>
      </c>
      <c r="Q331" s="98" t="s">
        <v>151</v>
      </c>
      <c r="R331" s="99">
        <f t="shared" ref="R331:R336" si="233">P331*(J331-(J331*L331)-((J331-(J331*L331))*M331))</f>
        <v>4277280</v>
      </c>
      <c r="S331" s="99">
        <f t="shared" si="161"/>
        <v>3853405.405405405</v>
      </c>
    </row>
    <row r="332" spans="1:19" s="76" customFormat="1">
      <c r="A332" s="75" t="s">
        <v>182</v>
      </c>
      <c r="B332" s="76" t="s">
        <v>18</v>
      </c>
      <c r="C332" s="74"/>
      <c r="D332" s="77" t="s">
        <v>151</v>
      </c>
      <c r="E332" s="78"/>
      <c r="F332" s="79">
        <v>6</v>
      </c>
      <c r="G332" s="80" t="s">
        <v>33</v>
      </c>
      <c r="H332" s="79">
        <v>12</v>
      </c>
      <c r="I332" s="80" t="s">
        <v>151</v>
      </c>
      <c r="J332" s="81">
        <v>41500</v>
      </c>
      <c r="K332" s="77" t="s">
        <v>151</v>
      </c>
      <c r="L332" s="82">
        <v>0.125</v>
      </c>
      <c r="M332" s="82">
        <v>0.05</v>
      </c>
      <c r="N332" s="79"/>
      <c r="O332" s="80" t="s">
        <v>151</v>
      </c>
      <c r="P332" s="74">
        <f t="shared" si="232"/>
        <v>0</v>
      </c>
      <c r="Q332" s="80" t="s">
        <v>151</v>
      </c>
      <c r="R332" s="81">
        <f t="shared" si="233"/>
        <v>0</v>
      </c>
      <c r="S332" s="81">
        <f t="shared" si="161"/>
        <v>0</v>
      </c>
    </row>
    <row r="333" spans="1:19" s="93" customFormat="1">
      <c r="A333" s="85" t="s">
        <v>908</v>
      </c>
      <c r="B333" s="93" t="s">
        <v>18</v>
      </c>
      <c r="C333" s="94"/>
      <c r="D333" s="95" t="s">
        <v>151</v>
      </c>
      <c r="E333" s="96">
        <v>5</v>
      </c>
      <c r="F333" s="97">
        <v>1</v>
      </c>
      <c r="G333" s="98" t="s">
        <v>20</v>
      </c>
      <c r="H333" s="97">
        <v>108</v>
      </c>
      <c r="I333" s="98" t="s">
        <v>151</v>
      </c>
      <c r="J333" s="99">
        <v>17500</v>
      </c>
      <c r="K333" s="95" t="s">
        <v>151</v>
      </c>
      <c r="L333" s="100">
        <v>0.125</v>
      </c>
      <c r="M333" s="100">
        <v>0.1</v>
      </c>
      <c r="N333" s="97"/>
      <c r="O333" s="98" t="s">
        <v>151</v>
      </c>
      <c r="P333" s="94">
        <f t="shared" si="232"/>
        <v>540</v>
      </c>
      <c r="Q333" s="98" t="s">
        <v>151</v>
      </c>
      <c r="R333" s="99">
        <f t="shared" si="233"/>
        <v>7441875</v>
      </c>
      <c r="S333" s="99">
        <f t="shared" ref="S333:S334" si="234">R333/1.11</f>
        <v>6704391.8918918911</v>
      </c>
    </row>
    <row r="334" spans="1:19" s="93" customFormat="1">
      <c r="A334" s="85" t="s">
        <v>909</v>
      </c>
      <c r="B334" s="93" t="s">
        <v>18</v>
      </c>
      <c r="C334" s="94"/>
      <c r="D334" s="95" t="s">
        <v>151</v>
      </c>
      <c r="E334" s="96">
        <v>5</v>
      </c>
      <c r="F334" s="97">
        <v>1</v>
      </c>
      <c r="G334" s="98" t="s">
        <v>20</v>
      </c>
      <c r="H334" s="97">
        <v>48</v>
      </c>
      <c r="I334" s="98" t="s">
        <v>151</v>
      </c>
      <c r="J334" s="99">
        <v>35000</v>
      </c>
      <c r="K334" s="95" t="s">
        <v>151</v>
      </c>
      <c r="L334" s="100">
        <v>0.125</v>
      </c>
      <c r="M334" s="100">
        <v>0.1</v>
      </c>
      <c r="N334" s="97"/>
      <c r="O334" s="98" t="s">
        <v>151</v>
      </c>
      <c r="P334" s="94">
        <f t="shared" si="232"/>
        <v>240</v>
      </c>
      <c r="Q334" s="98" t="s">
        <v>151</v>
      </c>
      <c r="R334" s="99">
        <f t="shared" si="233"/>
        <v>6615000</v>
      </c>
      <c r="S334" s="99">
        <f t="shared" si="234"/>
        <v>5959459.4594594585</v>
      </c>
    </row>
    <row r="335" spans="1:19" s="93" customFormat="1">
      <c r="A335" s="85" t="s">
        <v>934</v>
      </c>
      <c r="B335" s="93" t="s">
        <v>18</v>
      </c>
      <c r="C335" s="94">
        <v>18</v>
      </c>
      <c r="D335" s="95" t="s">
        <v>151</v>
      </c>
      <c r="E335" s="96"/>
      <c r="F335" s="97">
        <v>1</v>
      </c>
      <c r="G335" s="98" t="s">
        <v>20</v>
      </c>
      <c r="H335" s="97">
        <v>18</v>
      </c>
      <c r="I335" s="98" t="s">
        <v>151</v>
      </c>
      <c r="J335" s="99">
        <v>145000</v>
      </c>
      <c r="K335" s="95" t="s">
        <v>151</v>
      </c>
      <c r="L335" s="100">
        <v>0.125</v>
      </c>
      <c r="M335" s="100">
        <v>0.05</v>
      </c>
      <c r="N335" s="97"/>
      <c r="O335" s="98" t="s">
        <v>151</v>
      </c>
      <c r="P335" s="94">
        <f t="shared" si="232"/>
        <v>18</v>
      </c>
      <c r="Q335" s="98" t="s">
        <v>151</v>
      </c>
      <c r="R335" s="99">
        <f t="shared" si="233"/>
        <v>2169562.5</v>
      </c>
      <c r="S335" s="99">
        <f t="shared" ref="S335:S336" si="235">R335/1.11</f>
        <v>1954560.8108108107</v>
      </c>
    </row>
    <row r="336" spans="1:19" s="93" customFormat="1">
      <c r="A336" s="85" t="s">
        <v>934</v>
      </c>
      <c r="B336" s="93" t="s">
        <v>18</v>
      </c>
      <c r="C336" s="94">
        <v>15</v>
      </c>
      <c r="D336" s="95" t="s">
        <v>151</v>
      </c>
      <c r="E336" s="96"/>
      <c r="F336" s="97">
        <v>1</v>
      </c>
      <c r="G336" s="98" t="s">
        <v>20</v>
      </c>
      <c r="H336" s="97">
        <v>18</v>
      </c>
      <c r="I336" s="98" t="s">
        <v>151</v>
      </c>
      <c r="J336" s="99">
        <v>145000</v>
      </c>
      <c r="K336" s="95" t="s">
        <v>151</v>
      </c>
      <c r="L336" s="100">
        <v>0.1</v>
      </c>
      <c r="M336" s="100">
        <v>0.05</v>
      </c>
      <c r="N336" s="97"/>
      <c r="O336" s="98" t="s">
        <v>151</v>
      </c>
      <c r="P336" s="94">
        <f t="shared" si="232"/>
        <v>15</v>
      </c>
      <c r="Q336" s="98" t="s">
        <v>151</v>
      </c>
      <c r="R336" s="99">
        <f t="shared" si="233"/>
        <v>1859625</v>
      </c>
      <c r="S336" s="99">
        <f t="shared" si="235"/>
        <v>1675337.8378378376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>
      <c r="A338" s="35" t="s">
        <v>183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60" t="s">
        <v>184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93" customFormat="1">
      <c r="A340" s="85" t="s">
        <v>690</v>
      </c>
      <c r="B340" s="93" t="s">
        <v>18</v>
      </c>
      <c r="C340" s="94"/>
      <c r="D340" s="95" t="s">
        <v>40</v>
      </c>
      <c r="E340" s="96">
        <v>2</v>
      </c>
      <c r="F340" s="97">
        <v>1</v>
      </c>
      <c r="G340" s="98" t="s">
        <v>20</v>
      </c>
      <c r="H340" s="97">
        <v>24</v>
      </c>
      <c r="I340" s="98" t="s">
        <v>40</v>
      </c>
      <c r="J340" s="99">
        <v>27600</v>
      </c>
      <c r="K340" s="95" t="s">
        <v>40</v>
      </c>
      <c r="L340" s="100">
        <v>0.125</v>
      </c>
      <c r="M340" s="100">
        <v>0.05</v>
      </c>
      <c r="N340" s="97"/>
      <c r="O340" s="98" t="s">
        <v>40</v>
      </c>
      <c r="P340" s="94">
        <f t="shared" ref="P340:P347" si="236">(C340+(E340*F340*H340))-N340</f>
        <v>48</v>
      </c>
      <c r="Q340" s="98" t="s">
        <v>40</v>
      </c>
      <c r="R340" s="99">
        <f t="shared" ref="R340:R347" si="237">P340*(J340-(J340*L340)-((J340-(J340*L340))*M340))</f>
        <v>1101240</v>
      </c>
      <c r="S340" s="99">
        <f t="shared" ref="S340" si="238">R340/1.11</f>
        <v>992108.10810810805</v>
      </c>
    </row>
    <row r="341" spans="1:19" s="76" customFormat="1">
      <c r="A341" s="75" t="s">
        <v>185</v>
      </c>
      <c r="B341" s="76" t="s">
        <v>18</v>
      </c>
      <c r="C341" s="74"/>
      <c r="D341" s="77" t="s">
        <v>40</v>
      </c>
      <c r="E341" s="78"/>
      <c r="F341" s="79">
        <v>1</v>
      </c>
      <c r="G341" s="80" t="s">
        <v>20</v>
      </c>
      <c r="H341" s="79">
        <v>24</v>
      </c>
      <c r="I341" s="80" t="s">
        <v>40</v>
      </c>
      <c r="J341" s="81">
        <v>73200</v>
      </c>
      <c r="K341" s="77" t="s">
        <v>40</v>
      </c>
      <c r="L341" s="82">
        <v>0.125</v>
      </c>
      <c r="M341" s="82">
        <v>0.05</v>
      </c>
      <c r="N341" s="79"/>
      <c r="O341" s="80" t="s">
        <v>40</v>
      </c>
      <c r="P341" s="74">
        <f t="shared" si="236"/>
        <v>0</v>
      </c>
      <c r="Q341" s="80" t="s">
        <v>40</v>
      </c>
      <c r="R341" s="81">
        <f t="shared" si="237"/>
        <v>0</v>
      </c>
      <c r="S341" s="81">
        <f t="shared" si="161"/>
        <v>0</v>
      </c>
    </row>
    <row r="342" spans="1:19" s="93" customFormat="1">
      <c r="A342" s="155" t="s">
        <v>185</v>
      </c>
      <c r="B342" s="93" t="s">
        <v>18</v>
      </c>
      <c r="C342" s="94"/>
      <c r="D342" s="95" t="s">
        <v>40</v>
      </c>
      <c r="E342" s="96">
        <v>1</v>
      </c>
      <c r="F342" s="97">
        <v>1</v>
      </c>
      <c r="G342" s="98" t="s">
        <v>20</v>
      </c>
      <c r="H342" s="97">
        <v>24</v>
      </c>
      <c r="I342" s="98" t="s">
        <v>40</v>
      </c>
      <c r="J342" s="99">
        <v>76800</v>
      </c>
      <c r="K342" s="95" t="s">
        <v>40</v>
      </c>
      <c r="L342" s="100">
        <v>0.125</v>
      </c>
      <c r="M342" s="100">
        <v>0.05</v>
      </c>
      <c r="N342" s="97"/>
      <c r="O342" s="98" t="s">
        <v>40</v>
      </c>
      <c r="P342" s="94">
        <f t="shared" ref="P342" si="239">(C342+(E342*F342*H342))-N342</f>
        <v>24</v>
      </c>
      <c r="Q342" s="98" t="s">
        <v>40</v>
      </c>
      <c r="R342" s="99">
        <f t="shared" ref="R342" si="240">P342*(J342-(J342*L342)-((J342-(J342*L342))*M342))</f>
        <v>1532160</v>
      </c>
      <c r="S342" s="99">
        <f t="shared" ref="S342" si="241">R342/1.11</f>
        <v>1380324.3243243243</v>
      </c>
    </row>
    <row r="343" spans="1:19" s="19" customFormat="1">
      <c r="A343" s="18" t="s">
        <v>186</v>
      </c>
      <c r="B343" s="19" t="s">
        <v>18</v>
      </c>
      <c r="C343" s="20">
        <v>36</v>
      </c>
      <c r="D343" s="21" t="s">
        <v>40</v>
      </c>
      <c r="E343" s="26">
        <v>1</v>
      </c>
      <c r="F343" s="22">
        <v>1</v>
      </c>
      <c r="G343" s="23" t="s">
        <v>20</v>
      </c>
      <c r="H343" s="22">
        <v>48</v>
      </c>
      <c r="I343" s="23" t="s">
        <v>40</v>
      </c>
      <c r="J343" s="24">
        <v>51600</v>
      </c>
      <c r="K343" s="21" t="s">
        <v>40</v>
      </c>
      <c r="L343" s="25">
        <v>0.125</v>
      </c>
      <c r="M343" s="25">
        <v>0.05</v>
      </c>
      <c r="N343" s="22"/>
      <c r="O343" s="23" t="s">
        <v>40</v>
      </c>
      <c r="P343" s="20">
        <f t="shared" si="236"/>
        <v>84</v>
      </c>
      <c r="Q343" s="23" t="s">
        <v>40</v>
      </c>
      <c r="R343" s="24">
        <f t="shared" si="237"/>
        <v>3602970</v>
      </c>
      <c r="S343" s="24">
        <f t="shared" si="161"/>
        <v>3245918.9189189188</v>
      </c>
    </row>
    <row r="344" spans="1:19" s="19" customFormat="1">
      <c r="A344" s="18" t="s">
        <v>187</v>
      </c>
      <c r="B344" s="19" t="s">
        <v>18</v>
      </c>
      <c r="C344" s="20">
        <v>20</v>
      </c>
      <c r="D344" s="21" t="s">
        <v>40</v>
      </c>
      <c r="E344" s="26">
        <v>11</v>
      </c>
      <c r="F344" s="22">
        <v>1</v>
      </c>
      <c r="G344" s="23" t="s">
        <v>20</v>
      </c>
      <c r="H344" s="22">
        <v>48</v>
      </c>
      <c r="I344" s="23" t="s">
        <v>40</v>
      </c>
      <c r="J344" s="24">
        <v>55800</v>
      </c>
      <c r="K344" s="21" t="s">
        <v>40</v>
      </c>
      <c r="L344" s="25">
        <v>0.125</v>
      </c>
      <c r="M344" s="25">
        <v>0.05</v>
      </c>
      <c r="N344" s="22"/>
      <c r="O344" s="23" t="s">
        <v>40</v>
      </c>
      <c r="P344" s="20">
        <f t="shared" si="236"/>
        <v>548</v>
      </c>
      <c r="Q344" s="23" t="s">
        <v>40</v>
      </c>
      <c r="R344" s="24">
        <f t="shared" si="237"/>
        <v>25418295</v>
      </c>
      <c r="S344" s="24">
        <f t="shared" si="161"/>
        <v>22899364.864864863</v>
      </c>
    </row>
    <row r="345" spans="1:19" s="19" customFormat="1">
      <c r="A345" s="18" t="s">
        <v>1024</v>
      </c>
      <c r="B345" s="19" t="s">
        <v>18</v>
      </c>
      <c r="C345" s="20"/>
      <c r="D345" s="21" t="s">
        <v>831</v>
      </c>
      <c r="E345" s="26">
        <v>1</v>
      </c>
      <c r="F345" s="22">
        <v>1</v>
      </c>
      <c r="G345" s="23" t="s">
        <v>20</v>
      </c>
      <c r="H345" s="22">
        <v>144</v>
      </c>
      <c r="I345" s="23" t="s">
        <v>831</v>
      </c>
      <c r="J345" s="24">
        <v>13500</v>
      </c>
      <c r="K345" s="21" t="s">
        <v>831</v>
      </c>
      <c r="L345" s="25">
        <v>0.125</v>
      </c>
      <c r="M345" s="25">
        <v>0.05</v>
      </c>
      <c r="N345" s="22"/>
      <c r="O345" s="23" t="s">
        <v>831</v>
      </c>
      <c r="P345" s="20">
        <f t="shared" ref="P345" si="242">(C345+(E345*F345*H345))-N345</f>
        <v>144</v>
      </c>
      <c r="Q345" s="23" t="s">
        <v>831</v>
      </c>
      <c r="R345" s="24">
        <f t="shared" ref="R345" si="243">P345*(J345-(J345*L345)-((J345-(J345*L345))*M345))</f>
        <v>1615950</v>
      </c>
      <c r="S345" s="24">
        <f t="shared" ref="S345" si="244">R345/1.11</f>
        <v>1455810.8108108107</v>
      </c>
    </row>
    <row r="346" spans="1:19" s="93" customFormat="1">
      <c r="A346" s="85" t="s">
        <v>711</v>
      </c>
      <c r="B346" s="93" t="s">
        <v>18</v>
      </c>
      <c r="C346" s="94"/>
      <c r="D346" s="95" t="s">
        <v>40</v>
      </c>
      <c r="E346" s="96">
        <v>4</v>
      </c>
      <c r="F346" s="97">
        <v>1</v>
      </c>
      <c r="G346" s="98" t="s">
        <v>20</v>
      </c>
      <c r="H346" s="97">
        <f>288/12</f>
        <v>24</v>
      </c>
      <c r="I346" s="98" t="s">
        <v>40</v>
      </c>
      <c r="J346" s="99">
        <f>10600*12</f>
        <v>127200</v>
      </c>
      <c r="K346" s="95" t="s">
        <v>40</v>
      </c>
      <c r="L346" s="100">
        <v>0.125</v>
      </c>
      <c r="M346" s="100">
        <v>0.05</v>
      </c>
      <c r="N346" s="97"/>
      <c r="O346" s="98" t="s">
        <v>40</v>
      </c>
      <c r="P346" s="94">
        <f t="shared" si="236"/>
        <v>96</v>
      </c>
      <c r="Q346" s="98" t="s">
        <v>40</v>
      </c>
      <c r="R346" s="99">
        <f t="shared" si="237"/>
        <v>10150560</v>
      </c>
      <c r="S346" s="99">
        <f t="shared" si="161"/>
        <v>9144648.6486486476</v>
      </c>
    </row>
    <row r="347" spans="1:19" s="19" customFormat="1">
      <c r="A347" s="18" t="s">
        <v>188</v>
      </c>
      <c r="B347" s="19" t="s">
        <v>18</v>
      </c>
      <c r="C347" s="20">
        <v>9</v>
      </c>
      <c r="D347" s="21" t="s">
        <v>40</v>
      </c>
      <c r="E347" s="26">
        <v>26</v>
      </c>
      <c r="F347" s="22">
        <v>1</v>
      </c>
      <c r="G347" s="23" t="s">
        <v>20</v>
      </c>
      <c r="H347" s="22">
        <v>24</v>
      </c>
      <c r="I347" s="23" t="s">
        <v>40</v>
      </c>
      <c r="J347" s="24">
        <v>162000</v>
      </c>
      <c r="K347" s="21" t="s">
        <v>40</v>
      </c>
      <c r="L347" s="25">
        <v>0.125</v>
      </c>
      <c r="M347" s="25">
        <v>0.05</v>
      </c>
      <c r="N347" s="22"/>
      <c r="O347" s="23" t="s">
        <v>40</v>
      </c>
      <c r="P347" s="20">
        <f t="shared" si="236"/>
        <v>633</v>
      </c>
      <c r="Q347" s="23" t="s">
        <v>40</v>
      </c>
      <c r="R347" s="24">
        <f t="shared" si="237"/>
        <v>85241362.5</v>
      </c>
      <c r="S347" s="24">
        <f t="shared" si="161"/>
        <v>76794020.270270258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>
      <c r="A349" s="18" t="s">
        <v>189</v>
      </c>
      <c r="B349" s="19" t="s">
        <v>25</v>
      </c>
      <c r="C349" s="20">
        <v>30</v>
      </c>
      <c r="D349" s="21" t="s">
        <v>40</v>
      </c>
      <c r="E349" s="26">
        <v>13</v>
      </c>
      <c r="F349" s="22">
        <v>1</v>
      </c>
      <c r="G349" s="23" t="s">
        <v>20</v>
      </c>
      <c r="H349" s="22">
        <v>30</v>
      </c>
      <c r="I349" s="23" t="s">
        <v>40</v>
      </c>
      <c r="J349" s="24">
        <f>1566000/30</f>
        <v>52200</v>
      </c>
      <c r="K349" s="21" t="s">
        <v>40</v>
      </c>
      <c r="L349" s="25"/>
      <c r="M349" s="25">
        <v>0.17</v>
      </c>
      <c r="N349" s="22"/>
      <c r="O349" s="23" t="s">
        <v>40</v>
      </c>
      <c r="P349" s="20">
        <f>(C349+(E349*F349*H349))-N349</f>
        <v>420</v>
      </c>
      <c r="Q349" s="23" t="s">
        <v>40</v>
      </c>
      <c r="R349" s="24">
        <f>P349*(J349-(J349*L349)-((J349-(J349*L349))*M349))</f>
        <v>18196920</v>
      </c>
      <c r="S349" s="24">
        <f t="shared" si="161"/>
        <v>16393621.62162162</v>
      </c>
    </row>
    <row r="350" spans="1:19" s="19" customFormat="1">
      <c r="A350" s="18" t="s">
        <v>190</v>
      </c>
      <c r="B350" s="19" t="s">
        <v>25</v>
      </c>
      <c r="C350" s="20">
        <v>111</v>
      </c>
      <c r="D350" s="21" t="s">
        <v>40</v>
      </c>
      <c r="E350" s="26">
        <v>43</v>
      </c>
      <c r="F350" s="22">
        <v>1</v>
      </c>
      <c r="G350" s="23" t="s">
        <v>20</v>
      </c>
      <c r="H350" s="22">
        <v>30</v>
      </c>
      <c r="I350" s="23" t="s">
        <v>40</v>
      </c>
      <c r="J350" s="24">
        <f>1710000/30</f>
        <v>57000</v>
      </c>
      <c r="K350" s="21" t="s">
        <v>40</v>
      </c>
      <c r="L350" s="25"/>
      <c r="M350" s="25">
        <v>0.17</v>
      </c>
      <c r="N350" s="22"/>
      <c r="O350" s="23" t="s">
        <v>40</v>
      </c>
      <c r="P350" s="20">
        <f>(C350+(E350*F350*H350))-N350</f>
        <v>1401</v>
      </c>
      <c r="Q350" s="23" t="s">
        <v>40</v>
      </c>
      <c r="R350" s="24">
        <f>P350*(J350-(J350*L350)-((J350-(J350*L350))*M350))</f>
        <v>66281310</v>
      </c>
      <c r="S350" s="24">
        <f t="shared" si="161"/>
        <v>59712891.891891889</v>
      </c>
    </row>
    <row r="351" spans="1:19" s="19" customFormat="1">
      <c r="A351" s="18" t="s">
        <v>191</v>
      </c>
      <c r="B351" s="19" t="s">
        <v>25</v>
      </c>
      <c r="C351" s="20">
        <v>140</v>
      </c>
      <c r="D351" s="21" t="s">
        <v>40</v>
      </c>
      <c r="E351" s="26">
        <v>83</v>
      </c>
      <c r="F351" s="22">
        <v>1</v>
      </c>
      <c r="G351" s="23" t="s">
        <v>20</v>
      </c>
      <c r="H351" s="22">
        <v>20</v>
      </c>
      <c r="I351" s="23" t="s">
        <v>40</v>
      </c>
      <c r="J351" s="24">
        <f>2952000/20</f>
        <v>147600</v>
      </c>
      <c r="K351" s="21" t="s">
        <v>40</v>
      </c>
      <c r="L351" s="25"/>
      <c r="M351" s="25">
        <v>0.17</v>
      </c>
      <c r="N351" s="22"/>
      <c r="O351" s="23" t="s">
        <v>40</v>
      </c>
      <c r="P351" s="20">
        <f>(C351+(E351*F351*H351))-N351</f>
        <v>1800</v>
      </c>
      <c r="Q351" s="23" t="s">
        <v>40</v>
      </c>
      <c r="R351" s="24">
        <f>P351*(J351-(J351*L351)-((J351-(J351*L351))*M351))</f>
        <v>220514400</v>
      </c>
      <c r="S351" s="24">
        <f t="shared" si="161"/>
        <v>198661621.62162161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>
      <c r="A353" s="18" t="s">
        <v>661</v>
      </c>
      <c r="B353" s="19" t="s">
        <v>596</v>
      </c>
      <c r="C353" s="20">
        <v>25</v>
      </c>
      <c r="D353" s="21" t="s">
        <v>40</v>
      </c>
      <c r="E353" s="26">
        <v>1</v>
      </c>
      <c r="F353" s="22">
        <v>1</v>
      </c>
      <c r="G353" s="23" t="s">
        <v>20</v>
      </c>
      <c r="H353" s="22">
        <v>48</v>
      </c>
      <c r="I353" s="23" t="s">
        <v>40</v>
      </c>
      <c r="J353" s="24">
        <v>60600</v>
      </c>
      <c r="K353" s="21" t="s">
        <v>40</v>
      </c>
      <c r="L353" s="25">
        <v>0.15</v>
      </c>
      <c r="M353" s="25">
        <v>0.03</v>
      </c>
      <c r="N353" s="22"/>
      <c r="O353" s="23" t="s">
        <v>40</v>
      </c>
      <c r="P353" s="20">
        <f>(C353+(E353*F353*H353))-N353</f>
        <v>73</v>
      </c>
      <c r="Q353" s="23" t="s">
        <v>40</v>
      </c>
      <c r="R353" s="24">
        <f>P353*(J353-(J353*L353)-((J353-(J353*L353))*M353))</f>
        <v>3647423.0999999996</v>
      </c>
      <c r="S353" s="24">
        <f t="shared" si="161"/>
        <v>3285966.756756756</v>
      </c>
    </row>
    <row r="354" spans="1:19" s="19" customFormat="1">
      <c r="A354" s="18" t="s">
        <v>994</v>
      </c>
      <c r="B354" s="19" t="s">
        <v>596</v>
      </c>
      <c r="C354" s="20"/>
      <c r="D354" s="21" t="s">
        <v>40</v>
      </c>
      <c r="E354" s="26">
        <v>1</v>
      </c>
      <c r="F354" s="22">
        <v>1</v>
      </c>
      <c r="G354" s="23" t="s">
        <v>20</v>
      </c>
      <c r="H354" s="22">
        <v>24</v>
      </c>
      <c r="I354" s="23" t="s">
        <v>40</v>
      </c>
      <c r="J354" s="24">
        <v>144000</v>
      </c>
      <c r="K354" s="21" t="s">
        <v>40</v>
      </c>
      <c r="L354" s="25">
        <v>0.15</v>
      </c>
      <c r="M354" s="25">
        <v>0.03</v>
      </c>
      <c r="N354" s="22"/>
      <c r="O354" s="23" t="s">
        <v>40</v>
      </c>
      <c r="P354" s="20">
        <f>(C354+(E354*F354*H354))-N354</f>
        <v>24</v>
      </c>
      <c r="Q354" s="23" t="s">
        <v>40</v>
      </c>
      <c r="R354" s="24">
        <f>P354*(J354-(J354*L354)-((J354-(J354*L354))*M354))</f>
        <v>2849472</v>
      </c>
      <c r="S354" s="24">
        <f t="shared" ref="S354" si="245">R354/1.11</f>
        <v>2567091.8918918916</v>
      </c>
    </row>
    <row r="355" spans="1:19" s="19" customFormat="1">
      <c r="A355" s="18"/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>
      <c r="A356" s="18" t="s">
        <v>767</v>
      </c>
      <c r="B356" s="18" t="s">
        <v>171</v>
      </c>
      <c r="C356" s="40">
        <v>600</v>
      </c>
      <c r="D356" s="41" t="s">
        <v>40</v>
      </c>
      <c r="E356" s="42"/>
      <c r="F356" s="43">
        <v>1</v>
      </c>
      <c r="G356" s="38" t="s">
        <v>20</v>
      </c>
      <c r="H356" s="43">
        <v>120</v>
      </c>
      <c r="I356" s="38" t="s">
        <v>40</v>
      </c>
      <c r="J356" s="27">
        <v>7500</v>
      </c>
      <c r="K356" s="41" t="s">
        <v>40</v>
      </c>
      <c r="L356" s="44">
        <v>0.05</v>
      </c>
      <c r="M356" s="44"/>
      <c r="N356" s="43"/>
      <c r="O356" s="38" t="s">
        <v>40</v>
      </c>
      <c r="P356" s="40">
        <f>(C356+(E356*F356*H356))-N356</f>
        <v>600</v>
      </c>
      <c r="Q356" s="38" t="s">
        <v>40</v>
      </c>
      <c r="R356" s="27">
        <f>P356*(J356-(J356*L356)-((J356-(J356*L356))*M356))</f>
        <v>4275000</v>
      </c>
      <c r="S356" s="27">
        <f t="shared" ref="S356:S357" si="246">R356/1.11</f>
        <v>3851351.351351351</v>
      </c>
    </row>
    <row r="357" spans="1:19" s="19" customFormat="1">
      <c r="A357" s="18" t="s">
        <v>773</v>
      </c>
      <c r="B357" s="18" t="s">
        <v>171</v>
      </c>
      <c r="C357" s="40">
        <v>27</v>
      </c>
      <c r="D357" s="41" t="s">
        <v>40</v>
      </c>
      <c r="E357" s="42"/>
      <c r="F357" s="43">
        <v>1</v>
      </c>
      <c r="G357" s="38" t="s">
        <v>20</v>
      </c>
      <c r="H357" s="43">
        <v>20</v>
      </c>
      <c r="I357" s="38" t="s">
        <v>40</v>
      </c>
      <c r="J357" s="27">
        <f>5500*12</f>
        <v>66000</v>
      </c>
      <c r="K357" s="41" t="s">
        <v>40</v>
      </c>
      <c r="L357" s="44">
        <v>0.05</v>
      </c>
      <c r="M357" s="44"/>
      <c r="N357" s="43"/>
      <c r="O357" s="38" t="s">
        <v>40</v>
      </c>
      <c r="P357" s="40">
        <f>(C357+(E357*F357*H357))-N357</f>
        <v>27</v>
      </c>
      <c r="Q357" s="38" t="s">
        <v>40</v>
      </c>
      <c r="R357" s="27">
        <f>P357*(J357-(J357*L357)-((J357-(J357*L357))*M357))</f>
        <v>1692900</v>
      </c>
      <c r="S357" s="27">
        <f t="shared" si="246"/>
        <v>1525135.1351351349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60" t="s">
        <v>192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56" t="s">
        <v>961</v>
      </c>
      <c r="B360" s="19" t="s">
        <v>18</v>
      </c>
      <c r="C360" s="20"/>
      <c r="D360" s="21" t="s">
        <v>40</v>
      </c>
      <c r="E360" s="26">
        <v>1</v>
      </c>
      <c r="F360" s="22">
        <v>1</v>
      </c>
      <c r="G360" s="23" t="s">
        <v>20</v>
      </c>
      <c r="H360" s="22">
        <v>120</v>
      </c>
      <c r="I360" s="23" t="s">
        <v>40</v>
      </c>
      <c r="J360" s="24">
        <v>24600</v>
      </c>
      <c r="K360" s="21" t="s">
        <v>40</v>
      </c>
      <c r="L360" s="25">
        <v>0.125</v>
      </c>
      <c r="M360" s="25">
        <v>0.05</v>
      </c>
      <c r="N360" s="22"/>
      <c r="O360" s="23" t="s">
        <v>40</v>
      </c>
      <c r="P360" s="20">
        <f>(C360+(E360*F360*H360))-N360</f>
        <v>120</v>
      </c>
      <c r="Q360" s="23" t="s">
        <v>40</v>
      </c>
      <c r="R360" s="24">
        <f>P360*(J360-(J360*L360)-((J360-(J360*L360))*M360))</f>
        <v>2453850</v>
      </c>
      <c r="S360" s="24">
        <f t="shared" ref="S360" si="247">R360/1.11</f>
        <v>2210675.6756756753</v>
      </c>
    </row>
    <row r="361" spans="1:19" s="19" customFormat="1">
      <c r="A361" s="18" t="s">
        <v>193</v>
      </c>
      <c r="B361" s="19" t="s">
        <v>18</v>
      </c>
      <c r="C361" s="20">
        <v>230</v>
      </c>
      <c r="D361" s="21" t="s">
        <v>40</v>
      </c>
      <c r="E361" s="26">
        <v>10</v>
      </c>
      <c r="F361" s="22">
        <v>1</v>
      </c>
      <c r="G361" s="23" t="s">
        <v>20</v>
      </c>
      <c r="H361" s="22">
        <v>120</v>
      </c>
      <c r="I361" s="23" t="s">
        <v>40</v>
      </c>
      <c r="J361" s="24">
        <v>24600</v>
      </c>
      <c r="K361" s="21" t="s">
        <v>40</v>
      </c>
      <c r="L361" s="25">
        <v>0.125</v>
      </c>
      <c r="M361" s="25">
        <v>0.05</v>
      </c>
      <c r="N361" s="22"/>
      <c r="O361" s="23" t="s">
        <v>40</v>
      </c>
      <c r="P361" s="20">
        <f>(C361+(E361*F361*H361))-N361</f>
        <v>1430</v>
      </c>
      <c r="Q361" s="23" t="s">
        <v>40</v>
      </c>
      <c r="R361" s="24">
        <f>P361*(J361-(J361*L361)-((J361-(J361*L361))*M361))</f>
        <v>29241712.5</v>
      </c>
      <c r="S361" s="24">
        <f t="shared" si="161"/>
        <v>26343885.135135133</v>
      </c>
    </row>
    <row r="362" spans="1:19" s="19" customFormat="1">
      <c r="A362" s="128" t="s">
        <v>902</v>
      </c>
      <c r="B362" s="19" t="s">
        <v>18</v>
      </c>
      <c r="C362" s="20">
        <f>(15*40)</f>
        <v>600</v>
      </c>
      <c r="D362" s="21" t="s">
        <v>40</v>
      </c>
      <c r="E362" s="26"/>
      <c r="F362" s="22">
        <v>1</v>
      </c>
      <c r="G362" s="23" t="s">
        <v>20</v>
      </c>
      <c r="H362" s="22">
        <v>40</v>
      </c>
      <c r="I362" s="23" t="s">
        <v>40</v>
      </c>
      <c r="J362" s="132">
        <v>0</v>
      </c>
      <c r="K362" s="135" t="s">
        <v>40</v>
      </c>
      <c r="L362" s="127">
        <v>0</v>
      </c>
      <c r="M362" s="127">
        <v>0</v>
      </c>
      <c r="N362" s="22"/>
      <c r="O362" s="23" t="s">
        <v>40</v>
      </c>
      <c r="P362" s="20">
        <f>(C362+(E362*F362*H362))-N362</f>
        <v>600</v>
      </c>
      <c r="Q362" s="23" t="s">
        <v>40</v>
      </c>
      <c r="R362" s="24">
        <f>P362*(J362-(J362*L362)-((J362-(J362*L362))*M362))</f>
        <v>0</v>
      </c>
      <c r="S362" s="24">
        <f t="shared" ref="S362" si="248">R362/1.11</f>
        <v>0</v>
      </c>
    </row>
    <row r="363" spans="1:19" s="19" customFormat="1">
      <c r="A363" s="128" t="s">
        <v>728</v>
      </c>
      <c r="B363" s="19" t="s">
        <v>18</v>
      </c>
      <c r="C363" s="20">
        <v>320</v>
      </c>
      <c r="D363" s="21" t="s">
        <v>40</v>
      </c>
      <c r="E363" s="26">
        <v>34</v>
      </c>
      <c r="F363" s="22">
        <v>1</v>
      </c>
      <c r="G363" s="23" t="s">
        <v>20</v>
      </c>
      <c r="H363" s="22">
        <v>40</v>
      </c>
      <c r="I363" s="23" t="s">
        <v>40</v>
      </c>
      <c r="J363" s="132">
        <v>49200</v>
      </c>
      <c r="K363" s="135" t="s">
        <v>40</v>
      </c>
      <c r="L363" s="127">
        <v>0.125</v>
      </c>
      <c r="M363" s="127">
        <v>0.05</v>
      </c>
      <c r="N363" s="22"/>
      <c r="O363" s="23" t="s">
        <v>40</v>
      </c>
      <c r="P363" s="20">
        <f>(C363+(E363*F363*H363))-N363</f>
        <v>1680</v>
      </c>
      <c r="Q363" s="23" t="s">
        <v>40</v>
      </c>
      <c r="R363" s="24">
        <f>P363*(J363-(J363*L363)-((J363-(J363*L363))*M363))</f>
        <v>68707800</v>
      </c>
      <c r="S363" s="24">
        <f t="shared" si="161"/>
        <v>61898918.918918915</v>
      </c>
    </row>
    <row r="364" spans="1:19" s="19" customFormat="1">
      <c r="A364" s="18"/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194</v>
      </c>
      <c r="B365" s="19" t="s">
        <v>25</v>
      </c>
      <c r="C365" s="20"/>
      <c r="D365" s="21" t="s">
        <v>40</v>
      </c>
      <c r="E365" s="26">
        <v>45</v>
      </c>
      <c r="F365" s="22">
        <v>1</v>
      </c>
      <c r="G365" s="23" t="s">
        <v>20</v>
      </c>
      <c r="H365" s="22">
        <v>120</v>
      </c>
      <c r="I365" s="23" t="s">
        <v>40</v>
      </c>
      <c r="J365" s="24">
        <f>3888000/120</f>
        <v>32400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>(C365+(E365*F365*H365))-N365</f>
        <v>5400</v>
      </c>
      <c r="Q365" s="23" t="s">
        <v>40</v>
      </c>
      <c r="R365" s="24">
        <f>P365*(J365-(J365*L365)-((J365-(J365*L365))*M365))</f>
        <v>145216800</v>
      </c>
      <c r="S365" s="24">
        <f t="shared" si="161"/>
        <v>130825945.94594593</v>
      </c>
    </row>
    <row r="366" spans="1:19" s="19" customFormat="1">
      <c r="A366" s="156" t="s">
        <v>194</v>
      </c>
      <c r="B366" s="19" t="s">
        <v>25</v>
      </c>
      <c r="C366" s="20"/>
      <c r="D366" s="21" t="s">
        <v>40</v>
      </c>
      <c r="E366" s="26">
        <v>10</v>
      </c>
      <c r="F366" s="22">
        <v>1</v>
      </c>
      <c r="G366" s="23" t="s">
        <v>20</v>
      </c>
      <c r="H366" s="22">
        <v>120</v>
      </c>
      <c r="I366" s="23" t="s">
        <v>40</v>
      </c>
      <c r="J366" s="24">
        <f>3888000/120</f>
        <v>32400</v>
      </c>
      <c r="K366" s="21" t="s">
        <v>40</v>
      </c>
      <c r="L366" s="25">
        <v>0.03</v>
      </c>
      <c r="M366" s="25">
        <v>0.17</v>
      </c>
      <c r="N366" s="22"/>
      <c r="O366" s="23" t="s">
        <v>40</v>
      </c>
      <c r="P366" s="20">
        <f>(C366+(E366*F366*H366))-N366</f>
        <v>1200</v>
      </c>
      <c r="Q366" s="23" t="s">
        <v>40</v>
      </c>
      <c r="R366" s="24">
        <f>P366*(J366-(J366*L366)-((J366-(J366*L366))*M366))</f>
        <v>31302287.999999996</v>
      </c>
      <c r="S366" s="24">
        <f t="shared" ref="S366" si="249">R366/1.11</f>
        <v>28200259.459459454</v>
      </c>
    </row>
    <row r="367" spans="1:19" s="19" customFormat="1">
      <c r="A367" s="18" t="s">
        <v>195</v>
      </c>
      <c r="B367" s="19" t="s">
        <v>25</v>
      </c>
      <c r="C367" s="20"/>
      <c r="D367" s="21" t="s">
        <v>40</v>
      </c>
      <c r="E367" s="26">
        <v>136</v>
      </c>
      <c r="F367" s="22">
        <v>1</v>
      </c>
      <c r="G367" s="23" t="s">
        <v>20</v>
      </c>
      <c r="H367" s="22">
        <v>60</v>
      </c>
      <c r="I367" s="23" t="s">
        <v>40</v>
      </c>
      <c r="J367" s="24">
        <f>3888000/60</f>
        <v>64800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>(C367+(E367*F367*H367))-N367</f>
        <v>8160</v>
      </c>
      <c r="Q367" s="23" t="s">
        <v>40</v>
      </c>
      <c r="R367" s="24">
        <f>P367*(J367-(J367*L367)-((J367-(J367*L367))*M367))</f>
        <v>438877440</v>
      </c>
      <c r="S367" s="24">
        <f t="shared" si="161"/>
        <v>395385081.08108103</v>
      </c>
    </row>
    <row r="368" spans="1:19" s="19" customFormat="1">
      <c r="A368" s="156" t="s">
        <v>195</v>
      </c>
      <c r="B368" s="19" t="s">
        <v>25</v>
      </c>
      <c r="C368" s="20"/>
      <c r="D368" s="21" t="s">
        <v>40</v>
      </c>
      <c r="E368" s="26">
        <v>20</v>
      </c>
      <c r="F368" s="22">
        <v>1</v>
      </c>
      <c r="G368" s="23" t="s">
        <v>20</v>
      </c>
      <c r="H368" s="22">
        <v>60</v>
      </c>
      <c r="I368" s="23" t="s">
        <v>40</v>
      </c>
      <c r="J368" s="24">
        <f>3888000/60</f>
        <v>64800</v>
      </c>
      <c r="K368" s="21" t="s">
        <v>40</v>
      </c>
      <c r="L368" s="25">
        <v>0.03</v>
      </c>
      <c r="M368" s="25">
        <v>0.17</v>
      </c>
      <c r="N368" s="22"/>
      <c r="O368" s="23" t="s">
        <v>40</v>
      </c>
      <c r="P368" s="20">
        <f>(C368+(E368*F368*H368))-N368</f>
        <v>1200</v>
      </c>
      <c r="Q368" s="23" t="s">
        <v>40</v>
      </c>
      <c r="R368" s="24">
        <f>P368*(J368-(J368*L368)-((J368-(J368*L368))*M368))</f>
        <v>62604575.999999993</v>
      </c>
      <c r="S368" s="24">
        <f t="shared" ref="S368" si="250">R368/1.11</f>
        <v>56400518.918918908</v>
      </c>
    </row>
    <row r="369" spans="1:19" s="19" customFormat="1">
      <c r="A369" s="18"/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60" t="s">
        <v>196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76" customFormat="1">
      <c r="A371" s="75" t="s">
        <v>789</v>
      </c>
      <c r="B371" s="76" t="s">
        <v>18</v>
      </c>
      <c r="C371" s="74"/>
      <c r="D371" s="77" t="s">
        <v>19</v>
      </c>
      <c r="E371" s="78"/>
      <c r="F371" s="79">
        <v>1</v>
      </c>
      <c r="G371" s="80" t="s">
        <v>20</v>
      </c>
      <c r="H371" s="79">
        <v>20</v>
      </c>
      <c r="I371" s="80" t="s">
        <v>19</v>
      </c>
      <c r="J371" s="81">
        <v>124000</v>
      </c>
      <c r="K371" s="77" t="s">
        <v>19</v>
      </c>
      <c r="L371" s="82">
        <v>0.125</v>
      </c>
      <c r="M371" s="82">
        <v>0.05</v>
      </c>
      <c r="N371" s="79"/>
      <c r="O371" s="80" t="s">
        <v>19</v>
      </c>
      <c r="P371" s="74">
        <f>(C371+(E371*F371*H371))-N371</f>
        <v>0</v>
      </c>
      <c r="Q371" s="80" t="s">
        <v>19</v>
      </c>
      <c r="R371" s="81">
        <f>P371*(J371-(J371*L371)-((J371-(J371*L371))*M371))</f>
        <v>0</v>
      </c>
      <c r="S371" s="81">
        <f t="shared" ref="S371" si="251">R371/1.11</f>
        <v>0</v>
      </c>
    </row>
    <row r="372" spans="1:19" s="93" customFormat="1">
      <c r="A372" s="85" t="s">
        <v>197</v>
      </c>
      <c r="B372" s="93" t="s">
        <v>18</v>
      </c>
      <c r="C372" s="94"/>
      <c r="D372" s="95" t="s">
        <v>19</v>
      </c>
      <c r="E372" s="96">
        <v>1</v>
      </c>
      <c r="F372" s="97">
        <v>1</v>
      </c>
      <c r="G372" s="98" t="s">
        <v>20</v>
      </c>
      <c r="H372" s="97">
        <v>5</v>
      </c>
      <c r="I372" s="98" t="s">
        <v>19</v>
      </c>
      <c r="J372" s="99">
        <v>214000</v>
      </c>
      <c r="K372" s="95" t="s">
        <v>19</v>
      </c>
      <c r="L372" s="100">
        <v>0.125</v>
      </c>
      <c r="M372" s="100">
        <v>0.05</v>
      </c>
      <c r="N372" s="97"/>
      <c r="O372" s="98" t="s">
        <v>19</v>
      </c>
      <c r="P372" s="94">
        <f>(C372+(E372*F372*H372))-N372</f>
        <v>5</v>
      </c>
      <c r="Q372" s="98" t="s">
        <v>19</v>
      </c>
      <c r="R372" s="99">
        <f>P372*(J372-(J372*L372)-((J372-(J372*L372))*M372))</f>
        <v>889437.5</v>
      </c>
      <c r="S372" s="99">
        <f t="shared" si="161"/>
        <v>801295.04504504497</v>
      </c>
    </row>
    <row r="373" spans="1:19" s="19" customFormat="1">
      <c r="A373" s="18" t="s">
        <v>198</v>
      </c>
      <c r="B373" s="19" t="s">
        <v>18</v>
      </c>
      <c r="C373" s="20">
        <v>3</v>
      </c>
      <c r="D373" s="21" t="s">
        <v>19</v>
      </c>
      <c r="E373" s="26"/>
      <c r="F373" s="22">
        <v>1</v>
      </c>
      <c r="G373" s="23" t="s">
        <v>20</v>
      </c>
      <c r="H373" s="22">
        <v>5</v>
      </c>
      <c r="I373" s="23" t="s">
        <v>19</v>
      </c>
      <c r="J373" s="24">
        <v>219000</v>
      </c>
      <c r="K373" s="21" t="s">
        <v>19</v>
      </c>
      <c r="L373" s="25">
        <v>0.125</v>
      </c>
      <c r="M373" s="25">
        <v>0.05</v>
      </c>
      <c r="N373" s="22"/>
      <c r="O373" s="23" t="s">
        <v>19</v>
      </c>
      <c r="P373" s="20">
        <f>(C373+(E373*F373*H373))-N373</f>
        <v>3</v>
      </c>
      <c r="Q373" s="23" t="s">
        <v>19</v>
      </c>
      <c r="R373" s="24">
        <f>P373*(J373-(J373*L373)-((J373-(J373*L373))*M373))</f>
        <v>546131.25</v>
      </c>
      <c r="S373" s="24">
        <f t="shared" si="161"/>
        <v>492010.13513513509</v>
      </c>
    </row>
    <row r="374" spans="1:19" s="76" customFormat="1">
      <c r="A374" s="75" t="s">
        <v>199</v>
      </c>
      <c r="B374" s="76" t="s">
        <v>18</v>
      </c>
      <c r="C374" s="74"/>
      <c r="D374" s="77" t="s">
        <v>19</v>
      </c>
      <c r="E374" s="78"/>
      <c r="F374" s="79">
        <v>1</v>
      </c>
      <c r="G374" s="80" t="s">
        <v>20</v>
      </c>
      <c r="H374" s="79">
        <v>4</v>
      </c>
      <c r="I374" s="80" t="s">
        <v>19</v>
      </c>
      <c r="J374" s="81">
        <v>291000</v>
      </c>
      <c r="K374" s="77" t="s">
        <v>19</v>
      </c>
      <c r="L374" s="82">
        <v>0.125</v>
      </c>
      <c r="M374" s="82">
        <v>0.05</v>
      </c>
      <c r="N374" s="79"/>
      <c r="O374" s="80" t="s">
        <v>19</v>
      </c>
      <c r="P374" s="74">
        <f>(C374+(E374*F374*H374))-N374</f>
        <v>0</v>
      </c>
      <c r="Q374" s="80" t="s">
        <v>19</v>
      </c>
      <c r="R374" s="81">
        <f>P374*(J374-(J374*L374)-((J374-(J374*L374))*M374))</f>
        <v>0</v>
      </c>
      <c r="S374" s="81">
        <f t="shared" si="161"/>
        <v>0</v>
      </c>
    </row>
    <row r="375" spans="1:19" s="19" customFormat="1">
      <c r="A375" s="18"/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93" customFormat="1">
      <c r="A376" s="85" t="s">
        <v>200</v>
      </c>
      <c r="B376" s="93" t="s">
        <v>25</v>
      </c>
      <c r="C376" s="94"/>
      <c r="D376" s="95" t="s">
        <v>19</v>
      </c>
      <c r="E376" s="96">
        <v>2</v>
      </c>
      <c r="F376" s="97">
        <v>1</v>
      </c>
      <c r="G376" s="98" t="s">
        <v>20</v>
      </c>
      <c r="H376" s="97">
        <v>5</v>
      </c>
      <c r="I376" s="98" t="s">
        <v>19</v>
      </c>
      <c r="J376" s="99">
        <f>1125000/5</f>
        <v>225000</v>
      </c>
      <c r="K376" s="95" t="s">
        <v>19</v>
      </c>
      <c r="L376" s="100"/>
      <c r="M376" s="100">
        <v>0.17</v>
      </c>
      <c r="N376" s="97"/>
      <c r="O376" s="98" t="s">
        <v>19</v>
      </c>
      <c r="P376" s="94">
        <f>(C376+(E376*F376*H376))-N376</f>
        <v>10</v>
      </c>
      <c r="Q376" s="98" t="s">
        <v>19</v>
      </c>
      <c r="R376" s="99">
        <f>P376*(J376-(J376*L376)-((J376-(J376*L376))*M376))</f>
        <v>1867500</v>
      </c>
      <c r="S376" s="99">
        <f t="shared" si="161"/>
        <v>1682432.4324324322</v>
      </c>
    </row>
    <row r="377" spans="1:19" s="93" customFormat="1">
      <c r="A377" s="85" t="s">
        <v>201</v>
      </c>
      <c r="B377" s="93" t="s">
        <v>25</v>
      </c>
      <c r="C377" s="94"/>
      <c r="D377" s="95" t="s">
        <v>19</v>
      </c>
      <c r="E377" s="96">
        <v>1</v>
      </c>
      <c r="F377" s="97">
        <v>1</v>
      </c>
      <c r="G377" s="98" t="s">
        <v>20</v>
      </c>
      <c r="H377" s="97">
        <v>5</v>
      </c>
      <c r="I377" s="98" t="s">
        <v>19</v>
      </c>
      <c r="J377" s="99">
        <v>235000</v>
      </c>
      <c r="K377" s="95" t="s">
        <v>19</v>
      </c>
      <c r="L377" s="100"/>
      <c r="M377" s="100">
        <v>0.17</v>
      </c>
      <c r="N377" s="97"/>
      <c r="O377" s="98" t="s">
        <v>19</v>
      </c>
      <c r="P377" s="94">
        <f>(C377+(E377*F377*H377))-N377</f>
        <v>5</v>
      </c>
      <c r="Q377" s="98" t="s">
        <v>19</v>
      </c>
      <c r="R377" s="99">
        <f>P377*(J377-(J377*L377)-((J377-(J377*L377))*M377))</f>
        <v>975250</v>
      </c>
      <c r="S377" s="99">
        <f t="shared" ref="S377" si="252">R377/1.11</f>
        <v>878603.60360360355</v>
      </c>
    </row>
    <row r="378" spans="1:19" s="76" customFormat="1">
      <c r="A378" s="75" t="s">
        <v>201</v>
      </c>
      <c r="B378" s="76" t="s">
        <v>25</v>
      </c>
      <c r="C378" s="74"/>
      <c r="D378" s="77" t="s">
        <v>19</v>
      </c>
      <c r="E378" s="78"/>
      <c r="F378" s="79">
        <v>1</v>
      </c>
      <c r="G378" s="80" t="s">
        <v>20</v>
      </c>
      <c r="H378" s="79">
        <v>5</v>
      </c>
      <c r="I378" s="80" t="s">
        <v>19</v>
      </c>
      <c r="J378" s="81">
        <f>1125000/5</f>
        <v>225000</v>
      </c>
      <c r="K378" s="77" t="s">
        <v>19</v>
      </c>
      <c r="L378" s="82"/>
      <c r="M378" s="82">
        <v>0.17</v>
      </c>
      <c r="N378" s="79"/>
      <c r="O378" s="80" t="s">
        <v>19</v>
      </c>
      <c r="P378" s="74">
        <f>(C378+(E378*F378*H378))-N378</f>
        <v>0</v>
      </c>
      <c r="Q378" s="80" t="s">
        <v>19</v>
      </c>
      <c r="R378" s="81">
        <f>P378*(J378-(J378*L378)-((J378-(J378*L378))*M378))</f>
        <v>0</v>
      </c>
      <c r="S378" s="81">
        <f t="shared" si="161"/>
        <v>0</v>
      </c>
    </row>
    <row r="379" spans="1:19" s="76" customFormat="1">
      <c r="A379" s="75" t="s">
        <v>202</v>
      </c>
      <c r="B379" s="76" t="s">
        <v>25</v>
      </c>
      <c r="C379" s="74"/>
      <c r="D379" s="77" t="s">
        <v>19</v>
      </c>
      <c r="E379" s="78">
        <v>1</v>
      </c>
      <c r="F379" s="79">
        <v>1</v>
      </c>
      <c r="G379" s="80" t="s">
        <v>20</v>
      </c>
      <c r="H379" s="79">
        <v>4</v>
      </c>
      <c r="I379" s="80" t="s">
        <v>19</v>
      </c>
      <c r="J379" s="81">
        <f>1180000/4</f>
        <v>295000</v>
      </c>
      <c r="K379" s="77" t="s">
        <v>19</v>
      </c>
      <c r="L379" s="82"/>
      <c r="M379" s="82">
        <v>0.17</v>
      </c>
      <c r="N379" s="79"/>
      <c r="O379" s="80" t="s">
        <v>19</v>
      </c>
      <c r="P379" s="74">
        <f>(C379+(E379*F379*H379))-N379</f>
        <v>4</v>
      </c>
      <c r="Q379" s="80" t="s">
        <v>19</v>
      </c>
      <c r="R379" s="81">
        <f>P379*(J379-(J379*L379)-((J379-(J379*L379))*M379))</f>
        <v>979400</v>
      </c>
      <c r="S379" s="81">
        <f t="shared" ref="S379:S486" si="253">R379/1.11</f>
        <v>882342.34234234225</v>
      </c>
    </row>
    <row r="380" spans="1:19" s="19" customFormat="1">
      <c r="A380" s="18"/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 ht="15.75">
      <c r="A381" s="35" t="s">
        <v>739</v>
      </c>
      <c r="C381" s="20"/>
      <c r="D381" s="21"/>
      <c r="E381" s="26"/>
      <c r="F381" s="22"/>
      <c r="G381" s="23"/>
      <c r="H381" s="22"/>
      <c r="I381" s="23"/>
      <c r="J381" s="24"/>
      <c r="K381" s="21"/>
      <c r="L381" s="25"/>
      <c r="M381" s="25"/>
      <c r="N381" s="22"/>
      <c r="O381" s="23"/>
      <c r="P381" s="20"/>
      <c r="Q381" s="23"/>
      <c r="R381" s="24"/>
      <c r="S381" s="24"/>
    </row>
    <row r="382" spans="1:19" s="19" customFormat="1">
      <c r="A382" s="18" t="s">
        <v>740</v>
      </c>
      <c r="B382" s="19" t="s">
        <v>596</v>
      </c>
      <c r="C382" s="20">
        <v>14</v>
      </c>
      <c r="D382" s="21" t="s">
        <v>19</v>
      </c>
      <c r="E382" s="26"/>
      <c r="F382" s="22">
        <v>1</v>
      </c>
      <c r="G382" s="23" t="s">
        <v>20</v>
      </c>
      <c r="H382" s="22">
        <v>48</v>
      </c>
      <c r="I382" s="23" t="s">
        <v>19</v>
      </c>
      <c r="J382" s="24">
        <v>53000</v>
      </c>
      <c r="K382" s="21" t="s">
        <v>19</v>
      </c>
      <c r="L382" s="25">
        <v>0.17499999999999999</v>
      </c>
      <c r="M382" s="25">
        <v>1.0999999999999999E-2</v>
      </c>
      <c r="N382" s="22"/>
      <c r="O382" s="23" t="s">
        <v>19</v>
      </c>
      <c r="P382" s="20">
        <f>(C382+(E382*F382*H382))-N382</f>
        <v>14</v>
      </c>
      <c r="Q382" s="23" t="s">
        <v>19</v>
      </c>
      <c r="R382" s="24">
        <f>P382*(J382-(J382*L382)-((J382-(J382*L382))*M382))</f>
        <v>605416.35</v>
      </c>
      <c r="S382" s="24">
        <f t="shared" ref="S382" si="254">R382/1.11</f>
        <v>545420.13513513503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ht="15.75">
      <c r="A384" s="35" t="s">
        <v>203</v>
      </c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>
      <c r="A385" s="18" t="s">
        <v>798</v>
      </c>
      <c r="B385" s="19" t="s">
        <v>18</v>
      </c>
      <c r="C385" s="20">
        <v>12</v>
      </c>
      <c r="D385" s="21" t="s">
        <v>19</v>
      </c>
      <c r="E385" s="26"/>
      <c r="F385" s="22">
        <v>8</v>
      </c>
      <c r="G385" s="23" t="s">
        <v>33</v>
      </c>
      <c r="H385" s="22">
        <v>12</v>
      </c>
      <c r="I385" s="23" t="s">
        <v>19</v>
      </c>
      <c r="J385" s="24">
        <v>11500</v>
      </c>
      <c r="K385" s="21" t="s">
        <v>19</v>
      </c>
      <c r="L385" s="25">
        <v>0.125</v>
      </c>
      <c r="M385" s="25">
        <v>0.05</v>
      </c>
      <c r="N385" s="22"/>
      <c r="O385" s="23" t="s">
        <v>19</v>
      </c>
      <c r="P385" s="20">
        <f>(C385+(E385*F385*H385))-N385</f>
        <v>12</v>
      </c>
      <c r="Q385" s="23" t="s">
        <v>19</v>
      </c>
      <c r="R385" s="24">
        <f>P385*(J385-(J385*L385)-((J385-(J385*L385))*M385))</f>
        <v>114712.5</v>
      </c>
      <c r="S385" s="24">
        <f t="shared" ref="S385" si="255">R385/1.11</f>
        <v>103344.59459459459</v>
      </c>
    </row>
    <row r="386" spans="1:19" s="19" customFormat="1">
      <c r="A386" s="18" t="s">
        <v>204</v>
      </c>
      <c r="B386" s="19" t="s">
        <v>18</v>
      </c>
      <c r="C386" s="20">
        <v>90</v>
      </c>
      <c r="D386" s="21" t="s">
        <v>19</v>
      </c>
      <c r="E386" s="26">
        <v>1</v>
      </c>
      <c r="F386" s="22">
        <v>1</v>
      </c>
      <c r="G386" s="23" t="s">
        <v>20</v>
      </c>
      <c r="H386" s="22">
        <v>90</v>
      </c>
      <c r="I386" s="23" t="s">
        <v>19</v>
      </c>
      <c r="J386" s="24">
        <v>24000</v>
      </c>
      <c r="K386" s="21" t="s">
        <v>19</v>
      </c>
      <c r="L386" s="25">
        <v>0.125</v>
      </c>
      <c r="M386" s="25">
        <v>0.05</v>
      </c>
      <c r="N386" s="22"/>
      <c r="O386" s="23" t="s">
        <v>19</v>
      </c>
      <c r="P386" s="20">
        <f>(C386+(E386*F386*H386))-N386</f>
        <v>180</v>
      </c>
      <c r="Q386" s="23" t="s">
        <v>19</v>
      </c>
      <c r="R386" s="24">
        <f>P386*(J386-(J386*L386)-((J386-(J386*L386))*M386))</f>
        <v>3591000</v>
      </c>
      <c r="S386" s="24">
        <f t="shared" si="253"/>
        <v>3235135.1351351347</v>
      </c>
    </row>
    <row r="387" spans="1:19" s="93" customFormat="1">
      <c r="A387" s="85" t="s">
        <v>205</v>
      </c>
      <c r="B387" s="93" t="s">
        <v>18</v>
      </c>
      <c r="C387" s="94"/>
      <c r="D387" s="95" t="s">
        <v>19</v>
      </c>
      <c r="E387" s="96">
        <v>3</v>
      </c>
      <c r="F387" s="97">
        <v>1</v>
      </c>
      <c r="G387" s="98" t="s">
        <v>20</v>
      </c>
      <c r="H387" s="97">
        <v>48</v>
      </c>
      <c r="I387" s="98" t="s">
        <v>19</v>
      </c>
      <c r="J387" s="99">
        <v>26200</v>
      </c>
      <c r="K387" s="95" t="s">
        <v>19</v>
      </c>
      <c r="L387" s="100">
        <v>0.125</v>
      </c>
      <c r="M387" s="100">
        <v>0.05</v>
      </c>
      <c r="N387" s="97"/>
      <c r="O387" s="98" t="s">
        <v>19</v>
      </c>
      <c r="P387" s="94">
        <f>(C387+(E387*F387*H387))-N387</f>
        <v>144</v>
      </c>
      <c r="Q387" s="98" t="s">
        <v>19</v>
      </c>
      <c r="R387" s="99">
        <f>P387*(J387-(J387*L387)-((J387-(J387*L387))*M387))</f>
        <v>3136140</v>
      </c>
      <c r="S387" s="99">
        <f t="shared" ref="S387" si="256">R387/1.11</f>
        <v>2825351.351351351</v>
      </c>
    </row>
    <row r="388" spans="1:19" s="76" customFormat="1">
      <c r="A388" s="75" t="s">
        <v>205</v>
      </c>
      <c r="B388" s="76" t="s">
        <v>18</v>
      </c>
      <c r="C388" s="74"/>
      <c r="D388" s="77" t="s">
        <v>19</v>
      </c>
      <c r="E388" s="78"/>
      <c r="F388" s="79">
        <v>1</v>
      </c>
      <c r="G388" s="80" t="s">
        <v>20</v>
      </c>
      <c r="H388" s="79">
        <v>48</v>
      </c>
      <c r="I388" s="80" t="s">
        <v>19</v>
      </c>
      <c r="J388" s="81">
        <v>24900</v>
      </c>
      <c r="K388" s="77" t="s">
        <v>19</v>
      </c>
      <c r="L388" s="82">
        <v>0.125</v>
      </c>
      <c r="M388" s="82">
        <v>0.05</v>
      </c>
      <c r="N388" s="79"/>
      <c r="O388" s="80" t="s">
        <v>19</v>
      </c>
      <c r="P388" s="74">
        <f>(C388+(E388*F388*H388))-N388</f>
        <v>0</v>
      </c>
      <c r="Q388" s="80" t="s">
        <v>19</v>
      </c>
      <c r="R388" s="81">
        <f>P388*(J388-(J388*L388)-((J388-(J388*L388))*M388))</f>
        <v>0</v>
      </c>
      <c r="S388" s="81">
        <f t="shared" si="253"/>
        <v>0</v>
      </c>
    </row>
    <row r="389" spans="1:19" s="19" customFormat="1">
      <c r="A389" s="18" t="s">
        <v>834</v>
      </c>
      <c r="B389" s="19" t="s">
        <v>18</v>
      </c>
      <c r="C389" s="20"/>
      <c r="D389" s="21" t="s">
        <v>19</v>
      </c>
      <c r="E389" s="26">
        <v>2</v>
      </c>
      <c r="F389" s="22">
        <v>1</v>
      </c>
      <c r="G389" s="23" t="s">
        <v>20</v>
      </c>
      <c r="H389" s="22">
        <v>50</v>
      </c>
      <c r="I389" s="23" t="s">
        <v>19</v>
      </c>
      <c r="J389" s="24">
        <v>20500</v>
      </c>
      <c r="K389" s="21" t="s">
        <v>19</v>
      </c>
      <c r="L389" s="25">
        <v>0.125</v>
      </c>
      <c r="M389" s="25">
        <v>0.05</v>
      </c>
      <c r="N389" s="22"/>
      <c r="O389" s="23" t="s">
        <v>19</v>
      </c>
      <c r="P389" s="20">
        <f>(C389+(E389*F389*H389))-N389</f>
        <v>100</v>
      </c>
      <c r="Q389" s="23" t="s">
        <v>19</v>
      </c>
      <c r="R389" s="24">
        <f>P389*(J389-(J389*L389)-((J389-(J389*L389))*M389))</f>
        <v>1704062.5</v>
      </c>
      <c r="S389" s="24">
        <f t="shared" ref="S389" si="257">R389/1.11</f>
        <v>1535191.4414414414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76" customFormat="1">
      <c r="A391" s="75" t="s">
        <v>206</v>
      </c>
      <c r="B391" s="76" t="s">
        <v>25</v>
      </c>
      <c r="C391" s="74"/>
      <c r="D391" s="77" t="s">
        <v>19</v>
      </c>
      <c r="E391" s="78"/>
      <c r="F391" s="79">
        <v>1</v>
      </c>
      <c r="G391" s="80" t="s">
        <v>20</v>
      </c>
      <c r="H391" s="79">
        <v>24</v>
      </c>
      <c r="I391" s="80" t="s">
        <v>19</v>
      </c>
      <c r="J391" s="81">
        <f>720000/24</f>
        <v>30000</v>
      </c>
      <c r="K391" s="77" t="s">
        <v>19</v>
      </c>
      <c r="L391" s="82"/>
      <c r="M391" s="82">
        <v>0.17</v>
      </c>
      <c r="N391" s="79"/>
      <c r="O391" s="80" t="s">
        <v>19</v>
      </c>
      <c r="P391" s="74">
        <f>(C391+(E391*F391*H391))-N391</f>
        <v>0</v>
      </c>
      <c r="Q391" s="80" t="s">
        <v>19</v>
      </c>
      <c r="R391" s="81">
        <f>P391*(J391-(J391*L391)-((J391-(J391*L391))*M391))</f>
        <v>0</v>
      </c>
      <c r="S391" s="81">
        <f t="shared" si="253"/>
        <v>0</v>
      </c>
    </row>
    <row r="392" spans="1:19" s="19" customFormat="1">
      <c r="A392" s="18" t="s">
        <v>207</v>
      </c>
      <c r="B392" s="19" t="s">
        <v>25</v>
      </c>
      <c r="C392" s="20">
        <v>112</v>
      </c>
      <c r="D392" s="21" t="s">
        <v>19</v>
      </c>
      <c r="E392" s="26"/>
      <c r="F392" s="22">
        <v>1</v>
      </c>
      <c r="G392" s="23" t="s">
        <v>20</v>
      </c>
      <c r="H392" s="22">
        <v>48</v>
      </c>
      <c r="I392" s="23" t="s">
        <v>19</v>
      </c>
      <c r="J392" s="24">
        <f>1152000/48</f>
        <v>24000</v>
      </c>
      <c r="K392" s="21" t="s">
        <v>19</v>
      </c>
      <c r="L392" s="25"/>
      <c r="M392" s="25">
        <v>0.17</v>
      </c>
      <c r="N392" s="22"/>
      <c r="O392" s="23" t="s">
        <v>19</v>
      </c>
      <c r="P392" s="20">
        <f>(C392+(E392*F392*H392))-N392</f>
        <v>112</v>
      </c>
      <c r="Q392" s="23" t="s">
        <v>19</v>
      </c>
      <c r="R392" s="24">
        <f>P392*(J392-(J392*L392)-((J392-(J392*L392))*M392))</f>
        <v>2231040</v>
      </c>
      <c r="S392" s="24">
        <f t="shared" si="253"/>
        <v>2009945.9459459458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 ht="15.75">
      <c r="A394" s="35" t="s">
        <v>208</v>
      </c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19" customFormat="1">
      <c r="A395" s="60" t="s">
        <v>759</v>
      </c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76" customFormat="1">
      <c r="A396" s="75" t="s">
        <v>760</v>
      </c>
      <c r="B396" s="76" t="s">
        <v>25</v>
      </c>
      <c r="C396" s="74"/>
      <c r="D396" s="77" t="s">
        <v>40</v>
      </c>
      <c r="E396" s="78"/>
      <c r="F396" s="79">
        <v>1</v>
      </c>
      <c r="G396" s="80" t="s">
        <v>20</v>
      </c>
      <c r="H396" s="79">
        <v>40</v>
      </c>
      <c r="I396" s="80" t="s">
        <v>40</v>
      </c>
      <c r="J396" s="81">
        <v>32400</v>
      </c>
      <c r="K396" s="77" t="s">
        <v>40</v>
      </c>
      <c r="L396" s="82"/>
      <c r="M396" s="82">
        <v>0.17</v>
      </c>
      <c r="N396" s="79"/>
      <c r="O396" s="80" t="s">
        <v>40</v>
      </c>
      <c r="P396" s="74">
        <f>(C396+(E396*F396*H396))-N396</f>
        <v>0</v>
      </c>
      <c r="Q396" s="80" t="s">
        <v>40</v>
      </c>
      <c r="R396" s="81">
        <f>P396*(J396-(J396*L396)-((J396-(J396*L396))*M396))</f>
        <v>0</v>
      </c>
      <c r="S396" s="81">
        <f t="shared" ref="S396" si="258">R396/1.11</f>
        <v>0</v>
      </c>
    </row>
    <row r="397" spans="1:19" s="19" customFormat="1">
      <c r="A397" s="18"/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>
      <c r="A398" s="60" t="s">
        <v>209</v>
      </c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/>
    </row>
    <row r="399" spans="1:19" s="76" customFormat="1">
      <c r="A399" s="75" t="s">
        <v>210</v>
      </c>
      <c r="B399" s="76" t="s">
        <v>18</v>
      </c>
      <c r="C399" s="74"/>
      <c r="D399" s="77" t="s">
        <v>19</v>
      </c>
      <c r="E399" s="78"/>
      <c r="F399" s="79">
        <v>1</v>
      </c>
      <c r="G399" s="80" t="s">
        <v>20</v>
      </c>
      <c r="H399" s="79">
        <v>40</v>
      </c>
      <c r="I399" s="80" t="s">
        <v>19</v>
      </c>
      <c r="J399" s="81">
        <v>38500</v>
      </c>
      <c r="K399" s="77" t="s">
        <v>19</v>
      </c>
      <c r="L399" s="82">
        <v>0.125</v>
      </c>
      <c r="M399" s="82">
        <v>0.05</v>
      </c>
      <c r="N399" s="79"/>
      <c r="O399" s="80" t="s">
        <v>19</v>
      </c>
      <c r="P399" s="74">
        <f>(C399+(E399*F399*H399))-N399</f>
        <v>0</v>
      </c>
      <c r="Q399" s="80" t="s">
        <v>19</v>
      </c>
      <c r="R399" s="81">
        <f>P399*(J399-(J399*L399)-((J399-(J399*L399))*M399))</f>
        <v>0</v>
      </c>
      <c r="S399" s="81">
        <f t="shared" si="253"/>
        <v>0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60" t="s">
        <v>211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19" customFormat="1">
      <c r="A402" s="18" t="s">
        <v>729</v>
      </c>
      <c r="B402" s="19" t="s">
        <v>18</v>
      </c>
      <c r="C402" s="20">
        <v>361</v>
      </c>
      <c r="D402" s="21" t="s">
        <v>19</v>
      </c>
      <c r="E402" s="26"/>
      <c r="F402" s="22">
        <v>1</v>
      </c>
      <c r="G402" s="23" t="s">
        <v>20</v>
      </c>
      <c r="H402" s="22">
        <v>48</v>
      </c>
      <c r="I402" s="23" t="s">
        <v>19</v>
      </c>
      <c r="J402" s="24">
        <v>17600</v>
      </c>
      <c r="K402" s="21" t="s">
        <v>19</v>
      </c>
      <c r="L402" s="25">
        <v>0.125</v>
      </c>
      <c r="M402" s="25">
        <v>0.05</v>
      </c>
      <c r="N402" s="22"/>
      <c r="O402" s="23" t="s">
        <v>19</v>
      </c>
      <c r="P402" s="20">
        <f>(C402+(E402*F402*H402))-N402</f>
        <v>361</v>
      </c>
      <c r="Q402" s="23" t="s">
        <v>19</v>
      </c>
      <c r="R402" s="24">
        <f>P402*(J402-(J402*L402)-((J402-(J402*L402))*M402))</f>
        <v>5281430</v>
      </c>
      <c r="S402" s="24">
        <f t="shared" si="253"/>
        <v>4758045.0450450443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 ht="15.75">
      <c r="A404" s="35" t="s">
        <v>212</v>
      </c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>
      <c r="A405" s="60" t="s">
        <v>213</v>
      </c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28" t="s">
        <v>214</v>
      </c>
      <c r="B406" s="19" t="s">
        <v>25</v>
      </c>
      <c r="C406" s="20">
        <v>9</v>
      </c>
      <c r="D406" s="21" t="s">
        <v>40</v>
      </c>
      <c r="E406" s="26"/>
      <c r="F406" s="22">
        <v>1</v>
      </c>
      <c r="G406" s="23" t="s">
        <v>20</v>
      </c>
      <c r="H406" s="22">
        <v>50</v>
      </c>
      <c r="I406" s="23" t="s">
        <v>40</v>
      </c>
      <c r="J406" s="29">
        <f>1800000/50</f>
        <v>36000</v>
      </c>
      <c r="K406" s="21" t="s">
        <v>40</v>
      </c>
      <c r="L406" s="25"/>
      <c r="M406" s="25">
        <v>0.17</v>
      </c>
      <c r="N406" s="22"/>
      <c r="O406" s="23" t="s">
        <v>40</v>
      </c>
      <c r="P406" s="20">
        <f t="shared" ref="P406:P414" si="259">(C406+(E406*F406*H406))-N406</f>
        <v>9</v>
      </c>
      <c r="Q406" s="23" t="s">
        <v>40</v>
      </c>
      <c r="R406" s="24">
        <f t="shared" ref="R406:R414" si="260">P406*(J406-(J406*L406)-((J406-(J406*L406))*M406))</f>
        <v>268920</v>
      </c>
      <c r="S406" s="24">
        <f t="shared" si="253"/>
        <v>242270.27027027024</v>
      </c>
    </row>
    <row r="407" spans="1:19" s="19" customFormat="1">
      <c r="A407" s="28" t="s">
        <v>214</v>
      </c>
      <c r="B407" s="19" t="s">
        <v>25</v>
      </c>
      <c r="C407" s="20"/>
      <c r="D407" s="21" t="s">
        <v>40</v>
      </c>
      <c r="E407" s="26">
        <v>1</v>
      </c>
      <c r="F407" s="22">
        <v>1</v>
      </c>
      <c r="G407" s="23" t="s">
        <v>20</v>
      </c>
      <c r="H407" s="22">
        <v>50</v>
      </c>
      <c r="I407" s="23" t="s">
        <v>40</v>
      </c>
      <c r="J407" s="29">
        <v>37800</v>
      </c>
      <c r="K407" s="21" t="s">
        <v>40</v>
      </c>
      <c r="L407" s="25"/>
      <c r="M407" s="25">
        <v>0.17</v>
      </c>
      <c r="N407" s="22"/>
      <c r="O407" s="23" t="s">
        <v>40</v>
      </c>
      <c r="P407" s="20">
        <f>(C407+(E407*F407*H407))-N407</f>
        <v>50</v>
      </c>
      <c r="Q407" s="23" t="s">
        <v>40</v>
      </c>
      <c r="R407" s="24">
        <f>P407*(J407-(J407*L407)-((J407-(J407*L407))*M407))</f>
        <v>1568700</v>
      </c>
      <c r="S407" s="24">
        <f>R407/1.11</f>
        <v>1413243.2432432431</v>
      </c>
    </row>
    <row r="408" spans="1:19" s="93" customFormat="1">
      <c r="A408" s="85" t="s">
        <v>747</v>
      </c>
      <c r="B408" s="93" t="s">
        <v>25</v>
      </c>
      <c r="C408" s="94"/>
      <c r="D408" s="95" t="s">
        <v>40</v>
      </c>
      <c r="E408" s="96">
        <v>1</v>
      </c>
      <c r="F408" s="97">
        <v>1</v>
      </c>
      <c r="G408" s="98" t="s">
        <v>20</v>
      </c>
      <c r="H408" s="97">
        <v>25</v>
      </c>
      <c r="I408" s="98" t="s">
        <v>40</v>
      </c>
      <c r="J408" s="99">
        <v>70800</v>
      </c>
      <c r="K408" s="95" t="s">
        <v>40</v>
      </c>
      <c r="L408" s="100"/>
      <c r="M408" s="100">
        <v>0.17</v>
      </c>
      <c r="N408" s="97"/>
      <c r="O408" s="98" t="s">
        <v>40</v>
      </c>
      <c r="P408" s="94">
        <f t="shared" ref="P408" si="261">(C408+(E408*F408*H408))-N408</f>
        <v>25</v>
      </c>
      <c r="Q408" s="98" t="s">
        <v>40</v>
      </c>
      <c r="R408" s="99">
        <f t="shared" ref="R408" si="262">P408*(J408-(J408*L408)-((J408-(J408*L408))*M408))</f>
        <v>1469100</v>
      </c>
      <c r="S408" s="99">
        <f t="shared" ref="S408" si="263">R408/1.11</f>
        <v>1323513.5135135134</v>
      </c>
    </row>
    <row r="409" spans="1:19" s="19" customFormat="1">
      <c r="A409" s="18" t="s">
        <v>215</v>
      </c>
      <c r="B409" s="19" t="s">
        <v>25</v>
      </c>
      <c r="C409" s="20">
        <v>43</v>
      </c>
      <c r="D409" s="21" t="s">
        <v>40</v>
      </c>
      <c r="E409" s="26">
        <v>5</v>
      </c>
      <c r="F409" s="22">
        <v>1</v>
      </c>
      <c r="G409" s="23" t="s">
        <v>20</v>
      </c>
      <c r="H409" s="22">
        <v>25</v>
      </c>
      <c r="I409" s="23" t="s">
        <v>40</v>
      </c>
      <c r="J409" s="24">
        <f>2100000/25</f>
        <v>84000</v>
      </c>
      <c r="K409" s="21" t="s">
        <v>40</v>
      </c>
      <c r="L409" s="25"/>
      <c r="M409" s="25">
        <v>0.17</v>
      </c>
      <c r="N409" s="22"/>
      <c r="O409" s="23" t="s">
        <v>40</v>
      </c>
      <c r="P409" s="20">
        <f t="shared" si="259"/>
        <v>168</v>
      </c>
      <c r="Q409" s="23" t="s">
        <v>40</v>
      </c>
      <c r="R409" s="24">
        <f t="shared" si="260"/>
        <v>11712960</v>
      </c>
      <c r="S409" s="24">
        <f t="shared" si="253"/>
        <v>10552216.216216216</v>
      </c>
    </row>
    <row r="410" spans="1:19" s="19" customFormat="1">
      <c r="A410" s="18" t="s">
        <v>216</v>
      </c>
      <c r="B410" s="19" t="s">
        <v>25</v>
      </c>
      <c r="C410" s="20">
        <v>8</v>
      </c>
      <c r="D410" s="21" t="s">
        <v>40</v>
      </c>
      <c r="E410" s="26">
        <v>3</v>
      </c>
      <c r="F410" s="22">
        <v>1</v>
      </c>
      <c r="G410" s="23" t="s">
        <v>20</v>
      </c>
      <c r="H410" s="22">
        <v>10</v>
      </c>
      <c r="I410" s="23" t="s">
        <v>40</v>
      </c>
      <c r="J410" s="24">
        <f>1632000/10</f>
        <v>163200</v>
      </c>
      <c r="K410" s="21" t="s">
        <v>40</v>
      </c>
      <c r="L410" s="25"/>
      <c r="M410" s="25">
        <v>0.17</v>
      </c>
      <c r="N410" s="22"/>
      <c r="O410" s="23" t="s">
        <v>40</v>
      </c>
      <c r="P410" s="20">
        <f t="shared" si="259"/>
        <v>38</v>
      </c>
      <c r="Q410" s="23" t="s">
        <v>40</v>
      </c>
      <c r="R410" s="24">
        <f t="shared" si="260"/>
        <v>5147328</v>
      </c>
      <c r="S410" s="24">
        <f t="shared" si="253"/>
        <v>4637232.4324324317</v>
      </c>
    </row>
    <row r="411" spans="1:19" s="19" customFormat="1">
      <c r="A411" s="28" t="s">
        <v>217</v>
      </c>
      <c r="B411" s="19" t="s">
        <v>25</v>
      </c>
      <c r="C411" s="20"/>
      <c r="D411" s="21" t="s">
        <v>40</v>
      </c>
      <c r="E411" s="26">
        <v>3</v>
      </c>
      <c r="F411" s="22">
        <v>1</v>
      </c>
      <c r="G411" s="23" t="s">
        <v>20</v>
      </c>
      <c r="H411" s="22">
        <v>10</v>
      </c>
      <c r="I411" s="23" t="s">
        <v>40</v>
      </c>
      <c r="J411" s="29">
        <v>215400</v>
      </c>
      <c r="K411" s="21" t="s">
        <v>40</v>
      </c>
      <c r="L411" s="25"/>
      <c r="M411" s="25">
        <v>0.17</v>
      </c>
      <c r="N411" s="22"/>
      <c r="O411" s="23" t="s">
        <v>40</v>
      </c>
      <c r="P411" s="20">
        <f t="shared" ref="P411" si="264">(C411+(E411*F411*H411))-N411</f>
        <v>30</v>
      </c>
      <c r="Q411" s="23" t="s">
        <v>40</v>
      </c>
      <c r="R411" s="24">
        <f t="shared" ref="R411" si="265">P411*(J411-(J411*L411)-((J411-(J411*L411))*M411))</f>
        <v>5363460</v>
      </c>
      <c r="S411" s="24">
        <f t="shared" ref="S411" si="266">R411/1.11</f>
        <v>4831945.9459459456</v>
      </c>
    </row>
    <row r="412" spans="1:19" s="19" customFormat="1">
      <c r="A412" s="28" t="s">
        <v>217</v>
      </c>
      <c r="B412" s="19" t="s">
        <v>25</v>
      </c>
      <c r="C412" s="20">
        <v>7</v>
      </c>
      <c r="D412" s="21" t="s">
        <v>40</v>
      </c>
      <c r="E412" s="26"/>
      <c r="F412" s="22">
        <v>1</v>
      </c>
      <c r="G412" s="23" t="s">
        <v>20</v>
      </c>
      <c r="H412" s="22">
        <v>10</v>
      </c>
      <c r="I412" s="23" t="s">
        <v>40</v>
      </c>
      <c r="J412" s="29">
        <f>2028000/10</f>
        <v>202800</v>
      </c>
      <c r="K412" s="21" t="s">
        <v>40</v>
      </c>
      <c r="L412" s="25"/>
      <c r="M412" s="25">
        <v>0.17</v>
      </c>
      <c r="N412" s="22"/>
      <c r="O412" s="23" t="s">
        <v>40</v>
      </c>
      <c r="P412" s="20">
        <f t="shared" si="259"/>
        <v>7</v>
      </c>
      <c r="Q412" s="23" t="s">
        <v>40</v>
      </c>
      <c r="R412" s="24">
        <f t="shared" si="260"/>
        <v>1178268</v>
      </c>
      <c r="S412" s="24">
        <f t="shared" si="253"/>
        <v>1061502.7027027027</v>
      </c>
    </row>
    <row r="413" spans="1:19" s="19" customFormat="1">
      <c r="A413" s="18" t="s">
        <v>218</v>
      </c>
      <c r="B413" s="19" t="s">
        <v>25</v>
      </c>
      <c r="C413" s="20">
        <v>2</v>
      </c>
      <c r="D413" s="21" t="s">
        <v>40</v>
      </c>
      <c r="E413" s="26">
        <v>2</v>
      </c>
      <c r="F413" s="22">
        <v>1</v>
      </c>
      <c r="G413" s="23" t="s">
        <v>20</v>
      </c>
      <c r="H413" s="22">
        <v>10</v>
      </c>
      <c r="I413" s="23" t="s">
        <v>40</v>
      </c>
      <c r="J413" s="24">
        <f>2520000/10</f>
        <v>252000</v>
      </c>
      <c r="K413" s="21" t="s">
        <v>40</v>
      </c>
      <c r="L413" s="25"/>
      <c r="M413" s="25">
        <v>0.17</v>
      </c>
      <c r="N413" s="22"/>
      <c r="O413" s="23" t="s">
        <v>40</v>
      </c>
      <c r="P413" s="20">
        <f t="shared" si="259"/>
        <v>22</v>
      </c>
      <c r="Q413" s="23" t="s">
        <v>40</v>
      </c>
      <c r="R413" s="24">
        <f t="shared" si="260"/>
        <v>4601520</v>
      </c>
      <c r="S413" s="24">
        <f t="shared" si="253"/>
        <v>4145513.5135135134</v>
      </c>
    </row>
    <row r="414" spans="1:19" s="19" customFormat="1">
      <c r="A414" s="18" t="s">
        <v>219</v>
      </c>
      <c r="B414" s="19" t="s">
        <v>25</v>
      </c>
      <c r="C414" s="20">
        <v>108</v>
      </c>
      <c r="D414" s="21" t="s">
        <v>19</v>
      </c>
      <c r="E414" s="26">
        <v>1</v>
      </c>
      <c r="F414" s="22">
        <v>10</v>
      </c>
      <c r="G414" s="23" t="s">
        <v>40</v>
      </c>
      <c r="H414" s="22">
        <v>12</v>
      </c>
      <c r="I414" s="23" t="s">
        <v>19</v>
      </c>
      <c r="J414" s="24">
        <f>5220000/10/12</f>
        <v>43500</v>
      </c>
      <c r="K414" s="21" t="s">
        <v>19</v>
      </c>
      <c r="L414" s="25"/>
      <c r="M414" s="25">
        <v>0.17</v>
      </c>
      <c r="N414" s="22"/>
      <c r="O414" s="23" t="s">
        <v>19</v>
      </c>
      <c r="P414" s="20">
        <f t="shared" si="259"/>
        <v>228</v>
      </c>
      <c r="Q414" s="23" t="s">
        <v>19</v>
      </c>
      <c r="R414" s="24">
        <f t="shared" si="260"/>
        <v>8231940</v>
      </c>
      <c r="S414" s="24">
        <f t="shared" si="253"/>
        <v>7416162.1621621614</v>
      </c>
    </row>
    <row r="415" spans="1:19" s="19" customFormat="1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>
      <c r="A416" s="60" t="s">
        <v>663</v>
      </c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>
      <c r="A417" s="18" t="s">
        <v>758</v>
      </c>
      <c r="C417" s="20">
        <v>408</v>
      </c>
      <c r="D417" s="21" t="s">
        <v>40</v>
      </c>
      <c r="E417" s="26"/>
      <c r="F417" s="22">
        <v>20</v>
      </c>
      <c r="G417" s="23" t="s">
        <v>33</v>
      </c>
      <c r="H417" s="22">
        <v>4</v>
      </c>
      <c r="I417" s="23" t="s">
        <v>40</v>
      </c>
      <c r="J417" s="24">
        <f>1400*12</f>
        <v>16800</v>
      </c>
      <c r="K417" s="21" t="s">
        <v>40</v>
      </c>
      <c r="L417" s="25">
        <v>0.05</v>
      </c>
      <c r="M417" s="25"/>
      <c r="N417" s="22"/>
      <c r="O417" s="23" t="s">
        <v>40</v>
      </c>
      <c r="P417" s="20">
        <f>(C417+(E417*F417*H417))-N417</f>
        <v>408</v>
      </c>
      <c r="Q417" s="23" t="s">
        <v>40</v>
      </c>
      <c r="R417" s="24">
        <f>P417*(J417-(J417*L417)-((J417-(J417*L417))*M417))</f>
        <v>6511680</v>
      </c>
      <c r="S417" s="24">
        <f t="shared" ref="S417" si="267">R417/1.11</f>
        <v>5866378.3783783782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>
      <c r="A419" s="18" t="s">
        <v>956</v>
      </c>
      <c r="B419" s="19" t="s">
        <v>171</v>
      </c>
      <c r="C419" s="20"/>
      <c r="D419" s="21" t="s">
        <v>151</v>
      </c>
      <c r="E419" s="26">
        <v>2</v>
      </c>
      <c r="F419" s="22">
        <v>1</v>
      </c>
      <c r="G419" s="23" t="s">
        <v>20</v>
      </c>
      <c r="H419" s="22">
        <v>640</v>
      </c>
      <c r="I419" s="23" t="s">
        <v>151</v>
      </c>
      <c r="J419" s="24">
        <v>2400</v>
      </c>
      <c r="K419" s="21" t="s">
        <v>151</v>
      </c>
      <c r="L419" s="25"/>
      <c r="M419" s="25"/>
      <c r="N419" s="22"/>
      <c r="O419" s="23" t="s">
        <v>151</v>
      </c>
      <c r="P419" s="20">
        <f>(C419+(E419*F419*H419))-N419</f>
        <v>1280</v>
      </c>
      <c r="Q419" s="23" t="s">
        <v>151</v>
      </c>
      <c r="R419" s="24">
        <f>P419*(J419-(J419*L419)-((J419-(J419*L419))*M419))</f>
        <v>3072000</v>
      </c>
      <c r="S419" s="24">
        <f t="shared" ref="S419" si="268">R419/1.11</f>
        <v>2767567.5675675673</v>
      </c>
    </row>
    <row r="420" spans="1:19" s="19" customFormat="1">
      <c r="A420" s="18" t="s">
        <v>982</v>
      </c>
      <c r="B420" s="19" t="s">
        <v>171</v>
      </c>
      <c r="C420" s="20">
        <v>637</v>
      </c>
      <c r="D420" s="21" t="s">
        <v>151</v>
      </c>
      <c r="E420" s="26">
        <v>2</v>
      </c>
      <c r="F420" s="22">
        <v>1</v>
      </c>
      <c r="G420" s="23" t="s">
        <v>20</v>
      </c>
      <c r="H420" s="22">
        <v>640</v>
      </c>
      <c r="I420" s="23" t="s">
        <v>151</v>
      </c>
      <c r="J420" s="24">
        <v>2600</v>
      </c>
      <c r="K420" s="21" t="s">
        <v>151</v>
      </c>
      <c r="L420" s="25"/>
      <c r="M420" s="25"/>
      <c r="N420" s="22"/>
      <c r="O420" s="23" t="s">
        <v>151</v>
      </c>
      <c r="P420" s="20">
        <f>(C420+(E420*F420*H420))-N420</f>
        <v>1917</v>
      </c>
      <c r="Q420" s="23" t="s">
        <v>151</v>
      </c>
      <c r="R420" s="24">
        <f>P420*(J420-(J420*L420)-((J420-(J420*L420))*M420))</f>
        <v>4984200</v>
      </c>
      <c r="S420" s="24">
        <f t="shared" ref="S420:S425" si="269">R420/1.11</f>
        <v>4490270.2702702703</v>
      </c>
    </row>
    <row r="421" spans="1:19" s="19" customFormat="1">
      <c r="A421" s="18" t="s">
        <v>1025</v>
      </c>
      <c r="B421" s="19" t="s">
        <v>171</v>
      </c>
      <c r="C421" s="20"/>
      <c r="D421" s="21" t="s">
        <v>151</v>
      </c>
      <c r="E421" s="26">
        <v>3</v>
      </c>
      <c r="F421" s="22">
        <v>1</v>
      </c>
      <c r="G421" s="23" t="s">
        <v>20</v>
      </c>
      <c r="H421" s="22">
        <v>640</v>
      </c>
      <c r="I421" s="23" t="s">
        <v>151</v>
      </c>
      <c r="J421" s="24">
        <v>2400</v>
      </c>
      <c r="K421" s="21" t="s">
        <v>151</v>
      </c>
      <c r="L421" s="25">
        <v>7.0000000000000007E-2</v>
      </c>
      <c r="M421" s="25"/>
      <c r="N421" s="22"/>
      <c r="O421" s="23" t="s">
        <v>151</v>
      </c>
      <c r="P421" s="20">
        <f t="shared" ref="P421:P425" si="270">(C421+(E421*F421*H421))-N421</f>
        <v>1920</v>
      </c>
      <c r="Q421" s="23" t="s">
        <v>151</v>
      </c>
      <c r="R421" s="24">
        <f t="shared" ref="R421:R425" si="271">P421*(J421-(J421*L421)-((J421-(J421*L421))*M421))</f>
        <v>4285440</v>
      </c>
      <c r="S421" s="24">
        <f t="shared" si="269"/>
        <v>3860756.7567567565</v>
      </c>
    </row>
    <row r="422" spans="1:19" s="19" customFormat="1">
      <c r="A422" s="18" t="s">
        <v>1026</v>
      </c>
      <c r="B422" s="19" t="s">
        <v>171</v>
      </c>
      <c r="C422" s="20"/>
      <c r="D422" s="21" t="s">
        <v>151</v>
      </c>
      <c r="E422" s="26">
        <v>3</v>
      </c>
      <c r="F422" s="22">
        <v>1</v>
      </c>
      <c r="G422" s="23" t="s">
        <v>20</v>
      </c>
      <c r="H422" s="22">
        <v>640</v>
      </c>
      <c r="I422" s="23" t="s">
        <v>151</v>
      </c>
      <c r="J422" s="24">
        <v>2400</v>
      </c>
      <c r="K422" s="21" t="s">
        <v>151</v>
      </c>
      <c r="L422" s="25">
        <v>7.0000000000000007E-2</v>
      </c>
      <c r="M422" s="25"/>
      <c r="N422" s="22"/>
      <c r="O422" s="23" t="s">
        <v>151</v>
      </c>
      <c r="P422" s="20">
        <f t="shared" si="270"/>
        <v>1920</v>
      </c>
      <c r="Q422" s="23" t="s">
        <v>151</v>
      </c>
      <c r="R422" s="24">
        <f t="shared" si="271"/>
        <v>4285440</v>
      </c>
      <c r="S422" s="24">
        <f t="shared" si="269"/>
        <v>3860756.7567567565</v>
      </c>
    </row>
    <row r="423" spans="1:19" s="19" customFormat="1">
      <c r="A423" s="18" t="s">
        <v>982</v>
      </c>
      <c r="B423" s="19" t="s">
        <v>171</v>
      </c>
      <c r="C423" s="20"/>
      <c r="D423" s="21" t="s">
        <v>151</v>
      </c>
      <c r="E423" s="26">
        <v>3</v>
      </c>
      <c r="F423" s="22">
        <v>1</v>
      </c>
      <c r="G423" s="23" t="s">
        <v>20</v>
      </c>
      <c r="H423" s="22">
        <v>640</v>
      </c>
      <c r="I423" s="23" t="s">
        <v>151</v>
      </c>
      <c r="J423" s="24">
        <v>2400</v>
      </c>
      <c r="K423" s="21" t="s">
        <v>151</v>
      </c>
      <c r="L423" s="25">
        <v>7.0000000000000007E-2</v>
      </c>
      <c r="M423" s="25"/>
      <c r="N423" s="22"/>
      <c r="O423" s="23" t="s">
        <v>151</v>
      </c>
      <c r="P423" s="20">
        <f t="shared" si="270"/>
        <v>1920</v>
      </c>
      <c r="Q423" s="23" t="s">
        <v>151</v>
      </c>
      <c r="R423" s="24">
        <f t="shared" si="271"/>
        <v>4285440</v>
      </c>
      <c r="S423" s="24">
        <f t="shared" si="269"/>
        <v>3860756.7567567565</v>
      </c>
    </row>
    <row r="424" spans="1:19" s="19" customFormat="1">
      <c r="A424" s="18" t="s">
        <v>1027</v>
      </c>
      <c r="B424" s="19" t="s">
        <v>171</v>
      </c>
      <c r="C424" s="20"/>
      <c r="D424" s="21" t="s">
        <v>151</v>
      </c>
      <c r="E424" s="26">
        <v>3</v>
      </c>
      <c r="F424" s="22">
        <v>1</v>
      </c>
      <c r="G424" s="23" t="s">
        <v>20</v>
      </c>
      <c r="H424" s="22">
        <v>640</v>
      </c>
      <c r="I424" s="23" t="s">
        <v>151</v>
      </c>
      <c r="J424" s="24">
        <v>2400</v>
      </c>
      <c r="K424" s="21" t="s">
        <v>151</v>
      </c>
      <c r="L424" s="25">
        <v>7.0000000000000007E-2</v>
      </c>
      <c r="M424" s="25"/>
      <c r="N424" s="22"/>
      <c r="O424" s="23" t="s">
        <v>151</v>
      </c>
      <c r="P424" s="20">
        <f t="shared" si="270"/>
        <v>1920</v>
      </c>
      <c r="Q424" s="23" t="s">
        <v>151</v>
      </c>
      <c r="R424" s="24">
        <f t="shared" si="271"/>
        <v>4285440</v>
      </c>
      <c r="S424" s="24">
        <f t="shared" si="269"/>
        <v>3860756.7567567565</v>
      </c>
    </row>
    <row r="425" spans="1:19" s="19" customFormat="1">
      <c r="A425" s="18" t="s">
        <v>1028</v>
      </c>
      <c r="B425" s="19" t="s">
        <v>171</v>
      </c>
      <c r="C425" s="20"/>
      <c r="D425" s="21" t="s">
        <v>151</v>
      </c>
      <c r="E425" s="26">
        <v>2</v>
      </c>
      <c r="F425" s="22">
        <v>1</v>
      </c>
      <c r="G425" s="23" t="s">
        <v>20</v>
      </c>
      <c r="H425" s="22">
        <v>640</v>
      </c>
      <c r="I425" s="23" t="s">
        <v>151</v>
      </c>
      <c r="J425" s="24">
        <v>2400</v>
      </c>
      <c r="K425" s="21" t="s">
        <v>151</v>
      </c>
      <c r="L425" s="25">
        <v>7.0000000000000007E-2</v>
      </c>
      <c r="M425" s="25"/>
      <c r="N425" s="22"/>
      <c r="O425" s="23" t="s">
        <v>151</v>
      </c>
      <c r="P425" s="20">
        <f t="shared" si="270"/>
        <v>1280</v>
      </c>
      <c r="Q425" s="23" t="s">
        <v>151</v>
      </c>
      <c r="R425" s="24">
        <f t="shared" si="271"/>
        <v>2856960</v>
      </c>
      <c r="S425" s="24">
        <f t="shared" si="269"/>
        <v>2573837.8378378376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19" customFormat="1" ht="15.75">
      <c r="A427" s="61"/>
    </row>
    <row r="428" spans="1:19" s="19" customFormat="1" ht="15.75">
      <c r="A428" s="35" t="s">
        <v>220</v>
      </c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76" customFormat="1">
      <c r="A429" s="75" t="s">
        <v>221</v>
      </c>
      <c r="B429" s="76" t="s">
        <v>18</v>
      </c>
      <c r="C429" s="74"/>
      <c r="D429" s="77" t="s">
        <v>19</v>
      </c>
      <c r="E429" s="78"/>
      <c r="F429" s="79">
        <v>12</v>
      </c>
      <c r="G429" s="80" t="s">
        <v>33</v>
      </c>
      <c r="H429" s="79">
        <v>12</v>
      </c>
      <c r="I429" s="80" t="s">
        <v>19</v>
      </c>
      <c r="J429" s="81">
        <f>52500/12</f>
        <v>4375</v>
      </c>
      <c r="K429" s="77" t="s">
        <v>19</v>
      </c>
      <c r="L429" s="82">
        <v>0.125</v>
      </c>
      <c r="M429" s="82">
        <v>0.05</v>
      </c>
      <c r="N429" s="79"/>
      <c r="O429" s="80" t="s">
        <v>19</v>
      </c>
      <c r="P429" s="74">
        <f t="shared" ref="P429:P442" si="272">(C429+(E429*F429*H429))-N429</f>
        <v>0</v>
      </c>
      <c r="Q429" s="80" t="s">
        <v>19</v>
      </c>
      <c r="R429" s="81">
        <f t="shared" ref="R429:R442" si="273">P429*(J429-(J429*L429)-((J429-(J429*L429))*M429))</f>
        <v>0</v>
      </c>
      <c r="S429" s="81">
        <f t="shared" ref="S429" si="274">R429/1.11</f>
        <v>0</v>
      </c>
    </row>
    <row r="430" spans="1:19" s="19" customFormat="1">
      <c r="A430" s="18" t="s">
        <v>820</v>
      </c>
      <c r="B430" s="19" t="s">
        <v>18</v>
      </c>
      <c r="C430" s="20"/>
      <c r="D430" s="21" t="s">
        <v>19</v>
      </c>
      <c r="E430" s="26">
        <v>1</v>
      </c>
      <c r="F430" s="22">
        <v>12</v>
      </c>
      <c r="G430" s="23" t="s">
        <v>33</v>
      </c>
      <c r="H430" s="22">
        <v>12</v>
      </c>
      <c r="I430" s="23" t="s">
        <v>19</v>
      </c>
      <c r="J430" s="24">
        <v>7200</v>
      </c>
      <c r="K430" s="21" t="s">
        <v>19</v>
      </c>
      <c r="L430" s="25">
        <v>0.125</v>
      </c>
      <c r="M430" s="25">
        <v>0.05</v>
      </c>
      <c r="N430" s="22"/>
      <c r="O430" s="23" t="s">
        <v>19</v>
      </c>
      <c r="P430" s="20">
        <f t="shared" ref="P430" si="275">(C430+(E430*F430*H430))-N430</f>
        <v>144</v>
      </c>
      <c r="Q430" s="23" t="s">
        <v>19</v>
      </c>
      <c r="R430" s="24">
        <f>P430*(J430-(J430*L430)-((J430-(J430*L430))*M430))</f>
        <v>861840</v>
      </c>
      <c r="S430" s="24">
        <f t="shared" ref="S430" si="276">R430/1.11</f>
        <v>776432.43243243231</v>
      </c>
    </row>
    <row r="431" spans="1:19" s="19" customFormat="1">
      <c r="A431" s="18" t="s">
        <v>222</v>
      </c>
      <c r="B431" s="19" t="s">
        <v>18</v>
      </c>
      <c r="C431" s="20">
        <v>288</v>
      </c>
      <c r="D431" s="21" t="s">
        <v>19</v>
      </c>
      <c r="E431" s="26"/>
      <c r="F431" s="22">
        <v>12</v>
      </c>
      <c r="G431" s="23" t="s">
        <v>33</v>
      </c>
      <c r="H431" s="22">
        <v>12</v>
      </c>
      <c r="I431" s="23" t="s">
        <v>19</v>
      </c>
      <c r="J431" s="24">
        <v>20500</v>
      </c>
      <c r="K431" s="21" t="s">
        <v>19</v>
      </c>
      <c r="L431" s="25">
        <v>0.125</v>
      </c>
      <c r="M431" s="25">
        <v>0.05</v>
      </c>
      <c r="N431" s="22"/>
      <c r="O431" s="23" t="s">
        <v>19</v>
      </c>
      <c r="P431" s="20">
        <f t="shared" si="272"/>
        <v>288</v>
      </c>
      <c r="Q431" s="23" t="s">
        <v>19</v>
      </c>
      <c r="R431" s="24">
        <f t="shared" si="273"/>
        <v>4907700</v>
      </c>
      <c r="S431" s="24">
        <f t="shared" si="253"/>
        <v>4421351.3513513505</v>
      </c>
    </row>
    <row r="432" spans="1:19" s="19" customFormat="1">
      <c r="A432" s="18" t="s">
        <v>223</v>
      </c>
      <c r="B432" s="19" t="s">
        <v>18</v>
      </c>
      <c r="C432" s="20">
        <v>276</v>
      </c>
      <c r="D432" s="21" t="s">
        <v>19</v>
      </c>
      <c r="E432" s="26"/>
      <c r="F432" s="22">
        <v>12</v>
      </c>
      <c r="G432" s="23" t="s">
        <v>33</v>
      </c>
      <c r="H432" s="22">
        <v>12</v>
      </c>
      <c r="I432" s="23" t="s">
        <v>19</v>
      </c>
      <c r="J432" s="24">
        <v>22000</v>
      </c>
      <c r="K432" s="21" t="s">
        <v>19</v>
      </c>
      <c r="L432" s="25">
        <v>0.125</v>
      </c>
      <c r="M432" s="25">
        <v>0.05</v>
      </c>
      <c r="N432" s="22"/>
      <c r="O432" s="23" t="s">
        <v>19</v>
      </c>
      <c r="P432" s="20">
        <f t="shared" si="272"/>
        <v>276</v>
      </c>
      <c r="Q432" s="23" t="s">
        <v>19</v>
      </c>
      <c r="R432" s="24">
        <f t="shared" si="273"/>
        <v>5047350</v>
      </c>
      <c r="S432" s="24">
        <f t="shared" si="253"/>
        <v>4547162.1621621614</v>
      </c>
    </row>
    <row r="433" spans="1:19" s="19" customFormat="1">
      <c r="A433" s="18" t="s">
        <v>224</v>
      </c>
      <c r="B433" s="19" t="s">
        <v>18</v>
      </c>
      <c r="C433" s="20">
        <v>1464</v>
      </c>
      <c r="D433" s="21" t="s">
        <v>19</v>
      </c>
      <c r="E433" s="26">
        <v>92</v>
      </c>
      <c r="F433" s="22">
        <v>12</v>
      </c>
      <c r="G433" s="23" t="s">
        <v>33</v>
      </c>
      <c r="H433" s="22">
        <v>12</v>
      </c>
      <c r="I433" s="23" t="s">
        <v>19</v>
      </c>
      <c r="J433" s="24">
        <v>4350</v>
      </c>
      <c r="K433" s="21" t="s">
        <v>19</v>
      </c>
      <c r="L433" s="25">
        <v>0.125</v>
      </c>
      <c r="M433" s="25">
        <v>0.05</v>
      </c>
      <c r="N433" s="22"/>
      <c r="O433" s="23" t="s">
        <v>19</v>
      </c>
      <c r="P433" s="20">
        <f t="shared" si="272"/>
        <v>14712</v>
      </c>
      <c r="Q433" s="23" t="s">
        <v>19</v>
      </c>
      <c r="R433" s="24">
        <f t="shared" si="273"/>
        <v>53197672.5</v>
      </c>
      <c r="S433" s="24">
        <f t="shared" si="253"/>
        <v>47925831.081081077</v>
      </c>
    </row>
    <row r="434" spans="1:19" s="19" customFormat="1">
      <c r="A434" s="18" t="s">
        <v>225</v>
      </c>
      <c r="B434" s="19" t="s">
        <v>18</v>
      </c>
      <c r="C434" s="20"/>
      <c r="D434" s="21" t="s">
        <v>19</v>
      </c>
      <c r="E434" s="26">
        <v>80</v>
      </c>
      <c r="F434" s="22">
        <v>12</v>
      </c>
      <c r="G434" s="23" t="s">
        <v>33</v>
      </c>
      <c r="H434" s="22">
        <v>12</v>
      </c>
      <c r="I434" s="23" t="s">
        <v>19</v>
      </c>
      <c r="J434" s="24">
        <v>6500</v>
      </c>
      <c r="K434" s="21" t="s">
        <v>19</v>
      </c>
      <c r="L434" s="25">
        <v>0.125</v>
      </c>
      <c r="M434" s="25">
        <v>0.05</v>
      </c>
      <c r="N434" s="22"/>
      <c r="O434" s="23" t="s">
        <v>19</v>
      </c>
      <c r="P434" s="20">
        <f t="shared" si="272"/>
        <v>11520</v>
      </c>
      <c r="Q434" s="23" t="s">
        <v>19</v>
      </c>
      <c r="R434" s="24">
        <f t="shared" si="273"/>
        <v>62244000</v>
      </c>
      <c r="S434" s="24">
        <f t="shared" si="253"/>
        <v>56075675.675675668</v>
      </c>
    </row>
    <row r="435" spans="1:19" s="19" customFormat="1">
      <c r="A435" s="18" t="s">
        <v>226</v>
      </c>
      <c r="B435" s="19" t="s">
        <v>18</v>
      </c>
      <c r="C435" s="20"/>
      <c r="D435" s="21" t="s">
        <v>19</v>
      </c>
      <c r="E435" s="26">
        <v>45</v>
      </c>
      <c r="F435" s="22">
        <v>12</v>
      </c>
      <c r="G435" s="23" t="s">
        <v>33</v>
      </c>
      <c r="H435" s="22">
        <v>12</v>
      </c>
      <c r="I435" s="23" t="s">
        <v>19</v>
      </c>
      <c r="J435" s="24">
        <v>9750</v>
      </c>
      <c r="K435" s="21" t="s">
        <v>19</v>
      </c>
      <c r="L435" s="25">
        <v>0.125</v>
      </c>
      <c r="M435" s="25">
        <v>0.05</v>
      </c>
      <c r="N435" s="22"/>
      <c r="O435" s="23" t="s">
        <v>19</v>
      </c>
      <c r="P435" s="20">
        <f t="shared" si="272"/>
        <v>6480</v>
      </c>
      <c r="Q435" s="23" t="s">
        <v>19</v>
      </c>
      <c r="R435" s="24">
        <f t="shared" si="273"/>
        <v>52518375</v>
      </c>
      <c r="S435" s="24">
        <f t="shared" si="253"/>
        <v>47313851.351351351</v>
      </c>
    </row>
    <row r="436" spans="1:19" s="93" customFormat="1">
      <c r="A436" s="85" t="s">
        <v>916</v>
      </c>
      <c r="B436" s="93" t="s">
        <v>18</v>
      </c>
      <c r="C436" s="94"/>
      <c r="D436" s="95" t="s">
        <v>19</v>
      </c>
      <c r="E436" s="96">
        <v>2</v>
      </c>
      <c r="F436" s="97">
        <v>12</v>
      </c>
      <c r="G436" s="98" t="s">
        <v>33</v>
      </c>
      <c r="H436" s="97">
        <v>12</v>
      </c>
      <c r="I436" s="98" t="s">
        <v>19</v>
      </c>
      <c r="J436" s="99">
        <v>17700</v>
      </c>
      <c r="K436" s="95" t="s">
        <v>19</v>
      </c>
      <c r="L436" s="100">
        <v>0.125</v>
      </c>
      <c r="M436" s="100">
        <v>0.05</v>
      </c>
      <c r="N436" s="97"/>
      <c r="O436" s="98" t="s">
        <v>19</v>
      </c>
      <c r="P436" s="94">
        <f t="shared" ref="P436" si="277">(C436+(E436*F436*H436))-N436</f>
        <v>288</v>
      </c>
      <c r="Q436" s="98" t="s">
        <v>19</v>
      </c>
      <c r="R436" s="99">
        <f t="shared" ref="R436" si="278">P436*(J436-(J436*L436)-((J436-(J436*L436))*M436))</f>
        <v>4237380</v>
      </c>
      <c r="S436" s="99">
        <f t="shared" ref="S436" si="279">R436/1.11</f>
        <v>3817459.4594594589</v>
      </c>
    </row>
    <row r="437" spans="1:19" s="76" customFormat="1">
      <c r="A437" s="75" t="s">
        <v>227</v>
      </c>
      <c r="B437" s="76" t="s">
        <v>18</v>
      </c>
      <c r="C437" s="74"/>
      <c r="D437" s="77" t="s">
        <v>19</v>
      </c>
      <c r="E437" s="78"/>
      <c r="F437" s="79">
        <v>6</v>
      </c>
      <c r="G437" s="80" t="s">
        <v>33</v>
      </c>
      <c r="H437" s="79">
        <v>12</v>
      </c>
      <c r="I437" s="80" t="s">
        <v>19</v>
      </c>
      <c r="J437" s="81">
        <v>19200</v>
      </c>
      <c r="K437" s="77" t="s">
        <v>19</v>
      </c>
      <c r="L437" s="82">
        <v>0.125</v>
      </c>
      <c r="M437" s="82">
        <v>0.05</v>
      </c>
      <c r="N437" s="79"/>
      <c r="O437" s="80" t="s">
        <v>19</v>
      </c>
      <c r="P437" s="74">
        <f t="shared" si="272"/>
        <v>0</v>
      </c>
      <c r="Q437" s="80" t="s">
        <v>19</v>
      </c>
      <c r="R437" s="81">
        <f t="shared" si="273"/>
        <v>0</v>
      </c>
      <c r="S437" s="81">
        <f t="shared" si="253"/>
        <v>0</v>
      </c>
    </row>
    <row r="438" spans="1:19" s="19" customFormat="1">
      <c r="A438" s="18" t="s">
        <v>228</v>
      </c>
      <c r="B438" s="19" t="s">
        <v>18</v>
      </c>
      <c r="C438" s="20"/>
      <c r="D438" s="21" t="s">
        <v>19</v>
      </c>
      <c r="E438" s="26">
        <v>3</v>
      </c>
      <c r="F438" s="22">
        <v>12</v>
      </c>
      <c r="G438" s="23" t="s">
        <v>33</v>
      </c>
      <c r="H438" s="22">
        <v>12</v>
      </c>
      <c r="I438" s="23" t="s">
        <v>19</v>
      </c>
      <c r="J438" s="24">
        <v>6100</v>
      </c>
      <c r="K438" s="21" t="s">
        <v>19</v>
      </c>
      <c r="L438" s="25">
        <v>0.125</v>
      </c>
      <c r="M438" s="25">
        <v>0.05</v>
      </c>
      <c r="N438" s="22"/>
      <c r="O438" s="23" t="s">
        <v>19</v>
      </c>
      <c r="P438" s="20">
        <f t="shared" ref="P438" si="280">(C438+(E438*F438*H438))-N438</f>
        <v>432</v>
      </c>
      <c r="Q438" s="23" t="s">
        <v>19</v>
      </c>
      <c r="R438" s="24">
        <f t="shared" ref="R438" si="281">P438*(J438-(J438*L438)-((J438-(J438*L438))*M438))</f>
        <v>2190510</v>
      </c>
      <c r="S438" s="24">
        <f t="shared" ref="S438" si="282">R438/1.11</f>
        <v>1973432.4324324322</v>
      </c>
    </row>
    <row r="439" spans="1:19" s="19" customFormat="1">
      <c r="A439" s="18" t="s">
        <v>229</v>
      </c>
      <c r="B439" s="19" t="s">
        <v>18</v>
      </c>
      <c r="C439" s="20"/>
      <c r="D439" s="21" t="s">
        <v>19</v>
      </c>
      <c r="E439" s="26">
        <v>5</v>
      </c>
      <c r="F439" s="22">
        <v>12</v>
      </c>
      <c r="G439" s="23" t="s">
        <v>33</v>
      </c>
      <c r="H439" s="22">
        <v>12</v>
      </c>
      <c r="I439" s="23" t="s">
        <v>19</v>
      </c>
      <c r="J439" s="24">
        <v>7700</v>
      </c>
      <c r="K439" s="21" t="s">
        <v>19</v>
      </c>
      <c r="L439" s="25">
        <v>0.125</v>
      </c>
      <c r="M439" s="25">
        <v>0.05</v>
      </c>
      <c r="N439" s="22"/>
      <c r="O439" s="23" t="s">
        <v>19</v>
      </c>
      <c r="P439" s="20">
        <f t="shared" si="272"/>
        <v>720</v>
      </c>
      <c r="Q439" s="23" t="s">
        <v>19</v>
      </c>
      <c r="R439" s="24">
        <f t="shared" si="273"/>
        <v>4608450</v>
      </c>
      <c r="S439" s="24">
        <f t="shared" si="253"/>
        <v>4151756.7567567565</v>
      </c>
    </row>
    <row r="440" spans="1:19" s="93" customFormat="1" ht="15">
      <c r="A440" s="85" t="s">
        <v>230</v>
      </c>
      <c r="B440" s="93" t="s">
        <v>18</v>
      </c>
      <c r="C440" s="158"/>
      <c r="D440" s="95" t="s">
        <v>19</v>
      </c>
      <c r="E440" s="96">
        <v>2</v>
      </c>
      <c r="F440" s="97">
        <v>12</v>
      </c>
      <c r="G440" s="98" t="s">
        <v>33</v>
      </c>
      <c r="H440" s="97">
        <v>12</v>
      </c>
      <c r="I440" s="98" t="s">
        <v>19</v>
      </c>
      <c r="J440" s="99">
        <v>12000</v>
      </c>
      <c r="K440" s="95" t="s">
        <v>19</v>
      </c>
      <c r="L440" s="100">
        <v>0.125</v>
      </c>
      <c r="M440" s="100">
        <v>0.05</v>
      </c>
      <c r="N440" s="97"/>
      <c r="O440" s="98" t="s">
        <v>19</v>
      </c>
      <c r="P440" s="94">
        <f t="shared" ref="P440" si="283">(C440+(E440*F440*H440))-N440</f>
        <v>288</v>
      </c>
      <c r="Q440" s="98" t="s">
        <v>19</v>
      </c>
      <c r="R440" s="99">
        <f t="shared" ref="R440" si="284">P440*(J440-(J440*L440)-((J440-(J440*L440))*M440))</f>
        <v>2872800</v>
      </c>
      <c r="S440" s="99">
        <f t="shared" ref="S440" si="285">R440/1.11</f>
        <v>2588108.1081081079</v>
      </c>
    </row>
    <row r="441" spans="1:19" s="19" customFormat="1">
      <c r="A441" s="18" t="s">
        <v>231</v>
      </c>
      <c r="B441" s="19" t="s">
        <v>18</v>
      </c>
      <c r="C441" s="20">
        <v>72</v>
      </c>
      <c r="D441" s="21" t="s">
        <v>19</v>
      </c>
      <c r="E441" s="26"/>
      <c r="F441" s="22">
        <v>12</v>
      </c>
      <c r="G441" s="23" t="s">
        <v>33</v>
      </c>
      <c r="H441" s="22">
        <v>12</v>
      </c>
      <c r="I441" s="23" t="s">
        <v>19</v>
      </c>
      <c r="J441" s="24">
        <v>7600</v>
      </c>
      <c r="K441" s="21" t="s">
        <v>19</v>
      </c>
      <c r="L441" s="25">
        <v>0.125</v>
      </c>
      <c r="M441" s="25">
        <v>0.05</v>
      </c>
      <c r="N441" s="22"/>
      <c r="O441" s="23" t="s">
        <v>19</v>
      </c>
      <c r="P441" s="20">
        <f t="shared" si="272"/>
        <v>72</v>
      </c>
      <c r="Q441" s="23" t="s">
        <v>19</v>
      </c>
      <c r="R441" s="24">
        <f t="shared" si="273"/>
        <v>454860</v>
      </c>
      <c r="S441" s="24">
        <f t="shared" si="253"/>
        <v>409783.78378378373</v>
      </c>
    </row>
    <row r="442" spans="1:19" s="76" customFormat="1">
      <c r="A442" s="75" t="s">
        <v>232</v>
      </c>
      <c r="B442" s="76" t="s">
        <v>18</v>
      </c>
      <c r="C442" s="74"/>
      <c r="D442" s="77" t="s">
        <v>19</v>
      </c>
      <c r="E442" s="78"/>
      <c r="F442" s="79">
        <v>8</v>
      </c>
      <c r="G442" s="80" t="s">
        <v>33</v>
      </c>
      <c r="H442" s="79">
        <v>6</v>
      </c>
      <c r="I442" s="80" t="s">
        <v>19</v>
      </c>
      <c r="J442" s="81">
        <v>65000</v>
      </c>
      <c r="K442" s="77" t="s">
        <v>19</v>
      </c>
      <c r="L442" s="82">
        <v>0.125</v>
      </c>
      <c r="M442" s="82">
        <v>0.05</v>
      </c>
      <c r="N442" s="79"/>
      <c r="O442" s="80" t="s">
        <v>19</v>
      </c>
      <c r="P442" s="74">
        <f t="shared" si="272"/>
        <v>0</v>
      </c>
      <c r="Q442" s="80" t="s">
        <v>19</v>
      </c>
      <c r="R442" s="81">
        <f t="shared" si="273"/>
        <v>0</v>
      </c>
      <c r="S442" s="81">
        <f t="shared" si="253"/>
        <v>0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>
      <c r="A444" s="18" t="s">
        <v>233</v>
      </c>
      <c r="B444" s="19" t="s">
        <v>25</v>
      </c>
      <c r="C444" s="20">
        <v>53</v>
      </c>
      <c r="D444" s="21" t="s">
        <v>40</v>
      </c>
      <c r="E444" s="26">
        <v>18</v>
      </c>
      <c r="F444" s="22">
        <v>1</v>
      </c>
      <c r="G444" s="23" t="s">
        <v>20</v>
      </c>
      <c r="H444" s="22">
        <v>25</v>
      </c>
      <c r="I444" s="23" t="s">
        <v>40</v>
      </c>
      <c r="J444" s="24">
        <v>56400</v>
      </c>
      <c r="K444" s="21" t="s">
        <v>40</v>
      </c>
      <c r="L444" s="25"/>
      <c r="M444" s="25">
        <v>0.17</v>
      </c>
      <c r="N444" s="22"/>
      <c r="O444" s="23" t="s">
        <v>40</v>
      </c>
      <c r="P444" s="20">
        <f t="shared" ref="P444:P448" si="286">(C444+(E444*F444*H444))-N444</f>
        <v>503</v>
      </c>
      <c r="Q444" s="23" t="s">
        <v>40</v>
      </c>
      <c r="R444" s="24">
        <f t="shared" ref="R444:R448" si="287">P444*(J444-(J444*L444)-((J444-(J444*L444))*M444))</f>
        <v>23546436</v>
      </c>
      <c r="S444" s="24">
        <f t="shared" ref="S444" si="288">R444/1.11</f>
        <v>21213005.405405402</v>
      </c>
    </row>
    <row r="445" spans="1:19" s="19" customFormat="1">
      <c r="A445" s="18" t="s">
        <v>234</v>
      </c>
      <c r="B445" s="19" t="s">
        <v>25</v>
      </c>
      <c r="C445" s="20">
        <v>131</v>
      </c>
      <c r="D445" s="21" t="s">
        <v>40</v>
      </c>
      <c r="E445" s="26">
        <v>22</v>
      </c>
      <c r="F445" s="22">
        <v>1</v>
      </c>
      <c r="G445" s="23" t="s">
        <v>20</v>
      </c>
      <c r="H445" s="22">
        <v>25</v>
      </c>
      <c r="I445" s="23" t="s">
        <v>40</v>
      </c>
      <c r="J445" s="24">
        <v>79800</v>
      </c>
      <c r="K445" s="21" t="s">
        <v>40</v>
      </c>
      <c r="L445" s="25"/>
      <c r="M445" s="25">
        <v>0.17</v>
      </c>
      <c r="N445" s="22"/>
      <c r="O445" s="23" t="s">
        <v>40</v>
      </c>
      <c r="P445" s="20">
        <f t="shared" si="286"/>
        <v>681</v>
      </c>
      <c r="Q445" s="23" t="s">
        <v>40</v>
      </c>
      <c r="R445" s="24">
        <f t="shared" si="287"/>
        <v>45105354</v>
      </c>
      <c r="S445" s="24">
        <f t="shared" ref="S445" si="289">R445/1.11</f>
        <v>40635454.054054052</v>
      </c>
    </row>
    <row r="446" spans="1:19" s="19" customFormat="1">
      <c r="A446" s="18" t="s">
        <v>235</v>
      </c>
      <c r="B446" s="19" t="s">
        <v>25</v>
      </c>
      <c r="C446" s="20">
        <v>118</v>
      </c>
      <c r="D446" s="21" t="s">
        <v>40</v>
      </c>
      <c r="E446" s="26">
        <v>32</v>
      </c>
      <c r="F446" s="22">
        <v>1</v>
      </c>
      <c r="G446" s="23" t="s">
        <v>20</v>
      </c>
      <c r="H446" s="22">
        <v>10</v>
      </c>
      <c r="I446" s="23" t="s">
        <v>40</v>
      </c>
      <c r="J446" s="24">
        <v>118800</v>
      </c>
      <c r="K446" s="21" t="s">
        <v>40</v>
      </c>
      <c r="L446" s="25"/>
      <c r="M446" s="25">
        <v>0.17</v>
      </c>
      <c r="N446" s="22"/>
      <c r="O446" s="23" t="s">
        <v>40</v>
      </c>
      <c r="P446" s="20">
        <f t="shared" si="286"/>
        <v>438</v>
      </c>
      <c r="Q446" s="23" t="s">
        <v>40</v>
      </c>
      <c r="R446" s="24">
        <f t="shared" si="287"/>
        <v>43188552</v>
      </c>
      <c r="S446" s="24">
        <f t="shared" ref="S446" si="290">R446/1.11</f>
        <v>38908605.405405402</v>
      </c>
    </row>
    <row r="447" spans="1:19" s="19" customFormat="1">
      <c r="A447" s="18" t="s">
        <v>677</v>
      </c>
      <c r="B447" s="19" t="s">
        <v>25</v>
      </c>
      <c r="C447" s="20">
        <v>15</v>
      </c>
      <c r="D447" s="21" t="s">
        <v>40</v>
      </c>
      <c r="E447" s="26"/>
      <c r="F447" s="22">
        <v>1</v>
      </c>
      <c r="G447" s="23" t="s">
        <v>20</v>
      </c>
      <c r="H447" s="22">
        <v>25</v>
      </c>
      <c r="I447" s="23" t="s">
        <v>40</v>
      </c>
      <c r="J447" s="24">
        <f>2010000/25</f>
        <v>80400</v>
      </c>
      <c r="K447" s="21" t="s">
        <v>40</v>
      </c>
      <c r="L447" s="25"/>
      <c r="M447" s="25">
        <v>0.17</v>
      </c>
      <c r="N447" s="22"/>
      <c r="O447" s="23" t="s">
        <v>40</v>
      </c>
      <c r="P447" s="20">
        <f t="shared" si="286"/>
        <v>15</v>
      </c>
      <c r="Q447" s="23" t="s">
        <v>40</v>
      </c>
      <c r="R447" s="24">
        <f t="shared" si="287"/>
        <v>1000980</v>
      </c>
      <c r="S447" s="24">
        <f t="shared" si="253"/>
        <v>901783.78378378367</v>
      </c>
    </row>
    <row r="448" spans="1:19" s="19" customFormat="1">
      <c r="A448" s="18" t="s">
        <v>236</v>
      </c>
      <c r="B448" s="19" t="s">
        <v>25</v>
      </c>
      <c r="C448" s="20">
        <v>18</v>
      </c>
      <c r="D448" s="21" t="s">
        <v>40</v>
      </c>
      <c r="E448" s="26"/>
      <c r="F448" s="22">
        <v>1</v>
      </c>
      <c r="G448" s="23" t="s">
        <v>20</v>
      </c>
      <c r="H448" s="22">
        <v>10</v>
      </c>
      <c r="I448" s="23" t="s">
        <v>40</v>
      </c>
      <c r="J448" s="24">
        <f>1260000/10</f>
        <v>126000</v>
      </c>
      <c r="K448" s="21" t="s">
        <v>40</v>
      </c>
      <c r="L448" s="25"/>
      <c r="M448" s="25">
        <v>0.17</v>
      </c>
      <c r="N448" s="22"/>
      <c r="O448" s="23" t="s">
        <v>40</v>
      </c>
      <c r="P448" s="20">
        <f t="shared" si="286"/>
        <v>18</v>
      </c>
      <c r="Q448" s="23" t="s">
        <v>40</v>
      </c>
      <c r="R448" s="24">
        <f t="shared" si="287"/>
        <v>1882440</v>
      </c>
      <c r="S448" s="24">
        <f t="shared" si="253"/>
        <v>1695891.8918918918</v>
      </c>
    </row>
    <row r="449" spans="1:19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 ht="15.75">
      <c r="A450" s="35" t="s">
        <v>237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19" customFormat="1">
      <c r="A451" s="45" t="s">
        <v>238</v>
      </c>
      <c r="B451" s="19" t="s">
        <v>25</v>
      </c>
      <c r="C451" s="20">
        <v>18</v>
      </c>
      <c r="D451" s="21" t="s">
        <v>19</v>
      </c>
      <c r="E451" s="26">
        <v>2</v>
      </c>
      <c r="F451" s="22">
        <v>20</v>
      </c>
      <c r="G451" s="23" t="s">
        <v>33</v>
      </c>
      <c r="H451" s="22">
        <v>10</v>
      </c>
      <c r="I451" s="23" t="s">
        <v>19</v>
      </c>
      <c r="J451" s="24">
        <f>3800000/20/10</f>
        <v>19000</v>
      </c>
      <c r="K451" s="21" t="s">
        <v>19</v>
      </c>
      <c r="L451" s="25"/>
      <c r="M451" s="25">
        <v>0.17</v>
      </c>
      <c r="N451" s="22"/>
      <c r="O451" s="23" t="s">
        <v>19</v>
      </c>
      <c r="P451" s="20">
        <f>(C451+(E451*F451*H451))-N451</f>
        <v>418</v>
      </c>
      <c r="Q451" s="23" t="s">
        <v>19</v>
      </c>
      <c r="R451" s="24">
        <f>P451*(J451-(J451*L451)-((J451-(J451*L451))*M451))</f>
        <v>6591860</v>
      </c>
      <c r="S451" s="24">
        <f t="shared" si="253"/>
        <v>5938612.6126126125</v>
      </c>
    </row>
    <row r="452" spans="1:19" s="19" customFormat="1">
      <c r="A452" s="45" t="s">
        <v>239</v>
      </c>
      <c r="B452" s="19" t="s">
        <v>25</v>
      </c>
      <c r="C452" s="20">
        <v>120</v>
      </c>
      <c r="D452" s="21" t="s">
        <v>19</v>
      </c>
      <c r="E452" s="26">
        <v>1</v>
      </c>
      <c r="F452" s="22">
        <v>20</v>
      </c>
      <c r="G452" s="23" t="s">
        <v>33</v>
      </c>
      <c r="H452" s="22">
        <v>12</v>
      </c>
      <c r="I452" s="23" t="s">
        <v>19</v>
      </c>
      <c r="J452" s="24">
        <f>3120000/20/12</f>
        <v>13000</v>
      </c>
      <c r="K452" s="21" t="s">
        <v>19</v>
      </c>
      <c r="L452" s="25"/>
      <c r="M452" s="25">
        <v>0.17</v>
      </c>
      <c r="N452" s="22"/>
      <c r="O452" s="23" t="s">
        <v>19</v>
      </c>
      <c r="P452" s="20">
        <f>(C452+(E452*F452*H452))-N452</f>
        <v>360</v>
      </c>
      <c r="Q452" s="23" t="s">
        <v>19</v>
      </c>
      <c r="R452" s="24">
        <f>P452*(J452-(J452*L452)-((J452-(J452*L452))*M452))</f>
        <v>3884400</v>
      </c>
      <c r="S452" s="24">
        <f t="shared" si="253"/>
        <v>3499459.4594594589</v>
      </c>
    </row>
    <row r="453" spans="1:19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 ht="15.75">
      <c r="A454" s="35" t="s">
        <v>240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>
      <c r="A455" s="147" t="s">
        <v>920</v>
      </c>
      <c r="B455" s="19" t="s">
        <v>18</v>
      </c>
      <c r="C455" s="20"/>
      <c r="D455" s="21" t="s">
        <v>40</v>
      </c>
      <c r="E455" s="26">
        <v>1</v>
      </c>
      <c r="F455" s="22">
        <v>1</v>
      </c>
      <c r="G455" s="23" t="s">
        <v>20</v>
      </c>
      <c r="H455" s="22">
        <v>24</v>
      </c>
      <c r="I455" s="23" t="s">
        <v>40</v>
      </c>
      <c r="J455" s="24">
        <v>118800</v>
      </c>
      <c r="K455" s="21" t="s">
        <v>40</v>
      </c>
      <c r="L455" s="25">
        <v>0.125</v>
      </c>
      <c r="M455" s="25">
        <v>0.05</v>
      </c>
      <c r="N455" s="22"/>
      <c r="O455" s="23" t="s">
        <v>40</v>
      </c>
      <c r="P455" s="20">
        <f t="shared" ref="P455" si="291">(C455+(E455*F455*H455))-N455</f>
        <v>24</v>
      </c>
      <c r="Q455" s="23" t="s">
        <v>40</v>
      </c>
      <c r="R455" s="24">
        <f t="shared" ref="R455" si="292">P455*(J455-(J455*L455)-((J455-(J455*L455))*M455))</f>
        <v>2370060</v>
      </c>
      <c r="S455" s="24">
        <f t="shared" ref="S455" si="293">R455/1.11</f>
        <v>2135189.1891891891</v>
      </c>
    </row>
    <row r="456" spans="1:19" s="19" customFormat="1">
      <c r="A456" s="136" t="s">
        <v>241</v>
      </c>
      <c r="B456" s="19" t="s">
        <v>18</v>
      </c>
      <c r="C456" s="20"/>
      <c r="D456" s="21" t="s">
        <v>40</v>
      </c>
      <c r="E456" s="26">
        <v>13</v>
      </c>
      <c r="F456" s="22">
        <v>1</v>
      </c>
      <c r="G456" s="23" t="s">
        <v>20</v>
      </c>
      <c r="H456" s="22">
        <v>24</v>
      </c>
      <c r="I456" s="23" t="s">
        <v>40</v>
      </c>
      <c r="J456" s="132">
        <v>89400</v>
      </c>
      <c r="K456" s="21" t="s">
        <v>40</v>
      </c>
      <c r="L456" s="25">
        <v>0.125</v>
      </c>
      <c r="M456" s="25">
        <v>0.05</v>
      </c>
      <c r="N456" s="22"/>
      <c r="O456" s="23" t="s">
        <v>40</v>
      </c>
      <c r="P456" s="20">
        <f t="shared" ref="P456" si="294">(C456+(E456*F456*H456))-N456</f>
        <v>312</v>
      </c>
      <c r="Q456" s="23" t="s">
        <v>40</v>
      </c>
      <c r="R456" s="24">
        <f t="shared" ref="R456" si="295">P456*(J456-(J456*L456)-((J456-(J456*L456))*M456))</f>
        <v>23185890</v>
      </c>
      <c r="S456" s="24">
        <f t="shared" ref="S456" si="296">R456/1.11</f>
        <v>20888189.189189188</v>
      </c>
    </row>
    <row r="457" spans="1:19" s="19" customFormat="1">
      <c r="A457" s="136" t="s">
        <v>241</v>
      </c>
      <c r="B457" s="19" t="s">
        <v>18</v>
      </c>
      <c r="C457" s="20">
        <v>26</v>
      </c>
      <c r="D457" s="21" t="s">
        <v>40</v>
      </c>
      <c r="E457" s="26">
        <v>7</v>
      </c>
      <c r="F457" s="22">
        <v>1</v>
      </c>
      <c r="G457" s="23" t="s">
        <v>20</v>
      </c>
      <c r="H457" s="22">
        <v>24</v>
      </c>
      <c r="I457" s="23" t="s">
        <v>40</v>
      </c>
      <c r="J457" s="132">
        <v>88200</v>
      </c>
      <c r="K457" s="21" t="s">
        <v>40</v>
      </c>
      <c r="L457" s="25">
        <v>0.125</v>
      </c>
      <c r="M457" s="25">
        <v>0.05</v>
      </c>
      <c r="N457" s="22"/>
      <c r="O457" s="23" t="s">
        <v>40</v>
      </c>
      <c r="P457" s="20">
        <f t="shared" ref="P457:P472" si="297">(C457+(E457*F457*H457))-N457</f>
        <v>194</v>
      </c>
      <c r="Q457" s="23" t="s">
        <v>40</v>
      </c>
      <c r="R457" s="24">
        <f t="shared" ref="R457:R472" si="298">P457*(J457-(J457*L457)-((J457-(J457*L457))*M457))</f>
        <v>14223352.5</v>
      </c>
      <c r="S457" s="24">
        <f t="shared" si="253"/>
        <v>12813831.081081079</v>
      </c>
    </row>
    <row r="458" spans="1:19" s="19" customFormat="1">
      <c r="A458" s="28" t="s">
        <v>654</v>
      </c>
      <c r="B458" s="19" t="s">
        <v>18</v>
      </c>
      <c r="C458" s="20"/>
      <c r="D458" s="21" t="s">
        <v>40</v>
      </c>
      <c r="E458" s="26">
        <v>2</v>
      </c>
      <c r="F458" s="22">
        <v>1</v>
      </c>
      <c r="G458" s="23" t="s">
        <v>20</v>
      </c>
      <c r="H458" s="22">
        <v>24</v>
      </c>
      <c r="I458" s="23" t="s">
        <v>40</v>
      </c>
      <c r="J458" s="29">
        <v>118800</v>
      </c>
      <c r="K458" s="21" t="s">
        <v>40</v>
      </c>
      <c r="L458" s="25">
        <v>0.125</v>
      </c>
      <c r="M458" s="25">
        <v>0.05</v>
      </c>
      <c r="N458" s="22"/>
      <c r="O458" s="23" t="s">
        <v>40</v>
      </c>
      <c r="P458" s="20">
        <f t="shared" ref="P458" si="299">(C458+(E458*F458*H458))-N458</f>
        <v>48</v>
      </c>
      <c r="Q458" s="23" t="s">
        <v>40</v>
      </c>
      <c r="R458" s="24">
        <f t="shared" ref="R458" si="300">P458*(J458-(J458*L458)-((J458-(J458*L458))*M458))</f>
        <v>4740120</v>
      </c>
      <c r="S458" s="24">
        <f t="shared" ref="S458" si="301">R458/1.11</f>
        <v>4270378.3783783782</v>
      </c>
    </row>
    <row r="459" spans="1:19" s="19" customFormat="1">
      <c r="A459" s="28" t="s">
        <v>654</v>
      </c>
      <c r="B459" s="19" t="s">
        <v>18</v>
      </c>
      <c r="C459" s="20">
        <v>16</v>
      </c>
      <c r="D459" s="21" t="s">
        <v>40</v>
      </c>
      <c r="E459" s="26"/>
      <c r="F459" s="22">
        <v>1</v>
      </c>
      <c r="G459" s="23" t="s">
        <v>20</v>
      </c>
      <c r="H459" s="22">
        <v>24</v>
      </c>
      <c r="I459" s="23" t="s">
        <v>40</v>
      </c>
      <c r="J459" s="29">
        <v>114000</v>
      </c>
      <c r="K459" s="21" t="s">
        <v>40</v>
      </c>
      <c r="L459" s="25">
        <v>0.125</v>
      </c>
      <c r="M459" s="25">
        <v>0.05</v>
      </c>
      <c r="N459" s="22"/>
      <c r="O459" s="23" t="s">
        <v>40</v>
      </c>
      <c r="P459" s="20">
        <f t="shared" si="297"/>
        <v>16</v>
      </c>
      <c r="Q459" s="23" t="s">
        <v>40</v>
      </c>
      <c r="R459" s="24">
        <f t="shared" si="298"/>
        <v>1516200</v>
      </c>
      <c r="S459" s="24">
        <f t="shared" si="253"/>
        <v>1365945.9459459458</v>
      </c>
    </row>
    <row r="460" spans="1:19" s="19" customFormat="1">
      <c r="A460" s="128" t="s">
        <v>242</v>
      </c>
      <c r="B460" s="19" t="s">
        <v>18</v>
      </c>
      <c r="C460" s="20"/>
      <c r="D460" s="21" t="s">
        <v>40</v>
      </c>
      <c r="E460" s="26">
        <v>17</v>
      </c>
      <c r="F460" s="22">
        <v>1</v>
      </c>
      <c r="G460" s="23" t="s">
        <v>20</v>
      </c>
      <c r="H460" s="22">
        <v>24</v>
      </c>
      <c r="I460" s="23" t="s">
        <v>40</v>
      </c>
      <c r="J460" s="132">
        <v>89400</v>
      </c>
      <c r="K460" s="21" t="s">
        <v>40</v>
      </c>
      <c r="L460" s="25">
        <v>0.125</v>
      </c>
      <c r="M460" s="25">
        <v>0.05</v>
      </c>
      <c r="N460" s="22"/>
      <c r="O460" s="23" t="s">
        <v>40</v>
      </c>
      <c r="P460" s="20">
        <f t="shared" ref="P460" si="302">(C460+(E460*F460*H460))-N460</f>
        <v>408</v>
      </c>
      <c r="Q460" s="23" t="s">
        <v>40</v>
      </c>
      <c r="R460" s="24">
        <f t="shared" ref="R460" si="303">P460*(J460-(J460*L460)-((J460-(J460*L460))*M460))</f>
        <v>30320010</v>
      </c>
      <c r="S460" s="24">
        <f t="shared" ref="S460" si="304">R460/1.11</f>
        <v>27315324.324324321</v>
      </c>
    </row>
    <row r="461" spans="1:19" s="19" customFormat="1">
      <c r="A461" s="128" t="s">
        <v>242</v>
      </c>
      <c r="B461" s="19" t="s">
        <v>18</v>
      </c>
      <c r="C461" s="20">
        <v>204</v>
      </c>
      <c r="D461" s="21" t="s">
        <v>40</v>
      </c>
      <c r="E461" s="26">
        <v>5</v>
      </c>
      <c r="F461" s="22">
        <v>1</v>
      </c>
      <c r="G461" s="23" t="s">
        <v>20</v>
      </c>
      <c r="H461" s="22">
        <v>24</v>
      </c>
      <c r="I461" s="23" t="s">
        <v>40</v>
      </c>
      <c r="J461" s="132">
        <v>88200</v>
      </c>
      <c r="K461" s="21" t="s">
        <v>40</v>
      </c>
      <c r="L461" s="25">
        <v>0.125</v>
      </c>
      <c r="M461" s="25">
        <v>0.05</v>
      </c>
      <c r="N461" s="22"/>
      <c r="O461" s="23" t="s">
        <v>40</v>
      </c>
      <c r="P461" s="20">
        <f t="shared" si="297"/>
        <v>324</v>
      </c>
      <c r="Q461" s="23" t="s">
        <v>40</v>
      </c>
      <c r="R461" s="24">
        <f t="shared" si="298"/>
        <v>23754465</v>
      </c>
      <c r="S461" s="24">
        <f t="shared" si="253"/>
        <v>21400418.918918919</v>
      </c>
    </row>
    <row r="462" spans="1:19" s="19" customFormat="1">
      <c r="A462" s="28" t="s">
        <v>243</v>
      </c>
      <c r="B462" s="19" t="s">
        <v>18</v>
      </c>
      <c r="C462" s="20"/>
      <c r="D462" s="21" t="s">
        <v>40</v>
      </c>
      <c r="E462" s="26">
        <v>13</v>
      </c>
      <c r="F462" s="22">
        <v>1</v>
      </c>
      <c r="G462" s="23" t="s">
        <v>20</v>
      </c>
      <c r="H462" s="22">
        <v>24</v>
      </c>
      <c r="I462" s="23" t="s">
        <v>40</v>
      </c>
      <c r="J462" s="29">
        <v>90600</v>
      </c>
      <c r="K462" s="21" t="s">
        <v>40</v>
      </c>
      <c r="L462" s="25">
        <v>0.125</v>
      </c>
      <c r="M462" s="25">
        <v>0.05</v>
      </c>
      <c r="N462" s="22"/>
      <c r="O462" s="23" t="s">
        <v>40</v>
      </c>
      <c r="P462" s="20">
        <f t="shared" ref="P462" si="305">(C462+(E462*F462*H462))-N462</f>
        <v>312</v>
      </c>
      <c r="Q462" s="23" t="s">
        <v>40</v>
      </c>
      <c r="R462" s="24">
        <f t="shared" ref="R462" si="306">P462*(J462-(J462*L462)-((J462-(J462*L462))*M462))</f>
        <v>23497110</v>
      </c>
      <c r="S462" s="24">
        <f t="shared" ref="S462" si="307">R462/1.11</f>
        <v>21168567.567567565</v>
      </c>
    </row>
    <row r="463" spans="1:19" s="19" customFormat="1">
      <c r="A463" s="28" t="s">
        <v>243</v>
      </c>
      <c r="B463" s="19" t="s">
        <v>18</v>
      </c>
      <c r="C463" s="20">
        <v>350</v>
      </c>
      <c r="D463" s="21" t="s">
        <v>40</v>
      </c>
      <c r="E463" s="26">
        <v>4</v>
      </c>
      <c r="F463" s="22">
        <v>1</v>
      </c>
      <c r="G463" s="23" t="s">
        <v>20</v>
      </c>
      <c r="H463" s="22">
        <v>24</v>
      </c>
      <c r="I463" s="23" t="s">
        <v>40</v>
      </c>
      <c r="J463" s="29">
        <v>89400</v>
      </c>
      <c r="K463" s="21" t="s">
        <v>40</v>
      </c>
      <c r="L463" s="25">
        <v>0.125</v>
      </c>
      <c r="M463" s="25">
        <v>0.05</v>
      </c>
      <c r="N463" s="22"/>
      <c r="O463" s="23" t="s">
        <v>40</v>
      </c>
      <c r="P463" s="20">
        <f t="shared" si="297"/>
        <v>446</v>
      </c>
      <c r="Q463" s="23" t="s">
        <v>40</v>
      </c>
      <c r="R463" s="24">
        <f t="shared" si="298"/>
        <v>33143932.5</v>
      </c>
      <c r="S463" s="24">
        <f t="shared" si="253"/>
        <v>29859398.648648646</v>
      </c>
    </row>
    <row r="464" spans="1:19" s="19" customFormat="1">
      <c r="A464" s="147" t="s">
        <v>921</v>
      </c>
      <c r="B464" s="19" t="s">
        <v>18</v>
      </c>
      <c r="C464" s="20"/>
      <c r="D464" s="21" t="s">
        <v>40</v>
      </c>
      <c r="E464" s="26">
        <v>1</v>
      </c>
      <c r="F464" s="22">
        <v>1</v>
      </c>
      <c r="G464" s="23" t="s">
        <v>20</v>
      </c>
      <c r="H464" s="22">
        <v>24</v>
      </c>
      <c r="I464" s="23" t="s">
        <v>40</v>
      </c>
      <c r="J464" s="24">
        <v>139200</v>
      </c>
      <c r="K464" s="21" t="s">
        <v>40</v>
      </c>
      <c r="L464" s="25">
        <v>0.125</v>
      </c>
      <c r="M464" s="25">
        <v>0.05</v>
      </c>
      <c r="N464" s="22"/>
      <c r="O464" s="23" t="s">
        <v>40</v>
      </c>
      <c r="P464" s="20">
        <f t="shared" si="297"/>
        <v>24</v>
      </c>
      <c r="Q464" s="23" t="s">
        <v>40</v>
      </c>
      <c r="R464" s="24">
        <f t="shared" si="298"/>
        <v>2777040</v>
      </c>
      <c r="S464" s="24">
        <f t="shared" si="253"/>
        <v>2501837.8378378376</v>
      </c>
    </row>
    <row r="465" spans="1:19" s="19" customFormat="1">
      <c r="A465" s="147" t="s">
        <v>922</v>
      </c>
      <c r="B465" s="19" t="s">
        <v>18</v>
      </c>
      <c r="C465" s="20"/>
      <c r="D465" s="21" t="s">
        <v>40</v>
      </c>
      <c r="E465" s="26">
        <v>1</v>
      </c>
      <c r="F465" s="22">
        <v>1</v>
      </c>
      <c r="G465" s="23" t="s">
        <v>20</v>
      </c>
      <c r="H465" s="22">
        <v>12</v>
      </c>
      <c r="I465" s="23" t="s">
        <v>40</v>
      </c>
      <c r="J465" s="24">
        <v>182400</v>
      </c>
      <c r="K465" s="21" t="s">
        <v>40</v>
      </c>
      <c r="L465" s="25">
        <v>0.125</v>
      </c>
      <c r="M465" s="25">
        <v>0.05</v>
      </c>
      <c r="N465" s="22"/>
      <c r="O465" s="23" t="s">
        <v>40</v>
      </c>
      <c r="P465" s="20">
        <f t="shared" si="297"/>
        <v>12</v>
      </c>
      <c r="Q465" s="23" t="s">
        <v>40</v>
      </c>
      <c r="R465" s="24">
        <f t="shared" si="298"/>
        <v>1819440</v>
      </c>
      <c r="S465" s="24">
        <f t="shared" si="253"/>
        <v>1639135.1351351349</v>
      </c>
    </row>
    <row r="466" spans="1:19" s="19" customFormat="1">
      <c r="A466" s="18" t="s">
        <v>940</v>
      </c>
      <c r="B466" s="19" t="s">
        <v>18</v>
      </c>
      <c r="C466" s="20"/>
      <c r="D466" s="21" t="s">
        <v>151</v>
      </c>
      <c r="E466" s="26">
        <v>4</v>
      </c>
      <c r="F466" s="22">
        <v>1</v>
      </c>
      <c r="G466" s="23" t="s">
        <v>20</v>
      </c>
      <c r="H466" s="22">
        <v>24</v>
      </c>
      <c r="I466" s="23" t="s">
        <v>33</v>
      </c>
      <c r="J466" s="24">
        <v>34800</v>
      </c>
      <c r="K466" s="21" t="s">
        <v>33</v>
      </c>
      <c r="L466" s="25">
        <v>0.125</v>
      </c>
      <c r="M466" s="25">
        <v>0.05</v>
      </c>
      <c r="N466" s="22"/>
      <c r="O466" s="23" t="s">
        <v>33</v>
      </c>
      <c r="P466" s="20">
        <f t="shared" ref="P466" si="308">(C466+(E466*F466*H466))-N466</f>
        <v>96</v>
      </c>
      <c r="Q466" s="23" t="s">
        <v>33</v>
      </c>
      <c r="R466" s="24">
        <f t="shared" ref="R466" si="309">P466*(J466-(J466*L466)-((J466-(J466*L466))*M466))</f>
        <v>2777040</v>
      </c>
      <c r="S466" s="24">
        <f t="shared" ref="S466" si="310">R466/1.11</f>
        <v>2501837.8378378376</v>
      </c>
    </row>
    <row r="467" spans="1:19" s="19" customFormat="1">
      <c r="A467" s="18" t="s">
        <v>244</v>
      </c>
      <c r="B467" s="19" t="s">
        <v>18</v>
      </c>
      <c r="C467" s="20"/>
      <c r="D467" s="21" t="s">
        <v>151</v>
      </c>
      <c r="E467" s="26">
        <v>5</v>
      </c>
      <c r="F467" s="22">
        <v>12</v>
      </c>
      <c r="G467" s="23" t="s">
        <v>33</v>
      </c>
      <c r="H467" s="22">
        <v>24</v>
      </c>
      <c r="I467" s="23" t="s">
        <v>151</v>
      </c>
      <c r="J467" s="24">
        <v>12000</v>
      </c>
      <c r="K467" s="21" t="s">
        <v>151</v>
      </c>
      <c r="L467" s="25">
        <v>0.125</v>
      </c>
      <c r="M467" s="25">
        <v>0.05</v>
      </c>
      <c r="N467" s="22"/>
      <c r="O467" s="23" t="s">
        <v>151</v>
      </c>
      <c r="P467" s="20">
        <f t="shared" si="297"/>
        <v>1440</v>
      </c>
      <c r="Q467" s="23" t="s">
        <v>151</v>
      </c>
      <c r="R467" s="24">
        <f t="shared" si="298"/>
        <v>14364000</v>
      </c>
      <c r="S467" s="24">
        <f t="shared" si="253"/>
        <v>12940540.540540539</v>
      </c>
    </row>
    <row r="468" spans="1:19" s="76" customFormat="1">
      <c r="A468" s="75" t="s">
        <v>245</v>
      </c>
      <c r="B468" s="76" t="s">
        <v>18</v>
      </c>
      <c r="C468" s="74"/>
      <c r="D468" s="77" t="s">
        <v>151</v>
      </c>
      <c r="E468" s="78"/>
      <c r="F468" s="79">
        <v>10</v>
      </c>
      <c r="G468" s="80" t="s">
        <v>33</v>
      </c>
      <c r="H468" s="79">
        <v>10</v>
      </c>
      <c r="I468" s="80" t="s">
        <v>151</v>
      </c>
      <c r="J468" s="81">
        <v>28000</v>
      </c>
      <c r="K468" s="77" t="s">
        <v>151</v>
      </c>
      <c r="L468" s="82">
        <v>0.125</v>
      </c>
      <c r="M468" s="82">
        <v>0.05</v>
      </c>
      <c r="N468" s="79"/>
      <c r="O468" s="80" t="s">
        <v>151</v>
      </c>
      <c r="P468" s="74">
        <f t="shared" si="297"/>
        <v>0</v>
      </c>
      <c r="Q468" s="80" t="s">
        <v>151</v>
      </c>
      <c r="R468" s="81">
        <f t="shared" si="298"/>
        <v>0</v>
      </c>
      <c r="S468" s="81">
        <f t="shared" si="253"/>
        <v>0</v>
      </c>
    </row>
    <row r="469" spans="1:19" s="76" customFormat="1">
      <c r="A469" s="75" t="s">
        <v>246</v>
      </c>
      <c r="B469" s="76" t="s">
        <v>18</v>
      </c>
      <c r="C469" s="74"/>
      <c r="D469" s="77" t="s">
        <v>151</v>
      </c>
      <c r="E469" s="78"/>
      <c r="F469" s="79">
        <v>10</v>
      </c>
      <c r="G469" s="80" t="s">
        <v>33</v>
      </c>
      <c r="H469" s="79">
        <v>10</v>
      </c>
      <c r="I469" s="80" t="s">
        <v>151</v>
      </c>
      <c r="J469" s="81">
        <v>33500</v>
      </c>
      <c r="K469" s="77" t="s">
        <v>151</v>
      </c>
      <c r="L469" s="82">
        <v>0.125</v>
      </c>
      <c r="M469" s="82">
        <v>0.05</v>
      </c>
      <c r="N469" s="79"/>
      <c r="O469" s="80" t="s">
        <v>151</v>
      </c>
      <c r="P469" s="74">
        <f t="shared" si="297"/>
        <v>0</v>
      </c>
      <c r="Q469" s="80" t="s">
        <v>151</v>
      </c>
      <c r="R469" s="81">
        <f t="shared" si="298"/>
        <v>0</v>
      </c>
      <c r="S469" s="81">
        <f t="shared" si="253"/>
        <v>0</v>
      </c>
    </row>
    <row r="470" spans="1:19" s="76" customFormat="1">
      <c r="A470" s="75" t="s">
        <v>247</v>
      </c>
      <c r="B470" s="76" t="s">
        <v>18</v>
      </c>
      <c r="C470" s="74"/>
      <c r="D470" s="77" t="s">
        <v>151</v>
      </c>
      <c r="E470" s="78"/>
      <c r="F470" s="79">
        <v>8</v>
      </c>
      <c r="G470" s="80" t="s">
        <v>33</v>
      </c>
      <c r="H470" s="79">
        <v>10</v>
      </c>
      <c r="I470" s="80" t="s">
        <v>151</v>
      </c>
      <c r="J470" s="81">
        <v>48500</v>
      </c>
      <c r="K470" s="77" t="s">
        <v>151</v>
      </c>
      <c r="L470" s="82">
        <v>0.125</v>
      </c>
      <c r="M470" s="82">
        <v>0.05</v>
      </c>
      <c r="N470" s="79"/>
      <c r="O470" s="80" t="s">
        <v>151</v>
      </c>
      <c r="P470" s="74">
        <f t="shared" si="297"/>
        <v>0</v>
      </c>
      <c r="Q470" s="80" t="s">
        <v>151</v>
      </c>
      <c r="R470" s="81">
        <f t="shared" si="298"/>
        <v>0</v>
      </c>
      <c r="S470" s="81">
        <f t="shared" si="253"/>
        <v>0</v>
      </c>
    </row>
    <row r="471" spans="1:19" s="76" customFormat="1">
      <c r="A471" s="75" t="s">
        <v>248</v>
      </c>
      <c r="B471" s="76" t="s">
        <v>18</v>
      </c>
      <c r="C471" s="74"/>
      <c r="D471" s="77" t="s">
        <v>151</v>
      </c>
      <c r="E471" s="78"/>
      <c r="F471" s="79">
        <v>10</v>
      </c>
      <c r="G471" s="80" t="s">
        <v>33</v>
      </c>
      <c r="H471" s="79">
        <v>12</v>
      </c>
      <c r="I471" s="80" t="s">
        <v>151</v>
      </c>
      <c r="J471" s="81">
        <v>17000</v>
      </c>
      <c r="K471" s="77" t="s">
        <v>151</v>
      </c>
      <c r="L471" s="82">
        <v>0.125</v>
      </c>
      <c r="M471" s="82">
        <v>0.05</v>
      </c>
      <c r="N471" s="79"/>
      <c r="O471" s="80" t="s">
        <v>151</v>
      </c>
      <c r="P471" s="74">
        <f t="shared" si="297"/>
        <v>0</v>
      </c>
      <c r="Q471" s="80" t="s">
        <v>151</v>
      </c>
      <c r="R471" s="81">
        <f t="shared" si="298"/>
        <v>0</v>
      </c>
      <c r="S471" s="81">
        <f t="shared" si="253"/>
        <v>0</v>
      </c>
    </row>
    <row r="472" spans="1:19" s="76" customFormat="1">
      <c r="A472" s="75" t="s">
        <v>249</v>
      </c>
      <c r="B472" s="76" t="s">
        <v>18</v>
      </c>
      <c r="C472" s="74"/>
      <c r="D472" s="77" t="s">
        <v>151</v>
      </c>
      <c r="E472" s="78"/>
      <c r="F472" s="79">
        <v>24</v>
      </c>
      <c r="G472" s="80" t="s">
        <v>33</v>
      </c>
      <c r="H472" s="79">
        <v>12</v>
      </c>
      <c r="I472" s="80" t="s">
        <v>151</v>
      </c>
      <c r="J472" s="81">
        <v>13300</v>
      </c>
      <c r="K472" s="77" t="s">
        <v>151</v>
      </c>
      <c r="L472" s="82">
        <v>0.125</v>
      </c>
      <c r="M472" s="82">
        <v>0.05</v>
      </c>
      <c r="N472" s="79"/>
      <c r="O472" s="80" t="s">
        <v>151</v>
      </c>
      <c r="P472" s="74">
        <f t="shared" si="297"/>
        <v>0</v>
      </c>
      <c r="Q472" s="80" t="s">
        <v>151</v>
      </c>
      <c r="R472" s="81">
        <f t="shared" si="298"/>
        <v>0</v>
      </c>
      <c r="S472" s="81">
        <f t="shared" si="253"/>
        <v>0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93" customFormat="1">
      <c r="A474" s="122" t="s">
        <v>250</v>
      </c>
      <c r="B474" s="93" t="s">
        <v>25</v>
      </c>
      <c r="C474" s="94"/>
      <c r="D474" s="95" t="s">
        <v>19</v>
      </c>
      <c r="E474" s="96">
        <v>2</v>
      </c>
      <c r="F474" s="97">
        <v>24</v>
      </c>
      <c r="G474" s="98" t="s">
        <v>40</v>
      </c>
      <c r="H474" s="97">
        <v>12</v>
      </c>
      <c r="I474" s="98" t="s">
        <v>19</v>
      </c>
      <c r="J474" s="99">
        <f>2160000/24/12</f>
        <v>7500</v>
      </c>
      <c r="K474" s="95" t="s">
        <v>19</v>
      </c>
      <c r="L474" s="100"/>
      <c r="M474" s="100">
        <v>0.17</v>
      </c>
      <c r="N474" s="97"/>
      <c r="O474" s="98" t="s">
        <v>19</v>
      </c>
      <c r="P474" s="94">
        <f t="shared" ref="P474:P477" si="311">(C474+(E474*F474*H474))-N474</f>
        <v>576</v>
      </c>
      <c r="Q474" s="98" t="s">
        <v>19</v>
      </c>
      <c r="R474" s="99">
        <f t="shared" ref="R474:R477" si="312">P474*(J474-(J474*L474)-((J474-(J474*L474))*M474))</f>
        <v>3585600</v>
      </c>
      <c r="S474" s="99">
        <f t="shared" si="253"/>
        <v>3230270.2702702698</v>
      </c>
    </row>
    <row r="475" spans="1:19" s="93" customFormat="1">
      <c r="A475" s="122" t="s">
        <v>251</v>
      </c>
      <c r="B475" s="93" t="s">
        <v>25</v>
      </c>
      <c r="C475" s="94"/>
      <c r="D475" s="95" t="s">
        <v>19</v>
      </c>
      <c r="E475" s="96">
        <v>2</v>
      </c>
      <c r="F475" s="97">
        <v>24</v>
      </c>
      <c r="G475" s="98" t="s">
        <v>40</v>
      </c>
      <c r="H475" s="97">
        <v>12</v>
      </c>
      <c r="I475" s="98" t="s">
        <v>19</v>
      </c>
      <c r="J475" s="99">
        <f>2160000/24/12</f>
        <v>7500</v>
      </c>
      <c r="K475" s="95" t="s">
        <v>19</v>
      </c>
      <c r="L475" s="100"/>
      <c r="M475" s="100">
        <v>0.17</v>
      </c>
      <c r="N475" s="97"/>
      <c r="O475" s="98" t="s">
        <v>19</v>
      </c>
      <c r="P475" s="94">
        <f t="shared" si="311"/>
        <v>576</v>
      </c>
      <c r="Q475" s="98" t="s">
        <v>19</v>
      </c>
      <c r="R475" s="99">
        <f t="shared" si="312"/>
        <v>3585600</v>
      </c>
      <c r="S475" s="99">
        <f t="shared" si="253"/>
        <v>3230270.2702702698</v>
      </c>
    </row>
    <row r="476" spans="1:19" s="19" customFormat="1">
      <c r="A476" s="39" t="s">
        <v>782</v>
      </c>
      <c r="B476" s="19" t="s">
        <v>25</v>
      </c>
      <c r="C476" s="20">
        <v>288</v>
      </c>
      <c r="D476" s="21" t="s">
        <v>19</v>
      </c>
      <c r="E476" s="26">
        <v>4</v>
      </c>
      <c r="F476" s="22">
        <v>24</v>
      </c>
      <c r="G476" s="23" t="s">
        <v>40</v>
      </c>
      <c r="H476" s="22">
        <v>12</v>
      </c>
      <c r="I476" s="23" t="s">
        <v>19</v>
      </c>
      <c r="J476" s="24">
        <f>2160000/24/12</f>
        <v>7500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 t="shared" si="311"/>
        <v>1440</v>
      </c>
      <c r="Q476" s="23" t="s">
        <v>19</v>
      </c>
      <c r="R476" s="24">
        <f t="shared" si="312"/>
        <v>8964000</v>
      </c>
      <c r="S476" s="24">
        <f t="shared" si="253"/>
        <v>8075675.6756756753</v>
      </c>
    </row>
    <row r="477" spans="1:19" s="19" customFormat="1">
      <c r="A477" s="39" t="s">
        <v>783</v>
      </c>
      <c r="B477" s="19" t="s">
        <v>25</v>
      </c>
      <c r="C477" s="20">
        <v>204</v>
      </c>
      <c r="D477" s="21" t="s">
        <v>19</v>
      </c>
      <c r="E477" s="26"/>
      <c r="F477" s="22">
        <v>12</v>
      </c>
      <c r="G477" s="23" t="s">
        <v>40</v>
      </c>
      <c r="H477" s="22">
        <v>12</v>
      </c>
      <c r="I477" s="23" t="s">
        <v>19</v>
      </c>
      <c r="J477" s="24">
        <f>3024000/12/12</f>
        <v>21000</v>
      </c>
      <c r="K477" s="21" t="s">
        <v>19</v>
      </c>
      <c r="L477" s="25"/>
      <c r="M477" s="25">
        <v>0.17</v>
      </c>
      <c r="N477" s="22"/>
      <c r="O477" s="23" t="s">
        <v>19</v>
      </c>
      <c r="P477" s="20">
        <f t="shared" si="311"/>
        <v>204</v>
      </c>
      <c r="Q477" s="23" t="s">
        <v>19</v>
      </c>
      <c r="R477" s="24">
        <f t="shared" si="312"/>
        <v>3555720</v>
      </c>
      <c r="S477" s="24">
        <f t="shared" si="253"/>
        <v>3203351.351351351</v>
      </c>
    </row>
    <row r="478" spans="1:19" s="19" customFormat="1">
      <c r="A478" s="18"/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19" customFormat="1" ht="15.75">
      <c r="A479" s="35" t="s">
        <v>252</v>
      </c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76" customFormat="1">
      <c r="A480" s="75" t="s">
        <v>253</v>
      </c>
      <c r="B480" s="76" t="s">
        <v>18</v>
      </c>
      <c r="C480" s="74"/>
      <c r="D480" s="77" t="s">
        <v>33</v>
      </c>
      <c r="E480" s="78"/>
      <c r="F480" s="79">
        <v>1</v>
      </c>
      <c r="G480" s="80" t="s">
        <v>20</v>
      </c>
      <c r="H480" s="79">
        <v>20</v>
      </c>
      <c r="I480" s="80" t="s">
        <v>33</v>
      </c>
      <c r="J480" s="81">
        <f>6200*12</f>
        <v>74400</v>
      </c>
      <c r="K480" s="77" t="s">
        <v>33</v>
      </c>
      <c r="L480" s="82">
        <v>0.125</v>
      </c>
      <c r="M480" s="82">
        <v>0.05</v>
      </c>
      <c r="N480" s="79"/>
      <c r="O480" s="80" t="s">
        <v>33</v>
      </c>
      <c r="P480" s="74">
        <f>(C480+(E480*F480*H480))-N480</f>
        <v>0</v>
      </c>
      <c r="Q480" s="80" t="s">
        <v>33</v>
      </c>
      <c r="R480" s="81">
        <f>P480*(J480-(J480*L480)-((J480-(J480*L480))*M480))</f>
        <v>0</v>
      </c>
      <c r="S480" s="81">
        <f t="shared" si="253"/>
        <v>0</v>
      </c>
    </row>
    <row r="481" spans="1:19" s="76" customFormat="1">
      <c r="A481" s="75" t="s">
        <v>254</v>
      </c>
      <c r="B481" s="76" t="s">
        <v>18</v>
      </c>
      <c r="C481" s="74"/>
      <c r="D481" s="77" t="s">
        <v>33</v>
      </c>
      <c r="E481" s="78"/>
      <c r="F481" s="79">
        <v>1</v>
      </c>
      <c r="G481" s="80" t="s">
        <v>20</v>
      </c>
      <c r="H481" s="79">
        <v>20</v>
      </c>
      <c r="I481" s="80" t="s">
        <v>33</v>
      </c>
      <c r="J481" s="81">
        <f>6800*12</f>
        <v>81600</v>
      </c>
      <c r="K481" s="77" t="s">
        <v>33</v>
      </c>
      <c r="L481" s="82">
        <v>0.125</v>
      </c>
      <c r="M481" s="82">
        <v>0.05</v>
      </c>
      <c r="N481" s="79"/>
      <c r="O481" s="80" t="s">
        <v>33</v>
      </c>
      <c r="P481" s="74">
        <f>(C481+(E481*F481*H481))-N481</f>
        <v>0</v>
      </c>
      <c r="Q481" s="80" t="s">
        <v>33</v>
      </c>
      <c r="R481" s="81">
        <f>P481*(J481-(J481*L481)-((J481-(J481*L481))*M481))</f>
        <v>0</v>
      </c>
      <c r="S481" s="81">
        <f t="shared" si="253"/>
        <v>0</v>
      </c>
    </row>
    <row r="482" spans="1:19" s="93" customFormat="1">
      <c r="A482" s="85" t="s">
        <v>870</v>
      </c>
      <c r="B482" s="93" t="s">
        <v>18</v>
      </c>
      <c r="C482" s="94"/>
      <c r="D482" s="95" t="s">
        <v>33</v>
      </c>
      <c r="E482" s="96">
        <v>1</v>
      </c>
      <c r="F482" s="97">
        <v>1</v>
      </c>
      <c r="G482" s="98" t="s">
        <v>20</v>
      </c>
      <c r="H482" s="97">
        <v>10</v>
      </c>
      <c r="I482" s="98" t="s">
        <v>33</v>
      </c>
      <c r="J482" s="99">
        <v>135600</v>
      </c>
      <c r="K482" s="95" t="s">
        <v>33</v>
      </c>
      <c r="L482" s="100">
        <v>0.125</v>
      </c>
      <c r="M482" s="100">
        <v>0.05</v>
      </c>
      <c r="N482" s="97"/>
      <c r="O482" s="98" t="s">
        <v>33</v>
      </c>
      <c r="P482" s="94">
        <f>(C482+(E482*F482*H482))-N482</f>
        <v>10</v>
      </c>
      <c r="Q482" s="98" t="s">
        <v>33</v>
      </c>
      <c r="R482" s="99">
        <f>P482*(J482-(J482*L482)-((J482-(J482*L482))*M482))</f>
        <v>1127175</v>
      </c>
      <c r="S482" s="99">
        <f t="shared" ref="S482" si="313">R482/1.11</f>
        <v>1015472.9729729729</v>
      </c>
    </row>
    <row r="483" spans="1:19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 ht="15.75">
      <c r="A484" s="35" t="s">
        <v>255</v>
      </c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19" customFormat="1">
      <c r="A485" s="60" t="s">
        <v>256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76" customFormat="1">
      <c r="A486" s="75" t="s">
        <v>257</v>
      </c>
      <c r="B486" s="76" t="s">
        <v>25</v>
      </c>
      <c r="C486" s="74"/>
      <c r="D486" s="77" t="s">
        <v>98</v>
      </c>
      <c r="E486" s="78"/>
      <c r="F486" s="79">
        <v>1</v>
      </c>
      <c r="G486" s="80" t="s">
        <v>20</v>
      </c>
      <c r="H486" s="79">
        <v>50</v>
      </c>
      <c r="I486" s="80" t="s">
        <v>98</v>
      </c>
      <c r="J486" s="81">
        <f>740000/50</f>
        <v>14800</v>
      </c>
      <c r="K486" s="77" t="s">
        <v>98</v>
      </c>
      <c r="L486" s="82"/>
      <c r="M486" s="82">
        <v>0.17</v>
      </c>
      <c r="N486" s="79"/>
      <c r="O486" s="80" t="s">
        <v>98</v>
      </c>
      <c r="P486" s="74">
        <f>(C486+(E486*F486*H486))-N486</f>
        <v>0</v>
      </c>
      <c r="Q486" s="80" t="s">
        <v>98</v>
      </c>
      <c r="R486" s="81">
        <f>P486*(J486-(J486*L486)-((J486-(J486*L486))*M486))</f>
        <v>0</v>
      </c>
      <c r="S486" s="81">
        <f t="shared" si="253"/>
        <v>0</v>
      </c>
    </row>
    <row r="487" spans="1:19" s="19" customFormat="1">
      <c r="A487" s="60" t="s">
        <v>258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18" t="s">
        <v>259</v>
      </c>
      <c r="B488" s="19" t="s">
        <v>260</v>
      </c>
      <c r="C488" s="20">
        <v>250</v>
      </c>
      <c r="D488" s="21" t="s">
        <v>98</v>
      </c>
      <c r="E488" s="26"/>
      <c r="F488" s="22">
        <v>1</v>
      </c>
      <c r="G488" s="23" t="s">
        <v>20</v>
      </c>
      <c r="H488" s="22">
        <v>50</v>
      </c>
      <c r="I488" s="23" t="s">
        <v>98</v>
      </c>
      <c r="J488" s="24">
        <v>32500</v>
      </c>
      <c r="K488" s="21" t="s">
        <v>98</v>
      </c>
      <c r="L488" s="25"/>
      <c r="M488" s="25"/>
      <c r="N488" s="22"/>
      <c r="O488" s="23" t="s">
        <v>98</v>
      </c>
      <c r="P488" s="20">
        <f>(C488+(E488*F488*H488))-N488</f>
        <v>250</v>
      </c>
      <c r="Q488" s="23" t="s">
        <v>98</v>
      </c>
      <c r="R488" s="24">
        <f>P488*(J488-(J488*L488)-((J488-(J488*L488))*M488))</f>
        <v>8125000</v>
      </c>
      <c r="S488" s="24">
        <f t="shared" ref="S488:S595" si="314">R488/1.11</f>
        <v>7319819.8198198192</v>
      </c>
    </row>
    <row r="489" spans="1:19" s="19" customFormat="1">
      <c r="A489" s="18"/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19" s="19" customFormat="1" ht="15.75">
      <c r="A490" s="35" t="s">
        <v>261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93" customFormat="1">
      <c r="A491" s="85" t="s">
        <v>262</v>
      </c>
      <c r="B491" s="93" t="s">
        <v>18</v>
      </c>
      <c r="C491" s="94"/>
      <c r="D491" s="95" t="s">
        <v>102</v>
      </c>
      <c r="E491" s="96">
        <v>2</v>
      </c>
      <c r="F491" s="97">
        <v>8</v>
      </c>
      <c r="G491" s="98" t="s">
        <v>33</v>
      </c>
      <c r="H491" s="97">
        <v>25</v>
      </c>
      <c r="I491" s="98" t="s">
        <v>102</v>
      </c>
      <c r="J491" s="99">
        <v>4800</v>
      </c>
      <c r="K491" s="95" t="s">
        <v>102</v>
      </c>
      <c r="L491" s="100">
        <v>0.125</v>
      </c>
      <c r="M491" s="100">
        <v>0.05</v>
      </c>
      <c r="N491" s="97"/>
      <c r="O491" s="98" t="s">
        <v>102</v>
      </c>
      <c r="P491" s="94">
        <f>(C491+(E491*F491*H491))-N491</f>
        <v>400</v>
      </c>
      <c r="Q491" s="98" t="s">
        <v>102</v>
      </c>
      <c r="R491" s="99">
        <f>P491*(J491-(J491*L491)-((J491-(J491*L491))*M491))</f>
        <v>1596000</v>
      </c>
      <c r="S491" s="99">
        <f t="shared" ref="S491" si="315">R491/1.11</f>
        <v>1437837.8378378376</v>
      </c>
    </row>
    <row r="492" spans="1:19" s="93" customFormat="1">
      <c r="A492" s="85" t="s">
        <v>263</v>
      </c>
      <c r="B492" s="93" t="s">
        <v>18</v>
      </c>
      <c r="C492" s="94"/>
      <c r="D492" s="95" t="s">
        <v>76</v>
      </c>
      <c r="E492" s="96">
        <v>3</v>
      </c>
      <c r="F492" s="97">
        <v>1</v>
      </c>
      <c r="G492" s="98" t="s">
        <v>20</v>
      </c>
      <c r="H492" s="97">
        <v>40</v>
      </c>
      <c r="I492" s="98" t="s">
        <v>76</v>
      </c>
      <c r="J492" s="99">
        <v>33750</v>
      </c>
      <c r="K492" s="95" t="s">
        <v>76</v>
      </c>
      <c r="L492" s="100">
        <v>0.125</v>
      </c>
      <c r="M492" s="100">
        <v>0.05</v>
      </c>
      <c r="N492" s="97"/>
      <c r="O492" s="98" t="s">
        <v>76</v>
      </c>
      <c r="P492" s="94">
        <f>(C492+(E492*F492*H492))-N492</f>
        <v>120</v>
      </c>
      <c r="Q492" s="98" t="s">
        <v>76</v>
      </c>
      <c r="R492" s="99">
        <f>P492*(J492-(J492*L492)-((J492-(J492*L492))*M492))</f>
        <v>3366562.5</v>
      </c>
      <c r="S492" s="99">
        <f t="shared" ref="S492" si="316">R492/1.11</f>
        <v>3032939.1891891891</v>
      </c>
    </row>
    <row r="493" spans="1:19" s="93" customFormat="1">
      <c r="A493" s="85" t="s">
        <v>264</v>
      </c>
      <c r="B493" s="93" t="s">
        <v>18</v>
      </c>
      <c r="C493" s="94"/>
      <c r="D493" s="95" t="s">
        <v>76</v>
      </c>
      <c r="E493" s="96">
        <v>3</v>
      </c>
      <c r="F493" s="97">
        <v>1</v>
      </c>
      <c r="G493" s="98" t="s">
        <v>20</v>
      </c>
      <c r="H493" s="97">
        <v>48</v>
      </c>
      <c r="I493" s="98" t="s">
        <v>76</v>
      </c>
      <c r="J493" s="99">
        <v>23000</v>
      </c>
      <c r="K493" s="95" t="s">
        <v>76</v>
      </c>
      <c r="L493" s="100">
        <v>0.125</v>
      </c>
      <c r="M493" s="100">
        <v>0.05</v>
      </c>
      <c r="N493" s="97"/>
      <c r="O493" s="98" t="s">
        <v>76</v>
      </c>
      <c r="P493" s="94">
        <f>(C493+(E493*F493*H493))-N493</f>
        <v>144</v>
      </c>
      <c r="Q493" s="98" t="s">
        <v>76</v>
      </c>
      <c r="R493" s="99">
        <f>P493*(J493-(J493*L493)-((J493-(J493*L493))*M493))</f>
        <v>2753100</v>
      </c>
      <c r="S493" s="99">
        <f t="shared" si="314"/>
        <v>2480270.2702702698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76" customFormat="1">
      <c r="A495" s="75" t="s">
        <v>265</v>
      </c>
      <c r="B495" s="76" t="s">
        <v>25</v>
      </c>
      <c r="C495" s="74"/>
      <c r="D495" s="77" t="s">
        <v>102</v>
      </c>
      <c r="E495" s="78"/>
      <c r="F495" s="79">
        <v>80</v>
      </c>
      <c r="G495" s="80" t="s">
        <v>33</v>
      </c>
      <c r="H495" s="79">
        <v>25</v>
      </c>
      <c r="I495" s="80" t="s">
        <v>102</v>
      </c>
      <c r="J495" s="81">
        <v>4500</v>
      </c>
      <c r="K495" s="77" t="s">
        <v>102</v>
      </c>
      <c r="L495" s="82"/>
      <c r="M495" s="82">
        <v>0.17</v>
      </c>
      <c r="N495" s="79"/>
      <c r="O495" s="80" t="s">
        <v>102</v>
      </c>
      <c r="P495" s="74">
        <f>(C495+(E495*F495*H495))-N495</f>
        <v>0</v>
      </c>
      <c r="Q495" s="80" t="s">
        <v>102</v>
      </c>
      <c r="R495" s="81">
        <f>P495*(J495-(J495*L495)-((J495-(J495*L495))*M495))</f>
        <v>0</v>
      </c>
      <c r="S495" s="81">
        <f t="shared" si="314"/>
        <v>0</v>
      </c>
    </row>
    <row r="496" spans="1:19" s="76" customFormat="1">
      <c r="A496" s="75" t="s">
        <v>266</v>
      </c>
      <c r="B496" s="76" t="s">
        <v>25</v>
      </c>
      <c r="C496" s="74"/>
      <c r="D496" s="77" t="s">
        <v>76</v>
      </c>
      <c r="E496" s="78"/>
      <c r="F496" s="79">
        <v>1</v>
      </c>
      <c r="G496" s="80" t="s">
        <v>20</v>
      </c>
      <c r="H496" s="79">
        <v>48</v>
      </c>
      <c r="I496" s="80" t="s">
        <v>76</v>
      </c>
      <c r="J496" s="81">
        <v>23500</v>
      </c>
      <c r="K496" s="77" t="s">
        <v>76</v>
      </c>
      <c r="L496" s="82"/>
      <c r="M496" s="82">
        <v>0.17</v>
      </c>
      <c r="N496" s="79"/>
      <c r="O496" s="80" t="s">
        <v>76</v>
      </c>
      <c r="P496" s="74">
        <f>(C496+(E496*F496*H496))-N496</f>
        <v>0</v>
      </c>
      <c r="Q496" s="80" t="s">
        <v>76</v>
      </c>
      <c r="R496" s="81">
        <f>P496*(J496-(J496*L496)-((J496-(J496*L496))*M496))</f>
        <v>0</v>
      </c>
      <c r="S496" s="81">
        <f t="shared" si="314"/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 ht="15.75">
      <c r="A498" s="35" t="s">
        <v>267</v>
      </c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>
      <c r="A499" s="18" t="s">
        <v>268</v>
      </c>
      <c r="B499" s="19" t="s">
        <v>18</v>
      </c>
      <c r="C499" s="20">
        <v>286</v>
      </c>
      <c r="D499" s="21" t="s">
        <v>151</v>
      </c>
      <c r="E499" s="26">
        <v>27</v>
      </c>
      <c r="F499" s="22">
        <v>10</v>
      </c>
      <c r="G499" s="23" t="s">
        <v>33</v>
      </c>
      <c r="H499" s="22">
        <v>24</v>
      </c>
      <c r="I499" s="23" t="s">
        <v>151</v>
      </c>
      <c r="J499" s="24">
        <v>8800</v>
      </c>
      <c r="K499" s="21" t="s">
        <v>151</v>
      </c>
      <c r="L499" s="25">
        <v>0.125</v>
      </c>
      <c r="M499" s="25">
        <v>0.05</v>
      </c>
      <c r="N499" s="22"/>
      <c r="O499" s="23" t="s">
        <v>151</v>
      </c>
      <c r="P499" s="20">
        <f t="shared" ref="P499:P520" si="317">(C499+(E499*F499*H499))-N499</f>
        <v>6766</v>
      </c>
      <c r="Q499" s="23" t="s">
        <v>151</v>
      </c>
      <c r="R499" s="24">
        <f t="shared" ref="R499:R520" si="318">P499*(J499-(J499*L499)-((J499-(J499*L499))*M499))</f>
        <v>49493290</v>
      </c>
      <c r="S499" s="24">
        <f t="shared" si="314"/>
        <v>44588549.549549542</v>
      </c>
    </row>
    <row r="500" spans="1:19" s="76" customFormat="1">
      <c r="A500" s="75" t="s">
        <v>269</v>
      </c>
      <c r="B500" s="76" t="s">
        <v>18</v>
      </c>
      <c r="C500" s="74"/>
      <c r="D500" s="77" t="s">
        <v>151</v>
      </c>
      <c r="E500" s="78"/>
      <c r="F500" s="79">
        <v>6</v>
      </c>
      <c r="G500" s="80" t="s">
        <v>33</v>
      </c>
      <c r="H500" s="79">
        <v>24</v>
      </c>
      <c r="I500" s="80" t="s">
        <v>151</v>
      </c>
      <c r="J500" s="81">
        <v>29500</v>
      </c>
      <c r="K500" s="77" t="s">
        <v>151</v>
      </c>
      <c r="L500" s="82">
        <v>0.125</v>
      </c>
      <c r="M500" s="82">
        <v>0.05</v>
      </c>
      <c r="N500" s="79"/>
      <c r="O500" s="80" t="s">
        <v>151</v>
      </c>
      <c r="P500" s="74">
        <f t="shared" si="317"/>
        <v>0</v>
      </c>
      <c r="Q500" s="80" t="s">
        <v>151</v>
      </c>
      <c r="R500" s="81">
        <f t="shared" si="318"/>
        <v>0</v>
      </c>
      <c r="S500" s="81">
        <f t="shared" si="314"/>
        <v>0</v>
      </c>
    </row>
    <row r="501" spans="1:19" s="76" customFormat="1">
      <c r="A501" s="75" t="s">
        <v>270</v>
      </c>
      <c r="B501" s="76" t="s">
        <v>18</v>
      </c>
      <c r="C501" s="74"/>
      <c r="D501" s="77" t="s">
        <v>151</v>
      </c>
      <c r="E501" s="78"/>
      <c r="F501" s="79">
        <v>12</v>
      </c>
      <c r="G501" s="80" t="s">
        <v>33</v>
      </c>
      <c r="H501" s="79">
        <v>12</v>
      </c>
      <c r="I501" s="80" t="s">
        <v>151</v>
      </c>
      <c r="J501" s="81">
        <v>19600</v>
      </c>
      <c r="K501" s="77" t="s">
        <v>151</v>
      </c>
      <c r="L501" s="82">
        <v>0.125</v>
      </c>
      <c r="M501" s="82">
        <v>0.05</v>
      </c>
      <c r="N501" s="79"/>
      <c r="O501" s="80" t="s">
        <v>151</v>
      </c>
      <c r="P501" s="74">
        <f t="shared" si="317"/>
        <v>0</v>
      </c>
      <c r="Q501" s="80" t="s">
        <v>151</v>
      </c>
      <c r="R501" s="81">
        <f t="shared" si="318"/>
        <v>0</v>
      </c>
      <c r="S501" s="81">
        <f t="shared" si="314"/>
        <v>0</v>
      </c>
    </row>
    <row r="502" spans="1:19" s="19" customFormat="1">
      <c r="A502" s="18" t="s">
        <v>271</v>
      </c>
      <c r="B502" s="19" t="s">
        <v>18</v>
      </c>
      <c r="C502" s="20">
        <v>120</v>
      </c>
      <c r="D502" s="21" t="s">
        <v>151</v>
      </c>
      <c r="E502" s="26"/>
      <c r="F502" s="22">
        <v>12</v>
      </c>
      <c r="G502" s="23" t="s">
        <v>33</v>
      </c>
      <c r="H502" s="22">
        <v>12</v>
      </c>
      <c r="I502" s="23" t="s">
        <v>151</v>
      </c>
      <c r="J502" s="24">
        <v>18500</v>
      </c>
      <c r="K502" s="21" t="s">
        <v>151</v>
      </c>
      <c r="L502" s="25">
        <v>0.125</v>
      </c>
      <c r="M502" s="25">
        <v>0.05</v>
      </c>
      <c r="N502" s="22"/>
      <c r="O502" s="23" t="s">
        <v>151</v>
      </c>
      <c r="P502" s="20">
        <f t="shared" si="317"/>
        <v>120</v>
      </c>
      <c r="Q502" s="23" t="s">
        <v>151</v>
      </c>
      <c r="R502" s="24">
        <f t="shared" si="318"/>
        <v>1845375</v>
      </c>
      <c r="S502" s="24">
        <f t="shared" si="314"/>
        <v>1662499.9999999998</v>
      </c>
    </row>
    <row r="503" spans="1:19" s="93" customFormat="1">
      <c r="A503" s="85" t="s">
        <v>272</v>
      </c>
      <c r="B503" s="93" t="s">
        <v>18</v>
      </c>
      <c r="C503" s="94"/>
      <c r="D503" s="95" t="s">
        <v>151</v>
      </c>
      <c r="E503" s="96">
        <v>5</v>
      </c>
      <c r="F503" s="97">
        <v>10</v>
      </c>
      <c r="G503" s="98" t="s">
        <v>33</v>
      </c>
      <c r="H503" s="97">
        <v>24</v>
      </c>
      <c r="I503" s="98" t="s">
        <v>151</v>
      </c>
      <c r="J503" s="99">
        <v>10600</v>
      </c>
      <c r="K503" s="95" t="s">
        <v>151</v>
      </c>
      <c r="L503" s="100">
        <v>0.125</v>
      </c>
      <c r="M503" s="100">
        <v>0.05</v>
      </c>
      <c r="N503" s="97"/>
      <c r="O503" s="98" t="s">
        <v>151</v>
      </c>
      <c r="P503" s="94">
        <f t="shared" si="317"/>
        <v>1200</v>
      </c>
      <c r="Q503" s="98" t="s">
        <v>151</v>
      </c>
      <c r="R503" s="99">
        <f t="shared" si="318"/>
        <v>10573500</v>
      </c>
      <c r="S503" s="99">
        <f t="shared" si="314"/>
        <v>9525675.6756756753</v>
      </c>
    </row>
    <row r="504" spans="1:19" s="19" customFormat="1">
      <c r="A504" s="28" t="s">
        <v>273</v>
      </c>
      <c r="B504" s="19" t="s">
        <v>18</v>
      </c>
      <c r="C504" s="20"/>
      <c r="D504" s="21" t="s">
        <v>151</v>
      </c>
      <c r="E504" s="26">
        <v>1</v>
      </c>
      <c r="F504" s="22">
        <v>20</v>
      </c>
      <c r="G504" s="23" t="s">
        <v>33</v>
      </c>
      <c r="H504" s="22">
        <v>12</v>
      </c>
      <c r="I504" s="23" t="s">
        <v>151</v>
      </c>
      <c r="J504" s="29">
        <v>7800</v>
      </c>
      <c r="K504" s="21" t="s">
        <v>151</v>
      </c>
      <c r="L504" s="30">
        <v>0.125</v>
      </c>
      <c r="M504" s="25">
        <v>0.05</v>
      </c>
      <c r="N504" s="22"/>
      <c r="O504" s="23" t="s">
        <v>151</v>
      </c>
      <c r="P504" s="20">
        <f t="shared" ref="P504" si="319">(C504+(E504*F504*H504))-N504</f>
        <v>240</v>
      </c>
      <c r="Q504" s="23" t="s">
        <v>151</v>
      </c>
      <c r="R504" s="24">
        <f t="shared" ref="R504" si="320">P504*(J504-(J504*L504)-((J504-(J504*L504))*M504))</f>
        <v>1556100</v>
      </c>
      <c r="S504" s="24">
        <f t="shared" ref="S504" si="321">R504/1.11</f>
        <v>1401891.8918918918</v>
      </c>
    </row>
    <row r="505" spans="1:19" s="19" customFormat="1">
      <c r="A505" s="28" t="s">
        <v>273</v>
      </c>
      <c r="B505" s="19" t="s">
        <v>18</v>
      </c>
      <c r="C505" s="20">
        <v>204</v>
      </c>
      <c r="D505" s="21" t="s">
        <v>151</v>
      </c>
      <c r="E505" s="26"/>
      <c r="F505" s="22">
        <v>20</v>
      </c>
      <c r="G505" s="23" t="s">
        <v>33</v>
      </c>
      <c r="H505" s="22">
        <v>12</v>
      </c>
      <c r="I505" s="23" t="s">
        <v>151</v>
      </c>
      <c r="J505" s="29">
        <v>4000</v>
      </c>
      <c r="K505" s="21" t="s">
        <v>151</v>
      </c>
      <c r="L505" s="30">
        <v>0.4</v>
      </c>
      <c r="M505" s="25">
        <v>0.05</v>
      </c>
      <c r="N505" s="22"/>
      <c r="O505" s="23" t="s">
        <v>151</v>
      </c>
      <c r="P505" s="20">
        <f t="shared" si="317"/>
        <v>204</v>
      </c>
      <c r="Q505" s="23" t="s">
        <v>151</v>
      </c>
      <c r="R505" s="24">
        <f t="shared" si="318"/>
        <v>465120</v>
      </c>
      <c r="S505" s="24">
        <f t="shared" si="314"/>
        <v>419027.02702702698</v>
      </c>
    </row>
    <row r="506" spans="1:19" s="19" customFormat="1">
      <c r="A506" s="18" t="s">
        <v>735</v>
      </c>
      <c r="B506" s="19" t="s">
        <v>18</v>
      </c>
      <c r="C506" s="20">
        <v>6</v>
      </c>
      <c r="D506" s="21" t="s">
        <v>151</v>
      </c>
      <c r="E506" s="26"/>
      <c r="F506" s="22">
        <v>12</v>
      </c>
      <c r="G506" s="23" t="s">
        <v>33</v>
      </c>
      <c r="H506" s="22">
        <v>12</v>
      </c>
      <c r="I506" s="23" t="s">
        <v>151</v>
      </c>
      <c r="J506" s="24">
        <v>34500</v>
      </c>
      <c r="K506" s="21" t="s">
        <v>151</v>
      </c>
      <c r="L506" s="25">
        <v>0.125</v>
      </c>
      <c r="M506" s="25">
        <v>0.05</v>
      </c>
      <c r="N506" s="22"/>
      <c r="O506" s="23" t="s">
        <v>151</v>
      </c>
      <c r="P506" s="20">
        <f t="shared" si="317"/>
        <v>6</v>
      </c>
      <c r="Q506" s="23" t="s">
        <v>151</v>
      </c>
      <c r="R506" s="24">
        <f t="shared" si="318"/>
        <v>172068.75</v>
      </c>
      <c r="S506" s="24">
        <f t="shared" si="314"/>
        <v>155016.89189189186</v>
      </c>
    </row>
    <row r="507" spans="1:19" s="93" customFormat="1">
      <c r="A507" s="85" t="s">
        <v>923</v>
      </c>
      <c r="B507" s="93" t="s">
        <v>18</v>
      </c>
      <c r="C507" s="94"/>
      <c r="D507" s="95" t="s">
        <v>151</v>
      </c>
      <c r="E507" s="96">
        <v>1</v>
      </c>
      <c r="F507" s="97">
        <v>1</v>
      </c>
      <c r="G507" s="98" t="s">
        <v>20</v>
      </c>
      <c r="H507" s="97">
        <v>240</v>
      </c>
      <c r="I507" s="98" t="s">
        <v>40</v>
      </c>
      <c r="J507" s="99">
        <v>28800</v>
      </c>
      <c r="K507" s="95" t="s">
        <v>40</v>
      </c>
      <c r="L507" s="100">
        <v>0.125</v>
      </c>
      <c r="M507" s="100">
        <v>0.05</v>
      </c>
      <c r="N507" s="97"/>
      <c r="O507" s="98" t="s">
        <v>40</v>
      </c>
      <c r="P507" s="94">
        <f t="shared" ref="P507" si="322">(C507+(E507*F507*H507))-N507</f>
        <v>240</v>
      </c>
      <c r="Q507" s="98" t="s">
        <v>40</v>
      </c>
      <c r="R507" s="99">
        <f t="shared" ref="R507" si="323">P507*(J507-(J507*L507)-((J507-(J507*L507))*M507))</f>
        <v>5745600</v>
      </c>
      <c r="S507" s="99">
        <f t="shared" ref="S507" si="324">R507/1.11</f>
        <v>5176216.2162162159</v>
      </c>
    </row>
    <row r="508" spans="1:19" s="67" customFormat="1">
      <c r="A508" s="66" t="s">
        <v>851</v>
      </c>
      <c r="B508" s="67" t="s">
        <v>18</v>
      </c>
      <c r="C508" s="68"/>
      <c r="D508" s="69" t="s">
        <v>151</v>
      </c>
      <c r="E508" s="70"/>
      <c r="F508" s="71">
        <v>1</v>
      </c>
      <c r="G508" s="72" t="s">
        <v>20</v>
      </c>
      <c r="H508" s="71">
        <v>240</v>
      </c>
      <c r="I508" s="72" t="s">
        <v>40</v>
      </c>
      <c r="J508" s="16">
        <v>26400</v>
      </c>
      <c r="K508" s="69" t="s">
        <v>40</v>
      </c>
      <c r="L508" s="73">
        <v>0.125</v>
      </c>
      <c r="M508" s="73">
        <v>0.05</v>
      </c>
      <c r="N508" s="71"/>
      <c r="O508" s="72" t="s">
        <v>40</v>
      </c>
      <c r="P508" s="68">
        <f t="shared" si="317"/>
        <v>0</v>
      </c>
      <c r="Q508" s="72" t="s">
        <v>40</v>
      </c>
      <c r="R508" s="16">
        <f t="shared" si="318"/>
        <v>0</v>
      </c>
      <c r="S508" s="16">
        <f t="shared" si="314"/>
        <v>0</v>
      </c>
    </row>
    <row r="509" spans="1:19" s="67" customFormat="1">
      <c r="A509" s="66" t="s">
        <v>852</v>
      </c>
      <c r="B509" s="67" t="s">
        <v>18</v>
      </c>
      <c r="C509" s="68"/>
      <c r="D509" s="69" t="s">
        <v>151</v>
      </c>
      <c r="E509" s="70"/>
      <c r="F509" s="71">
        <v>1</v>
      </c>
      <c r="G509" s="72" t="s">
        <v>20</v>
      </c>
      <c r="H509" s="71">
        <v>240</v>
      </c>
      <c r="I509" s="72" t="s">
        <v>40</v>
      </c>
      <c r="J509" s="16">
        <v>26400</v>
      </c>
      <c r="K509" s="69" t="s">
        <v>40</v>
      </c>
      <c r="L509" s="73">
        <v>0.125</v>
      </c>
      <c r="M509" s="73">
        <v>0.05</v>
      </c>
      <c r="N509" s="71"/>
      <c r="O509" s="72" t="s">
        <v>40</v>
      </c>
      <c r="P509" s="68">
        <f t="shared" si="317"/>
        <v>0</v>
      </c>
      <c r="Q509" s="72" t="s">
        <v>40</v>
      </c>
      <c r="R509" s="16">
        <f t="shared" si="318"/>
        <v>0</v>
      </c>
      <c r="S509" s="16">
        <f t="shared" si="314"/>
        <v>0</v>
      </c>
    </row>
    <row r="510" spans="1:19" s="67" customFormat="1">
      <c r="A510" s="66" t="s">
        <v>853</v>
      </c>
      <c r="B510" s="67" t="s">
        <v>18</v>
      </c>
      <c r="C510" s="68"/>
      <c r="D510" s="69" t="s">
        <v>151</v>
      </c>
      <c r="E510" s="70"/>
      <c r="F510" s="71">
        <v>1</v>
      </c>
      <c r="G510" s="72" t="s">
        <v>20</v>
      </c>
      <c r="H510" s="71">
        <v>240</v>
      </c>
      <c r="I510" s="72" t="s">
        <v>40</v>
      </c>
      <c r="J510" s="16">
        <v>30000</v>
      </c>
      <c r="K510" s="69" t="s">
        <v>40</v>
      </c>
      <c r="L510" s="73">
        <v>0.125</v>
      </c>
      <c r="M510" s="73">
        <v>0.05</v>
      </c>
      <c r="N510" s="71"/>
      <c r="O510" s="72" t="s">
        <v>40</v>
      </c>
      <c r="P510" s="68">
        <f t="shared" si="317"/>
        <v>0</v>
      </c>
      <c r="Q510" s="72" t="s">
        <v>40</v>
      </c>
      <c r="R510" s="16">
        <f t="shared" si="318"/>
        <v>0</v>
      </c>
      <c r="S510" s="16">
        <f t="shared" si="314"/>
        <v>0</v>
      </c>
    </row>
    <row r="511" spans="1:19" s="67" customFormat="1">
      <c r="A511" s="66" t="s">
        <v>854</v>
      </c>
      <c r="B511" s="67" t="s">
        <v>18</v>
      </c>
      <c r="C511" s="68"/>
      <c r="D511" s="69" t="s">
        <v>151</v>
      </c>
      <c r="E511" s="70"/>
      <c r="F511" s="71">
        <v>1</v>
      </c>
      <c r="G511" s="72" t="s">
        <v>20</v>
      </c>
      <c r="H511" s="71">
        <v>240</v>
      </c>
      <c r="I511" s="72" t="s">
        <v>40</v>
      </c>
      <c r="J511" s="16">
        <v>31200</v>
      </c>
      <c r="K511" s="69" t="s">
        <v>40</v>
      </c>
      <c r="L511" s="73">
        <v>0.125</v>
      </c>
      <c r="M511" s="73">
        <v>0.05</v>
      </c>
      <c r="N511" s="71"/>
      <c r="O511" s="72" t="s">
        <v>40</v>
      </c>
      <c r="P511" s="68">
        <f t="shared" si="317"/>
        <v>0</v>
      </c>
      <c r="Q511" s="72" t="s">
        <v>40</v>
      </c>
      <c r="R511" s="16">
        <f t="shared" si="318"/>
        <v>0</v>
      </c>
      <c r="S511" s="16">
        <f t="shared" si="314"/>
        <v>0</v>
      </c>
    </row>
    <row r="512" spans="1:19" s="93" customFormat="1">
      <c r="A512" s="85" t="s">
        <v>855</v>
      </c>
      <c r="B512" s="93" t="s">
        <v>18</v>
      </c>
      <c r="C512" s="94"/>
      <c r="D512" s="95" t="s">
        <v>151</v>
      </c>
      <c r="E512" s="96">
        <v>1</v>
      </c>
      <c r="F512" s="97">
        <v>1</v>
      </c>
      <c r="G512" s="98" t="s">
        <v>20</v>
      </c>
      <c r="H512" s="97">
        <v>240</v>
      </c>
      <c r="I512" s="98" t="s">
        <v>40</v>
      </c>
      <c r="J512" s="99">
        <v>34200</v>
      </c>
      <c r="K512" s="95" t="s">
        <v>40</v>
      </c>
      <c r="L512" s="100">
        <v>0.125</v>
      </c>
      <c r="M512" s="100">
        <v>0.05</v>
      </c>
      <c r="N512" s="97"/>
      <c r="O512" s="98" t="s">
        <v>40</v>
      </c>
      <c r="P512" s="94">
        <f t="shared" ref="P512" si="325">(C512+(E512*F512*H512))-N512</f>
        <v>240</v>
      </c>
      <c r="Q512" s="98" t="s">
        <v>40</v>
      </c>
      <c r="R512" s="99">
        <f t="shared" ref="R512" si="326">P512*(J512-(J512*L512)-((J512-(J512*L512))*M512))</f>
        <v>6822900</v>
      </c>
      <c r="S512" s="99">
        <f t="shared" ref="S512" si="327">R512/1.11</f>
        <v>6146756.7567567565</v>
      </c>
    </row>
    <row r="513" spans="1:19" s="67" customFormat="1">
      <c r="A513" s="66" t="s">
        <v>856</v>
      </c>
      <c r="B513" s="67" t="s">
        <v>18</v>
      </c>
      <c r="C513" s="68"/>
      <c r="D513" s="69" t="s">
        <v>151</v>
      </c>
      <c r="E513" s="70"/>
      <c r="F513" s="71">
        <v>1</v>
      </c>
      <c r="G513" s="72" t="s">
        <v>20</v>
      </c>
      <c r="H513" s="71">
        <v>240</v>
      </c>
      <c r="I513" s="72" t="s">
        <v>40</v>
      </c>
      <c r="J513" s="16">
        <v>37800</v>
      </c>
      <c r="K513" s="69" t="s">
        <v>40</v>
      </c>
      <c r="L513" s="73">
        <v>0.125</v>
      </c>
      <c r="M513" s="73">
        <v>0.05</v>
      </c>
      <c r="N513" s="71"/>
      <c r="O513" s="72" t="s">
        <v>40</v>
      </c>
      <c r="P513" s="68">
        <f t="shared" si="317"/>
        <v>0</v>
      </c>
      <c r="Q513" s="72" t="s">
        <v>40</v>
      </c>
      <c r="R513" s="16">
        <f t="shared" si="318"/>
        <v>0</v>
      </c>
      <c r="S513" s="16">
        <f t="shared" si="314"/>
        <v>0</v>
      </c>
    </row>
    <row r="514" spans="1:19" s="67" customFormat="1">
      <c r="A514" s="66" t="s">
        <v>857</v>
      </c>
      <c r="B514" s="67" t="s">
        <v>18</v>
      </c>
      <c r="C514" s="68"/>
      <c r="D514" s="69" t="s">
        <v>151</v>
      </c>
      <c r="E514" s="70"/>
      <c r="F514" s="71">
        <v>1</v>
      </c>
      <c r="G514" s="72" t="s">
        <v>20</v>
      </c>
      <c r="H514" s="71"/>
      <c r="I514" s="72" t="s">
        <v>40</v>
      </c>
      <c r="J514" s="16"/>
      <c r="K514" s="69" t="s">
        <v>40</v>
      </c>
      <c r="L514" s="73">
        <v>0.125</v>
      </c>
      <c r="M514" s="73">
        <v>0.05</v>
      </c>
      <c r="N514" s="71"/>
      <c r="O514" s="72" t="s">
        <v>40</v>
      </c>
      <c r="P514" s="68">
        <f t="shared" si="317"/>
        <v>0</v>
      </c>
      <c r="Q514" s="72" t="s">
        <v>40</v>
      </c>
      <c r="R514" s="16">
        <f t="shared" si="318"/>
        <v>0</v>
      </c>
      <c r="S514" s="16">
        <f t="shared" si="314"/>
        <v>0</v>
      </c>
    </row>
    <row r="515" spans="1:19" s="67" customFormat="1">
      <c r="A515" s="66" t="s">
        <v>858</v>
      </c>
      <c r="B515" s="67" t="s">
        <v>18</v>
      </c>
      <c r="C515" s="68"/>
      <c r="D515" s="69" t="s">
        <v>151</v>
      </c>
      <c r="E515" s="70"/>
      <c r="F515" s="71">
        <v>1</v>
      </c>
      <c r="G515" s="72" t="s">
        <v>20</v>
      </c>
      <c r="H515" s="71">
        <v>240</v>
      </c>
      <c r="I515" s="72" t="s">
        <v>40</v>
      </c>
      <c r="J515" s="16">
        <v>41400</v>
      </c>
      <c r="K515" s="69" t="s">
        <v>40</v>
      </c>
      <c r="L515" s="73">
        <v>0.125</v>
      </c>
      <c r="M515" s="73">
        <v>0.05</v>
      </c>
      <c r="N515" s="71"/>
      <c r="O515" s="72" t="s">
        <v>40</v>
      </c>
      <c r="P515" s="68">
        <f t="shared" si="317"/>
        <v>0</v>
      </c>
      <c r="Q515" s="72" t="s">
        <v>40</v>
      </c>
      <c r="R515" s="16">
        <f t="shared" si="318"/>
        <v>0</v>
      </c>
      <c r="S515" s="16">
        <f t="shared" si="314"/>
        <v>0</v>
      </c>
    </row>
    <row r="516" spans="1:19" s="67" customFormat="1">
      <c r="A516" s="66" t="s">
        <v>859</v>
      </c>
      <c r="B516" s="67" t="s">
        <v>18</v>
      </c>
      <c r="C516" s="68"/>
      <c r="D516" s="69" t="s">
        <v>151</v>
      </c>
      <c r="E516" s="70"/>
      <c r="F516" s="71">
        <v>1</v>
      </c>
      <c r="G516" s="72" t="s">
        <v>20</v>
      </c>
      <c r="H516" s="71">
        <v>240</v>
      </c>
      <c r="I516" s="72" t="s">
        <v>40</v>
      </c>
      <c r="J516" s="16">
        <v>45600</v>
      </c>
      <c r="K516" s="69" t="s">
        <v>40</v>
      </c>
      <c r="L516" s="73">
        <v>0.125</v>
      </c>
      <c r="M516" s="73">
        <v>0.05</v>
      </c>
      <c r="N516" s="71"/>
      <c r="O516" s="72" t="s">
        <v>40</v>
      </c>
      <c r="P516" s="68">
        <f t="shared" si="317"/>
        <v>0</v>
      </c>
      <c r="Q516" s="72" t="s">
        <v>40</v>
      </c>
      <c r="R516" s="16">
        <f t="shared" si="318"/>
        <v>0</v>
      </c>
      <c r="S516" s="16">
        <f t="shared" si="314"/>
        <v>0</v>
      </c>
    </row>
    <row r="517" spans="1:19" s="67" customFormat="1">
      <c r="A517" s="66" t="s">
        <v>860</v>
      </c>
      <c r="B517" s="67" t="s">
        <v>18</v>
      </c>
      <c r="C517" s="68"/>
      <c r="D517" s="69" t="s">
        <v>151</v>
      </c>
      <c r="E517" s="70"/>
      <c r="F517" s="71">
        <v>1</v>
      </c>
      <c r="G517" s="72" t="s">
        <v>20</v>
      </c>
      <c r="H517" s="71">
        <v>108</v>
      </c>
      <c r="I517" s="72" t="s">
        <v>40</v>
      </c>
      <c r="J517" s="16">
        <v>51000</v>
      </c>
      <c r="K517" s="69" t="s">
        <v>40</v>
      </c>
      <c r="L517" s="73">
        <v>0.125</v>
      </c>
      <c r="M517" s="73">
        <v>0.05</v>
      </c>
      <c r="N517" s="71"/>
      <c r="O517" s="72" t="s">
        <v>40</v>
      </c>
      <c r="P517" s="68">
        <f t="shared" si="317"/>
        <v>0</v>
      </c>
      <c r="Q517" s="72" t="s">
        <v>40</v>
      </c>
      <c r="R517" s="16">
        <f t="shared" si="318"/>
        <v>0</v>
      </c>
      <c r="S517" s="16">
        <f t="shared" si="314"/>
        <v>0</v>
      </c>
    </row>
    <row r="518" spans="1:19" s="67" customFormat="1">
      <c r="A518" s="66" t="s">
        <v>861</v>
      </c>
      <c r="B518" s="67" t="s">
        <v>18</v>
      </c>
      <c r="C518" s="68"/>
      <c r="D518" s="69" t="s">
        <v>151</v>
      </c>
      <c r="E518" s="70"/>
      <c r="F518" s="71">
        <v>1</v>
      </c>
      <c r="G518" s="72" t="s">
        <v>20</v>
      </c>
      <c r="H518" s="71">
        <v>108</v>
      </c>
      <c r="I518" s="72" t="s">
        <v>40</v>
      </c>
      <c r="J518" s="16">
        <v>55200</v>
      </c>
      <c r="K518" s="69" t="s">
        <v>40</v>
      </c>
      <c r="L518" s="73">
        <v>0.125</v>
      </c>
      <c r="M518" s="73">
        <v>0.05</v>
      </c>
      <c r="N518" s="71"/>
      <c r="O518" s="72" t="s">
        <v>40</v>
      </c>
      <c r="P518" s="68">
        <f t="shared" si="317"/>
        <v>0</v>
      </c>
      <c r="Q518" s="72" t="s">
        <v>40</v>
      </c>
      <c r="R518" s="16">
        <f t="shared" si="318"/>
        <v>0</v>
      </c>
      <c r="S518" s="16">
        <f t="shared" si="314"/>
        <v>0</v>
      </c>
    </row>
    <row r="519" spans="1:19" s="67" customFormat="1">
      <c r="A519" s="66" t="s">
        <v>862</v>
      </c>
      <c r="B519" s="67" t="s">
        <v>18</v>
      </c>
      <c r="C519" s="68"/>
      <c r="D519" s="69" t="s">
        <v>151</v>
      </c>
      <c r="E519" s="70"/>
      <c r="F519" s="71">
        <v>1</v>
      </c>
      <c r="G519" s="72" t="s">
        <v>20</v>
      </c>
      <c r="H519" s="71">
        <v>108</v>
      </c>
      <c r="I519" s="72" t="s">
        <v>40</v>
      </c>
      <c r="J519" s="16">
        <v>60300</v>
      </c>
      <c r="K519" s="69" t="s">
        <v>40</v>
      </c>
      <c r="L519" s="73">
        <v>0.125</v>
      </c>
      <c r="M519" s="73">
        <v>0.05</v>
      </c>
      <c r="N519" s="71"/>
      <c r="O519" s="72" t="s">
        <v>40</v>
      </c>
      <c r="P519" s="68">
        <f t="shared" si="317"/>
        <v>0</v>
      </c>
      <c r="Q519" s="72" t="s">
        <v>40</v>
      </c>
      <c r="R519" s="16">
        <f t="shared" si="318"/>
        <v>0</v>
      </c>
      <c r="S519" s="16">
        <f t="shared" si="314"/>
        <v>0</v>
      </c>
    </row>
    <row r="520" spans="1:19" s="67" customFormat="1">
      <c r="A520" s="66" t="s">
        <v>863</v>
      </c>
      <c r="B520" s="67" t="s">
        <v>18</v>
      </c>
      <c r="C520" s="68"/>
      <c r="D520" s="69" t="s">
        <v>151</v>
      </c>
      <c r="E520" s="70"/>
      <c r="F520" s="71">
        <v>1</v>
      </c>
      <c r="G520" s="72" t="s">
        <v>20</v>
      </c>
      <c r="H520" s="71">
        <v>108</v>
      </c>
      <c r="I520" s="72" t="s">
        <v>40</v>
      </c>
      <c r="J520" s="16">
        <v>65400</v>
      </c>
      <c r="K520" s="69" t="s">
        <v>40</v>
      </c>
      <c r="L520" s="73">
        <v>0.125</v>
      </c>
      <c r="M520" s="73">
        <v>0.05</v>
      </c>
      <c r="N520" s="71"/>
      <c r="O520" s="72" t="s">
        <v>40</v>
      </c>
      <c r="P520" s="68">
        <f t="shared" si="317"/>
        <v>0</v>
      </c>
      <c r="Q520" s="72" t="s">
        <v>40</v>
      </c>
      <c r="R520" s="16">
        <f t="shared" si="318"/>
        <v>0</v>
      </c>
      <c r="S520" s="16">
        <f t="shared" si="314"/>
        <v>0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 ht="15.75">
      <c r="A522" s="35" t="s">
        <v>274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60" t="s">
        <v>275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19" customFormat="1">
      <c r="A524" s="18" t="s">
        <v>276</v>
      </c>
      <c r="B524" s="19" t="s">
        <v>18</v>
      </c>
      <c r="C524" s="20">
        <v>4270</v>
      </c>
      <c r="D524" s="21" t="s">
        <v>277</v>
      </c>
      <c r="E524" s="26">
        <v>54</v>
      </c>
      <c r="F524" s="22">
        <v>100</v>
      </c>
      <c r="G524" s="23" t="s">
        <v>98</v>
      </c>
      <c r="H524" s="22">
        <v>10</v>
      </c>
      <c r="I524" s="23" t="s">
        <v>277</v>
      </c>
      <c r="J524" s="24">
        <v>2050</v>
      </c>
      <c r="K524" s="21" t="s">
        <v>277</v>
      </c>
      <c r="L524" s="25">
        <v>0.125</v>
      </c>
      <c r="M524" s="25">
        <v>0.05</v>
      </c>
      <c r="N524" s="22"/>
      <c r="O524" s="23" t="s">
        <v>277</v>
      </c>
      <c r="P524" s="20">
        <f t="shared" ref="P524:P533" si="328">(C524+(E524*F524*H524))-N524</f>
        <v>58270</v>
      </c>
      <c r="Q524" s="23" t="s">
        <v>277</v>
      </c>
      <c r="R524" s="24">
        <f t="shared" ref="R524:R533" si="329">P524*(J524-(J524*L524)-((J524-(J524*L524))*M524))</f>
        <v>99295721.875</v>
      </c>
      <c r="S524" s="24">
        <f t="shared" si="314"/>
        <v>89455605.292792782</v>
      </c>
    </row>
    <row r="525" spans="1:19" s="19" customFormat="1">
      <c r="A525" s="18" t="s">
        <v>278</v>
      </c>
      <c r="B525" s="19" t="s">
        <v>18</v>
      </c>
      <c r="C525" s="20">
        <v>1300</v>
      </c>
      <c r="D525" s="21" t="s">
        <v>277</v>
      </c>
      <c r="E525" s="26">
        <v>9</v>
      </c>
      <c r="F525" s="22">
        <v>100</v>
      </c>
      <c r="G525" s="23" t="s">
        <v>98</v>
      </c>
      <c r="H525" s="22">
        <v>10</v>
      </c>
      <c r="I525" s="23" t="s">
        <v>277</v>
      </c>
      <c r="J525" s="24">
        <v>3000</v>
      </c>
      <c r="K525" s="21" t="s">
        <v>277</v>
      </c>
      <c r="L525" s="25">
        <v>0.125</v>
      </c>
      <c r="M525" s="25">
        <v>0.05</v>
      </c>
      <c r="N525" s="22"/>
      <c r="O525" s="23" t="s">
        <v>277</v>
      </c>
      <c r="P525" s="20">
        <f t="shared" si="328"/>
        <v>10300</v>
      </c>
      <c r="Q525" s="23" t="s">
        <v>277</v>
      </c>
      <c r="R525" s="24">
        <f t="shared" si="329"/>
        <v>25685625</v>
      </c>
      <c r="S525" s="24">
        <f t="shared" si="314"/>
        <v>23140202.702702701</v>
      </c>
    </row>
    <row r="526" spans="1:19" s="19" customFormat="1">
      <c r="A526" s="18" t="s">
        <v>880</v>
      </c>
      <c r="B526" s="19" t="s">
        <v>18</v>
      </c>
      <c r="C526" s="20"/>
      <c r="D526" s="21" t="s">
        <v>277</v>
      </c>
      <c r="E526" s="26">
        <v>1</v>
      </c>
      <c r="F526" s="22">
        <v>50</v>
      </c>
      <c r="G526" s="23" t="s">
        <v>98</v>
      </c>
      <c r="H526" s="22">
        <v>10</v>
      </c>
      <c r="I526" s="23" t="s">
        <v>277</v>
      </c>
      <c r="J526" s="24">
        <v>3300</v>
      </c>
      <c r="K526" s="21" t="s">
        <v>277</v>
      </c>
      <c r="L526" s="25">
        <v>0.125</v>
      </c>
      <c r="M526" s="25">
        <v>0.05</v>
      </c>
      <c r="N526" s="22"/>
      <c r="O526" s="23" t="s">
        <v>277</v>
      </c>
      <c r="P526" s="20">
        <f t="shared" ref="P526" si="330">(C526+(E526*F526*H526))-N526</f>
        <v>500</v>
      </c>
      <c r="Q526" s="23" t="s">
        <v>277</v>
      </c>
      <c r="R526" s="24">
        <f t="shared" ref="R526" si="331">P526*(J526-(J526*L526)-((J526-(J526*L526))*M526))</f>
        <v>1371562.5</v>
      </c>
      <c r="S526" s="24">
        <f t="shared" ref="S526" si="332">R526/1.11</f>
        <v>1235641.8918918918</v>
      </c>
    </row>
    <row r="527" spans="1:19" s="19" customFormat="1">
      <c r="A527" s="18" t="s">
        <v>279</v>
      </c>
      <c r="B527" s="19" t="s">
        <v>18</v>
      </c>
      <c r="C527" s="20">
        <v>350</v>
      </c>
      <c r="D527" s="21" t="s">
        <v>277</v>
      </c>
      <c r="E527" s="26">
        <v>22</v>
      </c>
      <c r="F527" s="22">
        <v>50</v>
      </c>
      <c r="G527" s="23" t="s">
        <v>98</v>
      </c>
      <c r="H527" s="22">
        <v>10</v>
      </c>
      <c r="I527" s="23" t="s">
        <v>277</v>
      </c>
      <c r="J527" s="24">
        <v>3050</v>
      </c>
      <c r="K527" s="21" t="s">
        <v>277</v>
      </c>
      <c r="L527" s="25">
        <v>0.125</v>
      </c>
      <c r="M527" s="25">
        <v>0.05</v>
      </c>
      <c r="N527" s="22"/>
      <c r="O527" s="23" t="s">
        <v>277</v>
      </c>
      <c r="P527" s="20">
        <f t="shared" si="328"/>
        <v>11350</v>
      </c>
      <c r="Q527" s="23" t="s">
        <v>277</v>
      </c>
      <c r="R527" s="24">
        <f t="shared" si="329"/>
        <v>28775796.875</v>
      </c>
      <c r="S527" s="24">
        <f t="shared" si="314"/>
        <v>25924141.328828827</v>
      </c>
    </row>
    <row r="528" spans="1:19" s="19" customFormat="1">
      <c r="A528" s="18" t="s">
        <v>280</v>
      </c>
      <c r="B528" s="19" t="s">
        <v>18</v>
      </c>
      <c r="C528" s="20">
        <v>850</v>
      </c>
      <c r="D528" s="21" t="s">
        <v>277</v>
      </c>
      <c r="E528" s="26">
        <v>1</v>
      </c>
      <c r="F528" s="22">
        <v>50</v>
      </c>
      <c r="G528" s="23" t="s">
        <v>98</v>
      </c>
      <c r="H528" s="22">
        <v>10</v>
      </c>
      <c r="I528" s="23" t="s">
        <v>277</v>
      </c>
      <c r="J528" s="24">
        <v>4200</v>
      </c>
      <c r="K528" s="21" t="s">
        <v>277</v>
      </c>
      <c r="L528" s="25">
        <v>0.125</v>
      </c>
      <c r="M528" s="25">
        <v>0.05</v>
      </c>
      <c r="N528" s="22"/>
      <c r="O528" s="23" t="s">
        <v>277</v>
      </c>
      <c r="P528" s="20">
        <f t="shared" si="328"/>
        <v>1350</v>
      </c>
      <c r="Q528" s="23" t="s">
        <v>277</v>
      </c>
      <c r="R528" s="24">
        <f t="shared" si="329"/>
        <v>4713187.5</v>
      </c>
      <c r="S528" s="24">
        <f t="shared" si="314"/>
        <v>4246114.8648648644</v>
      </c>
    </row>
    <row r="529" spans="1:19" s="19" customFormat="1">
      <c r="A529" s="46" t="s">
        <v>281</v>
      </c>
      <c r="B529" s="19" t="s">
        <v>18</v>
      </c>
      <c r="C529" s="20">
        <v>2500</v>
      </c>
      <c r="D529" s="21" t="s">
        <v>277</v>
      </c>
      <c r="E529" s="26">
        <v>5</v>
      </c>
      <c r="F529" s="22">
        <v>50</v>
      </c>
      <c r="G529" s="23" t="s">
        <v>98</v>
      </c>
      <c r="H529" s="22">
        <v>10</v>
      </c>
      <c r="I529" s="23" t="s">
        <v>277</v>
      </c>
      <c r="J529" s="24">
        <v>4300</v>
      </c>
      <c r="K529" s="21" t="s">
        <v>277</v>
      </c>
      <c r="L529" s="25">
        <v>0.125</v>
      </c>
      <c r="M529" s="25">
        <v>0.05</v>
      </c>
      <c r="N529" s="22"/>
      <c r="O529" s="23" t="s">
        <v>277</v>
      </c>
      <c r="P529" s="20">
        <f t="shared" si="328"/>
        <v>5000</v>
      </c>
      <c r="Q529" s="23" t="s">
        <v>277</v>
      </c>
      <c r="R529" s="24">
        <f t="shared" si="329"/>
        <v>17871875</v>
      </c>
      <c r="S529" s="24">
        <f t="shared" si="314"/>
        <v>16100788.288288286</v>
      </c>
    </row>
    <row r="530" spans="1:19" s="76" customFormat="1">
      <c r="A530" s="109" t="s">
        <v>282</v>
      </c>
      <c r="B530" s="76" t="s">
        <v>18</v>
      </c>
      <c r="C530" s="74"/>
      <c r="D530" s="77" t="s">
        <v>277</v>
      </c>
      <c r="E530" s="78"/>
      <c r="F530" s="79">
        <v>100</v>
      </c>
      <c r="G530" s="80" t="s">
        <v>98</v>
      </c>
      <c r="H530" s="79">
        <v>10</v>
      </c>
      <c r="I530" s="80" t="s">
        <v>277</v>
      </c>
      <c r="J530" s="81">
        <v>3000</v>
      </c>
      <c r="K530" s="77" t="s">
        <v>277</v>
      </c>
      <c r="L530" s="82">
        <v>0.125</v>
      </c>
      <c r="M530" s="82">
        <v>0.05</v>
      </c>
      <c r="N530" s="79"/>
      <c r="O530" s="80" t="s">
        <v>277</v>
      </c>
      <c r="P530" s="74">
        <f t="shared" si="328"/>
        <v>0</v>
      </c>
      <c r="Q530" s="80" t="s">
        <v>277</v>
      </c>
      <c r="R530" s="81">
        <f t="shared" si="329"/>
        <v>0</v>
      </c>
      <c r="S530" s="81">
        <f t="shared" si="314"/>
        <v>0</v>
      </c>
    </row>
    <row r="531" spans="1:19" s="76" customFormat="1">
      <c r="A531" s="109" t="s">
        <v>283</v>
      </c>
      <c r="B531" s="76" t="s">
        <v>18</v>
      </c>
      <c r="C531" s="74"/>
      <c r="D531" s="77" t="s">
        <v>277</v>
      </c>
      <c r="E531" s="78"/>
      <c r="F531" s="79">
        <v>100</v>
      </c>
      <c r="G531" s="80" t="s">
        <v>98</v>
      </c>
      <c r="H531" s="79">
        <v>10</v>
      </c>
      <c r="I531" s="80" t="s">
        <v>277</v>
      </c>
      <c r="J531" s="81">
        <v>3000</v>
      </c>
      <c r="K531" s="77" t="s">
        <v>277</v>
      </c>
      <c r="L531" s="82">
        <v>0.125</v>
      </c>
      <c r="M531" s="82">
        <v>0.05</v>
      </c>
      <c r="N531" s="79"/>
      <c r="O531" s="80" t="s">
        <v>277</v>
      </c>
      <c r="P531" s="74">
        <f t="shared" si="328"/>
        <v>0</v>
      </c>
      <c r="Q531" s="80" t="s">
        <v>277</v>
      </c>
      <c r="R531" s="81">
        <f t="shared" si="329"/>
        <v>0</v>
      </c>
      <c r="S531" s="81">
        <f t="shared" si="314"/>
        <v>0</v>
      </c>
    </row>
    <row r="532" spans="1:19" s="76" customFormat="1">
      <c r="A532" s="109" t="s">
        <v>284</v>
      </c>
      <c r="B532" s="76" t="s">
        <v>18</v>
      </c>
      <c r="C532" s="74"/>
      <c r="D532" s="77" t="s">
        <v>277</v>
      </c>
      <c r="E532" s="78"/>
      <c r="F532" s="79">
        <v>50</v>
      </c>
      <c r="G532" s="80" t="s">
        <v>98</v>
      </c>
      <c r="H532" s="79">
        <v>10</v>
      </c>
      <c r="I532" s="80" t="s">
        <v>277</v>
      </c>
      <c r="J532" s="81">
        <v>4300</v>
      </c>
      <c r="K532" s="77" t="s">
        <v>277</v>
      </c>
      <c r="L532" s="82">
        <v>0.125</v>
      </c>
      <c r="M532" s="82">
        <v>0.05</v>
      </c>
      <c r="N532" s="79"/>
      <c r="O532" s="80" t="s">
        <v>277</v>
      </c>
      <c r="P532" s="74">
        <f t="shared" si="328"/>
        <v>0</v>
      </c>
      <c r="Q532" s="80" t="s">
        <v>277</v>
      </c>
      <c r="R532" s="81">
        <f t="shared" si="329"/>
        <v>0</v>
      </c>
      <c r="S532" s="81">
        <f t="shared" si="314"/>
        <v>0</v>
      </c>
    </row>
    <row r="533" spans="1:19" s="93" customFormat="1">
      <c r="A533" s="123" t="s">
        <v>285</v>
      </c>
      <c r="B533" s="93" t="s">
        <v>18</v>
      </c>
      <c r="C533" s="94"/>
      <c r="D533" s="95" t="s">
        <v>98</v>
      </c>
      <c r="E533" s="96">
        <v>1</v>
      </c>
      <c r="F533" s="97">
        <v>1</v>
      </c>
      <c r="G533" s="98" t="s">
        <v>20</v>
      </c>
      <c r="H533" s="97">
        <v>50</v>
      </c>
      <c r="I533" s="98" t="s">
        <v>98</v>
      </c>
      <c r="J533" s="99">
        <v>15500</v>
      </c>
      <c r="K533" s="95" t="s">
        <v>98</v>
      </c>
      <c r="L533" s="100">
        <v>0.125</v>
      </c>
      <c r="M533" s="100">
        <v>0.05</v>
      </c>
      <c r="N533" s="97"/>
      <c r="O533" s="98" t="s">
        <v>98</v>
      </c>
      <c r="P533" s="94">
        <f t="shared" si="328"/>
        <v>50</v>
      </c>
      <c r="Q533" s="98" t="s">
        <v>98</v>
      </c>
      <c r="R533" s="99">
        <f t="shared" si="329"/>
        <v>644218.75</v>
      </c>
      <c r="S533" s="99">
        <f t="shared" si="314"/>
        <v>580377.25225225219</v>
      </c>
    </row>
    <row r="534" spans="1:19" s="19" customFormat="1">
      <c r="A534" s="38"/>
      <c r="C534" s="20"/>
      <c r="D534" s="21"/>
      <c r="E534" s="26"/>
      <c r="F534" s="22"/>
      <c r="G534" s="23"/>
      <c r="H534" s="22"/>
      <c r="I534" s="23"/>
      <c r="J534" s="24"/>
      <c r="K534" s="21"/>
      <c r="L534" s="25"/>
      <c r="M534" s="25"/>
      <c r="N534" s="22"/>
      <c r="O534" s="23"/>
      <c r="P534" s="20"/>
      <c r="Q534" s="23"/>
      <c r="R534" s="24"/>
      <c r="S534" s="24"/>
    </row>
    <row r="535" spans="1:19" s="19" customFormat="1">
      <c r="A535" s="18" t="s">
        <v>286</v>
      </c>
      <c r="B535" s="19" t="s">
        <v>25</v>
      </c>
      <c r="C535" s="20">
        <v>290</v>
      </c>
      <c r="D535" s="21" t="s">
        <v>287</v>
      </c>
      <c r="E535" s="26">
        <v>32</v>
      </c>
      <c r="F535" s="22">
        <v>1</v>
      </c>
      <c r="G535" s="23" t="s">
        <v>20</v>
      </c>
      <c r="H535" s="22">
        <v>50</v>
      </c>
      <c r="I535" s="23" t="s">
        <v>287</v>
      </c>
      <c r="J535" s="24">
        <f>1050000/50</f>
        <v>21000</v>
      </c>
      <c r="K535" s="21" t="s">
        <v>287</v>
      </c>
      <c r="L535" s="25"/>
      <c r="M535" s="25">
        <v>0.17</v>
      </c>
      <c r="N535" s="22"/>
      <c r="O535" s="23" t="s">
        <v>287</v>
      </c>
      <c r="P535" s="20">
        <f>(C535+(E535*F535*H535))-N535</f>
        <v>1890</v>
      </c>
      <c r="Q535" s="23" t="s">
        <v>287</v>
      </c>
      <c r="R535" s="24">
        <f>P535*(J535-(J535*L535)-((J535-(J535*L535))*M535))</f>
        <v>32942700</v>
      </c>
      <c r="S535" s="24">
        <f t="shared" si="314"/>
        <v>29678108.108108107</v>
      </c>
    </row>
    <row r="536" spans="1:19" s="19" customFormat="1">
      <c r="A536" s="18" t="s">
        <v>288</v>
      </c>
      <c r="B536" s="19" t="s">
        <v>25</v>
      </c>
      <c r="C536" s="20">
        <v>175</v>
      </c>
      <c r="D536" s="21" t="s">
        <v>287</v>
      </c>
      <c r="E536" s="26">
        <v>3</v>
      </c>
      <c r="F536" s="22">
        <v>1</v>
      </c>
      <c r="G536" s="23" t="s">
        <v>20</v>
      </c>
      <c r="H536" s="22">
        <v>50</v>
      </c>
      <c r="I536" s="23" t="s">
        <v>287</v>
      </c>
      <c r="J536" s="24">
        <f>1350000/50</f>
        <v>27000</v>
      </c>
      <c r="K536" s="21" t="s">
        <v>287</v>
      </c>
      <c r="L536" s="25"/>
      <c r="M536" s="25">
        <v>0.17</v>
      </c>
      <c r="N536" s="22"/>
      <c r="O536" s="23" t="s">
        <v>287</v>
      </c>
      <c r="P536" s="20">
        <f>(C536+(E536*F536*H536))-N536</f>
        <v>325</v>
      </c>
      <c r="Q536" s="23" t="s">
        <v>287</v>
      </c>
      <c r="R536" s="24">
        <f>P536*(J536-(J536*L536)-((J536-(J536*L536))*M536))</f>
        <v>7283250</v>
      </c>
      <c r="S536" s="24">
        <f t="shared" si="314"/>
        <v>6561486.4864864862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0" t="s">
        <v>289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19" s="19" customFormat="1">
      <c r="A539" s="18" t="s">
        <v>290</v>
      </c>
      <c r="B539" s="19" t="s">
        <v>18</v>
      </c>
      <c r="C539" s="20">
        <v>2</v>
      </c>
      <c r="D539" s="21" t="s">
        <v>19</v>
      </c>
      <c r="E539" s="26">
        <v>32</v>
      </c>
      <c r="F539" s="22">
        <v>1</v>
      </c>
      <c r="G539" s="23" t="s">
        <v>20</v>
      </c>
      <c r="H539" s="22">
        <v>20</v>
      </c>
      <c r="I539" s="23" t="s">
        <v>19</v>
      </c>
      <c r="J539" s="24">
        <v>40500</v>
      </c>
      <c r="K539" s="21" t="s">
        <v>19</v>
      </c>
      <c r="L539" s="25">
        <v>0.125</v>
      </c>
      <c r="M539" s="25">
        <v>0.05</v>
      </c>
      <c r="N539" s="22"/>
      <c r="O539" s="23" t="s">
        <v>19</v>
      </c>
      <c r="P539" s="20">
        <f>(C539+(E539*F539*H539))-N539</f>
        <v>642</v>
      </c>
      <c r="Q539" s="23" t="s">
        <v>19</v>
      </c>
      <c r="R539" s="24">
        <f>P539*(J539-(J539*L539)-((J539-(J539*L539))*M539))</f>
        <v>21613331.25</v>
      </c>
      <c r="S539" s="24">
        <f t="shared" si="314"/>
        <v>19471469.594594594</v>
      </c>
    </row>
    <row r="540" spans="1:19" s="93" customFormat="1">
      <c r="A540" s="85" t="s">
        <v>864</v>
      </c>
      <c r="B540" s="93" t="s">
        <v>18</v>
      </c>
      <c r="C540" s="94">
        <v>8</v>
      </c>
      <c r="D540" s="95" t="s">
        <v>19</v>
      </c>
      <c r="E540" s="96">
        <v>2</v>
      </c>
      <c r="F540" s="97">
        <v>1</v>
      </c>
      <c r="G540" s="98" t="s">
        <v>20</v>
      </c>
      <c r="H540" s="97">
        <v>20</v>
      </c>
      <c r="I540" s="98" t="s">
        <v>19</v>
      </c>
      <c r="J540" s="99">
        <v>94500</v>
      </c>
      <c r="K540" s="95" t="s">
        <v>19</v>
      </c>
      <c r="L540" s="100">
        <v>0.125</v>
      </c>
      <c r="M540" s="100">
        <v>0.05</v>
      </c>
      <c r="N540" s="97"/>
      <c r="O540" s="98" t="s">
        <v>19</v>
      </c>
      <c r="P540" s="94">
        <f>(C540+(E540*F540*H540))-N540</f>
        <v>48</v>
      </c>
      <c r="Q540" s="98" t="s">
        <v>19</v>
      </c>
      <c r="R540" s="99">
        <f>P540*(J540-(J540*L540)-((J540-(J540*L540))*M540))</f>
        <v>3770550</v>
      </c>
      <c r="S540" s="99">
        <f t="shared" si="314"/>
        <v>3396891.8918918916</v>
      </c>
    </row>
    <row r="541" spans="1:19" s="93" customFormat="1">
      <c r="A541" s="155" t="s">
        <v>1050</v>
      </c>
      <c r="B541" s="93" t="s">
        <v>18</v>
      </c>
      <c r="C541" s="94"/>
      <c r="D541" s="95" t="s">
        <v>19</v>
      </c>
      <c r="E541" s="96"/>
      <c r="F541" s="97">
        <v>1</v>
      </c>
      <c r="G541" s="98" t="s">
        <v>20</v>
      </c>
      <c r="H541" s="97">
        <v>20</v>
      </c>
      <c r="I541" s="98" t="s">
        <v>19</v>
      </c>
      <c r="J541" s="99">
        <v>94500</v>
      </c>
      <c r="K541" s="95" t="s">
        <v>19</v>
      </c>
      <c r="L541" s="100">
        <v>0.125</v>
      </c>
      <c r="M541" s="100">
        <v>0.05</v>
      </c>
      <c r="N541" s="97"/>
      <c r="O541" s="98" t="s">
        <v>19</v>
      </c>
      <c r="P541" s="94">
        <f>(C541+(E541*F541*H541))-N541</f>
        <v>0</v>
      </c>
      <c r="Q541" s="98" t="s">
        <v>19</v>
      </c>
      <c r="R541" s="99">
        <f>P541*(J541-(J541*L541)-((J541-(J541*L541))*M541))</f>
        <v>0</v>
      </c>
      <c r="S541" s="99">
        <f t="shared" ref="S541" si="333">R541/1.11</f>
        <v>0</v>
      </c>
    </row>
    <row r="542" spans="1:19" s="19" customFormat="1">
      <c r="A542" s="18"/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19" s="19" customFormat="1">
      <c r="A543" s="18" t="s">
        <v>291</v>
      </c>
      <c r="B543" s="19" t="s">
        <v>25</v>
      </c>
      <c r="C543" s="20">
        <v>34</v>
      </c>
      <c r="D543" s="21" t="s">
        <v>19</v>
      </c>
      <c r="E543" s="26">
        <v>13</v>
      </c>
      <c r="F543" s="22">
        <v>1</v>
      </c>
      <c r="G543" s="23" t="s">
        <v>20</v>
      </c>
      <c r="H543" s="22">
        <v>50</v>
      </c>
      <c r="I543" s="23" t="s">
        <v>19</v>
      </c>
      <c r="J543" s="24">
        <f>2250000/50</f>
        <v>45000</v>
      </c>
      <c r="K543" s="21" t="s">
        <v>19</v>
      </c>
      <c r="L543" s="25"/>
      <c r="M543" s="25">
        <v>0.17</v>
      </c>
      <c r="N543" s="22"/>
      <c r="O543" s="23" t="s">
        <v>19</v>
      </c>
      <c r="P543" s="20">
        <f>(C543+(E543*F543*H543))-N543</f>
        <v>684</v>
      </c>
      <c r="Q543" s="23" t="s">
        <v>19</v>
      </c>
      <c r="R543" s="24">
        <f>P543*(J543-(J543*L543)-((J543-(J543*L543))*M543))</f>
        <v>25547400</v>
      </c>
      <c r="S543" s="24">
        <f t="shared" si="314"/>
        <v>23015675.675675675</v>
      </c>
    </row>
    <row r="544" spans="1:19" s="19" customFormat="1">
      <c r="A544" s="18" t="s">
        <v>292</v>
      </c>
      <c r="B544" s="19" t="s">
        <v>25</v>
      </c>
      <c r="C544" s="20"/>
      <c r="D544" s="21" t="s">
        <v>19</v>
      </c>
      <c r="E544" s="26">
        <v>6</v>
      </c>
      <c r="F544" s="22">
        <v>1</v>
      </c>
      <c r="G544" s="23" t="s">
        <v>20</v>
      </c>
      <c r="H544" s="22">
        <v>50</v>
      </c>
      <c r="I544" s="23" t="s">
        <v>19</v>
      </c>
      <c r="J544" s="24">
        <f>2750000/50</f>
        <v>55000</v>
      </c>
      <c r="K544" s="21" t="s">
        <v>19</v>
      </c>
      <c r="L544" s="25"/>
      <c r="M544" s="25">
        <v>0.17</v>
      </c>
      <c r="N544" s="22"/>
      <c r="O544" s="23" t="s">
        <v>19</v>
      </c>
      <c r="P544" s="20">
        <f>(C544+(E544*F544*H544))-N544</f>
        <v>300</v>
      </c>
      <c r="Q544" s="23" t="s">
        <v>19</v>
      </c>
      <c r="R544" s="24">
        <f>P544*(J544-(J544*L544)-((J544-(J544*L544))*M544))</f>
        <v>13695000</v>
      </c>
      <c r="S544" s="24">
        <f t="shared" si="314"/>
        <v>12337837.837837838</v>
      </c>
    </row>
    <row r="545" spans="1:19" s="19" customFormat="1">
      <c r="A545" s="39" t="s">
        <v>293</v>
      </c>
      <c r="B545" s="19" t="s">
        <v>25</v>
      </c>
      <c r="C545" s="20">
        <v>54</v>
      </c>
      <c r="D545" s="21" t="s">
        <v>19</v>
      </c>
      <c r="E545" s="26">
        <v>4</v>
      </c>
      <c r="F545" s="22">
        <v>1</v>
      </c>
      <c r="G545" s="23" t="s">
        <v>20</v>
      </c>
      <c r="H545" s="22">
        <v>50</v>
      </c>
      <c r="I545" s="23" t="s">
        <v>19</v>
      </c>
      <c r="J545" s="24">
        <f>4750000/50</f>
        <v>95000</v>
      </c>
      <c r="K545" s="21" t="s">
        <v>19</v>
      </c>
      <c r="L545" s="25"/>
      <c r="M545" s="25">
        <v>0.17</v>
      </c>
      <c r="N545" s="22"/>
      <c r="O545" s="23" t="s">
        <v>19</v>
      </c>
      <c r="P545" s="20">
        <f>(C545+(E545*F545*H545))-N545</f>
        <v>254</v>
      </c>
      <c r="Q545" s="23" t="s">
        <v>19</v>
      </c>
      <c r="R545" s="24">
        <f>P545*(J545-(J545*L545)-((J545-(J545*L545))*M545))</f>
        <v>20027900</v>
      </c>
      <c r="S545" s="24">
        <f t="shared" si="314"/>
        <v>18043153.153153151</v>
      </c>
    </row>
    <row r="546" spans="1:19" s="19" customFormat="1">
      <c r="A546" s="18"/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19" customFormat="1" ht="15.75">
      <c r="A547" s="35" t="s">
        <v>294</v>
      </c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</row>
    <row r="548" spans="1:19" s="76" customFormat="1">
      <c r="A548" s="75" t="s">
        <v>785</v>
      </c>
      <c r="B548" s="76" t="s">
        <v>18</v>
      </c>
      <c r="C548" s="74"/>
      <c r="D548" s="77" t="s">
        <v>98</v>
      </c>
      <c r="E548" s="78"/>
      <c r="F548" s="79">
        <v>1</v>
      </c>
      <c r="G548" s="80" t="s">
        <v>20</v>
      </c>
      <c r="H548" s="79">
        <v>10</v>
      </c>
      <c r="I548" s="80" t="s">
        <v>98</v>
      </c>
      <c r="J548" s="81">
        <v>85000</v>
      </c>
      <c r="K548" s="77" t="s">
        <v>98</v>
      </c>
      <c r="L548" s="82">
        <v>0.125</v>
      </c>
      <c r="M548" s="82">
        <v>0.05</v>
      </c>
      <c r="N548" s="79"/>
      <c r="O548" s="80" t="s">
        <v>98</v>
      </c>
      <c r="P548" s="74">
        <f>(C548+(E548*F548*H548))-N548</f>
        <v>0</v>
      </c>
      <c r="Q548" s="80" t="s">
        <v>98</v>
      </c>
      <c r="R548" s="81">
        <f>P548*(J548-(J548*L548)-((J548-(J548*L548))*M548))</f>
        <v>0</v>
      </c>
      <c r="S548" s="81">
        <f t="shared" ref="S548:S549" si="334">R548/1.11</f>
        <v>0</v>
      </c>
    </row>
    <row r="549" spans="1:19" s="93" customFormat="1">
      <c r="A549" s="85" t="s">
        <v>295</v>
      </c>
      <c r="B549" s="93" t="s">
        <v>18</v>
      </c>
      <c r="C549" s="94"/>
      <c r="D549" s="95" t="s">
        <v>98</v>
      </c>
      <c r="E549" s="96">
        <v>2</v>
      </c>
      <c r="F549" s="97">
        <v>1</v>
      </c>
      <c r="G549" s="98" t="s">
        <v>20</v>
      </c>
      <c r="H549" s="97">
        <v>10</v>
      </c>
      <c r="I549" s="98" t="s">
        <v>98</v>
      </c>
      <c r="J549" s="99">
        <v>95000</v>
      </c>
      <c r="K549" s="95" t="s">
        <v>98</v>
      </c>
      <c r="L549" s="100">
        <v>0.125</v>
      </c>
      <c r="M549" s="100">
        <v>0.05</v>
      </c>
      <c r="N549" s="97"/>
      <c r="O549" s="98" t="s">
        <v>98</v>
      </c>
      <c r="P549" s="94">
        <f>(C549+(E549*F549*H549))-N549</f>
        <v>20</v>
      </c>
      <c r="Q549" s="98" t="s">
        <v>98</v>
      </c>
      <c r="R549" s="99">
        <f>P549*(J549-(J549*L549)-((J549-(J549*L549))*M549))</f>
        <v>1579375</v>
      </c>
      <c r="S549" s="99">
        <f t="shared" si="334"/>
        <v>1422860.3603603602</v>
      </c>
    </row>
    <row r="550" spans="1:19" s="93" customFormat="1">
      <c r="A550" s="85" t="s">
        <v>295</v>
      </c>
      <c r="B550" s="93" t="s">
        <v>18</v>
      </c>
      <c r="C550" s="94"/>
      <c r="D550" s="95" t="s">
        <v>98</v>
      </c>
      <c r="E550" s="96">
        <v>5</v>
      </c>
      <c r="F550" s="97">
        <v>1</v>
      </c>
      <c r="G550" s="98" t="s">
        <v>20</v>
      </c>
      <c r="H550" s="97">
        <v>10</v>
      </c>
      <c r="I550" s="98" t="s">
        <v>98</v>
      </c>
      <c r="J550" s="99">
        <v>89000</v>
      </c>
      <c r="K550" s="95" t="s">
        <v>98</v>
      </c>
      <c r="L550" s="100">
        <v>0.125</v>
      </c>
      <c r="M550" s="100">
        <v>0.05</v>
      </c>
      <c r="N550" s="97"/>
      <c r="O550" s="98" t="s">
        <v>98</v>
      </c>
      <c r="P550" s="94">
        <f>(C550+(E550*F550*H550))-N550</f>
        <v>50</v>
      </c>
      <c r="Q550" s="98" t="s">
        <v>98</v>
      </c>
      <c r="R550" s="99">
        <f>P550*(J550-(J550*L550)-((J550-(J550*L550))*M550))</f>
        <v>3699062.5</v>
      </c>
      <c r="S550" s="99">
        <f t="shared" ref="S550" si="335">R550/1.11</f>
        <v>3332488.7387387385</v>
      </c>
    </row>
    <row r="551" spans="1:19" s="93" customFormat="1">
      <c r="A551" s="155" t="s">
        <v>295</v>
      </c>
      <c r="B551" s="93" t="s">
        <v>18</v>
      </c>
      <c r="C551" s="94"/>
      <c r="D551" s="95" t="s">
        <v>98</v>
      </c>
      <c r="E551" s="96"/>
      <c r="F551" s="97">
        <v>1</v>
      </c>
      <c r="G551" s="98" t="s">
        <v>20</v>
      </c>
      <c r="H551" s="97">
        <v>10</v>
      </c>
      <c r="I551" s="98" t="s">
        <v>98</v>
      </c>
      <c r="J551" s="99">
        <v>86000</v>
      </c>
      <c r="K551" s="95" t="s">
        <v>98</v>
      </c>
      <c r="L551" s="100">
        <v>0.125</v>
      </c>
      <c r="M551" s="100">
        <v>0.05</v>
      </c>
      <c r="N551" s="97"/>
      <c r="O551" s="98" t="s">
        <v>98</v>
      </c>
      <c r="P551" s="94">
        <f>(C551+(E551*F551*H551))-N551</f>
        <v>0</v>
      </c>
      <c r="Q551" s="98" t="s">
        <v>98</v>
      </c>
      <c r="R551" s="99">
        <f>P551*(J551-(J551*L551)-((J551-(J551*L551))*M551))</f>
        <v>0</v>
      </c>
      <c r="S551" s="99">
        <f t="shared" ref="S551" si="336">R551/1.11</f>
        <v>0</v>
      </c>
    </row>
    <row r="552" spans="1:19" s="19" customFormat="1">
      <c r="A552" s="18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19" customFormat="1">
      <c r="A553" s="18" t="s">
        <v>296</v>
      </c>
      <c r="B553" s="19" t="s">
        <v>25</v>
      </c>
      <c r="C553" s="20">
        <v>100</v>
      </c>
      <c r="D553" s="21" t="s">
        <v>98</v>
      </c>
      <c r="E553" s="26">
        <v>30</v>
      </c>
      <c r="F553" s="22">
        <v>1</v>
      </c>
      <c r="G553" s="23" t="s">
        <v>20</v>
      </c>
      <c r="H553" s="22">
        <v>10</v>
      </c>
      <c r="I553" s="23" t="s">
        <v>98</v>
      </c>
      <c r="J553" s="24">
        <f>1150000/10</f>
        <v>115000</v>
      </c>
      <c r="K553" s="21" t="s">
        <v>98</v>
      </c>
      <c r="L553" s="25"/>
      <c r="M553" s="25">
        <v>0.17</v>
      </c>
      <c r="N553" s="22"/>
      <c r="O553" s="23" t="s">
        <v>98</v>
      </c>
      <c r="P553" s="20">
        <f>(C553+(E553*F553*H553))-N553</f>
        <v>400</v>
      </c>
      <c r="Q553" s="23" t="s">
        <v>98</v>
      </c>
      <c r="R553" s="24">
        <f>P553*(J553-(J553*L553)-((J553-(J553*L553))*M553))</f>
        <v>38180000</v>
      </c>
      <c r="S553" s="24">
        <f t="shared" si="314"/>
        <v>34396396.396396391</v>
      </c>
    </row>
    <row r="554" spans="1:19" s="19" customFormat="1">
      <c r="A554" s="18"/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19" customFormat="1">
      <c r="A555" s="156" t="s">
        <v>1051</v>
      </c>
      <c r="B555" s="19" t="s">
        <v>171</v>
      </c>
      <c r="C555" s="20"/>
      <c r="D555" s="21" t="s">
        <v>98</v>
      </c>
      <c r="E555" s="26"/>
      <c r="F555" s="22">
        <v>1</v>
      </c>
      <c r="G555" s="23" t="s">
        <v>20</v>
      </c>
      <c r="H555" s="22">
        <v>10</v>
      </c>
      <c r="I555" s="23" t="s">
        <v>98</v>
      </c>
      <c r="J555" s="24">
        <v>61500</v>
      </c>
      <c r="K555" s="21" t="s">
        <v>98</v>
      </c>
      <c r="L555" s="25">
        <v>7.0000000000000007E-2</v>
      </c>
      <c r="M555" s="25"/>
      <c r="N555" s="22"/>
      <c r="O555" s="23" t="s">
        <v>98</v>
      </c>
      <c r="P555" s="20">
        <f>(C555+(E555*F555*H555))-N555</f>
        <v>0</v>
      </c>
      <c r="Q555" s="23" t="s">
        <v>98</v>
      </c>
      <c r="R555" s="24">
        <f>P555*(J555-(J555*L555)-((J555-(J555*L555))*M555))</f>
        <v>0</v>
      </c>
      <c r="S555" s="24">
        <f t="shared" ref="S555" si="337">R555/1.11</f>
        <v>0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 ht="15.75">
      <c r="A557" s="35" t="s">
        <v>297</v>
      </c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19" s="19" customFormat="1">
      <c r="A558" s="60" t="s">
        <v>298</v>
      </c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93" customFormat="1">
      <c r="A559" s="155" t="s">
        <v>299</v>
      </c>
      <c r="B559" s="93" t="s">
        <v>18</v>
      </c>
      <c r="C559" s="94"/>
      <c r="D559" s="95" t="s">
        <v>40</v>
      </c>
      <c r="E559" s="96">
        <v>1</v>
      </c>
      <c r="F559" s="97">
        <v>48</v>
      </c>
      <c r="G559" s="98" t="s">
        <v>33</v>
      </c>
      <c r="H559" s="97">
        <v>1</v>
      </c>
      <c r="I559" s="98" t="s">
        <v>40</v>
      </c>
      <c r="J559" s="99">
        <v>19800</v>
      </c>
      <c r="K559" s="95" t="s">
        <v>40</v>
      </c>
      <c r="L559" s="100">
        <v>0.125</v>
      </c>
      <c r="M559" s="100">
        <v>0.05</v>
      </c>
      <c r="N559" s="97"/>
      <c r="O559" s="98" t="s">
        <v>40</v>
      </c>
      <c r="P559" s="94">
        <f t="shared" ref="P559" si="338">(C559+(E559*F559*H559))-N559</f>
        <v>48</v>
      </c>
      <c r="Q559" s="98" t="s">
        <v>40</v>
      </c>
      <c r="R559" s="99">
        <f t="shared" ref="R559" si="339">P559*(J559-(J559*L559)-((J559-(J559*L559))*M559))</f>
        <v>790020</v>
      </c>
      <c r="S559" s="99">
        <f t="shared" ref="S559" si="340">R559/1.11</f>
        <v>711729.7297297297</v>
      </c>
    </row>
    <row r="560" spans="1:19" s="19" customFormat="1">
      <c r="A560" s="18" t="s">
        <v>721</v>
      </c>
      <c r="B560" s="19" t="s">
        <v>18</v>
      </c>
      <c r="C560" s="20">
        <v>16</v>
      </c>
      <c r="D560" s="21" t="s">
        <v>40</v>
      </c>
      <c r="E560" s="26">
        <v>1</v>
      </c>
      <c r="F560" s="22">
        <v>24</v>
      </c>
      <c r="G560" s="23" t="s">
        <v>33</v>
      </c>
      <c r="H560" s="22">
        <v>1</v>
      </c>
      <c r="I560" s="23" t="s">
        <v>40</v>
      </c>
      <c r="J560" s="24">
        <f>2500*12</f>
        <v>30000</v>
      </c>
      <c r="K560" s="21" t="s">
        <v>40</v>
      </c>
      <c r="L560" s="25">
        <v>0.125</v>
      </c>
      <c r="M560" s="25">
        <v>0.05</v>
      </c>
      <c r="N560" s="22"/>
      <c r="O560" s="23" t="s">
        <v>40</v>
      </c>
      <c r="P560" s="20">
        <f t="shared" ref="P560:P564" si="341">(C560+(E560*F560*H560))-N560</f>
        <v>40</v>
      </c>
      <c r="Q560" s="23" t="s">
        <v>40</v>
      </c>
      <c r="R560" s="24">
        <f t="shared" ref="R560:R564" si="342">P560*(J560-(J560*L560)-((J560-(J560*L560))*M560))</f>
        <v>997500</v>
      </c>
      <c r="S560" s="24">
        <f t="shared" si="314"/>
        <v>898648.64864864852</v>
      </c>
    </row>
    <row r="561" spans="1:19" s="19" customFormat="1">
      <c r="A561" s="38" t="s">
        <v>300</v>
      </c>
      <c r="B561" s="19" t="s">
        <v>18</v>
      </c>
      <c r="C561" s="20"/>
      <c r="D561" s="21" t="s">
        <v>40</v>
      </c>
      <c r="E561" s="26">
        <v>20</v>
      </c>
      <c r="F561" s="22">
        <v>48</v>
      </c>
      <c r="G561" s="23" t="s">
        <v>33</v>
      </c>
      <c r="H561" s="22">
        <v>1</v>
      </c>
      <c r="I561" s="23" t="s">
        <v>40</v>
      </c>
      <c r="J561" s="24">
        <f>1550*12</f>
        <v>18600</v>
      </c>
      <c r="K561" s="21" t="s">
        <v>40</v>
      </c>
      <c r="L561" s="25">
        <v>0.125</v>
      </c>
      <c r="M561" s="25">
        <v>0.05</v>
      </c>
      <c r="N561" s="22"/>
      <c r="O561" s="23" t="s">
        <v>40</v>
      </c>
      <c r="P561" s="20">
        <f t="shared" si="341"/>
        <v>960</v>
      </c>
      <c r="Q561" s="23" t="s">
        <v>40</v>
      </c>
      <c r="R561" s="24">
        <f t="shared" si="342"/>
        <v>14842800</v>
      </c>
      <c r="S561" s="24">
        <f t="shared" si="314"/>
        <v>13371891.891891891</v>
      </c>
    </row>
    <row r="562" spans="1:19" s="19" customFormat="1">
      <c r="A562" s="38" t="s">
        <v>301</v>
      </c>
      <c r="B562" s="19" t="s">
        <v>18</v>
      </c>
      <c r="C562" s="20">
        <v>24</v>
      </c>
      <c r="D562" s="21" t="s">
        <v>40</v>
      </c>
      <c r="E562" s="26">
        <v>33</v>
      </c>
      <c r="F562" s="22">
        <v>24</v>
      </c>
      <c r="G562" s="23" t="s">
        <v>33</v>
      </c>
      <c r="H562" s="22">
        <v>1</v>
      </c>
      <c r="I562" s="23" t="s">
        <v>40</v>
      </c>
      <c r="J562" s="24">
        <f>2150*12</f>
        <v>25800</v>
      </c>
      <c r="K562" s="21" t="s">
        <v>40</v>
      </c>
      <c r="L562" s="25">
        <v>0.125</v>
      </c>
      <c r="M562" s="25">
        <v>0.05</v>
      </c>
      <c r="N562" s="22"/>
      <c r="O562" s="23" t="s">
        <v>40</v>
      </c>
      <c r="P562" s="20">
        <f t="shared" si="341"/>
        <v>816</v>
      </c>
      <c r="Q562" s="23" t="s">
        <v>40</v>
      </c>
      <c r="R562" s="24">
        <f t="shared" si="342"/>
        <v>17500140</v>
      </c>
      <c r="S562" s="24">
        <f t="shared" si="314"/>
        <v>15765891.891891891</v>
      </c>
    </row>
    <row r="563" spans="1:19" s="19" customFormat="1">
      <c r="A563" s="38" t="s">
        <v>821</v>
      </c>
      <c r="B563" s="19" t="s">
        <v>18</v>
      </c>
      <c r="C563" s="20"/>
      <c r="D563" s="21" t="s">
        <v>40</v>
      </c>
      <c r="E563" s="26">
        <v>1</v>
      </c>
      <c r="F563" s="22">
        <v>24</v>
      </c>
      <c r="G563" s="23" t="s">
        <v>33</v>
      </c>
      <c r="H563" s="22">
        <v>1</v>
      </c>
      <c r="I563" s="23" t="s">
        <v>40</v>
      </c>
      <c r="J563" s="24">
        <v>31200</v>
      </c>
      <c r="K563" s="21" t="s">
        <v>40</v>
      </c>
      <c r="L563" s="25">
        <v>0.125</v>
      </c>
      <c r="M563" s="25">
        <v>0.05</v>
      </c>
      <c r="N563" s="22"/>
      <c r="O563" s="23" t="s">
        <v>40</v>
      </c>
      <c r="P563" s="20">
        <f t="shared" si="341"/>
        <v>24</v>
      </c>
      <c r="Q563" s="23" t="s">
        <v>40</v>
      </c>
      <c r="R563" s="24">
        <f t="shared" si="342"/>
        <v>622440</v>
      </c>
      <c r="S563" s="24">
        <f t="shared" ref="S563" si="343">R563/1.11</f>
        <v>560756.75675675669</v>
      </c>
    </row>
    <row r="564" spans="1:19" s="76" customFormat="1">
      <c r="A564" s="75" t="s">
        <v>302</v>
      </c>
      <c r="B564" s="76" t="s">
        <v>18</v>
      </c>
      <c r="C564" s="74"/>
      <c r="D564" s="77" t="s">
        <v>40</v>
      </c>
      <c r="E564" s="78"/>
      <c r="F564" s="79">
        <v>24</v>
      </c>
      <c r="G564" s="80" t="s">
        <v>33</v>
      </c>
      <c r="H564" s="79">
        <v>1</v>
      </c>
      <c r="I564" s="80" t="s">
        <v>40</v>
      </c>
      <c r="J564" s="81">
        <f>3000*12</f>
        <v>36000</v>
      </c>
      <c r="K564" s="77" t="s">
        <v>40</v>
      </c>
      <c r="L564" s="82">
        <v>0.125</v>
      </c>
      <c r="M564" s="82">
        <v>0.05</v>
      </c>
      <c r="N564" s="79"/>
      <c r="O564" s="80" t="s">
        <v>40</v>
      </c>
      <c r="P564" s="74">
        <f t="shared" si="341"/>
        <v>0</v>
      </c>
      <c r="Q564" s="80" t="s">
        <v>40</v>
      </c>
      <c r="R564" s="81">
        <f t="shared" si="342"/>
        <v>0</v>
      </c>
      <c r="S564" s="81">
        <f t="shared" si="314"/>
        <v>0</v>
      </c>
    </row>
    <row r="565" spans="1:19" s="19" customFormat="1">
      <c r="A565" s="18"/>
      <c r="C565" s="20"/>
      <c r="D565" s="21"/>
      <c r="E565" s="26"/>
      <c r="F565" s="22"/>
      <c r="G565" s="23"/>
      <c r="H565" s="22"/>
      <c r="I565" s="23"/>
      <c r="J565" s="24"/>
      <c r="K565" s="21"/>
      <c r="L565" s="25"/>
      <c r="M565" s="25"/>
      <c r="N565" s="22"/>
      <c r="O565" s="23"/>
      <c r="P565" s="20"/>
      <c r="Q565" s="23"/>
      <c r="R565" s="24"/>
      <c r="S565" s="24"/>
    </row>
    <row r="566" spans="1:19" s="19" customFormat="1">
      <c r="A566" s="18" t="s">
        <v>303</v>
      </c>
      <c r="B566" s="19" t="s">
        <v>25</v>
      </c>
      <c r="C566" s="20">
        <v>40</v>
      </c>
      <c r="D566" s="21" t="s">
        <v>40</v>
      </c>
      <c r="E566" s="26">
        <v>86</v>
      </c>
      <c r="F566" s="22">
        <v>1</v>
      </c>
      <c r="G566" s="23" t="s">
        <v>20</v>
      </c>
      <c r="H566" s="22">
        <v>20</v>
      </c>
      <c r="I566" s="23" t="s">
        <v>40</v>
      </c>
      <c r="J566" s="24">
        <f>396000/20</f>
        <v>19800</v>
      </c>
      <c r="K566" s="21" t="s">
        <v>40</v>
      </c>
      <c r="L566" s="25"/>
      <c r="M566" s="25">
        <v>0.17</v>
      </c>
      <c r="N566" s="22"/>
      <c r="O566" s="23" t="s">
        <v>40</v>
      </c>
      <c r="P566" s="20">
        <f>(C566+(E566*F566*H566))-N566</f>
        <v>1760</v>
      </c>
      <c r="Q566" s="23" t="s">
        <v>40</v>
      </c>
      <c r="R566" s="24">
        <f>P566*(J566-(J566*L566)-((J566-(J566*L566))*M566))</f>
        <v>28923840</v>
      </c>
      <c r="S566" s="24">
        <f t="shared" si="314"/>
        <v>26057513.513513513</v>
      </c>
    </row>
    <row r="567" spans="1:19" s="19" customFormat="1">
      <c r="A567" s="18" t="s">
        <v>304</v>
      </c>
      <c r="B567" s="19" t="s">
        <v>25</v>
      </c>
      <c r="C567" s="20">
        <v>29</v>
      </c>
      <c r="D567" s="21" t="s">
        <v>40</v>
      </c>
      <c r="E567" s="26">
        <v>40</v>
      </c>
      <c r="F567" s="22">
        <v>1</v>
      </c>
      <c r="G567" s="23" t="s">
        <v>20</v>
      </c>
      <c r="H567" s="22">
        <v>20</v>
      </c>
      <c r="I567" s="23" t="s">
        <v>40</v>
      </c>
      <c r="J567" s="24">
        <f>504000/20</f>
        <v>25200</v>
      </c>
      <c r="K567" s="21" t="s">
        <v>40</v>
      </c>
      <c r="L567" s="25"/>
      <c r="M567" s="25">
        <v>0.17</v>
      </c>
      <c r="N567" s="22"/>
      <c r="O567" s="23" t="s">
        <v>40</v>
      </c>
      <c r="P567" s="20">
        <f>(C567+(E567*F567*H567))-N567</f>
        <v>829</v>
      </c>
      <c r="Q567" s="23" t="s">
        <v>40</v>
      </c>
      <c r="R567" s="24">
        <f>P567*(J567-(J567*L567)-((J567-(J567*L567))*M567))</f>
        <v>17339364</v>
      </c>
      <c r="S567" s="24">
        <f t="shared" si="314"/>
        <v>15621048.648648648</v>
      </c>
    </row>
    <row r="568" spans="1:19" s="76" customFormat="1">
      <c r="A568" s="75" t="s">
        <v>305</v>
      </c>
      <c r="B568" s="76" t="s">
        <v>25</v>
      </c>
      <c r="C568" s="74"/>
      <c r="D568" s="77" t="s">
        <v>40</v>
      </c>
      <c r="E568" s="78"/>
      <c r="F568" s="79">
        <v>1</v>
      </c>
      <c r="G568" s="80" t="s">
        <v>20</v>
      </c>
      <c r="H568" s="79">
        <v>20</v>
      </c>
      <c r="I568" s="80" t="s">
        <v>40</v>
      </c>
      <c r="J568" s="81">
        <f>480000/20</f>
        <v>24000</v>
      </c>
      <c r="K568" s="77" t="s">
        <v>40</v>
      </c>
      <c r="L568" s="82"/>
      <c r="M568" s="82">
        <v>0.17</v>
      </c>
      <c r="N568" s="79"/>
      <c r="O568" s="80" t="s">
        <v>40</v>
      </c>
      <c r="P568" s="74">
        <f>(C568+(E568*F568*H568))-N568</f>
        <v>0</v>
      </c>
      <c r="Q568" s="80" t="s">
        <v>40</v>
      </c>
      <c r="R568" s="81">
        <f>P568*(J568-(J568*L568)-((J568-(J568*L568))*M568))</f>
        <v>0</v>
      </c>
      <c r="S568" s="81">
        <f t="shared" si="314"/>
        <v>0</v>
      </c>
    </row>
    <row r="569" spans="1:19" s="19" customFormat="1">
      <c r="A569" s="18" t="s">
        <v>995</v>
      </c>
      <c r="B569" s="19" t="s">
        <v>25</v>
      </c>
      <c r="C569" s="20"/>
      <c r="D569" s="21" t="s">
        <v>40</v>
      </c>
      <c r="E569" s="26">
        <v>2</v>
      </c>
      <c r="F569" s="22">
        <v>1</v>
      </c>
      <c r="G569" s="23" t="s">
        <v>20</v>
      </c>
      <c r="H569" s="22">
        <v>144</v>
      </c>
      <c r="I569" s="23" t="s">
        <v>929</v>
      </c>
      <c r="J569" s="24">
        <v>48000</v>
      </c>
      <c r="K569" s="21" t="s">
        <v>40</v>
      </c>
      <c r="L569" s="25"/>
      <c r="M569" s="25">
        <v>0.17</v>
      </c>
      <c r="N569" s="22"/>
      <c r="O569" s="23" t="s">
        <v>40</v>
      </c>
      <c r="P569" s="20">
        <f>(C569+(E569*F569*H569))-N569</f>
        <v>288</v>
      </c>
      <c r="Q569" s="23" t="s">
        <v>40</v>
      </c>
      <c r="R569" s="24">
        <f>P569*(J569-(J569*L569)-((J569-(J569*L569))*M569))</f>
        <v>11473920</v>
      </c>
      <c r="S569" s="24">
        <f t="shared" ref="S569" si="344">R569/1.11</f>
        <v>10336864.864864863</v>
      </c>
    </row>
    <row r="570" spans="1:19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19" s="19" customFormat="1">
      <c r="A571" s="18" t="s">
        <v>836</v>
      </c>
      <c r="B571" s="18" t="s">
        <v>171</v>
      </c>
      <c r="C571" s="20">
        <v>430</v>
      </c>
      <c r="D571" s="21" t="s">
        <v>831</v>
      </c>
      <c r="E571" s="26">
        <v>9</v>
      </c>
      <c r="F571" s="22">
        <v>1</v>
      </c>
      <c r="G571" s="23" t="s">
        <v>20</v>
      </c>
      <c r="H571" s="22">
        <v>432</v>
      </c>
      <c r="I571" s="23" t="s">
        <v>831</v>
      </c>
      <c r="J571" s="24">
        <v>1400</v>
      </c>
      <c r="K571" s="21" t="s">
        <v>831</v>
      </c>
      <c r="L571" s="25"/>
      <c r="M571" s="25">
        <v>0.05</v>
      </c>
      <c r="N571" s="22"/>
      <c r="O571" s="23" t="s">
        <v>831</v>
      </c>
      <c r="P571" s="20">
        <f>(C571+(E571*F571*H571))-N571</f>
        <v>4318</v>
      </c>
      <c r="Q571" s="23" t="s">
        <v>831</v>
      </c>
      <c r="R571" s="24">
        <f>P571*(J571-(J571*L571)-((J571-(J571*L571))*M571))</f>
        <v>5742940</v>
      </c>
      <c r="S571" s="24">
        <f t="shared" ref="S571" si="345">R571/1.11</f>
        <v>5173819.8198198192</v>
      </c>
    </row>
    <row r="572" spans="1:19" s="19" customFormat="1">
      <c r="A572" s="18"/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19" customFormat="1">
      <c r="A573" s="60" t="s">
        <v>306</v>
      </c>
      <c r="C573" s="20"/>
      <c r="D573" s="21"/>
      <c r="E573" s="26"/>
      <c r="F573" s="22"/>
      <c r="G573" s="23"/>
      <c r="H573" s="22"/>
      <c r="I573" s="23"/>
      <c r="J573" s="24"/>
      <c r="K573" s="21"/>
      <c r="L573" s="25"/>
      <c r="M573" s="25"/>
      <c r="N573" s="22"/>
      <c r="O573" s="23"/>
      <c r="P573" s="20"/>
      <c r="Q573" s="23"/>
      <c r="R573" s="24"/>
      <c r="S573" s="24">
        <f t="shared" si="314"/>
        <v>0</v>
      </c>
    </row>
    <row r="574" spans="1:19" s="19" customFormat="1">
      <c r="A574" s="18" t="s">
        <v>307</v>
      </c>
      <c r="B574" s="19" t="s">
        <v>18</v>
      </c>
      <c r="C574" s="20">
        <v>91</v>
      </c>
      <c r="D574" s="21" t="s">
        <v>33</v>
      </c>
      <c r="E574" s="26">
        <v>43</v>
      </c>
      <c r="F574" s="22">
        <v>1</v>
      </c>
      <c r="G574" s="23" t="s">
        <v>20</v>
      </c>
      <c r="H574" s="22">
        <v>64</v>
      </c>
      <c r="I574" s="23" t="s">
        <v>33</v>
      </c>
      <c r="J574" s="24">
        <f>2100*12</f>
        <v>25200</v>
      </c>
      <c r="K574" s="21" t="s">
        <v>33</v>
      </c>
      <c r="L574" s="25">
        <v>0.125</v>
      </c>
      <c r="M574" s="25">
        <v>0.05</v>
      </c>
      <c r="N574" s="22"/>
      <c r="O574" s="23" t="s">
        <v>33</v>
      </c>
      <c r="P574" s="20">
        <f t="shared" ref="P574:P581" si="346">(C574+(E574*F574*H574))-N574</f>
        <v>2843</v>
      </c>
      <c r="Q574" s="23" t="s">
        <v>33</v>
      </c>
      <c r="R574" s="24">
        <f t="shared" ref="R574:R581" si="347">P574*(J574-(J574*L574)-((J574-(J574*L574))*M574))</f>
        <v>59553742.5</v>
      </c>
      <c r="S574" s="24">
        <f t="shared" si="314"/>
        <v>53652020.270270266</v>
      </c>
    </row>
    <row r="575" spans="1:19" s="19" customFormat="1">
      <c r="A575" s="18" t="s">
        <v>309</v>
      </c>
      <c r="B575" s="19" t="s">
        <v>18</v>
      </c>
      <c r="C575" s="20">
        <v>72</v>
      </c>
      <c r="D575" s="21" t="s">
        <v>33</v>
      </c>
      <c r="E575" s="26">
        <v>21</v>
      </c>
      <c r="F575" s="22">
        <v>1</v>
      </c>
      <c r="G575" s="23" t="s">
        <v>20</v>
      </c>
      <c r="H575" s="22">
        <v>36</v>
      </c>
      <c r="I575" s="23" t="s">
        <v>33</v>
      </c>
      <c r="J575" s="24">
        <f>2100*24</f>
        <v>50400</v>
      </c>
      <c r="K575" s="21" t="s">
        <v>33</v>
      </c>
      <c r="L575" s="25">
        <v>0.125</v>
      </c>
      <c r="M575" s="25">
        <v>0.05</v>
      </c>
      <c r="N575" s="22"/>
      <c r="O575" s="23" t="s">
        <v>33</v>
      </c>
      <c r="P575" s="20">
        <f t="shared" si="346"/>
        <v>828</v>
      </c>
      <c r="Q575" s="23" t="s">
        <v>33</v>
      </c>
      <c r="R575" s="24">
        <f t="shared" si="347"/>
        <v>34689060</v>
      </c>
      <c r="S575" s="24">
        <f>R575/1.11</f>
        <v>31251405.405405402</v>
      </c>
    </row>
    <row r="576" spans="1:19" s="93" customFormat="1">
      <c r="A576" s="125" t="s">
        <v>720</v>
      </c>
      <c r="B576" s="93" t="s">
        <v>18</v>
      </c>
      <c r="C576" s="94"/>
      <c r="D576" s="95" t="s">
        <v>33</v>
      </c>
      <c r="E576" s="96">
        <v>6</v>
      </c>
      <c r="F576" s="97">
        <v>1</v>
      </c>
      <c r="G576" s="98" t="s">
        <v>20</v>
      </c>
      <c r="H576" s="97">
        <v>36</v>
      </c>
      <c r="I576" s="98" t="s">
        <v>33</v>
      </c>
      <c r="J576" s="99">
        <f>2300*24</f>
        <v>55200</v>
      </c>
      <c r="K576" s="95" t="s">
        <v>33</v>
      </c>
      <c r="L576" s="100">
        <v>0.125</v>
      </c>
      <c r="M576" s="100">
        <v>0.05</v>
      </c>
      <c r="N576" s="97"/>
      <c r="O576" s="98" t="s">
        <v>33</v>
      </c>
      <c r="P576" s="94">
        <f t="shared" si="346"/>
        <v>216</v>
      </c>
      <c r="Q576" s="98" t="s">
        <v>33</v>
      </c>
      <c r="R576" s="99">
        <f t="shared" si="347"/>
        <v>9911160</v>
      </c>
      <c r="S576" s="99">
        <f>R576/1.11</f>
        <v>8928972.9729729723</v>
      </c>
    </row>
    <row r="577" spans="1:19" s="76" customFormat="1">
      <c r="A577" s="75" t="s">
        <v>719</v>
      </c>
      <c r="B577" s="76" t="s">
        <v>18</v>
      </c>
      <c r="C577" s="74"/>
      <c r="D577" s="77" t="s">
        <v>33</v>
      </c>
      <c r="E577" s="78"/>
      <c r="F577" s="79">
        <v>1</v>
      </c>
      <c r="G577" s="80" t="s">
        <v>20</v>
      </c>
      <c r="H577" s="79">
        <v>32</v>
      </c>
      <c r="I577" s="80" t="s">
        <v>33</v>
      </c>
      <c r="J577" s="81">
        <f>1300*12</f>
        <v>15600</v>
      </c>
      <c r="K577" s="77" t="s">
        <v>33</v>
      </c>
      <c r="L577" s="82">
        <v>0.125</v>
      </c>
      <c r="M577" s="82">
        <v>0.05</v>
      </c>
      <c r="N577" s="79"/>
      <c r="O577" s="80" t="s">
        <v>33</v>
      </c>
      <c r="P577" s="74">
        <f t="shared" si="346"/>
        <v>0</v>
      </c>
      <c r="Q577" s="80" t="s">
        <v>33</v>
      </c>
      <c r="R577" s="81">
        <f t="shared" si="347"/>
        <v>0</v>
      </c>
      <c r="S577" s="81">
        <f>R577/1.11</f>
        <v>0</v>
      </c>
    </row>
    <row r="578" spans="1:19" s="19" customFormat="1">
      <c r="A578" s="28" t="s">
        <v>308</v>
      </c>
      <c r="B578" s="19" t="s">
        <v>18</v>
      </c>
      <c r="C578" s="20"/>
      <c r="D578" s="21" t="s">
        <v>33</v>
      </c>
      <c r="E578" s="26">
        <v>1</v>
      </c>
      <c r="F578" s="22">
        <v>1</v>
      </c>
      <c r="G578" s="23" t="s">
        <v>20</v>
      </c>
      <c r="H578" s="22">
        <v>54</v>
      </c>
      <c r="I578" s="23" t="s">
        <v>33</v>
      </c>
      <c r="J578" s="29">
        <v>39600</v>
      </c>
      <c r="K578" s="21" t="s">
        <v>33</v>
      </c>
      <c r="L578" s="25">
        <v>0.125</v>
      </c>
      <c r="M578" s="25">
        <v>0.05</v>
      </c>
      <c r="N578" s="22"/>
      <c r="O578" s="23" t="s">
        <v>33</v>
      </c>
      <c r="P578" s="20">
        <f t="shared" ref="P578" si="348">(C578+(E578*F578*H578))-N578</f>
        <v>54</v>
      </c>
      <c r="Q578" s="23" t="s">
        <v>33</v>
      </c>
      <c r="R578" s="24">
        <f t="shared" ref="R578" si="349">P578*(J578-(J578*L578)-((J578-(J578*L578))*M578))</f>
        <v>1777545</v>
      </c>
      <c r="S578" s="24">
        <f t="shared" ref="S578" si="350">R578/1.11</f>
        <v>1601391.8918918918</v>
      </c>
    </row>
    <row r="579" spans="1:19" s="19" customFormat="1">
      <c r="A579" s="28" t="s">
        <v>308</v>
      </c>
      <c r="B579" s="19" t="s">
        <v>18</v>
      </c>
      <c r="C579" s="20">
        <v>38</v>
      </c>
      <c r="D579" s="21" t="s">
        <v>33</v>
      </c>
      <c r="E579" s="26"/>
      <c r="F579" s="22">
        <v>1</v>
      </c>
      <c r="G579" s="23" t="s">
        <v>20</v>
      </c>
      <c r="H579" s="22">
        <v>54</v>
      </c>
      <c r="I579" s="23" t="s">
        <v>33</v>
      </c>
      <c r="J579" s="29">
        <f>3400*12</f>
        <v>40800</v>
      </c>
      <c r="K579" s="21" t="s">
        <v>33</v>
      </c>
      <c r="L579" s="25">
        <v>0.125</v>
      </c>
      <c r="M579" s="25">
        <v>0.05</v>
      </c>
      <c r="N579" s="22"/>
      <c r="O579" s="23" t="s">
        <v>33</v>
      </c>
      <c r="P579" s="20">
        <f t="shared" si="346"/>
        <v>38</v>
      </c>
      <c r="Q579" s="23" t="s">
        <v>33</v>
      </c>
      <c r="R579" s="24">
        <f t="shared" si="347"/>
        <v>1288770</v>
      </c>
      <c r="S579" s="24">
        <f t="shared" si="314"/>
        <v>1161054.054054054</v>
      </c>
    </row>
    <row r="580" spans="1:19" s="93" customFormat="1">
      <c r="A580" s="125" t="s">
        <v>762</v>
      </c>
      <c r="B580" s="93" t="s">
        <v>18</v>
      </c>
      <c r="C580" s="94"/>
      <c r="D580" s="95" t="s">
        <v>33</v>
      </c>
      <c r="E580" s="96">
        <v>3</v>
      </c>
      <c r="F580" s="97">
        <v>1</v>
      </c>
      <c r="G580" s="98" t="s">
        <v>20</v>
      </c>
      <c r="H580" s="97">
        <v>24</v>
      </c>
      <c r="I580" s="98" t="s">
        <v>33</v>
      </c>
      <c r="J580" s="99">
        <f>3300*24</f>
        <v>79200</v>
      </c>
      <c r="K580" s="95" t="s">
        <v>33</v>
      </c>
      <c r="L580" s="100">
        <v>0.125</v>
      </c>
      <c r="M580" s="100">
        <v>0.05</v>
      </c>
      <c r="N580" s="97"/>
      <c r="O580" s="98" t="s">
        <v>33</v>
      </c>
      <c r="P580" s="94">
        <f t="shared" si="346"/>
        <v>72</v>
      </c>
      <c r="Q580" s="98" t="s">
        <v>33</v>
      </c>
      <c r="R580" s="99">
        <f t="shared" si="347"/>
        <v>4740120</v>
      </c>
      <c r="S580" s="99">
        <f>R580/1.11</f>
        <v>4270378.3783783782</v>
      </c>
    </row>
    <row r="581" spans="1:19" s="19" customFormat="1">
      <c r="A581" s="45" t="s">
        <v>310</v>
      </c>
      <c r="B581" s="19" t="s">
        <v>18</v>
      </c>
      <c r="C581" s="20"/>
      <c r="D581" s="21" t="s">
        <v>33</v>
      </c>
      <c r="E581" s="26">
        <v>48</v>
      </c>
      <c r="F581" s="22">
        <v>1</v>
      </c>
      <c r="G581" s="23" t="s">
        <v>20</v>
      </c>
      <c r="H581" s="22">
        <v>36</v>
      </c>
      <c r="I581" s="23" t="s">
        <v>33</v>
      </c>
      <c r="J581" s="24">
        <f>2450*24</f>
        <v>58800</v>
      </c>
      <c r="K581" s="21" t="s">
        <v>33</v>
      </c>
      <c r="L581" s="25">
        <v>0.125</v>
      </c>
      <c r="M581" s="25">
        <v>0.05</v>
      </c>
      <c r="N581" s="22"/>
      <c r="O581" s="23" t="s">
        <v>33</v>
      </c>
      <c r="P581" s="20">
        <f t="shared" si="346"/>
        <v>1728</v>
      </c>
      <c r="Q581" s="23" t="s">
        <v>33</v>
      </c>
      <c r="R581" s="24">
        <f t="shared" si="347"/>
        <v>84460320</v>
      </c>
      <c r="S581" s="24">
        <f>R581/1.11</f>
        <v>76090378.378378376</v>
      </c>
    </row>
    <row r="582" spans="1:19" s="19" customFormat="1">
      <c r="A582" s="45" t="s">
        <v>924</v>
      </c>
      <c r="B582" s="19" t="s">
        <v>18</v>
      </c>
      <c r="C582" s="20"/>
      <c r="D582" s="21" t="s">
        <v>33</v>
      </c>
      <c r="E582" s="26">
        <v>1</v>
      </c>
      <c r="F582" s="22">
        <v>1</v>
      </c>
      <c r="G582" s="23" t="s">
        <v>20</v>
      </c>
      <c r="H582" s="22">
        <v>36</v>
      </c>
      <c r="I582" s="23" t="s">
        <v>33</v>
      </c>
      <c r="J582" s="24">
        <v>56400</v>
      </c>
      <c r="K582" s="21" t="s">
        <v>33</v>
      </c>
      <c r="L582" s="25">
        <v>0.125</v>
      </c>
      <c r="M582" s="25">
        <v>0.05</v>
      </c>
      <c r="N582" s="22"/>
      <c r="O582" s="23" t="s">
        <v>33</v>
      </c>
      <c r="P582" s="20">
        <f t="shared" ref="P582:P583" si="351">(C582+(E582*F582*H582))-N582</f>
        <v>36</v>
      </c>
      <c r="Q582" s="23" t="s">
        <v>33</v>
      </c>
      <c r="R582" s="24">
        <f t="shared" ref="R582:R583" si="352">P582*(J582-(J582*L582)-((J582-(J582*L582))*M582))</f>
        <v>1687770</v>
      </c>
      <c r="S582" s="24">
        <f>R582/1.11</f>
        <v>1520513.5135135134</v>
      </c>
    </row>
    <row r="583" spans="1:19" s="93" customFormat="1">
      <c r="A583" s="85" t="s">
        <v>716</v>
      </c>
      <c r="B583" s="93" t="s">
        <v>18</v>
      </c>
      <c r="C583" s="94"/>
      <c r="D583" s="95" t="s">
        <v>33</v>
      </c>
      <c r="E583" s="96">
        <v>5</v>
      </c>
      <c r="F583" s="97">
        <v>1</v>
      </c>
      <c r="G583" s="98" t="s">
        <v>20</v>
      </c>
      <c r="H583" s="97">
        <v>36</v>
      </c>
      <c r="I583" s="98" t="s">
        <v>33</v>
      </c>
      <c r="J583" s="99">
        <v>52800</v>
      </c>
      <c r="K583" s="95" t="s">
        <v>33</v>
      </c>
      <c r="L583" s="100">
        <v>0.125</v>
      </c>
      <c r="M583" s="100">
        <v>0.05</v>
      </c>
      <c r="N583" s="97"/>
      <c r="O583" s="98" t="s">
        <v>33</v>
      </c>
      <c r="P583" s="94">
        <f t="shared" si="351"/>
        <v>180</v>
      </c>
      <c r="Q583" s="98" t="s">
        <v>33</v>
      </c>
      <c r="R583" s="99">
        <f t="shared" si="352"/>
        <v>7900200</v>
      </c>
      <c r="S583" s="99">
        <f t="shared" ref="S583" si="353">R583/1.11</f>
        <v>7117297.297297297</v>
      </c>
    </row>
    <row r="584" spans="1:19" s="19" customFormat="1">
      <c r="A584" s="18"/>
      <c r="C584" s="20"/>
      <c r="D584" s="21"/>
      <c r="E584" s="26"/>
      <c r="F584" s="22"/>
      <c r="G584" s="23"/>
      <c r="H584" s="22"/>
      <c r="I584" s="23"/>
      <c r="J584" s="24"/>
      <c r="K584" s="21"/>
      <c r="L584" s="25"/>
      <c r="M584" s="25"/>
      <c r="N584" s="22"/>
      <c r="O584" s="23"/>
      <c r="P584" s="20"/>
      <c r="Q584" s="23"/>
      <c r="R584" s="24"/>
      <c r="S584" s="24"/>
    </row>
    <row r="585" spans="1:19" s="19" customFormat="1">
      <c r="A585" s="18" t="s">
        <v>311</v>
      </c>
      <c r="B585" s="19" t="s">
        <v>25</v>
      </c>
      <c r="C585" s="20">
        <v>77</v>
      </c>
      <c r="D585" s="21" t="s">
        <v>33</v>
      </c>
      <c r="E585" s="26">
        <v>77</v>
      </c>
      <c r="F585" s="22">
        <v>1</v>
      </c>
      <c r="G585" s="23" t="s">
        <v>20</v>
      </c>
      <c r="H585" s="22">
        <v>36</v>
      </c>
      <c r="I585" s="23" t="s">
        <v>33</v>
      </c>
      <c r="J585" s="24">
        <f>2376000/36</f>
        <v>66000</v>
      </c>
      <c r="K585" s="21" t="s">
        <v>33</v>
      </c>
      <c r="L585" s="25"/>
      <c r="M585" s="25">
        <v>0.17</v>
      </c>
      <c r="N585" s="22"/>
      <c r="O585" s="23" t="s">
        <v>33</v>
      </c>
      <c r="P585" s="20">
        <f>(C585+(E585*F585*H585))-N585</f>
        <v>2849</v>
      </c>
      <c r="Q585" s="23" t="s">
        <v>33</v>
      </c>
      <c r="R585" s="24">
        <f>P585*(J585-(J585*L585)-((J585-(J585*L585))*M585))</f>
        <v>156068220</v>
      </c>
      <c r="S585" s="24">
        <f t="shared" si="314"/>
        <v>140602000</v>
      </c>
    </row>
    <row r="586" spans="1:19" s="19" customFormat="1">
      <c r="A586" s="18" t="s">
        <v>312</v>
      </c>
      <c r="B586" s="19" t="s">
        <v>25</v>
      </c>
      <c r="C586" s="20">
        <v>300</v>
      </c>
      <c r="D586" s="21" t="s">
        <v>33</v>
      </c>
      <c r="E586" s="26">
        <v>32</v>
      </c>
      <c r="F586" s="22">
        <v>1</v>
      </c>
      <c r="G586" s="23" t="s">
        <v>20</v>
      </c>
      <c r="H586" s="22">
        <v>36</v>
      </c>
      <c r="I586" s="23" t="s">
        <v>33</v>
      </c>
      <c r="J586" s="24">
        <f>2592000/36</f>
        <v>72000</v>
      </c>
      <c r="K586" s="21" t="s">
        <v>33</v>
      </c>
      <c r="L586" s="25"/>
      <c r="M586" s="25">
        <v>0.17</v>
      </c>
      <c r="N586" s="22"/>
      <c r="O586" s="23" t="s">
        <v>33</v>
      </c>
      <c r="P586" s="20">
        <f>(C586+(E586*F586*H586))-N586</f>
        <v>1452</v>
      </c>
      <c r="Q586" s="23" t="s">
        <v>33</v>
      </c>
      <c r="R586" s="24">
        <f>P586*(J586-(J586*L586)-((J586-(J586*L586))*M586))</f>
        <v>86771520</v>
      </c>
      <c r="S586" s="24">
        <f t="shared" si="314"/>
        <v>78172540.540540531</v>
      </c>
    </row>
    <row r="587" spans="1:19" s="19" customFormat="1">
      <c r="A587" s="18" t="s">
        <v>313</v>
      </c>
      <c r="B587" s="19" t="s">
        <v>25</v>
      </c>
      <c r="C587" s="20">
        <v>202</v>
      </c>
      <c r="D587" s="21" t="s">
        <v>33</v>
      </c>
      <c r="E587" s="26">
        <v>14</v>
      </c>
      <c r="F587" s="22">
        <v>1</v>
      </c>
      <c r="G587" s="23" t="s">
        <v>20</v>
      </c>
      <c r="H587" s="22">
        <v>36</v>
      </c>
      <c r="I587" s="23" t="s">
        <v>33</v>
      </c>
      <c r="J587" s="24">
        <f>2160000/36</f>
        <v>60000</v>
      </c>
      <c r="K587" s="21" t="s">
        <v>33</v>
      </c>
      <c r="L587" s="25"/>
      <c r="M587" s="25">
        <v>0.17</v>
      </c>
      <c r="N587" s="22"/>
      <c r="O587" s="23" t="s">
        <v>33</v>
      </c>
      <c r="P587" s="20">
        <f>(C587+(E587*F587*H587))-N587</f>
        <v>706</v>
      </c>
      <c r="Q587" s="23" t="s">
        <v>33</v>
      </c>
      <c r="R587" s="24">
        <f>P587*(J587-(J587*L587)-((J587-(J587*L587))*M587))</f>
        <v>35158800</v>
      </c>
      <c r="S587" s="24">
        <f t="shared" si="314"/>
        <v>31674594.59459459</v>
      </c>
    </row>
    <row r="588" spans="1:19" s="19" customFormat="1">
      <c r="A588" s="18"/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19" s="19" customFormat="1">
      <c r="A589" s="60" t="s">
        <v>768</v>
      </c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19" s="76" customFormat="1">
      <c r="A590" s="75" t="s">
        <v>314</v>
      </c>
      <c r="B590" s="76" t="s">
        <v>25</v>
      </c>
      <c r="C590" s="74"/>
      <c r="D590" s="77" t="s">
        <v>102</v>
      </c>
      <c r="E590" s="78"/>
      <c r="F590" s="79">
        <v>1</v>
      </c>
      <c r="G590" s="80" t="s">
        <v>20</v>
      </c>
      <c r="H590" s="79">
        <v>60</v>
      </c>
      <c r="I590" s="80" t="s">
        <v>102</v>
      </c>
      <c r="J590" s="81">
        <v>18600</v>
      </c>
      <c r="K590" s="77" t="s">
        <v>102</v>
      </c>
      <c r="L590" s="82"/>
      <c r="M590" s="82">
        <v>0.17</v>
      </c>
      <c r="N590" s="79"/>
      <c r="O590" s="80" t="s">
        <v>102</v>
      </c>
      <c r="P590" s="74">
        <f>(C590+(E590*F590*H590))-N590</f>
        <v>0</v>
      </c>
      <c r="Q590" s="80" t="s">
        <v>102</v>
      </c>
      <c r="R590" s="81">
        <f>P590*(J590-(J590*L590)-((J590-(J590*L590))*M590))</f>
        <v>0</v>
      </c>
      <c r="S590" s="81">
        <f t="shared" si="314"/>
        <v>0</v>
      </c>
    </row>
    <row r="591" spans="1:19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19" s="19" customFormat="1">
      <c r="A592" s="18" t="s">
        <v>769</v>
      </c>
      <c r="B592" s="18" t="s">
        <v>171</v>
      </c>
      <c r="C592" s="40">
        <v>800</v>
      </c>
      <c r="D592" s="41" t="s">
        <v>40</v>
      </c>
      <c r="E592" s="42"/>
      <c r="F592" s="43">
        <v>1</v>
      </c>
      <c r="G592" s="38" t="s">
        <v>20</v>
      </c>
      <c r="H592" s="43">
        <v>160</v>
      </c>
      <c r="I592" s="38" t="s">
        <v>40</v>
      </c>
      <c r="J592" s="27">
        <v>7750</v>
      </c>
      <c r="K592" s="41" t="s">
        <v>40</v>
      </c>
      <c r="L592" s="44">
        <v>0.05</v>
      </c>
      <c r="M592" s="44"/>
      <c r="N592" s="43"/>
      <c r="O592" s="38" t="s">
        <v>40</v>
      </c>
      <c r="P592" s="40">
        <f>(C592+(E592*F592*H592))-N592</f>
        <v>800</v>
      </c>
      <c r="Q592" s="38" t="s">
        <v>40</v>
      </c>
      <c r="R592" s="27">
        <f>P592*(J592-(J592*L592)-((J592-(J592*L592))*M592))</f>
        <v>5890000</v>
      </c>
      <c r="S592" s="27">
        <f t="shared" si="314"/>
        <v>5306306.3063063063</v>
      </c>
    </row>
    <row r="593" spans="1:19" s="19" customFormat="1">
      <c r="A593" s="18"/>
      <c r="C593" s="20"/>
      <c r="D593" s="21"/>
      <c r="E593" s="26"/>
      <c r="F593" s="22"/>
      <c r="G593" s="23"/>
      <c r="H593" s="22"/>
      <c r="I593" s="23"/>
      <c r="J593" s="24"/>
      <c r="K593" s="21"/>
      <c r="L593" s="25"/>
      <c r="M593" s="25"/>
      <c r="N593" s="22"/>
      <c r="O593" s="23"/>
      <c r="P593" s="20"/>
      <c r="Q593" s="23"/>
      <c r="R593" s="24"/>
      <c r="S593" s="24"/>
    </row>
    <row r="594" spans="1:19" s="19" customFormat="1">
      <c r="A594" s="60" t="s">
        <v>315</v>
      </c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>
      <c r="A595" s="18" t="s">
        <v>316</v>
      </c>
      <c r="B595" s="19" t="s">
        <v>317</v>
      </c>
      <c r="C595" s="20">
        <v>145</v>
      </c>
      <c r="D595" s="21" t="s">
        <v>318</v>
      </c>
      <c r="E595" s="26"/>
      <c r="F595" s="22">
        <v>1</v>
      </c>
      <c r="G595" s="23" t="s">
        <v>20</v>
      </c>
      <c r="H595" s="22">
        <v>25</v>
      </c>
      <c r="I595" s="23" t="s">
        <v>318</v>
      </c>
      <c r="J595" s="24">
        <v>55000</v>
      </c>
      <c r="K595" s="21" t="s">
        <v>318</v>
      </c>
      <c r="L595" s="25"/>
      <c r="M595" s="25"/>
      <c r="N595" s="22"/>
      <c r="O595" s="23" t="s">
        <v>318</v>
      </c>
      <c r="P595" s="20">
        <f>(C595+(E595*F595*H595))-N595</f>
        <v>145</v>
      </c>
      <c r="Q595" s="23" t="s">
        <v>318</v>
      </c>
      <c r="R595" s="24">
        <f>P595*(J595-(J595*L595)-((J595-(J595*L595))*M595))</f>
        <v>7975000</v>
      </c>
      <c r="S595" s="24">
        <f t="shared" si="314"/>
        <v>7184684.6846846845</v>
      </c>
    </row>
    <row r="596" spans="1:19" s="19" customFormat="1">
      <c r="A596" s="18"/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19" customFormat="1" ht="15.75">
      <c r="A597" s="35" t="s">
        <v>319</v>
      </c>
      <c r="C597" s="20"/>
      <c r="D597" s="21"/>
      <c r="E597" s="26"/>
      <c r="F597" s="22"/>
      <c r="G597" s="23"/>
      <c r="H597" s="22"/>
      <c r="I597" s="23"/>
      <c r="J597" s="24"/>
      <c r="K597" s="21"/>
      <c r="L597" s="25"/>
      <c r="M597" s="25"/>
      <c r="N597" s="22"/>
      <c r="O597" s="23"/>
      <c r="P597" s="20"/>
      <c r="Q597" s="23"/>
      <c r="R597" s="24"/>
      <c r="S597" s="24"/>
    </row>
    <row r="598" spans="1:19" s="76" customFormat="1">
      <c r="A598" s="75" t="s">
        <v>320</v>
      </c>
      <c r="B598" s="76" t="s">
        <v>18</v>
      </c>
      <c r="C598" s="74"/>
      <c r="D598" s="77" t="s">
        <v>98</v>
      </c>
      <c r="E598" s="78"/>
      <c r="F598" s="79">
        <v>1</v>
      </c>
      <c r="G598" s="80" t="s">
        <v>20</v>
      </c>
      <c r="H598" s="79">
        <v>192</v>
      </c>
      <c r="I598" s="80" t="s">
        <v>98</v>
      </c>
      <c r="J598" s="81">
        <v>3450</v>
      </c>
      <c r="K598" s="77" t="s">
        <v>98</v>
      </c>
      <c r="L598" s="82">
        <v>0.125</v>
      </c>
      <c r="M598" s="82">
        <v>0.05</v>
      </c>
      <c r="N598" s="79"/>
      <c r="O598" s="80" t="s">
        <v>98</v>
      </c>
      <c r="P598" s="74">
        <f t="shared" ref="P598:P603" si="354">(C598+(E598*F598*H598))-N598</f>
        <v>0</v>
      </c>
      <c r="Q598" s="80" t="s">
        <v>98</v>
      </c>
      <c r="R598" s="81">
        <f t="shared" ref="R598:R603" si="355">P598*(J598-(J598*L598)-((J598-(J598*L598))*M598))</f>
        <v>0</v>
      </c>
      <c r="S598" s="81">
        <f t="shared" ref="S598:S696" si="356">R598/1.11</f>
        <v>0</v>
      </c>
    </row>
    <row r="599" spans="1:19" s="76" customFormat="1">
      <c r="A599" s="75" t="s">
        <v>321</v>
      </c>
      <c r="B599" s="76" t="s">
        <v>18</v>
      </c>
      <c r="C599" s="74"/>
      <c r="D599" s="77" t="s">
        <v>98</v>
      </c>
      <c r="E599" s="78"/>
      <c r="F599" s="79">
        <v>1</v>
      </c>
      <c r="G599" s="80" t="s">
        <v>20</v>
      </c>
      <c r="H599" s="79">
        <v>160</v>
      </c>
      <c r="I599" s="80" t="s">
        <v>98</v>
      </c>
      <c r="J599" s="81">
        <v>5400</v>
      </c>
      <c r="K599" s="77" t="s">
        <v>98</v>
      </c>
      <c r="L599" s="82">
        <v>0.125</v>
      </c>
      <c r="M599" s="82">
        <v>0.05</v>
      </c>
      <c r="N599" s="79"/>
      <c r="O599" s="80" t="s">
        <v>98</v>
      </c>
      <c r="P599" s="74">
        <f t="shared" si="354"/>
        <v>0</v>
      </c>
      <c r="Q599" s="80" t="s">
        <v>98</v>
      </c>
      <c r="R599" s="81">
        <f t="shared" si="355"/>
        <v>0</v>
      </c>
      <c r="S599" s="81">
        <f t="shared" si="356"/>
        <v>0</v>
      </c>
    </row>
    <row r="600" spans="1:19" s="19" customFormat="1">
      <c r="A600" s="18" t="s">
        <v>322</v>
      </c>
      <c r="B600" s="19" t="s">
        <v>18</v>
      </c>
      <c r="C600" s="20"/>
      <c r="D600" s="21" t="s">
        <v>98</v>
      </c>
      <c r="E600" s="26">
        <v>5</v>
      </c>
      <c r="F600" s="22">
        <v>1</v>
      </c>
      <c r="G600" s="23" t="s">
        <v>20</v>
      </c>
      <c r="H600" s="22">
        <v>192</v>
      </c>
      <c r="I600" s="23" t="s">
        <v>98</v>
      </c>
      <c r="J600" s="24">
        <v>3600</v>
      </c>
      <c r="K600" s="21" t="s">
        <v>98</v>
      </c>
      <c r="L600" s="25">
        <v>0.125</v>
      </c>
      <c r="M600" s="25">
        <v>0.05</v>
      </c>
      <c r="N600" s="22"/>
      <c r="O600" s="23" t="s">
        <v>98</v>
      </c>
      <c r="P600" s="20">
        <f t="shared" si="354"/>
        <v>960</v>
      </c>
      <c r="Q600" s="23" t="s">
        <v>98</v>
      </c>
      <c r="R600" s="24">
        <f t="shared" si="355"/>
        <v>2872800</v>
      </c>
      <c r="S600" s="24">
        <f t="shared" si="356"/>
        <v>2588108.1081081079</v>
      </c>
    </row>
    <row r="601" spans="1:19" s="19" customFormat="1">
      <c r="A601" s="18" t="s">
        <v>323</v>
      </c>
      <c r="B601" s="19" t="s">
        <v>18</v>
      </c>
      <c r="C601" s="20">
        <v>43</v>
      </c>
      <c r="D601" s="21" t="s">
        <v>98</v>
      </c>
      <c r="E601" s="26">
        <v>13</v>
      </c>
      <c r="F601" s="22">
        <v>1</v>
      </c>
      <c r="G601" s="23" t="s">
        <v>20</v>
      </c>
      <c r="H601" s="22">
        <v>96</v>
      </c>
      <c r="I601" s="23" t="s">
        <v>98</v>
      </c>
      <c r="J601" s="24">
        <v>7000</v>
      </c>
      <c r="K601" s="21" t="s">
        <v>98</v>
      </c>
      <c r="L601" s="25">
        <v>0.125</v>
      </c>
      <c r="M601" s="25">
        <v>0.05</v>
      </c>
      <c r="N601" s="22"/>
      <c r="O601" s="23" t="s">
        <v>98</v>
      </c>
      <c r="P601" s="20">
        <f t="shared" si="354"/>
        <v>1291</v>
      </c>
      <c r="Q601" s="23" t="s">
        <v>98</v>
      </c>
      <c r="R601" s="24">
        <f t="shared" si="355"/>
        <v>7512006.25</v>
      </c>
      <c r="S601" s="24">
        <f t="shared" si="356"/>
        <v>6767573.1981981974</v>
      </c>
    </row>
    <row r="602" spans="1:19" s="76" customFormat="1">
      <c r="A602" s="75" t="s">
        <v>753</v>
      </c>
      <c r="B602" s="76" t="s">
        <v>18</v>
      </c>
      <c r="C602" s="74"/>
      <c r="D602" s="77" t="s">
        <v>98</v>
      </c>
      <c r="E602" s="78"/>
      <c r="F602" s="79">
        <v>1</v>
      </c>
      <c r="G602" s="80" t="s">
        <v>20</v>
      </c>
      <c r="H602" s="79">
        <v>160</v>
      </c>
      <c r="I602" s="80" t="s">
        <v>98</v>
      </c>
      <c r="J602" s="81">
        <v>5700</v>
      </c>
      <c r="K602" s="77" t="s">
        <v>98</v>
      </c>
      <c r="L602" s="82">
        <v>0.125</v>
      </c>
      <c r="M602" s="82">
        <v>0.05</v>
      </c>
      <c r="N602" s="79"/>
      <c r="O602" s="80" t="s">
        <v>98</v>
      </c>
      <c r="P602" s="74">
        <f t="shared" si="354"/>
        <v>0</v>
      </c>
      <c r="Q602" s="80" t="s">
        <v>98</v>
      </c>
      <c r="R602" s="81">
        <f t="shared" si="355"/>
        <v>0</v>
      </c>
      <c r="S602" s="81">
        <f t="shared" si="356"/>
        <v>0</v>
      </c>
    </row>
    <row r="603" spans="1:19" s="93" customFormat="1">
      <c r="A603" s="85" t="s">
        <v>324</v>
      </c>
      <c r="B603" s="93" t="s">
        <v>18</v>
      </c>
      <c r="C603" s="94"/>
      <c r="D603" s="95" t="s">
        <v>98</v>
      </c>
      <c r="E603" s="96">
        <v>2</v>
      </c>
      <c r="F603" s="97">
        <v>1</v>
      </c>
      <c r="G603" s="98" t="s">
        <v>20</v>
      </c>
      <c r="H603" s="97">
        <v>80</v>
      </c>
      <c r="I603" s="98" t="s">
        <v>98</v>
      </c>
      <c r="J603" s="99">
        <v>10800</v>
      </c>
      <c r="K603" s="95" t="s">
        <v>98</v>
      </c>
      <c r="L603" s="100">
        <v>0.125</v>
      </c>
      <c r="M603" s="100">
        <v>0.05</v>
      </c>
      <c r="N603" s="97"/>
      <c r="O603" s="98" t="s">
        <v>98</v>
      </c>
      <c r="P603" s="94">
        <f t="shared" si="354"/>
        <v>160</v>
      </c>
      <c r="Q603" s="98" t="s">
        <v>98</v>
      </c>
      <c r="R603" s="99">
        <f t="shared" si="355"/>
        <v>1436400</v>
      </c>
      <c r="S603" s="99">
        <f t="shared" si="356"/>
        <v>1294054.054054054</v>
      </c>
    </row>
    <row r="604" spans="1:19" s="19" customFormat="1">
      <c r="A604" s="18"/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19" s="19" customFormat="1">
      <c r="A605" s="18" t="s">
        <v>325</v>
      </c>
      <c r="B605" s="19" t="s">
        <v>25</v>
      </c>
      <c r="C605" s="20">
        <v>910</v>
      </c>
      <c r="D605" s="21" t="s">
        <v>98</v>
      </c>
      <c r="E605" s="26">
        <v>24</v>
      </c>
      <c r="F605" s="22">
        <v>1</v>
      </c>
      <c r="G605" s="23" t="s">
        <v>20</v>
      </c>
      <c r="H605" s="22">
        <v>192</v>
      </c>
      <c r="I605" s="23" t="s">
        <v>98</v>
      </c>
      <c r="J605" s="24">
        <f>844800/192</f>
        <v>4400</v>
      </c>
      <c r="K605" s="21" t="s">
        <v>98</v>
      </c>
      <c r="L605" s="25"/>
      <c r="M605" s="25">
        <v>0.17</v>
      </c>
      <c r="N605" s="22"/>
      <c r="O605" s="23" t="s">
        <v>98</v>
      </c>
      <c r="P605" s="20">
        <f>(C605+(E605*F605*H605))-N605</f>
        <v>5518</v>
      </c>
      <c r="Q605" s="23" t="s">
        <v>98</v>
      </c>
      <c r="R605" s="24">
        <f>P605*(J605-(J605*L605)-((J605-(J605*L605))*M605))</f>
        <v>20151736</v>
      </c>
      <c r="S605" s="24">
        <f t="shared" si="356"/>
        <v>18154717.117117114</v>
      </c>
    </row>
    <row r="606" spans="1:19" s="19" customFormat="1">
      <c r="A606" s="18" t="s">
        <v>326</v>
      </c>
      <c r="B606" s="19" t="s">
        <v>25</v>
      </c>
      <c r="C606" s="20"/>
      <c r="D606" s="21" t="s">
        <v>98</v>
      </c>
      <c r="E606" s="26">
        <v>20</v>
      </c>
      <c r="F606" s="22">
        <v>1</v>
      </c>
      <c r="G606" s="23" t="s">
        <v>20</v>
      </c>
      <c r="H606" s="22">
        <v>96</v>
      </c>
      <c r="I606" s="23" t="s">
        <v>98</v>
      </c>
      <c r="J606" s="24">
        <f>801600/96</f>
        <v>8350</v>
      </c>
      <c r="K606" s="21" t="s">
        <v>98</v>
      </c>
      <c r="L606" s="25"/>
      <c r="M606" s="25">
        <v>0.17</v>
      </c>
      <c r="N606" s="22"/>
      <c r="O606" s="23" t="s">
        <v>98</v>
      </c>
      <c r="P606" s="20">
        <f>(C606+(E606*F606*H606))-N606</f>
        <v>1920</v>
      </c>
      <c r="Q606" s="23" t="s">
        <v>98</v>
      </c>
      <c r="R606" s="24">
        <f>P606*(J606-(J606*L606)-((J606-(J606*L606))*M606))</f>
        <v>13306560</v>
      </c>
      <c r="S606" s="24">
        <f t="shared" si="356"/>
        <v>11987891.891891891</v>
      </c>
    </row>
    <row r="607" spans="1:19" s="19" customFormat="1">
      <c r="A607" s="18" t="s">
        <v>327</v>
      </c>
      <c r="B607" s="19" t="s">
        <v>25</v>
      </c>
      <c r="C607" s="20">
        <v>160</v>
      </c>
      <c r="D607" s="21" t="s">
        <v>98</v>
      </c>
      <c r="E607" s="26">
        <v>3</v>
      </c>
      <c r="F607" s="22">
        <v>1</v>
      </c>
      <c r="G607" s="23" t="s">
        <v>20</v>
      </c>
      <c r="H607" s="22">
        <v>160</v>
      </c>
      <c r="I607" s="23" t="s">
        <v>98</v>
      </c>
      <c r="J607" s="24">
        <f>1104000/160</f>
        <v>6900</v>
      </c>
      <c r="K607" s="21" t="s">
        <v>98</v>
      </c>
      <c r="L607" s="25"/>
      <c r="M607" s="25">
        <v>0.17</v>
      </c>
      <c r="N607" s="22"/>
      <c r="O607" s="23" t="s">
        <v>98</v>
      </c>
      <c r="P607" s="20">
        <f>(C607+(E607*F607*H607))-N607</f>
        <v>640</v>
      </c>
      <c r="Q607" s="23" t="s">
        <v>98</v>
      </c>
      <c r="R607" s="24">
        <f>P607*(J607-(J607*L607)-((J607-(J607*L607))*M607))</f>
        <v>3665280</v>
      </c>
      <c r="S607" s="24">
        <f t="shared" si="356"/>
        <v>3302054.054054054</v>
      </c>
    </row>
    <row r="608" spans="1:19" s="19" customFormat="1">
      <c r="A608" s="18" t="s">
        <v>328</v>
      </c>
      <c r="B608" s="19" t="s">
        <v>25</v>
      </c>
      <c r="C608" s="20"/>
      <c r="D608" s="21" t="s">
        <v>98</v>
      </c>
      <c r="E608" s="26">
        <v>14</v>
      </c>
      <c r="F608" s="22">
        <v>1</v>
      </c>
      <c r="G608" s="23" t="s">
        <v>20</v>
      </c>
      <c r="H608" s="22">
        <v>80</v>
      </c>
      <c r="I608" s="23" t="s">
        <v>98</v>
      </c>
      <c r="J608" s="24">
        <f>1040000/80</f>
        <v>13000</v>
      </c>
      <c r="K608" s="21" t="s">
        <v>98</v>
      </c>
      <c r="L608" s="25"/>
      <c r="M608" s="25">
        <v>0.17</v>
      </c>
      <c r="N608" s="22"/>
      <c r="O608" s="23" t="s">
        <v>98</v>
      </c>
      <c r="P608" s="20">
        <f>(C608+(E608*F608*H608))-N608</f>
        <v>1120</v>
      </c>
      <c r="Q608" s="23" t="s">
        <v>98</v>
      </c>
      <c r="R608" s="24">
        <f>P608*(J608-(J608*L608)-((J608-(J608*L608))*M608))</f>
        <v>12084800</v>
      </c>
      <c r="S608" s="24">
        <f t="shared" si="356"/>
        <v>10887207.207207207</v>
      </c>
    </row>
    <row r="609" spans="1:20" s="19" customFormat="1">
      <c r="A609" s="18"/>
      <c r="C609" s="20"/>
      <c r="D609" s="21"/>
      <c r="E609" s="26"/>
      <c r="F609" s="22"/>
      <c r="G609" s="23"/>
      <c r="H609" s="22"/>
      <c r="I609" s="23"/>
      <c r="J609" s="24"/>
      <c r="K609" s="21"/>
      <c r="L609" s="25"/>
      <c r="M609" s="25"/>
      <c r="N609" s="22"/>
      <c r="O609" s="23"/>
      <c r="P609" s="20"/>
      <c r="Q609" s="23"/>
      <c r="R609" s="24"/>
      <c r="S609" s="24"/>
    </row>
    <row r="610" spans="1:20" s="19" customFormat="1" ht="15.75">
      <c r="A610" s="35" t="s">
        <v>774</v>
      </c>
      <c r="C610" s="20"/>
      <c r="D610" s="21"/>
      <c r="E610" s="26"/>
      <c r="F610" s="22"/>
      <c r="G610" s="23"/>
      <c r="H610" s="22"/>
      <c r="I610" s="23"/>
      <c r="J610" s="24"/>
      <c r="K610" s="21"/>
      <c r="L610" s="62"/>
      <c r="M610" s="62"/>
      <c r="N610" s="22"/>
      <c r="O610" s="23"/>
      <c r="P610" s="20"/>
      <c r="Q610" s="23"/>
      <c r="R610" s="24"/>
      <c r="S610" s="24"/>
    </row>
    <row r="611" spans="1:20" s="19" customFormat="1">
      <c r="A611" s="18" t="s">
        <v>775</v>
      </c>
      <c r="B611" s="18" t="s">
        <v>171</v>
      </c>
      <c r="C611" s="40">
        <v>160</v>
      </c>
      <c r="D611" s="41" t="s">
        <v>19</v>
      </c>
      <c r="E611" s="42"/>
      <c r="F611" s="43">
        <v>1</v>
      </c>
      <c r="G611" s="38" t="s">
        <v>20</v>
      </c>
      <c r="H611" s="43">
        <v>10</v>
      </c>
      <c r="I611" s="38" t="s">
        <v>19</v>
      </c>
      <c r="J611" s="27">
        <v>55000</v>
      </c>
      <c r="K611" s="41" t="s">
        <v>19</v>
      </c>
      <c r="L611" s="44">
        <v>0.05</v>
      </c>
      <c r="M611" s="44"/>
      <c r="N611" s="43"/>
      <c r="O611" s="38" t="s">
        <v>19</v>
      </c>
      <c r="P611" s="40">
        <f>(C611+(E611*F611*H611))-N611</f>
        <v>160</v>
      </c>
      <c r="Q611" s="38" t="s">
        <v>19</v>
      </c>
      <c r="R611" s="27">
        <f>P611*(J611-(J611*L611)-((J611-(J611*L611))*M611))</f>
        <v>8360000</v>
      </c>
      <c r="S611" s="27">
        <f t="shared" ref="S611" si="357">R611/1.11</f>
        <v>7531531.5315315304</v>
      </c>
    </row>
    <row r="612" spans="1:20" s="19" customFormat="1">
      <c r="A612" s="18"/>
      <c r="C612" s="20"/>
      <c r="D612" s="21"/>
      <c r="E612" s="26"/>
      <c r="F612" s="22"/>
      <c r="G612" s="23"/>
      <c r="H612" s="22"/>
      <c r="I612" s="23"/>
      <c r="J612" s="24"/>
      <c r="K612" s="21"/>
      <c r="L612" s="25"/>
      <c r="M612" s="25"/>
      <c r="N612" s="22"/>
      <c r="O612" s="23"/>
      <c r="P612" s="20"/>
      <c r="Q612" s="23"/>
      <c r="R612" s="24"/>
      <c r="S612" s="24"/>
    </row>
    <row r="613" spans="1:20" s="19" customFormat="1" ht="15.75">
      <c r="A613" s="35" t="s">
        <v>329</v>
      </c>
      <c r="C613" s="20"/>
      <c r="D613" s="21"/>
      <c r="E613" s="26"/>
      <c r="F613" s="22"/>
      <c r="G613" s="23"/>
      <c r="H613" s="22"/>
      <c r="I613" s="23"/>
      <c r="J613" s="24"/>
      <c r="K613" s="21"/>
      <c r="L613" s="62"/>
      <c r="M613" s="62"/>
      <c r="N613" s="22"/>
      <c r="O613" s="23"/>
      <c r="P613" s="20"/>
      <c r="Q613" s="23"/>
      <c r="R613" s="24"/>
      <c r="S613" s="24"/>
    </row>
    <row r="614" spans="1:20" s="19" customFormat="1">
      <c r="A614" s="60" t="s">
        <v>330</v>
      </c>
      <c r="C614" s="20"/>
      <c r="D614" s="21"/>
      <c r="E614" s="26"/>
      <c r="F614" s="22"/>
      <c r="G614" s="23"/>
      <c r="H614" s="22"/>
      <c r="I614" s="23"/>
      <c r="J614" s="24"/>
      <c r="K614" s="21"/>
      <c r="L614" s="62"/>
      <c r="M614" s="62"/>
      <c r="N614" s="22"/>
      <c r="O614" s="23"/>
      <c r="P614" s="20"/>
      <c r="Q614" s="23"/>
      <c r="R614" s="24"/>
      <c r="S614" s="24"/>
    </row>
    <row r="615" spans="1:20" s="76" customFormat="1">
      <c r="A615" s="75" t="s">
        <v>331</v>
      </c>
      <c r="B615" s="76" t="s">
        <v>18</v>
      </c>
      <c r="C615" s="74"/>
      <c r="D615" s="77" t="s">
        <v>19</v>
      </c>
      <c r="E615" s="78"/>
      <c r="F615" s="79">
        <v>1</v>
      </c>
      <c r="G615" s="80" t="s">
        <v>20</v>
      </c>
      <c r="H615" s="79">
        <v>24</v>
      </c>
      <c r="I615" s="80" t="s">
        <v>19</v>
      </c>
      <c r="J615" s="81">
        <v>35000</v>
      </c>
      <c r="K615" s="77" t="s">
        <v>19</v>
      </c>
      <c r="L615" s="82">
        <v>0.125</v>
      </c>
      <c r="M615" s="82">
        <v>0.05</v>
      </c>
      <c r="N615" s="79"/>
      <c r="O615" s="80" t="s">
        <v>19</v>
      </c>
      <c r="P615" s="74">
        <f t="shared" ref="P615:P620" si="358">(C615+(E615*F615*H615))-N615</f>
        <v>0</v>
      </c>
      <c r="Q615" s="80" t="s">
        <v>19</v>
      </c>
      <c r="R615" s="81">
        <f t="shared" ref="R615:R620" si="359">P615*(J615-(J615*L615)-((J615-(J615*L615))*M615))</f>
        <v>0</v>
      </c>
      <c r="S615" s="81">
        <f t="shared" si="356"/>
        <v>0</v>
      </c>
    </row>
    <row r="616" spans="1:20" s="19" customFormat="1">
      <c r="A616" s="18" t="s">
        <v>332</v>
      </c>
      <c r="B616" s="19" t="s">
        <v>18</v>
      </c>
      <c r="C616" s="20">
        <v>216</v>
      </c>
      <c r="D616" s="21" t="s">
        <v>19</v>
      </c>
      <c r="E616" s="26">
        <v>114</v>
      </c>
      <c r="F616" s="22">
        <v>1</v>
      </c>
      <c r="G616" s="23" t="s">
        <v>20</v>
      </c>
      <c r="H616" s="22">
        <v>72</v>
      </c>
      <c r="I616" s="23" t="s">
        <v>19</v>
      </c>
      <c r="J616" s="24">
        <v>15800</v>
      </c>
      <c r="K616" s="21" t="s">
        <v>19</v>
      </c>
      <c r="L616" s="25">
        <v>0.125</v>
      </c>
      <c r="M616" s="25">
        <v>0.05</v>
      </c>
      <c r="N616" s="22"/>
      <c r="O616" s="23" t="s">
        <v>19</v>
      </c>
      <c r="P616" s="20">
        <f t="shared" si="358"/>
        <v>8424</v>
      </c>
      <c r="Q616" s="23" t="s">
        <v>19</v>
      </c>
      <c r="R616" s="24">
        <f t="shared" si="359"/>
        <v>110638710</v>
      </c>
      <c r="S616" s="24">
        <f t="shared" si="356"/>
        <v>99674513.513513505</v>
      </c>
      <c r="T616" s="24"/>
    </row>
    <row r="617" spans="1:20" s="19" customFormat="1">
      <c r="A617" s="18" t="s">
        <v>333</v>
      </c>
      <c r="B617" s="19" t="s">
        <v>18</v>
      </c>
      <c r="C617" s="20">
        <v>216</v>
      </c>
      <c r="D617" s="21" t="s">
        <v>19</v>
      </c>
      <c r="E617" s="26"/>
      <c r="F617" s="22">
        <v>1</v>
      </c>
      <c r="G617" s="23" t="s">
        <v>20</v>
      </c>
      <c r="H617" s="22">
        <v>72</v>
      </c>
      <c r="I617" s="23" t="s">
        <v>19</v>
      </c>
      <c r="J617" s="24">
        <v>15800</v>
      </c>
      <c r="K617" s="21" t="s">
        <v>19</v>
      </c>
      <c r="L617" s="25">
        <v>0.125</v>
      </c>
      <c r="M617" s="25">
        <v>0.05</v>
      </c>
      <c r="N617" s="22"/>
      <c r="O617" s="23" t="s">
        <v>19</v>
      </c>
      <c r="P617" s="20">
        <f t="shared" si="358"/>
        <v>216</v>
      </c>
      <c r="Q617" s="23" t="s">
        <v>19</v>
      </c>
      <c r="R617" s="24">
        <f t="shared" si="359"/>
        <v>2836890</v>
      </c>
      <c r="S617" s="24">
        <f t="shared" si="356"/>
        <v>2555756.7567567565</v>
      </c>
      <c r="T617" s="24"/>
    </row>
    <row r="618" spans="1:20" s="93" customFormat="1">
      <c r="A618" s="85" t="s">
        <v>334</v>
      </c>
      <c r="B618" s="93" t="s">
        <v>18</v>
      </c>
      <c r="C618" s="94"/>
      <c r="D618" s="95" t="s">
        <v>19</v>
      </c>
      <c r="E618" s="96">
        <v>24</v>
      </c>
      <c r="F618" s="97">
        <v>1</v>
      </c>
      <c r="G618" s="98" t="s">
        <v>20</v>
      </c>
      <c r="H618" s="97">
        <v>72</v>
      </c>
      <c r="I618" s="98" t="s">
        <v>19</v>
      </c>
      <c r="J618" s="99">
        <v>20700</v>
      </c>
      <c r="K618" s="95" t="s">
        <v>19</v>
      </c>
      <c r="L618" s="100">
        <v>0.125</v>
      </c>
      <c r="M618" s="100">
        <v>0.05</v>
      </c>
      <c r="N618" s="97"/>
      <c r="O618" s="98" t="s">
        <v>19</v>
      </c>
      <c r="P618" s="94">
        <f t="shared" si="358"/>
        <v>1728</v>
      </c>
      <c r="Q618" s="98" t="s">
        <v>19</v>
      </c>
      <c r="R618" s="99">
        <f t="shared" si="359"/>
        <v>29733480</v>
      </c>
      <c r="S618" s="99">
        <f t="shared" si="356"/>
        <v>26786918.918918915</v>
      </c>
    </row>
    <row r="619" spans="1:20" s="19" customFormat="1">
      <c r="A619" s="18" t="s">
        <v>335</v>
      </c>
      <c r="B619" s="19" t="s">
        <v>18</v>
      </c>
      <c r="C619" s="20">
        <v>36</v>
      </c>
      <c r="D619" s="21" t="s">
        <v>19</v>
      </c>
      <c r="E619" s="26"/>
      <c r="F619" s="22">
        <v>1</v>
      </c>
      <c r="G619" s="23" t="s">
        <v>20</v>
      </c>
      <c r="H619" s="22">
        <v>72</v>
      </c>
      <c r="I619" s="23" t="s">
        <v>19</v>
      </c>
      <c r="J619" s="24">
        <v>20700</v>
      </c>
      <c r="K619" s="21" t="s">
        <v>19</v>
      </c>
      <c r="L619" s="25">
        <v>0.125</v>
      </c>
      <c r="M619" s="25">
        <v>0.05</v>
      </c>
      <c r="N619" s="22"/>
      <c r="O619" s="23" t="s">
        <v>19</v>
      </c>
      <c r="P619" s="20">
        <f t="shared" si="358"/>
        <v>36</v>
      </c>
      <c r="Q619" s="23" t="s">
        <v>19</v>
      </c>
      <c r="R619" s="24">
        <f t="shared" si="359"/>
        <v>619447.5</v>
      </c>
      <c r="S619" s="24">
        <f t="shared" si="356"/>
        <v>558060.81081081077</v>
      </c>
    </row>
    <row r="620" spans="1:20" s="19" customFormat="1">
      <c r="A620" s="18" t="s">
        <v>949</v>
      </c>
      <c r="B620" s="19" t="s">
        <v>18</v>
      </c>
      <c r="C620" s="20"/>
      <c r="D620" s="21" t="s">
        <v>19</v>
      </c>
      <c r="E620" s="26">
        <v>2</v>
      </c>
      <c r="F620" s="22">
        <v>1</v>
      </c>
      <c r="G620" s="23" t="s">
        <v>20</v>
      </c>
      <c r="H620" s="22">
        <v>96</v>
      </c>
      <c r="I620" s="23" t="s">
        <v>19</v>
      </c>
      <c r="J620" s="24">
        <v>19500</v>
      </c>
      <c r="K620" s="21" t="s">
        <v>19</v>
      </c>
      <c r="L620" s="25">
        <v>0.125</v>
      </c>
      <c r="M620" s="25">
        <v>0.05</v>
      </c>
      <c r="N620" s="22"/>
      <c r="O620" s="23" t="s">
        <v>19</v>
      </c>
      <c r="P620" s="20">
        <f t="shared" si="358"/>
        <v>192</v>
      </c>
      <c r="Q620" s="23" t="s">
        <v>19</v>
      </c>
      <c r="R620" s="24">
        <f t="shared" si="359"/>
        <v>3112200</v>
      </c>
      <c r="S620" s="24">
        <f t="shared" ref="S620" si="360">R620/1.11</f>
        <v>2803783.7837837837</v>
      </c>
    </row>
    <row r="621" spans="1:20" s="19" customFormat="1">
      <c r="A621" s="18"/>
      <c r="C621" s="20"/>
      <c r="D621" s="21"/>
      <c r="E621" s="26"/>
      <c r="F621" s="22"/>
      <c r="G621" s="23"/>
      <c r="H621" s="22"/>
      <c r="I621" s="23"/>
      <c r="J621" s="24"/>
      <c r="K621" s="21"/>
      <c r="L621" s="25"/>
      <c r="M621" s="25"/>
      <c r="N621" s="22"/>
      <c r="O621" s="23"/>
      <c r="P621" s="20"/>
      <c r="Q621" s="23"/>
      <c r="R621" s="24"/>
      <c r="S621" s="24"/>
    </row>
    <row r="622" spans="1:20" s="93" customFormat="1">
      <c r="A622" s="85" t="s">
        <v>336</v>
      </c>
      <c r="B622" s="93" t="s">
        <v>25</v>
      </c>
      <c r="C622" s="94"/>
      <c r="D622" s="95" t="s">
        <v>19</v>
      </c>
      <c r="E622" s="96">
        <v>11</v>
      </c>
      <c r="F622" s="97">
        <v>1</v>
      </c>
      <c r="G622" s="98" t="s">
        <v>20</v>
      </c>
      <c r="H622" s="97">
        <v>72</v>
      </c>
      <c r="I622" s="98" t="s">
        <v>19</v>
      </c>
      <c r="J622" s="99">
        <f>1310400/72</f>
        <v>18200</v>
      </c>
      <c r="K622" s="95" t="s">
        <v>19</v>
      </c>
      <c r="L622" s="100"/>
      <c r="M622" s="100">
        <v>0.17</v>
      </c>
      <c r="N622" s="97"/>
      <c r="O622" s="98" t="s">
        <v>19</v>
      </c>
      <c r="P622" s="94">
        <f>(C622+(E622*F622*H622))-N622</f>
        <v>792</v>
      </c>
      <c r="Q622" s="98" t="s">
        <v>19</v>
      </c>
      <c r="R622" s="99">
        <f>P622*(J622-(J622*L622)-((J622-(J622*L622))*M622))</f>
        <v>11963952</v>
      </c>
      <c r="S622" s="99">
        <f t="shared" si="356"/>
        <v>10778335.135135135</v>
      </c>
    </row>
    <row r="623" spans="1:20" s="19" customFormat="1">
      <c r="A623" s="18" t="s">
        <v>337</v>
      </c>
      <c r="B623" s="19" t="s">
        <v>25</v>
      </c>
      <c r="C623" s="20">
        <v>36</v>
      </c>
      <c r="D623" s="21" t="s">
        <v>19</v>
      </c>
      <c r="E623" s="26"/>
      <c r="F623" s="22">
        <v>1</v>
      </c>
      <c r="G623" s="23" t="s">
        <v>20</v>
      </c>
      <c r="H623" s="22">
        <v>72</v>
      </c>
      <c r="I623" s="23" t="s">
        <v>19</v>
      </c>
      <c r="J623" s="24">
        <f>1512000/72</f>
        <v>21000</v>
      </c>
      <c r="K623" s="21" t="s">
        <v>19</v>
      </c>
      <c r="L623" s="25">
        <v>0.125</v>
      </c>
      <c r="M623" s="25">
        <v>0.05</v>
      </c>
      <c r="N623" s="22"/>
      <c r="O623" s="23" t="s">
        <v>19</v>
      </c>
      <c r="P623" s="20">
        <f>(C623+(E623*F623*H623))-N623</f>
        <v>36</v>
      </c>
      <c r="Q623" s="23" t="s">
        <v>19</v>
      </c>
      <c r="R623" s="24">
        <f>P623*(J623-(J623*L623)-((J623-(J623*L623))*M623))</f>
        <v>628425</v>
      </c>
      <c r="S623" s="24">
        <f t="shared" si="356"/>
        <v>566148.64864864864</v>
      </c>
    </row>
    <row r="624" spans="1:20" s="76" customFormat="1">
      <c r="A624" s="75" t="s">
        <v>780</v>
      </c>
      <c r="B624" s="76" t="s">
        <v>25</v>
      </c>
      <c r="C624" s="74"/>
      <c r="D624" s="77" t="s">
        <v>19</v>
      </c>
      <c r="E624" s="78"/>
      <c r="F624" s="79">
        <v>1</v>
      </c>
      <c r="G624" s="80" t="s">
        <v>20</v>
      </c>
      <c r="H624" s="79">
        <v>72</v>
      </c>
      <c r="I624" s="80" t="s">
        <v>19</v>
      </c>
      <c r="J624" s="81">
        <f>1224000/72</f>
        <v>17000</v>
      </c>
      <c r="K624" s="77" t="s">
        <v>19</v>
      </c>
      <c r="L624" s="82"/>
      <c r="M624" s="82">
        <v>0.17</v>
      </c>
      <c r="N624" s="79"/>
      <c r="O624" s="80" t="s">
        <v>19</v>
      </c>
      <c r="P624" s="74">
        <f>(C624+(E624*F624*H624))-N624</f>
        <v>0</v>
      </c>
      <c r="Q624" s="80" t="s">
        <v>19</v>
      </c>
      <c r="R624" s="81">
        <f>P624*(J624-(J624*L624)-((J624-(J624*L624))*M624))</f>
        <v>0</v>
      </c>
      <c r="S624" s="81">
        <f t="shared" si="356"/>
        <v>0</v>
      </c>
    </row>
    <row r="625" spans="1:20" s="76" customFormat="1">
      <c r="A625" s="75" t="s">
        <v>338</v>
      </c>
      <c r="B625" s="76" t="s">
        <v>25</v>
      </c>
      <c r="C625" s="74"/>
      <c r="D625" s="77" t="s">
        <v>19</v>
      </c>
      <c r="E625" s="78"/>
      <c r="F625" s="79">
        <v>1</v>
      </c>
      <c r="G625" s="80" t="s">
        <v>20</v>
      </c>
      <c r="H625" s="79">
        <v>120</v>
      </c>
      <c r="I625" s="80" t="s">
        <v>19</v>
      </c>
      <c r="J625" s="81">
        <v>9000</v>
      </c>
      <c r="K625" s="77" t="s">
        <v>19</v>
      </c>
      <c r="L625" s="82"/>
      <c r="M625" s="82">
        <v>0.17</v>
      </c>
      <c r="N625" s="79"/>
      <c r="O625" s="80" t="s">
        <v>19</v>
      </c>
      <c r="P625" s="74">
        <f>(C625+(E625*F625*H625))-N625</f>
        <v>0</v>
      </c>
      <c r="Q625" s="80" t="s">
        <v>19</v>
      </c>
      <c r="R625" s="81">
        <f>P625*(J625-(J625*L625)-((J625-(J625*L625))*M625))</f>
        <v>0</v>
      </c>
      <c r="S625" s="81">
        <f t="shared" si="356"/>
        <v>0</v>
      </c>
    </row>
    <row r="626" spans="1:20" s="19" customFormat="1">
      <c r="A626" s="18"/>
      <c r="C626" s="20"/>
      <c r="D626" s="21"/>
      <c r="E626" s="26"/>
      <c r="F626" s="22"/>
      <c r="G626" s="23"/>
      <c r="H626" s="22"/>
      <c r="I626" s="23"/>
      <c r="J626" s="24"/>
      <c r="K626" s="21"/>
      <c r="L626" s="25"/>
      <c r="M626" s="25"/>
      <c r="N626" s="22"/>
      <c r="O626" s="23"/>
      <c r="P626" s="20"/>
      <c r="Q626" s="23"/>
      <c r="R626" s="24"/>
      <c r="S626" s="24"/>
    </row>
    <row r="627" spans="1:20" s="19" customFormat="1">
      <c r="A627" s="60" t="s">
        <v>339</v>
      </c>
      <c r="C627" s="20"/>
      <c r="D627" s="21"/>
      <c r="E627" s="26"/>
      <c r="F627" s="22"/>
      <c r="G627" s="23"/>
      <c r="H627" s="22"/>
      <c r="I627" s="23"/>
      <c r="J627" s="24"/>
      <c r="K627" s="21"/>
      <c r="L627" s="25"/>
      <c r="M627" s="25"/>
      <c r="N627" s="22"/>
      <c r="O627" s="23"/>
      <c r="P627" s="20"/>
      <c r="Q627" s="23"/>
      <c r="R627" s="24"/>
      <c r="S627" s="24"/>
    </row>
    <row r="628" spans="1:20" s="76" customFormat="1">
      <c r="A628" s="75" t="s">
        <v>340</v>
      </c>
      <c r="B628" s="76" t="s">
        <v>18</v>
      </c>
      <c r="C628" s="74"/>
      <c r="D628" s="77" t="s">
        <v>19</v>
      </c>
      <c r="E628" s="78"/>
      <c r="F628" s="79">
        <v>2</v>
      </c>
      <c r="G628" s="80" t="s">
        <v>33</v>
      </c>
      <c r="H628" s="79">
        <v>24</v>
      </c>
      <c r="I628" s="80" t="s">
        <v>19</v>
      </c>
      <c r="J628" s="81">
        <v>9200</v>
      </c>
      <c r="K628" s="77" t="s">
        <v>19</v>
      </c>
      <c r="L628" s="82">
        <v>0.125</v>
      </c>
      <c r="M628" s="82">
        <v>0.05</v>
      </c>
      <c r="N628" s="79"/>
      <c r="O628" s="80" t="s">
        <v>19</v>
      </c>
      <c r="P628" s="74">
        <f>(C628+(E628*F628*H628))-N628</f>
        <v>0</v>
      </c>
      <c r="Q628" s="80" t="s">
        <v>19</v>
      </c>
      <c r="R628" s="81">
        <f>P628*(J628-(J628*L628)-((J628-(J628*L628))*M628))</f>
        <v>0</v>
      </c>
      <c r="S628" s="81">
        <f t="shared" si="356"/>
        <v>0</v>
      </c>
    </row>
    <row r="629" spans="1:20" s="76" customFormat="1">
      <c r="A629" s="75" t="s">
        <v>730</v>
      </c>
      <c r="B629" s="76" t="s">
        <v>18</v>
      </c>
      <c r="C629" s="74"/>
      <c r="D629" s="77" t="s">
        <v>19</v>
      </c>
      <c r="E629" s="78"/>
      <c r="F629" s="79">
        <v>4</v>
      </c>
      <c r="G629" s="80" t="s">
        <v>33</v>
      </c>
      <c r="H629" s="79">
        <v>24</v>
      </c>
      <c r="I629" s="80" t="s">
        <v>19</v>
      </c>
      <c r="J629" s="81">
        <v>6300</v>
      </c>
      <c r="K629" s="77" t="s">
        <v>19</v>
      </c>
      <c r="L629" s="82">
        <v>0.125</v>
      </c>
      <c r="M629" s="82">
        <v>0.05</v>
      </c>
      <c r="N629" s="79"/>
      <c r="O629" s="80" t="s">
        <v>19</v>
      </c>
      <c r="P629" s="74">
        <f>(C629+(E629*F629*H629))-N629</f>
        <v>0</v>
      </c>
      <c r="Q629" s="80" t="s">
        <v>19</v>
      </c>
      <c r="R629" s="81">
        <f>P629*(J629-(J629*L629)-((J629-(J629*L629))*M629))</f>
        <v>0</v>
      </c>
      <c r="S629" s="81">
        <f t="shared" si="356"/>
        <v>0</v>
      </c>
    </row>
    <row r="630" spans="1:20" s="19" customFormat="1">
      <c r="A630" s="18"/>
      <c r="C630" s="20"/>
      <c r="D630" s="21"/>
      <c r="E630" s="26"/>
      <c r="F630" s="22"/>
      <c r="G630" s="23"/>
      <c r="H630" s="22"/>
      <c r="I630" s="23"/>
      <c r="J630" s="24"/>
      <c r="K630" s="21"/>
      <c r="L630" s="25"/>
      <c r="M630" s="25"/>
      <c r="N630" s="22"/>
      <c r="O630" s="23"/>
      <c r="P630" s="20"/>
      <c r="Q630" s="23"/>
      <c r="R630" s="24"/>
      <c r="S630" s="24"/>
    </row>
    <row r="631" spans="1:20" s="19" customFormat="1">
      <c r="A631" s="18" t="s">
        <v>341</v>
      </c>
      <c r="B631" s="19" t="s">
        <v>25</v>
      </c>
      <c r="C631" s="20"/>
      <c r="D631" s="21" t="s">
        <v>40</v>
      </c>
      <c r="E631" s="26">
        <v>13</v>
      </c>
      <c r="F631" s="22">
        <v>1</v>
      </c>
      <c r="G631" s="23" t="s">
        <v>20</v>
      </c>
      <c r="H631" s="22">
        <v>12</v>
      </c>
      <c r="I631" s="23" t="s">
        <v>40</v>
      </c>
      <c r="J631" s="24">
        <f>741600/12</f>
        <v>61800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>(C631+(E631*F631*H631))-N631</f>
        <v>156</v>
      </c>
      <c r="Q631" s="23" t="s">
        <v>40</v>
      </c>
      <c r="R631" s="24">
        <f>P631*(J631-(J631*L631)-((J631-(J631*L631))*M631))</f>
        <v>8001864</v>
      </c>
      <c r="S631" s="24">
        <f t="shared" si="356"/>
        <v>7208886.4864864862</v>
      </c>
    </row>
    <row r="632" spans="1:20" s="19" customFormat="1">
      <c r="A632" s="18" t="s">
        <v>342</v>
      </c>
      <c r="B632" s="19" t="s">
        <v>25</v>
      </c>
      <c r="C632" s="20">
        <v>23</v>
      </c>
      <c r="D632" s="21" t="s">
        <v>40</v>
      </c>
      <c r="E632" s="26">
        <v>13</v>
      </c>
      <c r="F632" s="22">
        <v>1</v>
      </c>
      <c r="G632" s="23" t="s">
        <v>20</v>
      </c>
      <c r="H632" s="22">
        <v>20</v>
      </c>
      <c r="I632" s="23" t="s">
        <v>40</v>
      </c>
      <c r="J632" s="24">
        <f>804000/20</f>
        <v>40200</v>
      </c>
      <c r="K632" s="21" t="s">
        <v>40</v>
      </c>
      <c r="L632" s="25"/>
      <c r="M632" s="25">
        <v>0.17</v>
      </c>
      <c r="N632" s="22"/>
      <c r="O632" s="23" t="s">
        <v>40</v>
      </c>
      <c r="P632" s="20">
        <f>(C632+(E632*F632*H632))-N632</f>
        <v>283</v>
      </c>
      <c r="Q632" s="23" t="s">
        <v>40</v>
      </c>
      <c r="R632" s="24">
        <f>P632*(J632-(J632*L632)-((J632-(J632*L632))*M632))</f>
        <v>9442578</v>
      </c>
      <c r="S632" s="24">
        <f t="shared" si="356"/>
        <v>8506827.0270270258</v>
      </c>
    </row>
    <row r="633" spans="1:20" s="93" customFormat="1">
      <c r="A633" s="85" t="s">
        <v>343</v>
      </c>
      <c r="B633" s="93" t="s">
        <v>25</v>
      </c>
      <c r="C633" s="94"/>
      <c r="D633" s="95" t="s">
        <v>40</v>
      </c>
      <c r="E633" s="96">
        <v>7</v>
      </c>
      <c r="F633" s="97">
        <v>1</v>
      </c>
      <c r="G633" s="98" t="s">
        <v>20</v>
      </c>
      <c r="H633" s="97">
        <v>6</v>
      </c>
      <c r="I633" s="98" t="s">
        <v>40</v>
      </c>
      <c r="J633" s="99">
        <f>810000/6</f>
        <v>135000</v>
      </c>
      <c r="K633" s="95" t="s">
        <v>40</v>
      </c>
      <c r="L633" s="100"/>
      <c r="M633" s="100">
        <v>0.17</v>
      </c>
      <c r="N633" s="97"/>
      <c r="O633" s="98" t="s">
        <v>40</v>
      </c>
      <c r="P633" s="94">
        <f>(C633+(E633*F633*H633))-N633</f>
        <v>42</v>
      </c>
      <c r="Q633" s="98" t="s">
        <v>40</v>
      </c>
      <c r="R633" s="99">
        <f>P633*(J633-(J633*L633)-((J633-(J633*L633))*M633))</f>
        <v>4706100</v>
      </c>
      <c r="S633" s="99">
        <f t="shared" si="356"/>
        <v>4239729.7297297297</v>
      </c>
    </row>
    <row r="634" spans="1:20" s="19" customFormat="1">
      <c r="A634" s="18"/>
      <c r="C634" s="20"/>
      <c r="D634" s="21"/>
      <c r="E634" s="26"/>
      <c r="F634" s="22"/>
      <c r="G634" s="23"/>
      <c r="H634" s="22"/>
      <c r="I634" s="23"/>
      <c r="J634" s="24"/>
      <c r="K634" s="21"/>
      <c r="L634" s="25"/>
      <c r="M634" s="25"/>
      <c r="N634" s="22"/>
      <c r="O634" s="23"/>
      <c r="P634" s="20"/>
      <c r="Q634" s="23"/>
      <c r="R634" s="24"/>
      <c r="S634" s="24"/>
    </row>
    <row r="635" spans="1:20" s="19" customFormat="1">
      <c r="A635" s="60" t="s">
        <v>344</v>
      </c>
      <c r="C635" s="20"/>
      <c r="D635" s="21"/>
      <c r="E635" s="26"/>
      <c r="F635" s="22"/>
      <c r="G635" s="23"/>
      <c r="H635" s="22"/>
      <c r="I635" s="23"/>
      <c r="J635" s="24"/>
      <c r="K635" s="21"/>
      <c r="L635" s="62"/>
      <c r="M635" s="62"/>
      <c r="N635" s="22"/>
      <c r="O635" s="23"/>
      <c r="P635" s="20"/>
      <c r="Q635" s="23"/>
      <c r="R635" s="24"/>
      <c r="S635" s="24"/>
    </row>
    <row r="636" spans="1:20" s="76" customFormat="1">
      <c r="A636" s="75" t="s">
        <v>345</v>
      </c>
      <c r="B636" s="76" t="s">
        <v>18</v>
      </c>
      <c r="C636" s="74"/>
      <c r="D636" s="77" t="s">
        <v>151</v>
      </c>
      <c r="E636" s="78"/>
      <c r="F636" s="79">
        <v>36</v>
      </c>
      <c r="G636" s="80" t="s">
        <v>33</v>
      </c>
      <c r="H636" s="79">
        <v>30</v>
      </c>
      <c r="I636" s="80" t="s">
        <v>151</v>
      </c>
      <c r="J636" s="81">
        <v>3200</v>
      </c>
      <c r="K636" s="77" t="s">
        <v>151</v>
      </c>
      <c r="L636" s="82">
        <v>0.125</v>
      </c>
      <c r="M636" s="82">
        <v>0.05</v>
      </c>
      <c r="N636" s="79"/>
      <c r="O636" s="80" t="s">
        <v>151</v>
      </c>
      <c r="P636" s="74">
        <f>(C636+(E636*F636*H636))-N636</f>
        <v>0</v>
      </c>
      <c r="Q636" s="80" t="s">
        <v>151</v>
      </c>
      <c r="R636" s="81">
        <f>P636*(J636-(J636*L636)-((J636-(J636*L636))*M636))</f>
        <v>0</v>
      </c>
      <c r="S636" s="81">
        <f t="shared" si="356"/>
        <v>0</v>
      </c>
      <c r="T636" s="81"/>
    </row>
    <row r="637" spans="1:20" s="76" customFormat="1">
      <c r="A637" s="75" t="s">
        <v>346</v>
      </c>
      <c r="B637" s="76" t="s">
        <v>18</v>
      </c>
      <c r="C637" s="74"/>
      <c r="D637" s="77" t="s">
        <v>151</v>
      </c>
      <c r="E637" s="78"/>
      <c r="F637" s="79">
        <v>36</v>
      </c>
      <c r="G637" s="80" t="s">
        <v>33</v>
      </c>
      <c r="H637" s="79">
        <v>30</v>
      </c>
      <c r="I637" s="80" t="s">
        <v>151</v>
      </c>
      <c r="J637" s="81">
        <v>2900</v>
      </c>
      <c r="K637" s="77" t="s">
        <v>151</v>
      </c>
      <c r="L637" s="82">
        <v>0.125</v>
      </c>
      <c r="M637" s="82">
        <v>0.05</v>
      </c>
      <c r="N637" s="79"/>
      <c r="O637" s="80" t="s">
        <v>151</v>
      </c>
      <c r="P637" s="74">
        <f>(C637+(E637*F637*H637))-N637</f>
        <v>0</v>
      </c>
      <c r="Q637" s="80" t="s">
        <v>151</v>
      </c>
      <c r="R637" s="81">
        <f>P637*(J637-(J637*L637)-((J637-(J637*L637))*M637))</f>
        <v>0</v>
      </c>
      <c r="S637" s="81">
        <f t="shared" si="356"/>
        <v>0</v>
      </c>
      <c r="T637" s="81"/>
    </row>
    <row r="638" spans="1:20" s="19" customFormat="1">
      <c r="A638" s="18"/>
      <c r="C638" s="20"/>
      <c r="D638" s="21"/>
      <c r="E638" s="26"/>
      <c r="F638" s="22"/>
      <c r="G638" s="23"/>
      <c r="H638" s="22"/>
      <c r="I638" s="23"/>
      <c r="J638" s="24"/>
      <c r="K638" s="21"/>
      <c r="L638" s="25"/>
      <c r="M638" s="25"/>
      <c r="N638" s="22"/>
      <c r="O638" s="23"/>
      <c r="P638" s="20"/>
      <c r="Q638" s="23"/>
      <c r="R638" s="24"/>
      <c r="S638" s="24"/>
    </row>
    <row r="639" spans="1:20" s="19" customFormat="1" ht="15.75">
      <c r="A639" s="35" t="s">
        <v>347</v>
      </c>
      <c r="C639" s="20"/>
      <c r="D639" s="21"/>
      <c r="E639" s="26"/>
      <c r="F639" s="22"/>
      <c r="G639" s="23"/>
      <c r="H639" s="22"/>
      <c r="I639" s="23"/>
      <c r="J639" s="24"/>
      <c r="K639" s="21"/>
      <c r="L639" s="25"/>
      <c r="M639" s="25"/>
      <c r="N639" s="22"/>
      <c r="O639" s="23"/>
      <c r="P639" s="20"/>
      <c r="Q639" s="23"/>
      <c r="R639" s="24"/>
      <c r="S639" s="24"/>
    </row>
    <row r="640" spans="1:20" s="19" customFormat="1">
      <c r="A640" s="39" t="s">
        <v>350</v>
      </c>
      <c r="B640" s="19" t="s">
        <v>18</v>
      </c>
      <c r="C640" s="20"/>
      <c r="D640" s="21" t="s">
        <v>98</v>
      </c>
      <c r="E640" s="26">
        <v>3</v>
      </c>
      <c r="F640" s="22">
        <v>1</v>
      </c>
      <c r="G640" s="23" t="s">
        <v>20</v>
      </c>
      <c r="H640" s="22">
        <v>100</v>
      </c>
      <c r="I640" s="23" t="s">
        <v>98</v>
      </c>
      <c r="J640" s="24">
        <v>8400</v>
      </c>
      <c r="K640" s="21" t="s">
        <v>98</v>
      </c>
      <c r="L640" s="25">
        <v>0.125</v>
      </c>
      <c r="M640" s="25">
        <v>0.05</v>
      </c>
      <c r="N640" s="22"/>
      <c r="O640" s="23" t="s">
        <v>98</v>
      </c>
      <c r="P640" s="20">
        <f>(C640+(E640*F640*H640))-N640</f>
        <v>300</v>
      </c>
      <c r="Q640" s="23" t="s">
        <v>98</v>
      </c>
      <c r="R640" s="24">
        <f>P640*(J640-(J640*L640)-((J640-(J640*L640))*M640))</f>
        <v>2094750</v>
      </c>
      <c r="S640" s="24">
        <f>R640/1.11</f>
        <v>1887162.1621621619</v>
      </c>
      <c r="T640" s="24"/>
    </row>
    <row r="641" spans="1:20" s="19" customFormat="1">
      <c r="A641" s="157" t="s">
        <v>350</v>
      </c>
      <c r="B641" s="19" t="s">
        <v>18</v>
      </c>
      <c r="C641" s="20"/>
      <c r="D641" s="21" t="s">
        <v>98</v>
      </c>
      <c r="E641" s="26"/>
      <c r="F641" s="22">
        <v>1</v>
      </c>
      <c r="G641" s="23" t="s">
        <v>20</v>
      </c>
      <c r="H641" s="22">
        <v>100</v>
      </c>
      <c r="I641" s="23" t="s">
        <v>98</v>
      </c>
      <c r="J641" s="24">
        <v>7600</v>
      </c>
      <c r="K641" s="21" t="s">
        <v>98</v>
      </c>
      <c r="L641" s="25">
        <v>0.125</v>
      </c>
      <c r="M641" s="25">
        <v>0.05</v>
      </c>
      <c r="N641" s="22"/>
      <c r="O641" s="23" t="s">
        <v>98</v>
      </c>
      <c r="P641" s="20">
        <f>(C641+(E641*F641*H641))-N641</f>
        <v>0</v>
      </c>
      <c r="Q641" s="23" t="s">
        <v>98</v>
      </c>
      <c r="R641" s="24">
        <f>P641*(J641-(J641*L641)-((J641-(J641*L641))*M641))</f>
        <v>0</v>
      </c>
      <c r="S641" s="24">
        <f>R641/1.11</f>
        <v>0</v>
      </c>
      <c r="T641" s="24"/>
    </row>
    <row r="642" spans="1:20" s="19" customFormat="1">
      <c r="A642" s="39" t="s">
        <v>351</v>
      </c>
      <c r="B642" s="19" t="s">
        <v>18</v>
      </c>
      <c r="C642" s="20"/>
      <c r="D642" s="21" t="s">
        <v>98</v>
      </c>
      <c r="E642" s="26">
        <v>2</v>
      </c>
      <c r="F642" s="22">
        <v>1</v>
      </c>
      <c r="G642" s="23" t="s">
        <v>20</v>
      </c>
      <c r="H642" s="22">
        <v>100</v>
      </c>
      <c r="I642" s="23" t="s">
        <v>98</v>
      </c>
      <c r="J642" s="24">
        <v>8400</v>
      </c>
      <c r="K642" s="21" t="s">
        <v>98</v>
      </c>
      <c r="L642" s="25">
        <v>0.125</v>
      </c>
      <c r="M642" s="25">
        <v>0.05</v>
      </c>
      <c r="N642" s="22"/>
      <c r="O642" s="23" t="s">
        <v>98</v>
      </c>
      <c r="P642" s="20">
        <f>(C642+(E642*F642*H642))-N642</f>
        <v>200</v>
      </c>
      <c r="Q642" s="23" t="s">
        <v>98</v>
      </c>
      <c r="R642" s="24">
        <f>P642*(J642-(J642*L642)-((J642-(J642*L642))*M642))</f>
        <v>1396500</v>
      </c>
      <c r="S642" s="24">
        <f>R642/1.11</f>
        <v>1258108.1081081079</v>
      </c>
      <c r="T642" s="24"/>
    </row>
    <row r="643" spans="1:20" s="19" customFormat="1">
      <c r="A643" s="39"/>
      <c r="C643" s="20"/>
      <c r="D643" s="21"/>
      <c r="E643" s="26"/>
      <c r="F643" s="22"/>
      <c r="G643" s="23"/>
      <c r="H643" s="22"/>
      <c r="I643" s="23"/>
      <c r="J643" s="24"/>
      <c r="K643" s="21"/>
      <c r="L643" s="25"/>
      <c r="M643" s="25"/>
      <c r="N643" s="22"/>
      <c r="O643" s="23"/>
      <c r="P643" s="20"/>
      <c r="Q643" s="23"/>
      <c r="R643" s="24"/>
      <c r="S643" s="24"/>
      <c r="T643" s="24"/>
    </row>
    <row r="644" spans="1:20" s="19" customFormat="1">
      <c r="A644" s="39" t="s">
        <v>348</v>
      </c>
      <c r="B644" s="19" t="s">
        <v>25</v>
      </c>
      <c r="C644" s="20">
        <v>60</v>
      </c>
      <c r="D644" s="21" t="s">
        <v>33</v>
      </c>
      <c r="E644" s="26">
        <v>1</v>
      </c>
      <c r="F644" s="22">
        <v>10</v>
      </c>
      <c r="G644" s="23" t="s">
        <v>98</v>
      </c>
      <c r="H644" s="22">
        <v>10</v>
      </c>
      <c r="I644" s="23" t="s">
        <v>33</v>
      </c>
      <c r="J644" s="24">
        <f>980000/100</f>
        <v>9800</v>
      </c>
      <c r="K644" s="21" t="s">
        <v>33</v>
      </c>
      <c r="L644" s="25"/>
      <c r="M644" s="25">
        <v>0.17</v>
      </c>
      <c r="N644" s="22"/>
      <c r="O644" s="23" t="s">
        <v>33</v>
      </c>
      <c r="P644" s="20">
        <f>(C644+(E644*F644*H644))-N644</f>
        <v>160</v>
      </c>
      <c r="Q644" s="23" t="s">
        <v>33</v>
      </c>
      <c r="R644" s="24">
        <f>P644*(J644-(J644*L644)-((J644-(J644*L644))*M644))</f>
        <v>1301440</v>
      </c>
      <c r="S644" s="24">
        <f t="shared" si="356"/>
        <v>1172468.4684684684</v>
      </c>
    </row>
    <row r="645" spans="1:20" s="93" customFormat="1">
      <c r="A645" s="122" t="s">
        <v>349</v>
      </c>
      <c r="B645" s="93" t="s">
        <v>25</v>
      </c>
      <c r="C645" s="94"/>
      <c r="D645" s="95" t="s">
        <v>33</v>
      </c>
      <c r="E645" s="96">
        <v>3</v>
      </c>
      <c r="F645" s="97">
        <v>10</v>
      </c>
      <c r="G645" s="98" t="s">
        <v>98</v>
      </c>
      <c r="H645" s="97">
        <v>10</v>
      </c>
      <c r="I645" s="98" t="s">
        <v>33</v>
      </c>
      <c r="J645" s="99">
        <f>980000/100</f>
        <v>9800</v>
      </c>
      <c r="K645" s="95" t="s">
        <v>33</v>
      </c>
      <c r="L645" s="100"/>
      <c r="M645" s="100">
        <v>0.17</v>
      </c>
      <c r="N645" s="97"/>
      <c r="O645" s="98" t="s">
        <v>33</v>
      </c>
      <c r="P645" s="94">
        <f>(C645+(E645*F645*H645))-N645</f>
        <v>300</v>
      </c>
      <c r="Q645" s="98" t="s">
        <v>33</v>
      </c>
      <c r="R645" s="99">
        <f>P645*(J645-(J645*L645)-((J645-(J645*L645))*M645))</f>
        <v>2440200</v>
      </c>
      <c r="S645" s="99">
        <f t="shared" si="356"/>
        <v>2198378.3783783782</v>
      </c>
    </row>
    <row r="646" spans="1:20" s="19" customFormat="1">
      <c r="A646" s="18"/>
      <c r="C646" s="20"/>
      <c r="D646" s="21"/>
      <c r="E646" s="26"/>
      <c r="F646" s="22"/>
      <c r="G646" s="23"/>
      <c r="H646" s="22"/>
      <c r="I646" s="23"/>
      <c r="J646" s="24"/>
      <c r="K646" s="21"/>
      <c r="L646" s="25"/>
      <c r="M646" s="25"/>
      <c r="N646" s="22"/>
      <c r="O646" s="23"/>
      <c r="P646" s="20"/>
      <c r="Q646" s="23"/>
      <c r="R646" s="24"/>
      <c r="S646" s="24"/>
    </row>
    <row r="647" spans="1:20" s="19" customFormat="1" ht="15.75">
      <c r="A647" s="35" t="s">
        <v>352</v>
      </c>
      <c r="C647" s="20"/>
      <c r="D647" s="21"/>
      <c r="E647" s="26"/>
      <c r="F647" s="22"/>
      <c r="G647" s="23"/>
      <c r="H647" s="22"/>
      <c r="I647" s="23"/>
      <c r="J647" s="24"/>
      <c r="K647" s="21"/>
      <c r="L647" s="25"/>
      <c r="M647" s="25"/>
      <c r="N647" s="22"/>
      <c r="O647" s="23"/>
      <c r="P647" s="20"/>
      <c r="Q647" s="23"/>
      <c r="R647" s="24"/>
      <c r="S647" s="24"/>
    </row>
    <row r="648" spans="1:20" s="19" customFormat="1">
      <c r="A648" s="60" t="s">
        <v>353</v>
      </c>
      <c r="C648" s="20"/>
      <c r="D648" s="21"/>
      <c r="E648" s="26"/>
      <c r="F648" s="22"/>
      <c r="G648" s="23"/>
      <c r="H648" s="22"/>
      <c r="I648" s="23"/>
      <c r="J648" s="24"/>
      <c r="K648" s="21"/>
      <c r="L648" s="25"/>
      <c r="M648" s="25"/>
      <c r="N648" s="22"/>
      <c r="O648" s="23"/>
      <c r="P648" s="20"/>
      <c r="Q648" s="23"/>
      <c r="R648" s="24"/>
      <c r="S648" s="24"/>
    </row>
    <row r="649" spans="1:20" s="76" customFormat="1">
      <c r="A649" s="75" t="s">
        <v>354</v>
      </c>
      <c r="B649" s="76" t="s">
        <v>18</v>
      </c>
      <c r="C649" s="74"/>
      <c r="D649" s="77" t="s">
        <v>40</v>
      </c>
      <c r="E649" s="78"/>
      <c r="F649" s="79">
        <v>1</v>
      </c>
      <c r="G649" s="80" t="s">
        <v>20</v>
      </c>
      <c r="H649" s="79">
        <v>144</v>
      </c>
      <c r="I649" s="80" t="s">
        <v>40</v>
      </c>
      <c r="J649" s="81">
        <v>28200</v>
      </c>
      <c r="K649" s="77" t="s">
        <v>40</v>
      </c>
      <c r="L649" s="82">
        <v>0.125</v>
      </c>
      <c r="M649" s="82">
        <v>0.05</v>
      </c>
      <c r="N649" s="79"/>
      <c r="O649" s="80" t="s">
        <v>40</v>
      </c>
      <c r="P649" s="74">
        <f t="shared" ref="P649:P661" si="361">(C649+(E649*F649*H649))-N649</f>
        <v>0</v>
      </c>
      <c r="Q649" s="80" t="s">
        <v>40</v>
      </c>
      <c r="R649" s="81">
        <f t="shared" ref="R649:R660" si="362">P649*(J649-(J649*L649)-((J649-(J649*L649))*M649))</f>
        <v>0</v>
      </c>
      <c r="S649" s="81">
        <f t="shared" si="356"/>
        <v>0</v>
      </c>
    </row>
    <row r="650" spans="1:20" s="19" customFormat="1">
      <c r="A650" s="156" t="s">
        <v>1039</v>
      </c>
      <c r="B650" s="19" t="s">
        <v>18</v>
      </c>
      <c r="C650" s="47"/>
      <c r="D650" s="21" t="s">
        <v>40</v>
      </c>
      <c r="E650" s="26">
        <v>1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v>45600</v>
      </c>
      <c r="K650" s="21" t="s">
        <v>40</v>
      </c>
      <c r="L650" s="25">
        <v>0.125</v>
      </c>
      <c r="M650" s="25">
        <v>0.05</v>
      </c>
      <c r="N650" s="22"/>
      <c r="O650" s="23" t="s">
        <v>40</v>
      </c>
      <c r="P650" s="20">
        <f>(C650+(E650*F650*H650))-N650</f>
        <v>144</v>
      </c>
      <c r="Q650" s="23" t="s">
        <v>40</v>
      </c>
      <c r="R650" s="24">
        <f>P650*(J650-(J650*L650)-((J650-(J650*L650))*M650))</f>
        <v>5458320</v>
      </c>
      <c r="S650" s="24">
        <f>R650/1.11</f>
        <v>4917405.405405405</v>
      </c>
    </row>
    <row r="651" spans="1:20" s="19" customFormat="1">
      <c r="A651" s="18" t="s">
        <v>355</v>
      </c>
      <c r="B651" s="19" t="s">
        <v>18</v>
      </c>
      <c r="C651" s="47"/>
      <c r="D651" s="21" t="s">
        <v>40</v>
      </c>
      <c r="E651" s="26">
        <v>2</v>
      </c>
      <c r="F651" s="22">
        <v>1</v>
      </c>
      <c r="G651" s="23" t="s">
        <v>20</v>
      </c>
      <c r="H651" s="22">
        <v>144</v>
      </c>
      <c r="I651" s="23" t="s">
        <v>40</v>
      </c>
      <c r="J651" s="24">
        <v>7800</v>
      </c>
      <c r="K651" s="21" t="s">
        <v>40</v>
      </c>
      <c r="L651" s="25">
        <v>0.125</v>
      </c>
      <c r="M651" s="25">
        <v>0.05</v>
      </c>
      <c r="N651" s="22"/>
      <c r="O651" s="23" t="s">
        <v>40</v>
      </c>
      <c r="P651" s="20">
        <f>(C651+(E651*F651*H651))-N651</f>
        <v>288</v>
      </c>
      <c r="Q651" s="23" t="s">
        <v>40</v>
      </c>
      <c r="R651" s="24">
        <f>P651*(J651-(J651*L651)-((J651-(J651*L651))*M651))</f>
        <v>1867320</v>
      </c>
      <c r="S651" s="24">
        <f>R651/1.11</f>
        <v>1682270.2702702701</v>
      </c>
    </row>
    <row r="652" spans="1:20" s="19" customFormat="1">
      <c r="A652" s="18" t="s">
        <v>356</v>
      </c>
      <c r="B652" s="19" t="s">
        <v>18</v>
      </c>
      <c r="C652" s="20">
        <v>300</v>
      </c>
      <c r="D652" s="21" t="s">
        <v>40</v>
      </c>
      <c r="E652" s="26">
        <v>1</v>
      </c>
      <c r="F652" s="22">
        <v>1</v>
      </c>
      <c r="G652" s="23" t="s">
        <v>20</v>
      </c>
      <c r="H652" s="22">
        <v>144</v>
      </c>
      <c r="I652" s="23" t="s">
        <v>40</v>
      </c>
      <c r="J652" s="24">
        <v>6900</v>
      </c>
      <c r="K652" s="21" t="s">
        <v>40</v>
      </c>
      <c r="L652" s="25">
        <v>0.125</v>
      </c>
      <c r="M652" s="25">
        <v>0.05</v>
      </c>
      <c r="N652" s="22"/>
      <c r="O652" s="23" t="s">
        <v>40</v>
      </c>
      <c r="P652" s="20">
        <f t="shared" si="361"/>
        <v>444</v>
      </c>
      <c r="Q652" s="23" t="s">
        <v>40</v>
      </c>
      <c r="R652" s="24">
        <f t="shared" si="362"/>
        <v>2546617.5</v>
      </c>
      <c r="S652" s="24">
        <f t="shared" si="356"/>
        <v>2294250</v>
      </c>
    </row>
    <row r="653" spans="1:20" s="93" customFormat="1">
      <c r="A653" s="85" t="s">
        <v>752</v>
      </c>
      <c r="B653" s="93" t="s">
        <v>18</v>
      </c>
      <c r="C653" s="94"/>
      <c r="D653" s="95" t="s">
        <v>40</v>
      </c>
      <c r="E653" s="96">
        <v>2</v>
      </c>
      <c r="F653" s="97">
        <v>1</v>
      </c>
      <c r="G653" s="98" t="s">
        <v>20</v>
      </c>
      <c r="H653" s="97">
        <v>144</v>
      </c>
      <c r="I653" s="98" t="s">
        <v>40</v>
      </c>
      <c r="J653" s="99">
        <v>7020</v>
      </c>
      <c r="K653" s="95" t="s">
        <v>40</v>
      </c>
      <c r="L653" s="100">
        <v>0.125</v>
      </c>
      <c r="M653" s="100">
        <v>0.05</v>
      </c>
      <c r="N653" s="97"/>
      <c r="O653" s="98" t="s">
        <v>40</v>
      </c>
      <c r="P653" s="94">
        <f t="shared" si="361"/>
        <v>288</v>
      </c>
      <c r="Q653" s="98" t="s">
        <v>40</v>
      </c>
      <c r="R653" s="99">
        <f t="shared" si="362"/>
        <v>1680588</v>
      </c>
      <c r="S653" s="99">
        <f t="shared" si="356"/>
        <v>1514043.2432432431</v>
      </c>
    </row>
    <row r="654" spans="1:20" s="93" customFormat="1">
      <c r="A654" s="85" t="s">
        <v>357</v>
      </c>
      <c r="B654" s="93" t="s">
        <v>18</v>
      </c>
      <c r="C654" s="94"/>
      <c r="D654" s="95" t="s">
        <v>40</v>
      </c>
      <c r="E654" s="96">
        <v>3</v>
      </c>
      <c r="F654" s="97">
        <v>1</v>
      </c>
      <c r="G654" s="98" t="s">
        <v>20</v>
      </c>
      <c r="H654" s="97">
        <v>144</v>
      </c>
      <c r="I654" s="98" t="s">
        <v>40</v>
      </c>
      <c r="J654" s="99">
        <v>7200</v>
      </c>
      <c r="K654" s="95" t="s">
        <v>40</v>
      </c>
      <c r="L654" s="100">
        <v>0.125</v>
      </c>
      <c r="M654" s="100">
        <v>0.05</v>
      </c>
      <c r="N654" s="97"/>
      <c r="O654" s="98" t="s">
        <v>40</v>
      </c>
      <c r="P654" s="94">
        <f t="shared" ref="P654" si="363">(C654+(E654*F654*H654))-N654</f>
        <v>432</v>
      </c>
      <c r="Q654" s="98" t="s">
        <v>40</v>
      </c>
      <c r="R654" s="99">
        <f t="shared" ref="R654" si="364">P654*(J654-(J654*L654)-((J654-(J654*L654))*M654))</f>
        <v>2585520</v>
      </c>
      <c r="S654" s="99">
        <f t="shared" ref="S654" si="365">R654/1.11</f>
        <v>2329297.297297297</v>
      </c>
    </row>
    <row r="655" spans="1:20" s="76" customFormat="1">
      <c r="A655" s="75" t="s">
        <v>718</v>
      </c>
      <c r="B655" s="76" t="s">
        <v>18</v>
      </c>
      <c r="C655" s="74"/>
      <c r="D655" s="77" t="s">
        <v>40</v>
      </c>
      <c r="E655" s="78"/>
      <c r="F655" s="79">
        <v>1</v>
      </c>
      <c r="G655" s="80" t="s">
        <v>20</v>
      </c>
      <c r="H655" s="79">
        <v>144</v>
      </c>
      <c r="I655" s="80" t="s">
        <v>40</v>
      </c>
      <c r="J655" s="81">
        <v>6600</v>
      </c>
      <c r="K655" s="77" t="s">
        <v>40</v>
      </c>
      <c r="L655" s="82">
        <v>0.125</v>
      </c>
      <c r="M655" s="82">
        <v>0.05</v>
      </c>
      <c r="N655" s="79"/>
      <c r="O655" s="80" t="s">
        <v>40</v>
      </c>
      <c r="P655" s="74">
        <f t="shared" si="361"/>
        <v>0</v>
      </c>
      <c r="Q655" s="80" t="s">
        <v>40</v>
      </c>
      <c r="R655" s="81">
        <f t="shared" si="362"/>
        <v>0</v>
      </c>
      <c r="S655" s="81">
        <f t="shared" si="356"/>
        <v>0</v>
      </c>
    </row>
    <row r="656" spans="1:20" s="19" customFormat="1">
      <c r="A656" s="18" t="s">
        <v>648</v>
      </c>
      <c r="B656" s="19" t="s">
        <v>18</v>
      </c>
      <c r="C656" s="20"/>
      <c r="D656" s="21" t="s">
        <v>40</v>
      </c>
      <c r="E656" s="26">
        <v>4</v>
      </c>
      <c r="F656" s="22">
        <v>1</v>
      </c>
      <c r="G656" s="23" t="s">
        <v>20</v>
      </c>
      <c r="H656" s="22">
        <v>144</v>
      </c>
      <c r="I656" s="23" t="s">
        <v>40</v>
      </c>
      <c r="J656" s="24">
        <v>6120</v>
      </c>
      <c r="K656" s="21" t="s">
        <v>40</v>
      </c>
      <c r="L656" s="25">
        <v>0.125</v>
      </c>
      <c r="M656" s="25">
        <v>0.05</v>
      </c>
      <c r="N656" s="22"/>
      <c r="O656" s="23" t="s">
        <v>40</v>
      </c>
      <c r="P656" s="20">
        <f t="shared" ref="P656" si="366">(C656+(E656*F656*H656))-N656</f>
        <v>576</v>
      </c>
      <c r="Q656" s="23" t="s">
        <v>40</v>
      </c>
      <c r="R656" s="24">
        <f t="shared" ref="R656" si="367">P656*(J656-(J656*L656)-((J656-(J656*L656))*M656))</f>
        <v>2930256</v>
      </c>
      <c r="S656" s="24">
        <f t="shared" ref="S656" si="368">R656/1.11</f>
        <v>2639870.2702702698</v>
      </c>
    </row>
    <row r="657" spans="1:19" s="76" customFormat="1">
      <c r="A657" s="75" t="s">
        <v>694</v>
      </c>
      <c r="B657" s="76" t="s">
        <v>18</v>
      </c>
      <c r="C657" s="74"/>
      <c r="D657" s="77" t="s">
        <v>40</v>
      </c>
      <c r="E657" s="78"/>
      <c r="F657" s="79">
        <v>1</v>
      </c>
      <c r="G657" s="80" t="s">
        <v>20</v>
      </c>
      <c r="H657" s="79">
        <v>144</v>
      </c>
      <c r="I657" s="80" t="s">
        <v>40</v>
      </c>
      <c r="J657" s="81">
        <v>6000</v>
      </c>
      <c r="K657" s="77" t="s">
        <v>40</v>
      </c>
      <c r="L657" s="82">
        <v>0.125</v>
      </c>
      <c r="M657" s="82">
        <v>0.05</v>
      </c>
      <c r="N657" s="79"/>
      <c r="O657" s="80" t="s">
        <v>40</v>
      </c>
      <c r="P657" s="74">
        <f t="shared" si="361"/>
        <v>0</v>
      </c>
      <c r="Q657" s="80" t="s">
        <v>40</v>
      </c>
      <c r="R657" s="81">
        <f t="shared" si="362"/>
        <v>0</v>
      </c>
      <c r="S657" s="81">
        <f t="shared" si="356"/>
        <v>0</v>
      </c>
    </row>
    <row r="658" spans="1:19" s="93" customFormat="1">
      <c r="A658" s="85" t="s">
        <v>948</v>
      </c>
      <c r="B658" s="93" t="s">
        <v>18</v>
      </c>
      <c r="C658" s="94"/>
      <c r="D658" s="95" t="s">
        <v>40</v>
      </c>
      <c r="E658" s="96">
        <v>1</v>
      </c>
      <c r="F658" s="97">
        <v>1</v>
      </c>
      <c r="G658" s="98" t="s">
        <v>20</v>
      </c>
      <c r="H658" s="97">
        <v>144</v>
      </c>
      <c r="I658" s="98" t="s">
        <v>40</v>
      </c>
      <c r="J658" s="99">
        <v>42600</v>
      </c>
      <c r="K658" s="21" t="s">
        <v>40</v>
      </c>
      <c r="L658" s="25">
        <v>0.125</v>
      </c>
      <c r="M658" s="25">
        <v>0.05</v>
      </c>
      <c r="N658" s="22"/>
      <c r="O658" s="23" t="s">
        <v>40</v>
      </c>
      <c r="P658" s="20">
        <f t="shared" ref="P658" si="369">(C658+(E658*F658*H658))-N658</f>
        <v>144</v>
      </c>
      <c r="Q658" s="23" t="s">
        <v>40</v>
      </c>
      <c r="R658" s="24">
        <f t="shared" ref="R658" si="370">P658*(J658-(J658*L658)-((J658-(J658*L658))*M658))</f>
        <v>5099220</v>
      </c>
      <c r="S658" s="24">
        <f t="shared" ref="S658" si="371">R658/1.11</f>
        <v>4593891.8918918911</v>
      </c>
    </row>
    <row r="659" spans="1:19" s="19" customFormat="1">
      <c r="A659" s="18" t="s">
        <v>988</v>
      </c>
      <c r="B659" s="19" t="s">
        <v>18</v>
      </c>
      <c r="C659" s="47"/>
      <c r="D659" s="21" t="s">
        <v>40</v>
      </c>
      <c r="E659" s="26">
        <v>1</v>
      </c>
      <c r="F659" s="22">
        <v>1</v>
      </c>
      <c r="G659" s="23" t="s">
        <v>20</v>
      </c>
      <c r="H659" s="22">
        <v>144</v>
      </c>
      <c r="I659" s="23" t="s">
        <v>40</v>
      </c>
      <c r="J659" s="24">
        <v>7200</v>
      </c>
      <c r="K659" s="21" t="s">
        <v>40</v>
      </c>
      <c r="L659" s="25">
        <v>0.125</v>
      </c>
      <c r="M659" s="25">
        <v>0.05</v>
      </c>
      <c r="N659" s="22"/>
      <c r="O659" s="23" t="s">
        <v>40</v>
      </c>
      <c r="P659" s="20">
        <f>(C659+(E659*F659*H659))-N659</f>
        <v>144</v>
      </c>
      <c r="Q659" s="23" t="s">
        <v>40</v>
      </c>
      <c r="R659" s="24">
        <f>P659*(J659-(J659*L659)-((J659-(J659*L659))*M659))</f>
        <v>861840</v>
      </c>
      <c r="S659" s="24">
        <f>R659/1.11</f>
        <v>776432.43243243231</v>
      </c>
    </row>
    <row r="660" spans="1:19" s="19" customFormat="1">
      <c r="A660" s="18" t="s">
        <v>358</v>
      </c>
      <c r="B660" s="19" t="s">
        <v>18</v>
      </c>
      <c r="C660" s="20">
        <v>864</v>
      </c>
      <c r="D660" s="21" t="s">
        <v>40</v>
      </c>
      <c r="E660" s="26"/>
      <c r="F660" s="22">
        <v>1</v>
      </c>
      <c r="G660" s="23" t="s">
        <v>20</v>
      </c>
      <c r="H660" s="22">
        <v>144</v>
      </c>
      <c r="I660" s="23" t="s">
        <v>40</v>
      </c>
      <c r="J660" s="24">
        <v>5100</v>
      </c>
      <c r="K660" s="21" t="s">
        <v>40</v>
      </c>
      <c r="L660" s="25">
        <v>0.125</v>
      </c>
      <c r="M660" s="25">
        <v>0.05</v>
      </c>
      <c r="N660" s="22"/>
      <c r="O660" s="23" t="s">
        <v>40</v>
      </c>
      <c r="P660" s="20">
        <f t="shared" si="361"/>
        <v>864</v>
      </c>
      <c r="Q660" s="23" t="s">
        <v>40</v>
      </c>
      <c r="R660" s="24">
        <f t="shared" si="362"/>
        <v>3662820</v>
      </c>
      <c r="S660" s="24">
        <f t="shared" si="356"/>
        <v>3299837.8378378376</v>
      </c>
    </row>
    <row r="661" spans="1:19" s="19" customFormat="1">
      <c r="A661" s="128" t="s">
        <v>828</v>
      </c>
      <c r="B661" s="19" t="s">
        <v>18</v>
      </c>
      <c r="C661" s="47">
        <v>36</v>
      </c>
      <c r="D661" s="21" t="s">
        <v>40</v>
      </c>
      <c r="E661" s="26"/>
      <c r="F661" s="22">
        <v>1</v>
      </c>
      <c r="G661" s="23" t="s">
        <v>20</v>
      </c>
      <c r="H661" s="22">
        <v>144</v>
      </c>
      <c r="I661" s="23" t="s">
        <v>40</v>
      </c>
      <c r="J661" s="132"/>
      <c r="K661" s="21" t="s">
        <v>40</v>
      </c>
      <c r="L661" s="127">
        <v>0.1</v>
      </c>
      <c r="M661" s="25">
        <v>0.05</v>
      </c>
      <c r="N661" s="22"/>
      <c r="O661" s="23" t="s">
        <v>40</v>
      </c>
      <c r="P661" s="20">
        <f t="shared" si="361"/>
        <v>36</v>
      </c>
      <c r="Q661" s="23" t="s">
        <v>40</v>
      </c>
      <c r="R661" s="24">
        <f>P661*(J661-(J661*L661)-((J661-(J661*L661))*M661))</f>
        <v>0</v>
      </c>
      <c r="S661" s="24">
        <f t="shared" ref="S661" si="372">R661/1.11</f>
        <v>0</v>
      </c>
    </row>
    <row r="662" spans="1:19" s="19" customFormat="1">
      <c r="A662" s="128" t="s">
        <v>359</v>
      </c>
      <c r="B662" s="19" t="s">
        <v>18</v>
      </c>
      <c r="C662" s="47"/>
      <c r="D662" s="21" t="s">
        <v>40</v>
      </c>
      <c r="E662" s="26">
        <v>27</v>
      </c>
      <c r="F662" s="22">
        <v>1</v>
      </c>
      <c r="G662" s="23" t="s">
        <v>20</v>
      </c>
      <c r="H662" s="22">
        <v>144</v>
      </c>
      <c r="I662" s="23" t="s">
        <v>40</v>
      </c>
      <c r="J662" s="132">
        <v>12600</v>
      </c>
      <c r="K662" s="21" t="s">
        <v>40</v>
      </c>
      <c r="L662" s="127">
        <v>0.125</v>
      </c>
      <c r="M662" s="25">
        <v>0.05</v>
      </c>
      <c r="N662" s="22"/>
      <c r="O662" s="23" t="s">
        <v>40</v>
      </c>
      <c r="P662" s="20">
        <f>(C662+(E662*F662*H662))-N662</f>
        <v>3888</v>
      </c>
      <c r="Q662" s="23" t="s">
        <v>40</v>
      </c>
      <c r="R662" s="24">
        <f>P662*(J662-(J662*L662)-((J662-(J662*L662))*M662))</f>
        <v>40721940</v>
      </c>
      <c r="S662" s="24">
        <f>R662/1.11</f>
        <v>36686432.432432428</v>
      </c>
    </row>
    <row r="663" spans="1:19" s="19" customFormat="1">
      <c r="A663" s="18" t="s">
        <v>989</v>
      </c>
      <c r="B663" s="19" t="s">
        <v>18</v>
      </c>
      <c r="C663" s="47"/>
      <c r="D663" s="21" t="s">
        <v>40</v>
      </c>
      <c r="E663" s="26">
        <v>1</v>
      </c>
      <c r="F663" s="22">
        <v>1</v>
      </c>
      <c r="G663" s="23" t="s">
        <v>20</v>
      </c>
      <c r="H663" s="22">
        <v>144</v>
      </c>
      <c r="I663" s="23" t="s">
        <v>40</v>
      </c>
      <c r="J663" s="24">
        <v>13200</v>
      </c>
      <c r="K663" s="21" t="s">
        <v>40</v>
      </c>
      <c r="L663" s="25">
        <v>0.125</v>
      </c>
      <c r="M663" s="25">
        <v>0.05</v>
      </c>
      <c r="N663" s="22"/>
      <c r="O663" s="23" t="s">
        <v>40</v>
      </c>
      <c r="P663" s="20">
        <f>(C663+(E663*F663*H663))-N663</f>
        <v>144</v>
      </c>
      <c r="Q663" s="23" t="s">
        <v>40</v>
      </c>
      <c r="R663" s="24">
        <f>P663*(J663-(J663*L663)-((J663-(J663*L663))*M663))</f>
        <v>1580040</v>
      </c>
      <c r="S663" s="24">
        <f>R663/1.11</f>
        <v>1423459.4594594594</v>
      </c>
    </row>
    <row r="664" spans="1:19" s="19" customFormat="1">
      <c r="A664" s="28" t="s">
        <v>895</v>
      </c>
      <c r="B664" s="19" t="s">
        <v>18</v>
      </c>
      <c r="C664" s="47">
        <f>((2*12*12)+(1008/12))</f>
        <v>372</v>
      </c>
      <c r="D664" s="21" t="s">
        <v>40</v>
      </c>
      <c r="E664" s="26"/>
      <c r="F664" s="22">
        <v>1</v>
      </c>
      <c r="G664" s="23" t="s">
        <v>20</v>
      </c>
      <c r="H664" s="22">
        <v>144</v>
      </c>
      <c r="I664" s="23" t="s">
        <v>40</v>
      </c>
      <c r="J664" s="24">
        <v>13200</v>
      </c>
      <c r="K664" s="21" t="s">
        <v>40</v>
      </c>
      <c r="L664" s="30">
        <v>0.1</v>
      </c>
      <c r="M664" s="25">
        <v>0.05</v>
      </c>
      <c r="N664" s="22"/>
      <c r="O664" s="23" t="s">
        <v>40</v>
      </c>
      <c r="P664" s="20">
        <f>(C664+(E664*F664*H664))-N664</f>
        <v>372</v>
      </c>
      <c r="Q664" s="23" t="s">
        <v>40</v>
      </c>
      <c r="R664" s="24">
        <f>P664*(J664-(J664*L664)-((J664-(J664*L664))*M664))</f>
        <v>4198392</v>
      </c>
      <c r="S664" s="24">
        <f>R664/1.11</f>
        <v>3782335.1351351347</v>
      </c>
    </row>
    <row r="665" spans="1:19" s="19" customFormat="1">
      <c r="A665" s="28" t="s">
        <v>895</v>
      </c>
      <c r="B665" s="19" t="s">
        <v>18</v>
      </c>
      <c r="C665" s="47">
        <v>600</v>
      </c>
      <c r="D665" s="21" t="s">
        <v>40</v>
      </c>
      <c r="E665" s="26"/>
      <c r="F665" s="22">
        <v>1</v>
      </c>
      <c r="G665" s="23" t="s">
        <v>20</v>
      </c>
      <c r="H665" s="22">
        <v>144</v>
      </c>
      <c r="I665" s="23" t="s">
        <v>40</v>
      </c>
      <c r="J665" s="24">
        <v>13200</v>
      </c>
      <c r="K665" s="21" t="s">
        <v>40</v>
      </c>
      <c r="L665" s="30">
        <v>0.125</v>
      </c>
      <c r="M665" s="25">
        <v>0.05</v>
      </c>
      <c r="N665" s="22"/>
      <c r="O665" s="23" t="s">
        <v>40</v>
      </c>
      <c r="P665" s="20">
        <f>(C665+(E665*F665*H665))-N665</f>
        <v>600</v>
      </c>
      <c r="Q665" s="23" t="s">
        <v>40</v>
      </c>
      <c r="R665" s="24">
        <f>P665*(J665-(J665*L665)-((J665-(J665*L665))*M665))</f>
        <v>6583500</v>
      </c>
      <c r="S665" s="24">
        <f>R665/1.11</f>
        <v>5931081.0810810803</v>
      </c>
    </row>
    <row r="666" spans="1:19" s="19" customFormat="1">
      <c r="A666" s="18" t="s">
        <v>990</v>
      </c>
      <c r="B666" s="19" t="s">
        <v>18</v>
      </c>
      <c r="C666" s="47"/>
      <c r="D666" s="21" t="s">
        <v>40</v>
      </c>
      <c r="E666" s="26">
        <v>1</v>
      </c>
      <c r="F666" s="22">
        <v>1</v>
      </c>
      <c r="G666" s="23" t="s">
        <v>20</v>
      </c>
      <c r="H666" s="22">
        <v>144</v>
      </c>
      <c r="I666" s="23" t="s">
        <v>40</v>
      </c>
      <c r="J666" s="24">
        <v>13200</v>
      </c>
      <c r="K666" s="21" t="s">
        <v>40</v>
      </c>
      <c r="L666" s="25">
        <v>0.125</v>
      </c>
      <c r="M666" s="25">
        <v>0.05</v>
      </c>
      <c r="N666" s="22"/>
      <c r="O666" s="23" t="s">
        <v>40</v>
      </c>
      <c r="P666" s="20">
        <f t="shared" ref="P666" si="373">(C666+(E666*F666*H666))-N666</f>
        <v>144</v>
      </c>
      <c r="Q666" s="23" t="s">
        <v>40</v>
      </c>
      <c r="R666" s="24">
        <f t="shared" ref="R666" si="374">P666*(J666-(J666*L666)-((J666-(J666*L666))*M666))</f>
        <v>1580040</v>
      </c>
      <c r="S666" s="24">
        <f t="shared" ref="S666" si="375">R666/1.11</f>
        <v>1423459.4594594594</v>
      </c>
    </row>
    <row r="667" spans="1:19" s="19" customFormat="1">
      <c r="A667" s="18"/>
      <c r="C667" s="47"/>
      <c r="D667" s="21"/>
      <c r="E667" s="26"/>
      <c r="F667" s="22"/>
      <c r="G667" s="23"/>
      <c r="H667" s="22"/>
      <c r="I667" s="23"/>
      <c r="J667" s="24"/>
      <c r="K667" s="21"/>
      <c r="L667" s="25"/>
      <c r="M667" s="25"/>
      <c r="N667" s="22"/>
      <c r="O667" s="23"/>
      <c r="P667" s="20"/>
      <c r="Q667" s="23"/>
      <c r="R667" s="24"/>
      <c r="S667" s="24"/>
    </row>
    <row r="668" spans="1:19" s="76" customFormat="1">
      <c r="A668" s="108" t="s">
        <v>360</v>
      </c>
      <c r="B668" s="76" t="s">
        <v>25</v>
      </c>
      <c r="C668" s="74"/>
      <c r="D668" s="77" t="s">
        <v>40</v>
      </c>
      <c r="E668" s="78">
        <v>1</v>
      </c>
      <c r="F668" s="79">
        <v>1</v>
      </c>
      <c r="G668" s="80" t="s">
        <v>20</v>
      </c>
      <c r="H668" s="79">
        <v>144</v>
      </c>
      <c r="I668" s="80" t="s">
        <v>40</v>
      </c>
      <c r="J668" s="81">
        <v>22200</v>
      </c>
      <c r="K668" s="77" t="s">
        <v>40</v>
      </c>
      <c r="L668" s="82"/>
      <c r="M668" s="82">
        <v>0.17</v>
      </c>
      <c r="N668" s="79"/>
      <c r="O668" s="80" t="s">
        <v>40</v>
      </c>
      <c r="P668" s="74">
        <f t="shared" ref="P668:P674" si="376">(C668+(E668*F668*H668))-N668</f>
        <v>144</v>
      </c>
      <c r="Q668" s="80" t="s">
        <v>40</v>
      </c>
      <c r="R668" s="81">
        <f t="shared" ref="R668:R674" si="377">P668*(J668-(J668*L668)-((J668-(J668*L668))*M668))</f>
        <v>2653344</v>
      </c>
      <c r="S668" s="81">
        <f t="shared" si="356"/>
        <v>2390400</v>
      </c>
    </row>
    <row r="669" spans="1:19" s="76" customFormat="1">
      <c r="A669" s="108" t="s">
        <v>361</v>
      </c>
      <c r="B669" s="76" t="s">
        <v>25</v>
      </c>
      <c r="C669" s="74"/>
      <c r="D669" s="77" t="s">
        <v>40</v>
      </c>
      <c r="E669" s="78">
        <v>2</v>
      </c>
      <c r="F669" s="79">
        <v>1</v>
      </c>
      <c r="G669" s="80" t="s">
        <v>20</v>
      </c>
      <c r="H669" s="79">
        <v>144</v>
      </c>
      <c r="I669" s="80" t="s">
        <v>40</v>
      </c>
      <c r="J669" s="81">
        <f>1728000/144</f>
        <v>12000</v>
      </c>
      <c r="K669" s="77" t="s">
        <v>40</v>
      </c>
      <c r="L669" s="82"/>
      <c r="M669" s="82">
        <v>0.17</v>
      </c>
      <c r="N669" s="79"/>
      <c r="O669" s="80" t="s">
        <v>40</v>
      </c>
      <c r="P669" s="74">
        <f t="shared" si="376"/>
        <v>288</v>
      </c>
      <c r="Q669" s="80" t="s">
        <v>40</v>
      </c>
      <c r="R669" s="81">
        <f t="shared" si="377"/>
        <v>2868480</v>
      </c>
      <c r="S669" s="81">
        <f t="shared" si="356"/>
        <v>2584216.2162162159</v>
      </c>
    </row>
    <row r="670" spans="1:19" s="76" customFormat="1">
      <c r="A670" s="108" t="s">
        <v>362</v>
      </c>
      <c r="B670" s="76" t="s">
        <v>25</v>
      </c>
      <c r="C670" s="74"/>
      <c r="D670" s="77" t="s">
        <v>40</v>
      </c>
      <c r="E670" s="78"/>
      <c r="F670" s="79">
        <v>1</v>
      </c>
      <c r="G670" s="80" t="s">
        <v>20</v>
      </c>
      <c r="H670" s="79">
        <v>144</v>
      </c>
      <c r="I670" s="80" t="s">
        <v>40</v>
      </c>
      <c r="J670" s="81">
        <v>13800</v>
      </c>
      <c r="K670" s="77" t="s">
        <v>40</v>
      </c>
      <c r="L670" s="82"/>
      <c r="M670" s="82">
        <v>0.17</v>
      </c>
      <c r="N670" s="79"/>
      <c r="O670" s="80" t="s">
        <v>40</v>
      </c>
      <c r="P670" s="74">
        <f t="shared" si="376"/>
        <v>0</v>
      </c>
      <c r="Q670" s="80" t="s">
        <v>40</v>
      </c>
      <c r="R670" s="81">
        <f t="shared" si="377"/>
        <v>0</v>
      </c>
      <c r="S670" s="81">
        <f t="shared" si="356"/>
        <v>0</v>
      </c>
    </row>
    <row r="671" spans="1:19" s="76" customFormat="1">
      <c r="A671" s="108" t="s">
        <v>363</v>
      </c>
      <c r="B671" s="76" t="s">
        <v>25</v>
      </c>
      <c r="C671" s="74"/>
      <c r="D671" s="77" t="s">
        <v>40</v>
      </c>
      <c r="E671" s="78"/>
      <c r="F671" s="79">
        <v>1</v>
      </c>
      <c r="G671" s="80" t="s">
        <v>20</v>
      </c>
      <c r="H671" s="79">
        <v>144</v>
      </c>
      <c r="I671" s="80" t="s">
        <v>40</v>
      </c>
      <c r="J671" s="81">
        <v>13800</v>
      </c>
      <c r="K671" s="77" t="s">
        <v>40</v>
      </c>
      <c r="L671" s="82"/>
      <c r="M671" s="82">
        <v>0.17</v>
      </c>
      <c r="N671" s="79"/>
      <c r="O671" s="80" t="s">
        <v>40</v>
      </c>
      <c r="P671" s="74">
        <f t="shared" si="376"/>
        <v>0</v>
      </c>
      <c r="Q671" s="80" t="s">
        <v>40</v>
      </c>
      <c r="R671" s="81">
        <f t="shared" si="377"/>
        <v>0</v>
      </c>
      <c r="S671" s="81">
        <f t="shared" si="356"/>
        <v>0</v>
      </c>
    </row>
    <row r="672" spans="1:19" s="76" customFormat="1">
      <c r="A672" s="108" t="s">
        <v>364</v>
      </c>
      <c r="B672" s="76" t="s">
        <v>25</v>
      </c>
      <c r="C672" s="74"/>
      <c r="D672" s="77" t="s">
        <v>40</v>
      </c>
      <c r="E672" s="78"/>
      <c r="F672" s="79">
        <v>1</v>
      </c>
      <c r="G672" s="80" t="s">
        <v>20</v>
      </c>
      <c r="H672" s="79">
        <v>144</v>
      </c>
      <c r="I672" s="80" t="s">
        <v>40</v>
      </c>
      <c r="J672" s="81">
        <v>13800</v>
      </c>
      <c r="K672" s="77" t="s">
        <v>40</v>
      </c>
      <c r="L672" s="82"/>
      <c r="M672" s="82">
        <v>0.17</v>
      </c>
      <c r="N672" s="79"/>
      <c r="O672" s="80" t="s">
        <v>40</v>
      </c>
      <c r="P672" s="74">
        <f t="shared" si="376"/>
        <v>0</v>
      </c>
      <c r="Q672" s="80" t="s">
        <v>40</v>
      </c>
      <c r="R672" s="81">
        <f t="shared" si="377"/>
        <v>0</v>
      </c>
      <c r="S672" s="81">
        <f t="shared" si="356"/>
        <v>0</v>
      </c>
    </row>
    <row r="673" spans="1:19" s="76" customFormat="1">
      <c r="A673" s="108" t="s">
        <v>365</v>
      </c>
      <c r="B673" s="76" t="s">
        <v>25</v>
      </c>
      <c r="C673" s="74"/>
      <c r="D673" s="77" t="s">
        <v>40</v>
      </c>
      <c r="E673" s="78"/>
      <c r="F673" s="79">
        <v>1</v>
      </c>
      <c r="G673" s="80" t="s">
        <v>20</v>
      </c>
      <c r="H673" s="79">
        <v>144</v>
      </c>
      <c r="I673" s="80" t="s">
        <v>40</v>
      </c>
      <c r="J673" s="81">
        <f>1987200/144</f>
        <v>13800</v>
      </c>
      <c r="K673" s="77" t="s">
        <v>40</v>
      </c>
      <c r="L673" s="82"/>
      <c r="M673" s="82">
        <v>0.17</v>
      </c>
      <c r="N673" s="79"/>
      <c r="O673" s="80" t="s">
        <v>40</v>
      </c>
      <c r="P673" s="74">
        <f t="shared" si="376"/>
        <v>0</v>
      </c>
      <c r="Q673" s="80" t="s">
        <v>40</v>
      </c>
      <c r="R673" s="81">
        <f t="shared" si="377"/>
        <v>0</v>
      </c>
      <c r="S673" s="81">
        <f t="shared" si="356"/>
        <v>0</v>
      </c>
    </row>
    <row r="674" spans="1:19" s="19" customFormat="1">
      <c r="A674" s="39" t="s">
        <v>366</v>
      </c>
      <c r="B674" s="19" t="s">
        <v>25</v>
      </c>
      <c r="C674" s="20">
        <v>108</v>
      </c>
      <c r="D674" s="21" t="s">
        <v>40</v>
      </c>
      <c r="E674" s="26"/>
      <c r="F674" s="22">
        <v>1</v>
      </c>
      <c r="G674" s="23" t="s">
        <v>20</v>
      </c>
      <c r="H674" s="22">
        <v>144</v>
      </c>
      <c r="I674" s="23" t="s">
        <v>40</v>
      </c>
      <c r="J674" s="24">
        <f>2073600/12/12</f>
        <v>14400</v>
      </c>
      <c r="K674" s="21" t="s">
        <v>40</v>
      </c>
      <c r="L674" s="25"/>
      <c r="M674" s="25">
        <v>0.17</v>
      </c>
      <c r="N674" s="22"/>
      <c r="O674" s="23" t="s">
        <v>40</v>
      </c>
      <c r="P674" s="20">
        <f t="shared" si="376"/>
        <v>108</v>
      </c>
      <c r="Q674" s="23" t="s">
        <v>40</v>
      </c>
      <c r="R674" s="24">
        <f t="shared" si="377"/>
        <v>1290816</v>
      </c>
      <c r="S674" s="24">
        <f t="shared" si="356"/>
        <v>1162897.2972972973</v>
      </c>
    </row>
    <row r="675" spans="1:19" s="19" customFormat="1">
      <c r="A675" s="39" t="s">
        <v>991</v>
      </c>
      <c r="B675" s="19" t="s">
        <v>25</v>
      </c>
      <c r="C675" s="20"/>
      <c r="D675" s="21" t="s">
        <v>40</v>
      </c>
      <c r="E675" s="26">
        <v>3</v>
      </c>
      <c r="F675" s="22">
        <v>1</v>
      </c>
      <c r="G675" s="23" t="s">
        <v>20</v>
      </c>
      <c r="H675" s="22">
        <v>144</v>
      </c>
      <c r="I675" s="23" t="s">
        <v>40</v>
      </c>
      <c r="J675" s="24">
        <v>10200</v>
      </c>
      <c r="K675" s="21" t="s">
        <v>40</v>
      </c>
      <c r="L675" s="25"/>
      <c r="M675" s="25">
        <v>0.17</v>
      </c>
      <c r="N675" s="22"/>
      <c r="O675" s="23" t="s">
        <v>40</v>
      </c>
      <c r="P675" s="20">
        <f t="shared" ref="P675" si="378">(C675+(E675*F675*H675))-N675</f>
        <v>432</v>
      </c>
      <c r="Q675" s="23" t="s">
        <v>40</v>
      </c>
      <c r="R675" s="24">
        <f t="shared" ref="R675" si="379">P675*(J675-(J675*L675)-((J675-(J675*L675))*M675))</f>
        <v>3657312</v>
      </c>
      <c r="S675" s="24">
        <f t="shared" ref="S675" si="380">R675/1.11</f>
        <v>3294875.6756756753</v>
      </c>
    </row>
    <row r="676" spans="1:19" s="19" customFormat="1">
      <c r="A676" s="39" t="s">
        <v>1015</v>
      </c>
      <c r="B676" s="19" t="s">
        <v>25</v>
      </c>
      <c r="C676" s="20">
        <f>1152/12</f>
        <v>96</v>
      </c>
      <c r="D676" s="21" t="s">
        <v>40</v>
      </c>
      <c r="E676" s="26">
        <v>1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v>19200</v>
      </c>
      <c r="K676" s="21" t="s">
        <v>40</v>
      </c>
      <c r="L676" s="25">
        <v>2.5000000000000001E-2</v>
      </c>
      <c r="M676" s="25">
        <v>0.17</v>
      </c>
      <c r="N676" s="22"/>
      <c r="O676" s="23" t="s">
        <v>40</v>
      </c>
      <c r="P676" s="20">
        <f t="shared" ref="P676" si="381">(C676+(E676*F676*H676))-N676</f>
        <v>240</v>
      </c>
      <c r="Q676" s="23" t="s">
        <v>40</v>
      </c>
      <c r="R676" s="24">
        <f t="shared" ref="R676" si="382">P676*(J676-(J676*L676)-((J676-(J676*L676))*M676))</f>
        <v>3729024</v>
      </c>
      <c r="S676" s="24">
        <f t="shared" ref="S676" si="383">R676/1.11</f>
        <v>3359481.0810810807</v>
      </c>
    </row>
    <row r="677" spans="1:19" s="19" customFormat="1">
      <c r="A677" s="39"/>
      <c r="C677" s="20"/>
      <c r="D677" s="21"/>
      <c r="E677" s="26"/>
      <c r="F677" s="22"/>
      <c r="G677" s="23"/>
      <c r="H677" s="22"/>
      <c r="I677" s="23"/>
      <c r="J677" s="24"/>
      <c r="K677" s="21"/>
      <c r="L677" s="25"/>
      <c r="M677" s="25"/>
      <c r="N677" s="22"/>
      <c r="O677" s="23"/>
      <c r="P677" s="20"/>
      <c r="Q677" s="23"/>
      <c r="R677" s="24"/>
      <c r="S677" s="24"/>
    </row>
    <row r="678" spans="1:19">
      <c r="A678" s="156" t="s">
        <v>1043</v>
      </c>
      <c r="B678" s="19" t="s">
        <v>171</v>
      </c>
      <c r="C678" s="20"/>
      <c r="D678" s="21" t="s">
        <v>40</v>
      </c>
      <c r="E678" s="26">
        <v>5</v>
      </c>
      <c r="F678" s="22">
        <v>1</v>
      </c>
      <c r="G678" s="23" t="s">
        <v>20</v>
      </c>
      <c r="H678" s="22">
        <v>144</v>
      </c>
      <c r="I678" s="23" t="s">
        <v>40</v>
      </c>
      <c r="J678" s="24">
        <v>21000</v>
      </c>
      <c r="K678" s="21" t="s">
        <v>40</v>
      </c>
      <c r="L678" s="25">
        <v>7.0000000000000007E-2</v>
      </c>
      <c r="M678" s="25"/>
      <c r="N678" s="22"/>
      <c r="O678" s="23" t="s">
        <v>40</v>
      </c>
      <c r="P678" s="20">
        <f>(C678+(E678*F678*H678))-N678</f>
        <v>720</v>
      </c>
      <c r="Q678" s="23" t="s">
        <v>40</v>
      </c>
      <c r="R678" s="24">
        <f>P678*(J678-(J678*L678)-((J678-(J678*L678))*M678))</f>
        <v>14061600</v>
      </c>
      <c r="S678" s="24">
        <f>R678/1.11</f>
        <v>12668108.108108107</v>
      </c>
    </row>
    <row r="679" spans="1:19" s="19" customFormat="1">
      <c r="A679" s="39"/>
      <c r="C679" s="20"/>
      <c r="D679" s="21"/>
      <c r="E679" s="26"/>
      <c r="F679" s="22"/>
      <c r="G679" s="23"/>
      <c r="H679" s="22"/>
      <c r="I679" s="23"/>
      <c r="J679" s="24"/>
      <c r="K679" s="21"/>
      <c r="L679" s="25"/>
      <c r="M679" s="25"/>
      <c r="N679" s="22"/>
      <c r="O679" s="23"/>
      <c r="P679" s="20"/>
      <c r="Q679" s="23"/>
      <c r="R679" s="24"/>
      <c r="S679" s="24"/>
    </row>
    <row r="680" spans="1:19" s="19" customFormat="1">
      <c r="A680" s="60" t="s">
        <v>367</v>
      </c>
      <c r="C680" s="20"/>
      <c r="D680" s="21"/>
      <c r="E680" s="26"/>
      <c r="F680" s="22"/>
      <c r="G680" s="23"/>
      <c r="H680" s="22"/>
      <c r="I680" s="23"/>
      <c r="J680" s="24"/>
      <c r="K680" s="21"/>
      <c r="L680" s="25"/>
      <c r="M680" s="25"/>
      <c r="N680" s="22"/>
      <c r="O680" s="23"/>
      <c r="P680" s="20"/>
      <c r="Q680" s="23"/>
      <c r="R680" s="24"/>
      <c r="S680" s="24"/>
    </row>
    <row r="681" spans="1:19" s="19" customFormat="1">
      <c r="A681" s="18" t="s">
        <v>368</v>
      </c>
      <c r="B681" s="19" t="s">
        <v>181</v>
      </c>
      <c r="C681" s="20">
        <v>2109</v>
      </c>
      <c r="D681" s="21" t="s">
        <v>40</v>
      </c>
      <c r="E681" s="26"/>
      <c r="F681" s="22">
        <v>1</v>
      </c>
      <c r="G681" s="23" t="s">
        <v>20</v>
      </c>
      <c r="H681" s="22">
        <v>240</v>
      </c>
      <c r="I681" s="23" t="s">
        <v>40</v>
      </c>
      <c r="J681" s="24">
        <v>10000</v>
      </c>
      <c r="K681" s="21" t="s">
        <v>40</v>
      </c>
      <c r="L681" s="25"/>
      <c r="M681" s="25"/>
      <c r="N681" s="22"/>
      <c r="O681" s="23" t="s">
        <v>40</v>
      </c>
      <c r="P681" s="20">
        <f>(C681+(E681*F681*H681))-N681</f>
        <v>2109</v>
      </c>
      <c r="Q681" s="23" t="s">
        <v>40</v>
      </c>
      <c r="R681" s="24">
        <f>P681*(J681-(J681*L681)-((J681-(J681*L681))*M681))</f>
        <v>21090000</v>
      </c>
      <c r="S681" s="24">
        <f t="shared" si="356"/>
        <v>19000000</v>
      </c>
    </row>
    <row r="682" spans="1:19" s="19" customFormat="1">
      <c r="A682" s="18" t="s">
        <v>369</v>
      </c>
      <c r="B682" s="19" t="s">
        <v>181</v>
      </c>
      <c r="C682" s="20">
        <v>1472</v>
      </c>
      <c r="D682" s="21" t="s">
        <v>40</v>
      </c>
      <c r="E682" s="26"/>
      <c r="F682" s="22">
        <v>1</v>
      </c>
      <c r="G682" s="23" t="s">
        <v>20</v>
      </c>
      <c r="H682" s="22">
        <v>240</v>
      </c>
      <c r="I682" s="23" t="s">
        <v>40</v>
      </c>
      <c r="J682" s="24">
        <v>10000</v>
      </c>
      <c r="K682" s="21" t="s">
        <v>40</v>
      </c>
      <c r="L682" s="25"/>
      <c r="M682" s="25"/>
      <c r="N682" s="22"/>
      <c r="O682" s="23" t="s">
        <v>40</v>
      </c>
      <c r="P682" s="20">
        <f>(C682+(E682*F682*H682))-N682</f>
        <v>1472</v>
      </c>
      <c r="Q682" s="23" t="s">
        <v>40</v>
      </c>
      <c r="R682" s="24">
        <f>P682*(J682-(J682*L682)-((J682-(J682*L682))*M682))</f>
        <v>14720000</v>
      </c>
      <c r="S682" s="24">
        <f t="shared" si="356"/>
        <v>13261261.26126126</v>
      </c>
    </row>
    <row r="683" spans="1:19" s="19" customFormat="1">
      <c r="A683" s="18" t="s">
        <v>370</v>
      </c>
      <c r="B683" s="19" t="s">
        <v>181</v>
      </c>
      <c r="C683" s="20">
        <v>1145</v>
      </c>
      <c r="D683" s="21" t="s">
        <v>40</v>
      </c>
      <c r="E683" s="26"/>
      <c r="F683" s="22">
        <v>1</v>
      </c>
      <c r="G683" s="23" t="s">
        <v>20</v>
      </c>
      <c r="H683" s="22">
        <v>240</v>
      </c>
      <c r="I683" s="23" t="s">
        <v>40</v>
      </c>
      <c r="J683" s="24">
        <v>10000</v>
      </c>
      <c r="K683" s="21" t="s">
        <v>40</v>
      </c>
      <c r="L683" s="25"/>
      <c r="M683" s="25"/>
      <c r="N683" s="22"/>
      <c r="O683" s="23" t="s">
        <v>40</v>
      </c>
      <c r="P683" s="20">
        <f>(C683+(E683*F683*H683))-N683</f>
        <v>1145</v>
      </c>
      <c r="Q683" s="23" t="s">
        <v>40</v>
      </c>
      <c r="R683" s="24">
        <f>P683*(J683-(J683*L683)-((J683-(J683*L683))*M683))</f>
        <v>11450000</v>
      </c>
      <c r="S683" s="24">
        <f t="shared" si="356"/>
        <v>10315315.315315314</v>
      </c>
    </row>
    <row r="684" spans="1:19" s="19" customFormat="1">
      <c r="A684" s="18" t="s">
        <v>371</v>
      </c>
      <c r="B684" s="19" t="s">
        <v>181</v>
      </c>
      <c r="C684" s="20">
        <v>19</v>
      </c>
      <c r="D684" s="21" t="s">
        <v>40</v>
      </c>
      <c r="E684" s="26"/>
      <c r="F684" s="22">
        <v>1</v>
      </c>
      <c r="G684" s="23" t="s">
        <v>20</v>
      </c>
      <c r="H684" s="22">
        <v>240</v>
      </c>
      <c r="I684" s="23" t="s">
        <v>40</v>
      </c>
      <c r="J684" s="24">
        <v>10000</v>
      </c>
      <c r="K684" s="21" t="s">
        <v>40</v>
      </c>
      <c r="L684" s="25"/>
      <c r="M684" s="25"/>
      <c r="N684" s="22"/>
      <c r="O684" s="23" t="s">
        <v>40</v>
      </c>
      <c r="P684" s="20">
        <f>(C684+(E684*F684*H684))-N684</f>
        <v>19</v>
      </c>
      <c r="Q684" s="23" t="s">
        <v>40</v>
      </c>
      <c r="R684" s="24">
        <f>P684*(J684-(J684*L684)-((J684-(J684*L684))*M684))</f>
        <v>190000</v>
      </c>
      <c r="S684" s="24">
        <f t="shared" si="356"/>
        <v>171171.17117117115</v>
      </c>
    </row>
    <row r="685" spans="1:19" s="19" customFormat="1">
      <c r="A685" s="18"/>
      <c r="C685" s="20"/>
      <c r="D685" s="21"/>
      <c r="E685" s="26"/>
      <c r="F685" s="22"/>
      <c r="G685" s="23"/>
      <c r="H685" s="22"/>
      <c r="I685" s="23"/>
      <c r="J685" s="24"/>
      <c r="K685" s="21"/>
      <c r="L685" s="25"/>
      <c r="M685" s="25"/>
      <c r="N685" s="22"/>
      <c r="O685" s="23"/>
      <c r="P685" s="20"/>
      <c r="Q685" s="23"/>
      <c r="R685" s="24"/>
      <c r="S685" s="24"/>
    </row>
    <row r="686" spans="1:19" s="76" customFormat="1">
      <c r="A686" s="75" t="s">
        <v>401</v>
      </c>
      <c r="B686" s="76" t="s">
        <v>260</v>
      </c>
      <c r="C686" s="74"/>
      <c r="D686" s="77" t="s">
        <v>40</v>
      </c>
      <c r="E686" s="78"/>
      <c r="F686" s="79">
        <v>1</v>
      </c>
      <c r="G686" s="80" t="s">
        <v>20</v>
      </c>
      <c r="H686" s="79">
        <v>120</v>
      </c>
      <c r="I686" s="80" t="s">
        <v>40</v>
      </c>
      <c r="J686" s="81">
        <v>25500</v>
      </c>
      <c r="K686" s="77" t="s">
        <v>40</v>
      </c>
      <c r="L686" s="82"/>
      <c r="M686" s="82"/>
      <c r="N686" s="79"/>
      <c r="O686" s="80" t="s">
        <v>40</v>
      </c>
      <c r="P686" s="74">
        <f>(C686+(E686*F686*H686))-N686</f>
        <v>0</v>
      </c>
      <c r="Q686" s="80" t="s">
        <v>40</v>
      </c>
      <c r="R686" s="81">
        <f>P686*(J686-(J686*L686)-((J686-(J686*L686))*M686))</f>
        <v>0</v>
      </c>
      <c r="S686" s="81">
        <f>R686/1.11</f>
        <v>0</v>
      </c>
    </row>
    <row r="687" spans="1:19" s="76" customFormat="1">
      <c r="A687" s="75" t="s">
        <v>741</v>
      </c>
      <c r="B687" s="76" t="s">
        <v>260</v>
      </c>
      <c r="C687" s="74"/>
      <c r="D687" s="77" t="s">
        <v>40</v>
      </c>
      <c r="E687" s="78"/>
      <c r="F687" s="79">
        <v>1</v>
      </c>
      <c r="G687" s="80" t="s">
        <v>20</v>
      </c>
      <c r="H687" s="79">
        <v>120</v>
      </c>
      <c r="I687" s="80" t="s">
        <v>40</v>
      </c>
      <c r="J687" s="81">
        <v>19000</v>
      </c>
      <c r="K687" s="77" t="s">
        <v>40</v>
      </c>
      <c r="L687" s="82"/>
      <c r="M687" s="82"/>
      <c r="N687" s="79"/>
      <c r="O687" s="80" t="s">
        <v>40</v>
      </c>
      <c r="P687" s="74">
        <f>(C687+(E687*F687*H687))-N687</f>
        <v>0</v>
      </c>
      <c r="Q687" s="80" t="s">
        <v>40</v>
      </c>
      <c r="R687" s="81">
        <f>P687*(J687-(J687*L687)-((J687-(J687*L687))*M687))</f>
        <v>0</v>
      </c>
      <c r="S687" s="81">
        <f t="shared" ref="S687" si="384">R687/1.11</f>
        <v>0</v>
      </c>
    </row>
    <row r="688" spans="1:19" s="93" customFormat="1">
      <c r="A688" s="85" t="s">
        <v>957</v>
      </c>
      <c r="B688" s="93" t="s">
        <v>260</v>
      </c>
      <c r="C688" s="94"/>
      <c r="D688" s="95" t="s">
        <v>40</v>
      </c>
      <c r="E688" s="96">
        <v>1</v>
      </c>
      <c r="F688" s="97">
        <v>1</v>
      </c>
      <c r="G688" s="98" t="s">
        <v>20</v>
      </c>
      <c r="H688" s="97">
        <v>120</v>
      </c>
      <c r="I688" s="98" t="s">
        <v>40</v>
      </c>
      <c r="J688" s="99">
        <v>25500</v>
      </c>
      <c r="K688" s="95" t="s">
        <v>40</v>
      </c>
      <c r="L688" s="100"/>
      <c r="M688" s="100"/>
      <c r="N688" s="97"/>
      <c r="O688" s="98" t="s">
        <v>40</v>
      </c>
      <c r="P688" s="94">
        <f>(C688+(E688*F688*H688))-N688</f>
        <v>120</v>
      </c>
      <c r="Q688" s="98" t="s">
        <v>40</v>
      </c>
      <c r="R688" s="99">
        <f>P688*(J688-(J688*L688)-((J688-(J688*L688))*M688))</f>
        <v>3060000</v>
      </c>
      <c r="S688" s="99">
        <f t="shared" ref="S688" si="385">R688/1.11</f>
        <v>2756756.7567567565</v>
      </c>
    </row>
    <row r="689" spans="1:19" s="93" customFormat="1">
      <c r="A689" s="155" t="s">
        <v>1047</v>
      </c>
      <c r="B689" s="93" t="s">
        <v>260</v>
      </c>
      <c r="C689" s="94"/>
      <c r="D689" s="95" t="s">
        <v>40</v>
      </c>
      <c r="E689" s="96"/>
      <c r="F689" s="97">
        <v>1</v>
      </c>
      <c r="G689" s="98" t="s">
        <v>20</v>
      </c>
      <c r="H689" s="97">
        <v>120</v>
      </c>
      <c r="I689" s="98" t="s">
        <v>40</v>
      </c>
      <c r="J689" s="99">
        <v>30500</v>
      </c>
      <c r="K689" s="95" t="s">
        <v>40</v>
      </c>
      <c r="L689" s="100"/>
      <c r="M689" s="100"/>
      <c r="N689" s="97"/>
      <c r="O689" s="98" t="s">
        <v>40</v>
      </c>
      <c r="P689" s="94">
        <f>(C689+(E689*F689*H689))-N689</f>
        <v>0</v>
      </c>
      <c r="Q689" s="98" t="s">
        <v>40</v>
      </c>
      <c r="R689" s="99">
        <f>P689*(J689-(J689*L689)-((J689-(J689*L689))*M689))</f>
        <v>0</v>
      </c>
      <c r="S689" s="99">
        <f t="shared" ref="S689" si="386">R689/1.11</f>
        <v>0</v>
      </c>
    </row>
    <row r="690" spans="1:19" s="19" customFormat="1">
      <c r="A690" s="18"/>
      <c r="C690" s="20"/>
      <c r="D690" s="21"/>
      <c r="E690" s="26"/>
      <c r="F690" s="22"/>
      <c r="G690" s="23"/>
      <c r="H690" s="22"/>
      <c r="I690" s="23"/>
      <c r="J690" s="24"/>
      <c r="K690" s="21"/>
      <c r="L690" s="25"/>
      <c r="M690" s="25"/>
      <c r="N690" s="22"/>
      <c r="O690" s="23"/>
      <c r="P690" s="20"/>
      <c r="Q690" s="23"/>
      <c r="R690" s="24"/>
      <c r="S690" s="24"/>
    </row>
    <row r="691" spans="1:19" s="76" customFormat="1">
      <c r="A691" s="75" t="s">
        <v>372</v>
      </c>
      <c r="B691" s="76" t="s">
        <v>18</v>
      </c>
      <c r="C691" s="74"/>
      <c r="D691" s="77" t="s">
        <v>40</v>
      </c>
      <c r="E691" s="78"/>
      <c r="F691" s="79">
        <v>1</v>
      </c>
      <c r="G691" s="80" t="s">
        <v>20</v>
      </c>
      <c r="H691" s="79">
        <v>144</v>
      </c>
      <c r="I691" s="80" t="s">
        <v>40</v>
      </c>
      <c r="J691" s="81">
        <v>19800</v>
      </c>
      <c r="K691" s="77" t="s">
        <v>40</v>
      </c>
      <c r="L691" s="82">
        <v>0.125</v>
      </c>
      <c r="M691" s="82">
        <v>0.05</v>
      </c>
      <c r="N691" s="79"/>
      <c r="O691" s="80" t="s">
        <v>40</v>
      </c>
      <c r="P691" s="74">
        <f t="shared" ref="P691:P710" si="387">(C691+(E691*F691*H691))-N691</f>
        <v>0</v>
      </c>
      <c r="Q691" s="80" t="s">
        <v>40</v>
      </c>
      <c r="R691" s="81">
        <f t="shared" ref="R691:R710" si="388">P691*(J691-(J691*L691)-((J691-(J691*L691))*M691))</f>
        <v>0</v>
      </c>
      <c r="S691" s="81">
        <f t="shared" si="356"/>
        <v>0</v>
      </c>
    </row>
    <row r="692" spans="1:19" s="76" customFormat="1">
      <c r="A692" s="75" t="s">
        <v>373</v>
      </c>
      <c r="B692" s="76" t="s">
        <v>18</v>
      </c>
      <c r="C692" s="74"/>
      <c r="D692" s="77" t="s">
        <v>40</v>
      </c>
      <c r="E692" s="78"/>
      <c r="F692" s="79">
        <v>1</v>
      </c>
      <c r="G692" s="80" t="s">
        <v>20</v>
      </c>
      <c r="H692" s="79">
        <v>144</v>
      </c>
      <c r="I692" s="80" t="s">
        <v>40</v>
      </c>
      <c r="J692" s="81">
        <v>20400</v>
      </c>
      <c r="K692" s="77" t="s">
        <v>40</v>
      </c>
      <c r="L692" s="82">
        <v>0.125</v>
      </c>
      <c r="M692" s="82">
        <v>0.05</v>
      </c>
      <c r="N692" s="79"/>
      <c r="O692" s="80" t="s">
        <v>40</v>
      </c>
      <c r="P692" s="74">
        <f t="shared" si="387"/>
        <v>0</v>
      </c>
      <c r="Q692" s="80" t="s">
        <v>40</v>
      </c>
      <c r="R692" s="81">
        <f t="shared" si="388"/>
        <v>0</v>
      </c>
      <c r="S692" s="81">
        <f t="shared" si="356"/>
        <v>0</v>
      </c>
    </row>
    <row r="693" spans="1:19" s="76" customFormat="1">
      <c r="A693" s="108" t="s">
        <v>657</v>
      </c>
      <c r="B693" s="76" t="s">
        <v>18</v>
      </c>
      <c r="C693" s="74"/>
      <c r="D693" s="77" t="s">
        <v>40</v>
      </c>
      <c r="E693" s="78"/>
      <c r="F693" s="79">
        <v>1</v>
      </c>
      <c r="G693" s="80" t="s">
        <v>20</v>
      </c>
      <c r="H693" s="79">
        <v>144</v>
      </c>
      <c r="I693" s="80" t="s">
        <v>40</v>
      </c>
      <c r="J693" s="81">
        <v>69600</v>
      </c>
      <c r="K693" s="77" t="s">
        <v>40</v>
      </c>
      <c r="L693" s="82">
        <v>0.125</v>
      </c>
      <c r="M693" s="82">
        <v>0.05</v>
      </c>
      <c r="N693" s="79"/>
      <c r="O693" s="80" t="s">
        <v>40</v>
      </c>
      <c r="P693" s="74">
        <f t="shared" si="387"/>
        <v>0</v>
      </c>
      <c r="Q693" s="80" t="s">
        <v>40</v>
      </c>
      <c r="R693" s="81">
        <f t="shared" si="388"/>
        <v>0</v>
      </c>
      <c r="S693" s="81">
        <f t="shared" si="356"/>
        <v>0</v>
      </c>
    </row>
    <row r="694" spans="1:19" s="76" customFormat="1">
      <c r="A694" s="108" t="s">
        <v>788</v>
      </c>
      <c r="B694" s="76" t="s">
        <v>18</v>
      </c>
      <c r="C694" s="74"/>
      <c r="D694" s="77" t="s">
        <v>40</v>
      </c>
      <c r="E694" s="78"/>
      <c r="F694" s="79">
        <v>1</v>
      </c>
      <c r="G694" s="80" t="s">
        <v>20</v>
      </c>
      <c r="H694" s="79">
        <v>144</v>
      </c>
      <c r="I694" s="80" t="s">
        <v>40</v>
      </c>
      <c r="J694" s="81">
        <v>32400</v>
      </c>
      <c r="K694" s="77" t="s">
        <v>40</v>
      </c>
      <c r="L694" s="82">
        <v>0.125</v>
      </c>
      <c r="M694" s="82">
        <v>0.05</v>
      </c>
      <c r="N694" s="79"/>
      <c r="O694" s="80" t="s">
        <v>40</v>
      </c>
      <c r="P694" s="74">
        <f t="shared" si="387"/>
        <v>0</v>
      </c>
      <c r="Q694" s="80" t="s">
        <v>40</v>
      </c>
      <c r="R694" s="81">
        <f t="shared" si="388"/>
        <v>0</v>
      </c>
      <c r="S694" s="81">
        <f t="shared" si="356"/>
        <v>0</v>
      </c>
    </row>
    <row r="695" spans="1:19" s="19" customFormat="1">
      <c r="A695" s="39" t="s">
        <v>915</v>
      </c>
      <c r="B695" s="19" t="s">
        <v>18</v>
      </c>
      <c r="C695" s="20"/>
      <c r="D695" s="21" t="s">
        <v>40</v>
      </c>
      <c r="E695" s="26">
        <v>1</v>
      </c>
      <c r="F695" s="22">
        <v>1</v>
      </c>
      <c r="G695" s="23" t="s">
        <v>20</v>
      </c>
      <c r="H695" s="22">
        <v>144</v>
      </c>
      <c r="I695" s="23" t="s">
        <v>40</v>
      </c>
      <c r="J695" s="24">
        <v>34200</v>
      </c>
      <c r="K695" s="21" t="s">
        <v>40</v>
      </c>
      <c r="L695" s="25">
        <v>0.125</v>
      </c>
      <c r="M695" s="25">
        <v>0.05</v>
      </c>
      <c r="N695" s="22"/>
      <c r="O695" s="23" t="s">
        <v>40</v>
      </c>
      <c r="P695" s="20">
        <f t="shared" ref="P695" si="389">(C695+(E695*F695*H695))-N695</f>
        <v>144</v>
      </c>
      <c r="Q695" s="23" t="s">
        <v>40</v>
      </c>
      <c r="R695" s="24">
        <f t="shared" ref="R695" si="390">P695*(J695-(J695*L695)-((J695-(J695*L695))*M695))</f>
        <v>4093740</v>
      </c>
      <c r="S695" s="24">
        <f t="shared" si="356"/>
        <v>3688054.0540540535</v>
      </c>
    </row>
    <row r="696" spans="1:19" s="76" customFormat="1">
      <c r="A696" s="108" t="s">
        <v>374</v>
      </c>
      <c r="B696" s="76" t="s">
        <v>18</v>
      </c>
      <c r="C696" s="74"/>
      <c r="D696" s="77" t="s">
        <v>40</v>
      </c>
      <c r="E696" s="78"/>
      <c r="F696" s="79">
        <v>1</v>
      </c>
      <c r="G696" s="80" t="s">
        <v>20</v>
      </c>
      <c r="H696" s="79">
        <v>144</v>
      </c>
      <c r="I696" s="80" t="s">
        <v>40</v>
      </c>
      <c r="J696" s="81">
        <v>27000</v>
      </c>
      <c r="K696" s="77" t="s">
        <v>40</v>
      </c>
      <c r="L696" s="82">
        <v>0.125</v>
      </c>
      <c r="M696" s="82">
        <v>0.05</v>
      </c>
      <c r="N696" s="79"/>
      <c r="O696" s="80" t="s">
        <v>40</v>
      </c>
      <c r="P696" s="74">
        <f t="shared" si="387"/>
        <v>0</v>
      </c>
      <c r="Q696" s="80" t="s">
        <v>40</v>
      </c>
      <c r="R696" s="81">
        <f t="shared" si="388"/>
        <v>0</v>
      </c>
      <c r="S696" s="81">
        <f t="shared" si="356"/>
        <v>0</v>
      </c>
    </row>
    <row r="697" spans="1:19" s="93" customFormat="1">
      <c r="A697" s="122" t="s">
        <v>713</v>
      </c>
      <c r="B697" s="93" t="s">
        <v>18</v>
      </c>
      <c r="C697" s="94"/>
      <c r="D697" s="95" t="s">
        <v>40</v>
      </c>
      <c r="E697" s="96">
        <v>2</v>
      </c>
      <c r="F697" s="97">
        <v>1</v>
      </c>
      <c r="G697" s="98" t="s">
        <v>20</v>
      </c>
      <c r="H697" s="97">
        <v>144</v>
      </c>
      <c r="I697" s="98" t="s">
        <v>40</v>
      </c>
      <c r="J697" s="99">
        <v>21600</v>
      </c>
      <c r="K697" s="95" t="s">
        <v>40</v>
      </c>
      <c r="L697" s="100">
        <v>0.125</v>
      </c>
      <c r="M697" s="100">
        <v>0.05</v>
      </c>
      <c r="N697" s="97"/>
      <c r="O697" s="98" t="s">
        <v>40</v>
      </c>
      <c r="P697" s="94">
        <f t="shared" si="387"/>
        <v>288</v>
      </c>
      <c r="Q697" s="98" t="s">
        <v>40</v>
      </c>
      <c r="R697" s="99">
        <f t="shared" si="388"/>
        <v>5171040</v>
      </c>
      <c r="S697" s="99">
        <f t="shared" ref="S697:S786" si="391">R697/1.11</f>
        <v>4658594.5945945941</v>
      </c>
    </row>
    <row r="698" spans="1:19" s="93" customFormat="1">
      <c r="A698" s="122" t="s">
        <v>375</v>
      </c>
      <c r="B698" s="93" t="s">
        <v>18</v>
      </c>
      <c r="C698" s="94"/>
      <c r="D698" s="95" t="s">
        <v>40</v>
      </c>
      <c r="E698" s="96">
        <v>6</v>
      </c>
      <c r="F698" s="97">
        <v>1</v>
      </c>
      <c r="G698" s="98" t="s">
        <v>20</v>
      </c>
      <c r="H698" s="97">
        <v>144</v>
      </c>
      <c r="I698" s="98" t="s">
        <v>40</v>
      </c>
      <c r="J698" s="99">
        <v>43200</v>
      </c>
      <c r="K698" s="95" t="s">
        <v>40</v>
      </c>
      <c r="L698" s="100">
        <v>0.125</v>
      </c>
      <c r="M698" s="100">
        <v>0.05</v>
      </c>
      <c r="N698" s="97"/>
      <c r="O698" s="98" t="s">
        <v>40</v>
      </c>
      <c r="P698" s="94">
        <f t="shared" si="387"/>
        <v>864</v>
      </c>
      <c r="Q698" s="98" t="s">
        <v>40</v>
      </c>
      <c r="R698" s="99">
        <f t="shared" si="388"/>
        <v>31026240</v>
      </c>
      <c r="S698" s="99">
        <f t="shared" si="391"/>
        <v>27951567.567567565</v>
      </c>
    </row>
    <row r="699" spans="1:19" s="93" customFormat="1">
      <c r="A699" s="122" t="s">
        <v>376</v>
      </c>
      <c r="B699" s="93" t="s">
        <v>18</v>
      </c>
      <c r="C699" s="94"/>
      <c r="D699" s="95" t="s">
        <v>40</v>
      </c>
      <c r="E699" s="96">
        <v>1</v>
      </c>
      <c r="F699" s="97">
        <v>1</v>
      </c>
      <c r="G699" s="98" t="s">
        <v>20</v>
      </c>
      <c r="H699" s="97">
        <v>144</v>
      </c>
      <c r="I699" s="98" t="s">
        <v>40</v>
      </c>
      <c r="J699" s="99">
        <v>24600</v>
      </c>
      <c r="K699" s="95" t="s">
        <v>40</v>
      </c>
      <c r="L699" s="100">
        <v>0.125</v>
      </c>
      <c r="M699" s="100">
        <v>0.05</v>
      </c>
      <c r="N699" s="97"/>
      <c r="O699" s="98" t="s">
        <v>40</v>
      </c>
      <c r="P699" s="94">
        <f t="shared" ref="P699" si="392">(C699+(E699*F699*H699))-N699</f>
        <v>144</v>
      </c>
      <c r="Q699" s="98" t="s">
        <v>40</v>
      </c>
      <c r="R699" s="99">
        <f t="shared" ref="R699" si="393">P699*(J699-(J699*L699)-((J699-(J699*L699))*M699))</f>
        <v>2944620</v>
      </c>
      <c r="S699" s="99">
        <f t="shared" ref="S699" si="394">R699/1.11</f>
        <v>2652810.8108108104</v>
      </c>
    </row>
    <row r="700" spans="1:19" s="19" customFormat="1">
      <c r="A700" s="134" t="s">
        <v>377</v>
      </c>
      <c r="B700" s="19" t="s">
        <v>18</v>
      </c>
      <c r="C700" s="20"/>
      <c r="D700" s="21" t="s">
        <v>40</v>
      </c>
      <c r="E700" s="26">
        <v>9</v>
      </c>
      <c r="F700" s="22">
        <v>1</v>
      </c>
      <c r="G700" s="23" t="s">
        <v>20</v>
      </c>
      <c r="H700" s="22">
        <v>144</v>
      </c>
      <c r="I700" s="23" t="s">
        <v>40</v>
      </c>
      <c r="J700" s="132">
        <v>28200</v>
      </c>
      <c r="K700" s="21" t="s">
        <v>40</v>
      </c>
      <c r="L700" s="25">
        <v>0.125</v>
      </c>
      <c r="M700" s="25">
        <v>0.05</v>
      </c>
      <c r="N700" s="22"/>
      <c r="O700" s="63" t="s">
        <v>40</v>
      </c>
      <c r="P700" s="20">
        <f t="shared" ref="P700:P701" si="395">(C700+(E700*F700*H700))-N700</f>
        <v>1296</v>
      </c>
      <c r="Q700" s="23" t="s">
        <v>40</v>
      </c>
      <c r="R700" s="24">
        <f t="shared" ref="R700:R701" si="396">P700*(J700-(J700*L700)-((J700-(J700*L700))*M700))</f>
        <v>30379860</v>
      </c>
      <c r="S700" s="24">
        <f t="shared" ref="S700:S701" si="397">R700/1.11</f>
        <v>27369243.24324324</v>
      </c>
    </row>
    <row r="701" spans="1:19" s="19" customFormat="1">
      <c r="A701" s="134" t="s">
        <v>377</v>
      </c>
      <c r="B701" s="19" t="s">
        <v>18</v>
      </c>
      <c r="C701" s="20">
        <v>312</v>
      </c>
      <c r="D701" s="21" t="s">
        <v>40</v>
      </c>
      <c r="E701" s="26"/>
      <c r="F701" s="22">
        <v>1</v>
      </c>
      <c r="G701" s="23" t="s">
        <v>20</v>
      </c>
      <c r="H701" s="22">
        <v>144</v>
      </c>
      <c r="I701" s="23" t="s">
        <v>40</v>
      </c>
      <c r="J701" s="132">
        <v>26400</v>
      </c>
      <c r="K701" s="21" t="s">
        <v>40</v>
      </c>
      <c r="L701" s="25">
        <v>0.125</v>
      </c>
      <c r="M701" s="25">
        <v>0.05</v>
      </c>
      <c r="N701" s="22"/>
      <c r="O701" s="63" t="s">
        <v>40</v>
      </c>
      <c r="P701" s="20">
        <f t="shared" si="395"/>
        <v>312</v>
      </c>
      <c r="Q701" s="23" t="s">
        <v>40</v>
      </c>
      <c r="R701" s="24">
        <f t="shared" si="396"/>
        <v>6846840</v>
      </c>
      <c r="S701" s="24">
        <f t="shared" si="397"/>
        <v>6168324.3243243238</v>
      </c>
    </row>
    <row r="702" spans="1:19" s="19" customFormat="1">
      <c r="A702" s="134" t="s">
        <v>865</v>
      </c>
      <c r="B702" s="19" t="s">
        <v>18</v>
      </c>
      <c r="C702" s="20">
        <v>351</v>
      </c>
      <c r="D702" s="21" t="s">
        <v>40</v>
      </c>
      <c r="E702" s="26"/>
      <c r="F702" s="22">
        <v>1</v>
      </c>
      <c r="G702" s="23" t="s">
        <v>20</v>
      </c>
      <c r="H702" s="22">
        <v>144</v>
      </c>
      <c r="I702" s="23" t="s">
        <v>40</v>
      </c>
      <c r="J702" s="132"/>
      <c r="K702" s="21" t="s">
        <v>40</v>
      </c>
      <c r="L702" s="25">
        <v>0.125</v>
      </c>
      <c r="M702" s="25">
        <v>0.05</v>
      </c>
      <c r="N702" s="22"/>
      <c r="O702" s="63" t="s">
        <v>40</v>
      </c>
      <c r="P702" s="20">
        <f t="shared" si="387"/>
        <v>351</v>
      </c>
      <c r="Q702" s="23" t="s">
        <v>40</v>
      </c>
      <c r="R702" s="24">
        <f t="shared" si="388"/>
        <v>0</v>
      </c>
      <c r="S702" s="24">
        <f t="shared" si="391"/>
        <v>0</v>
      </c>
    </row>
    <row r="703" spans="1:19" s="19" customFormat="1">
      <c r="A703" s="39" t="s">
        <v>378</v>
      </c>
      <c r="B703" s="19" t="s">
        <v>18</v>
      </c>
      <c r="C703" s="20">
        <v>233</v>
      </c>
      <c r="D703" s="21" t="s">
        <v>40</v>
      </c>
      <c r="E703" s="26">
        <v>15</v>
      </c>
      <c r="F703" s="22">
        <v>1</v>
      </c>
      <c r="G703" s="23" t="s">
        <v>20</v>
      </c>
      <c r="H703" s="22">
        <v>144</v>
      </c>
      <c r="I703" s="23" t="s">
        <v>40</v>
      </c>
      <c r="J703" s="24">
        <v>27600</v>
      </c>
      <c r="K703" s="21" t="s">
        <v>40</v>
      </c>
      <c r="L703" s="25">
        <v>0.125</v>
      </c>
      <c r="M703" s="25">
        <v>0.05</v>
      </c>
      <c r="N703" s="22"/>
      <c r="O703" s="23" t="s">
        <v>40</v>
      </c>
      <c r="P703" s="20">
        <f t="shared" si="387"/>
        <v>2393</v>
      </c>
      <c r="Q703" s="23" t="s">
        <v>40</v>
      </c>
      <c r="R703" s="24">
        <f t="shared" si="388"/>
        <v>54901402.5</v>
      </c>
      <c r="S703" s="24">
        <f t="shared" si="391"/>
        <v>49460722.972972967</v>
      </c>
    </row>
    <row r="704" spans="1:19" s="67" customFormat="1">
      <c r="A704" s="108" t="s">
        <v>379</v>
      </c>
      <c r="B704" s="67" t="s">
        <v>18</v>
      </c>
      <c r="C704" s="68"/>
      <c r="D704" s="69" t="s">
        <v>40</v>
      </c>
      <c r="E704" s="70"/>
      <c r="F704" s="71">
        <v>1</v>
      </c>
      <c r="G704" s="72" t="s">
        <v>20</v>
      </c>
      <c r="H704" s="71">
        <v>144</v>
      </c>
      <c r="I704" s="72" t="s">
        <v>40</v>
      </c>
      <c r="J704" s="16">
        <v>25800</v>
      </c>
      <c r="K704" s="69" t="s">
        <v>40</v>
      </c>
      <c r="L704" s="73">
        <v>0.125</v>
      </c>
      <c r="M704" s="73">
        <v>0.05</v>
      </c>
      <c r="N704" s="71"/>
      <c r="O704" s="72" t="s">
        <v>40</v>
      </c>
      <c r="P704" s="68">
        <f t="shared" si="387"/>
        <v>0</v>
      </c>
      <c r="Q704" s="72" t="s">
        <v>40</v>
      </c>
      <c r="R704" s="16">
        <f t="shared" si="388"/>
        <v>0</v>
      </c>
      <c r="S704" s="16">
        <f t="shared" si="391"/>
        <v>0</v>
      </c>
    </row>
    <row r="705" spans="1:19" s="19" customFormat="1">
      <c r="A705" s="18" t="s">
        <v>917</v>
      </c>
      <c r="B705" s="19" t="s">
        <v>18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144</v>
      </c>
      <c r="I705" s="23" t="s">
        <v>40</v>
      </c>
      <c r="J705" s="24">
        <v>22200</v>
      </c>
      <c r="K705" s="21" t="s">
        <v>40</v>
      </c>
      <c r="L705" s="25">
        <v>0.125</v>
      </c>
      <c r="M705" s="25">
        <v>0.05</v>
      </c>
      <c r="N705" s="22"/>
      <c r="O705" s="23" t="s">
        <v>40</v>
      </c>
      <c r="P705" s="20">
        <f t="shared" ref="P705" si="398">(C705+(E705*F705*H705))-N705</f>
        <v>144</v>
      </c>
      <c r="Q705" s="23" t="s">
        <v>40</v>
      </c>
      <c r="R705" s="24">
        <f t="shared" ref="R705" si="399">P705*(J705-(J705*L705)-((J705-(J705*L705))*M705))</f>
        <v>2657340</v>
      </c>
      <c r="S705" s="24">
        <f t="shared" ref="S705" si="400">R705/1.11</f>
        <v>2394000</v>
      </c>
    </row>
    <row r="706" spans="1:19">
      <c r="A706" s="17" t="s">
        <v>380</v>
      </c>
      <c r="B706" s="2" t="s">
        <v>18</v>
      </c>
      <c r="D706" s="4" t="s">
        <v>40</v>
      </c>
      <c r="E706" s="5">
        <v>11</v>
      </c>
      <c r="F706" s="6">
        <v>1</v>
      </c>
      <c r="G706" s="7" t="s">
        <v>20</v>
      </c>
      <c r="H706" s="6">
        <v>144</v>
      </c>
      <c r="I706" s="7" t="s">
        <v>40</v>
      </c>
      <c r="J706" s="8">
        <v>14100</v>
      </c>
      <c r="K706" s="4" t="s">
        <v>40</v>
      </c>
      <c r="L706" s="9">
        <v>0.125</v>
      </c>
      <c r="M706" s="9">
        <v>0.05</v>
      </c>
      <c r="O706" s="7" t="s">
        <v>40</v>
      </c>
      <c r="P706" s="3">
        <f t="shared" si="387"/>
        <v>1584</v>
      </c>
      <c r="Q706" s="7" t="s">
        <v>40</v>
      </c>
      <c r="R706" s="8">
        <f t="shared" si="388"/>
        <v>18565470</v>
      </c>
      <c r="S706" s="8">
        <f t="shared" si="391"/>
        <v>16725648.648648648</v>
      </c>
    </row>
    <row r="707" spans="1:19" s="67" customFormat="1">
      <c r="A707" s="66" t="s">
        <v>700</v>
      </c>
      <c r="B707" s="67" t="s">
        <v>18</v>
      </c>
      <c r="C707" s="68"/>
      <c r="D707" s="69" t="s">
        <v>40</v>
      </c>
      <c r="E707" s="70"/>
      <c r="F707" s="71">
        <v>1</v>
      </c>
      <c r="G707" s="72" t="s">
        <v>20</v>
      </c>
      <c r="H707" s="71">
        <v>144</v>
      </c>
      <c r="I707" s="72" t="s">
        <v>40</v>
      </c>
      <c r="J707" s="16">
        <v>25800</v>
      </c>
      <c r="K707" s="69" t="s">
        <v>40</v>
      </c>
      <c r="L707" s="73">
        <v>0.125</v>
      </c>
      <c r="M707" s="73">
        <v>0.05</v>
      </c>
      <c r="N707" s="71"/>
      <c r="O707" s="72" t="s">
        <v>40</v>
      </c>
      <c r="P707" s="68">
        <f t="shared" si="387"/>
        <v>0</v>
      </c>
      <c r="Q707" s="72" t="s">
        <v>40</v>
      </c>
      <c r="R707" s="16">
        <f t="shared" si="388"/>
        <v>0</v>
      </c>
      <c r="S707" s="16">
        <f t="shared" si="391"/>
        <v>0</v>
      </c>
    </row>
    <row r="708" spans="1:19">
      <c r="A708" s="156" t="s">
        <v>1031</v>
      </c>
      <c r="B708" s="2" t="s">
        <v>18</v>
      </c>
      <c r="D708" s="4" t="s">
        <v>40</v>
      </c>
      <c r="E708" s="5">
        <v>1</v>
      </c>
      <c r="F708" s="6">
        <v>1</v>
      </c>
      <c r="G708" s="7" t="s">
        <v>20</v>
      </c>
      <c r="H708" s="6">
        <v>144</v>
      </c>
      <c r="I708" s="7" t="s">
        <v>40</v>
      </c>
      <c r="J708" s="8">
        <v>21000</v>
      </c>
      <c r="K708" s="4" t="s">
        <v>40</v>
      </c>
      <c r="L708" s="9">
        <v>0.125</v>
      </c>
      <c r="M708" s="9">
        <v>0.05</v>
      </c>
      <c r="O708" s="7" t="s">
        <v>40</v>
      </c>
      <c r="P708" s="3">
        <f t="shared" ref="P708" si="401">(C708+(E708*F708*H708))-N708</f>
        <v>144</v>
      </c>
      <c r="Q708" s="7" t="s">
        <v>40</v>
      </c>
      <c r="R708" s="8">
        <f t="shared" ref="R708" si="402">P708*(J708-(J708*L708)-((J708-(J708*L708))*M708))</f>
        <v>2513700</v>
      </c>
      <c r="S708" s="8">
        <f t="shared" ref="S708" si="403">R708/1.11</f>
        <v>2264594.5945945946</v>
      </c>
    </row>
    <row r="709" spans="1:19">
      <c r="A709" s="17" t="s">
        <v>381</v>
      </c>
      <c r="B709" s="2" t="s">
        <v>18</v>
      </c>
      <c r="C709" s="3">
        <v>432</v>
      </c>
      <c r="D709" s="4" t="s">
        <v>40</v>
      </c>
      <c r="E709" s="5">
        <v>14</v>
      </c>
      <c r="F709" s="6">
        <v>1</v>
      </c>
      <c r="G709" s="7" t="s">
        <v>20</v>
      </c>
      <c r="H709" s="6">
        <v>144</v>
      </c>
      <c r="I709" s="7" t="s">
        <v>40</v>
      </c>
      <c r="J709" s="8">
        <v>20400</v>
      </c>
      <c r="K709" s="4" t="s">
        <v>40</v>
      </c>
      <c r="L709" s="9">
        <v>0.125</v>
      </c>
      <c r="M709" s="9">
        <v>0.05</v>
      </c>
      <c r="O709" s="7" t="s">
        <v>40</v>
      </c>
      <c r="P709" s="3">
        <f t="shared" si="387"/>
        <v>2448</v>
      </c>
      <c r="Q709" s="7" t="s">
        <v>40</v>
      </c>
      <c r="R709" s="8">
        <f t="shared" si="388"/>
        <v>41511960</v>
      </c>
      <c r="S709" s="8">
        <f t="shared" si="391"/>
        <v>37398162.162162162</v>
      </c>
    </row>
    <row r="710" spans="1:19" s="67" customFormat="1">
      <c r="A710" s="66" t="s">
        <v>796</v>
      </c>
      <c r="B710" s="67" t="s">
        <v>18</v>
      </c>
      <c r="C710" s="68"/>
      <c r="D710" s="69" t="s">
        <v>40</v>
      </c>
      <c r="E710" s="70"/>
      <c r="F710" s="71">
        <v>1</v>
      </c>
      <c r="G710" s="72" t="s">
        <v>20</v>
      </c>
      <c r="H710" s="71">
        <v>144</v>
      </c>
      <c r="I710" s="72" t="s">
        <v>40</v>
      </c>
      <c r="J710" s="16">
        <v>17400</v>
      </c>
      <c r="K710" s="69" t="s">
        <v>40</v>
      </c>
      <c r="L710" s="73">
        <v>0.125</v>
      </c>
      <c r="M710" s="73">
        <v>0.1</v>
      </c>
      <c r="N710" s="71"/>
      <c r="O710" s="72" t="s">
        <v>40</v>
      </c>
      <c r="P710" s="68">
        <f t="shared" si="387"/>
        <v>0</v>
      </c>
      <c r="Q710" s="72" t="s">
        <v>40</v>
      </c>
      <c r="R710" s="16">
        <f t="shared" si="388"/>
        <v>0</v>
      </c>
      <c r="S710" s="16">
        <f t="shared" si="391"/>
        <v>0</v>
      </c>
    </row>
    <row r="712" spans="1:19" s="67" customFormat="1">
      <c r="A712" s="66" t="s">
        <v>382</v>
      </c>
      <c r="B712" s="67" t="s">
        <v>25</v>
      </c>
      <c r="C712" s="74"/>
      <c r="D712" s="69" t="s">
        <v>40</v>
      </c>
      <c r="E712" s="70"/>
      <c r="F712" s="71">
        <v>1</v>
      </c>
      <c r="G712" s="72" t="s">
        <v>20</v>
      </c>
      <c r="H712" s="71">
        <v>144</v>
      </c>
      <c r="I712" s="72" t="s">
        <v>40</v>
      </c>
      <c r="J712" s="16">
        <v>25200</v>
      </c>
      <c r="K712" s="69" t="s">
        <v>40</v>
      </c>
      <c r="L712" s="73"/>
      <c r="M712" s="73">
        <v>0.17</v>
      </c>
      <c r="N712" s="71"/>
      <c r="O712" s="72" t="s">
        <v>40</v>
      </c>
      <c r="P712" s="68">
        <f t="shared" ref="P712:P746" si="404">(C712+(E712*F712*H712))-N712</f>
        <v>0</v>
      </c>
      <c r="Q712" s="72" t="s">
        <v>40</v>
      </c>
      <c r="R712" s="16">
        <f t="shared" ref="R712:R746" si="405">P712*(J712-(J712*L712)-((J712-(J712*L712))*M712))</f>
        <v>0</v>
      </c>
      <c r="S712" s="16">
        <f t="shared" si="391"/>
        <v>0</v>
      </c>
    </row>
    <row r="713" spans="1:19">
      <c r="A713" s="17" t="s">
        <v>673</v>
      </c>
      <c r="B713" s="2" t="s">
        <v>25</v>
      </c>
      <c r="C713" s="3">
        <v>432</v>
      </c>
      <c r="D713" s="4" t="s">
        <v>40</v>
      </c>
      <c r="E713" s="5">
        <v>5</v>
      </c>
      <c r="F713" s="6">
        <v>1</v>
      </c>
      <c r="G713" s="7" t="s">
        <v>20</v>
      </c>
      <c r="H713" s="6">
        <v>144</v>
      </c>
      <c r="I713" s="7" t="s">
        <v>40</v>
      </c>
      <c r="J713" s="8">
        <f>3758400/144</f>
        <v>26100</v>
      </c>
      <c r="K713" s="4" t="s">
        <v>40</v>
      </c>
      <c r="M713" s="9">
        <v>0.17</v>
      </c>
      <c r="O713" s="7" t="s">
        <v>40</v>
      </c>
      <c r="P713" s="3">
        <f t="shared" si="404"/>
        <v>1152</v>
      </c>
      <c r="Q713" s="7" t="s">
        <v>40</v>
      </c>
      <c r="R713" s="8">
        <f t="shared" si="405"/>
        <v>24955776</v>
      </c>
      <c r="S713" s="8">
        <f t="shared" si="391"/>
        <v>22482681.081081077</v>
      </c>
    </row>
    <row r="714" spans="1:19">
      <c r="A714" s="17" t="s">
        <v>383</v>
      </c>
      <c r="B714" s="2" t="s">
        <v>25</v>
      </c>
      <c r="C714" s="3">
        <v>60</v>
      </c>
      <c r="D714" s="4" t="s">
        <v>40</v>
      </c>
      <c r="F714" s="6">
        <v>1</v>
      </c>
      <c r="G714" s="7" t="s">
        <v>20</v>
      </c>
      <c r="H714" s="6">
        <v>144</v>
      </c>
      <c r="I714" s="7" t="s">
        <v>40</v>
      </c>
      <c r="J714" s="8">
        <f>3715200/144</f>
        <v>25800</v>
      </c>
      <c r="K714" s="4" t="s">
        <v>40</v>
      </c>
      <c r="M714" s="9">
        <v>0.17</v>
      </c>
      <c r="O714" s="7" t="s">
        <v>40</v>
      </c>
      <c r="P714" s="3">
        <f t="shared" si="404"/>
        <v>60</v>
      </c>
      <c r="Q714" s="7" t="s">
        <v>40</v>
      </c>
      <c r="R714" s="8">
        <f t="shared" si="405"/>
        <v>1284840</v>
      </c>
      <c r="S714" s="8">
        <f t="shared" si="391"/>
        <v>1157513.5135135134</v>
      </c>
    </row>
    <row r="715" spans="1:19" s="67" customFormat="1">
      <c r="A715" s="66" t="s">
        <v>394</v>
      </c>
      <c r="B715" s="67" t="s">
        <v>25</v>
      </c>
      <c r="C715" s="74"/>
      <c r="D715" s="69" t="s">
        <v>40</v>
      </c>
      <c r="E715" s="70"/>
      <c r="F715" s="71">
        <v>1</v>
      </c>
      <c r="G715" s="72" t="s">
        <v>20</v>
      </c>
      <c r="H715" s="71">
        <v>144</v>
      </c>
      <c r="I715" s="72" t="s">
        <v>40</v>
      </c>
      <c r="J715" s="16">
        <v>25800</v>
      </c>
      <c r="K715" s="69" t="s">
        <v>40</v>
      </c>
      <c r="L715" s="73"/>
      <c r="M715" s="73">
        <v>0.17</v>
      </c>
      <c r="N715" s="71"/>
      <c r="O715" s="72" t="s">
        <v>40</v>
      </c>
      <c r="P715" s="68">
        <f t="shared" si="404"/>
        <v>0</v>
      </c>
      <c r="Q715" s="72" t="s">
        <v>40</v>
      </c>
      <c r="R715" s="16">
        <f t="shared" si="405"/>
        <v>0</v>
      </c>
      <c r="S715" s="16">
        <f>R715/1.11</f>
        <v>0</v>
      </c>
    </row>
    <row r="716" spans="1:19">
      <c r="A716" s="39" t="s">
        <v>777</v>
      </c>
      <c r="B716" s="2" t="s">
        <v>25</v>
      </c>
      <c r="C716" s="3">
        <v>288</v>
      </c>
      <c r="D716" s="4" t="s">
        <v>40</v>
      </c>
      <c r="F716" s="6">
        <v>1</v>
      </c>
      <c r="G716" s="7" t="s">
        <v>20</v>
      </c>
      <c r="H716" s="6">
        <v>144</v>
      </c>
      <c r="I716" s="7" t="s">
        <v>40</v>
      </c>
      <c r="J716" s="8">
        <f>3628800/144</f>
        <v>25200</v>
      </c>
      <c r="K716" s="4" t="s">
        <v>40</v>
      </c>
      <c r="M716" s="9">
        <v>0.17</v>
      </c>
      <c r="O716" s="7" t="s">
        <v>40</v>
      </c>
      <c r="P716" s="3">
        <f t="shared" si="404"/>
        <v>288</v>
      </c>
      <c r="Q716" s="7" t="s">
        <v>40</v>
      </c>
      <c r="R716" s="8">
        <f t="shared" si="405"/>
        <v>6023808</v>
      </c>
      <c r="S716" s="8">
        <f t="shared" ref="S716" si="406">R716/1.11</f>
        <v>5426854.0540540535</v>
      </c>
    </row>
    <row r="717" spans="1:19">
      <c r="A717" s="134" t="s">
        <v>384</v>
      </c>
      <c r="B717" s="2" t="s">
        <v>25</v>
      </c>
      <c r="C717" s="3">
        <f>21408/12</f>
        <v>1784</v>
      </c>
      <c r="D717" s="4" t="s">
        <v>40</v>
      </c>
      <c r="E717" s="5">
        <v>59</v>
      </c>
      <c r="F717" s="6">
        <v>1</v>
      </c>
      <c r="G717" s="7" t="s">
        <v>20</v>
      </c>
      <c r="H717" s="6">
        <v>144</v>
      </c>
      <c r="I717" s="7" t="s">
        <v>40</v>
      </c>
      <c r="J717" s="8">
        <f>3758400/144</f>
        <v>26100</v>
      </c>
      <c r="K717" s="4" t="s">
        <v>40</v>
      </c>
      <c r="L717" s="127"/>
      <c r="M717" s="9">
        <v>0.17</v>
      </c>
      <c r="O717" s="7" t="s">
        <v>40</v>
      </c>
      <c r="P717" s="3">
        <f t="shared" si="404"/>
        <v>10280</v>
      </c>
      <c r="Q717" s="7" t="s">
        <v>40</v>
      </c>
      <c r="R717" s="8">
        <f t="shared" si="405"/>
        <v>222695640</v>
      </c>
      <c r="S717" s="8">
        <f t="shared" si="391"/>
        <v>200626702.70270267</v>
      </c>
    </row>
    <row r="718" spans="1:19">
      <c r="A718" s="134" t="s">
        <v>384</v>
      </c>
      <c r="B718" s="2" t="s">
        <v>25</v>
      </c>
      <c r="D718" s="4" t="s">
        <v>40</v>
      </c>
      <c r="E718" s="5">
        <v>10</v>
      </c>
      <c r="F718" s="6">
        <v>1</v>
      </c>
      <c r="G718" s="7" t="s">
        <v>20</v>
      </c>
      <c r="H718" s="6">
        <v>144</v>
      </c>
      <c r="I718" s="7" t="s">
        <v>40</v>
      </c>
      <c r="J718" s="8">
        <f>3758400/144</f>
        <v>26100</v>
      </c>
      <c r="K718" s="4" t="s">
        <v>40</v>
      </c>
      <c r="L718" s="127">
        <v>0.05</v>
      </c>
      <c r="M718" s="9">
        <v>0.17</v>
      </c>
      <c r="O718" s="7" t="s">
        <v>40</v>
      </c>
      <c r="P718" s="3">
        <f t="shared" ref="P718" si="407">(C718+(E718*F718*H718))-N718</f>
        <v>1440</v>
      </c>
      <c r="Q718" s="7" t="s">
        <v>40</v>
      </c>
      <c r="R718" s="8">
        <f t="shared" ref="R718" si="408">P718*(J718-(J718*L718)-((J718-(J718*L718))*M718))</f>
        <v>29634983.999999996</v>
      </c>
      <c r="S718" s="8">
        <f t="shared" ref="S718" si="409">R718/1.11</f>
        <v>26698183.783783779</v>
      </c>
    </row>
    <row r="719" spans="1:19" s="19" customFormat="1">
      <c r="A719" s="134" t="s">
        <v>384</v>
      </c>
      <c r="B719" s="19" t="s">
        <v>25</v>
      </c>
      <c r="C719" s="20"/>
      <c r="D719" s="21" t="s">
        <v>40</v>
      </c>
      <c r="E719" s="26">
        <v>17</v>
      </c>
      <c r="F719" s="22">
        <v>1</v>
      </c>
      <c r="G719" s="23" t="s">
        <v>20</v>
      </c>
      <c r="H719" s="22">
        <v>144</v>
      </c>
      <c r="I719" s="23" t="s">
        <v>40</v>
      </c>
      <c r="J719" s="24">
        <f>3758400/144</f>
        <v>26100</v>
      </c>
      <c r="K719" s="21" t="s">
        <v>40</v>
      </c>
      <c r="L719" s="127">
        <v>2.5000000000000001E-2</v>
      </c>
      <c r="M719" s="25">
        <v>0.17</v>
      </c>
      <c r="N719" s="22"/>
      <c r="O719" s="23" t="s">
        <v>40</v>
      </c>
      <c r="P719" s="20">
        <f t="shared" ref="P719" si="410">(C719+(E719*F719*H719))-N719</f>
        <v>2448</v>
      </c>
      <c r="Q719" s="23" t="s">
        <v>40</v>
      </c>
      <c r="R719" s="24">
        <f t="shared" ref="R719" si="411">P719*(J719-(J719*L719)-((J719-(J719*L719))*M719))</f>
        <v>51705248.399999999</v>
      </c>
      <c r="S719" s="24">
        <f t="shared" ref="S719" si="412">R719/1.11</f>
        <v>46581304.864864856</v>
      </c>
    </row>
    <row r="720" spans="1:19" s="67" customFormat="1">
      <c r="A720" s="108" t="s">
        <v>385</v>
      </c>
      <c r="B720" s="67" t="s">
        <v>25</v>
      </c>
      <c r="C720" s="74"/>
      <c r="D720" s="69" t="s">
        <v>40</v>
      </c>
      <c r="E720" s="70">
        <v>1</v>
      </c>
      <c r="F720" s="71">
        <v>1</v>
      </c>
      <c r="G720" s="72" t="s">
        <v>20</v>
      </c>
      <c r="H720" s="71">
        <v>144</v>
      </c>
      <c r="I720" s="72" t="s">
        <v>40</v>
      </c>
      <c r="J720" s="16">
        <f>3628800/144</f>
        <v>25200</v>
      </c>
      <c r="K720" s="69" t="s">
        <v>40</v>
      </c>
      <c r="L720" s="73"/>
      <c r="M720" s="73">
        <v>0.17</v>
      </c>
      <c r="N720" s="71"/>
      <c r="O720" s="72" t="s">
        <v>40</v>
      </c>
      <c r="P720" s="68">
        <f t="shared" si="404"/>
        <v>144</v>
      </c>
      <c r="Q720" s="72" t="s">
        <v>40</v>
      </c>
      <c r="R720" s="16">
        <f t="shared" si="405"/>
        <v>3011904</v>
      </c>
      <c r="S720" s="16">
        <f t="shared" si="391"/>
        <v>2713427.0270270268</v>
      </c>
    </row>
    <row r="721" spans="1:19" s="67" customFormat="1">
      <c r="A721" s="108" t="s">
        <v>386</v>
      </c>
      <c r="B721" s="67" t="s">
        <v>25</v>
      </c>
      <c r="C721" s="74"/>
      <c r="D721" s="69" t="s">
        <v>40</v>
      </c>
      <c r="E721" s="70"/>
      <c r="F721" s="71">
        <v>1</v>
      </c>
      <c r="G721" s="72" t="s">
        <v>20</v>
      </c>
      <c r="H721" s="71">
        <v>144</v>
      </c>
      <c r="I721" s="72" t="s">
        <v>40</v>
      </c>
      <c r="J721" s="16">
        <f>3628800/144</f>
        <v>25200</v>
      </c>
      <c r="K721" s="69" t="s">
        <v>40</v>
      </c>
      <c r="L721" s="73"/>
      <c r="M721" s="73">
        <v>0.17</v>
      </c>
      <c r="N721" s="71"/>
      <c r="O721" s="72" t="s">
        <v>40</v>
      </c>
      <c r="P721" s="68">
        <f t="shared" si="404"/>
        <v>0</v>
      </c>
      <c r="Q721" s="72" t="s">
        <v>40</v>
      </c>
      <c r="R721" s="16">
        <f t="shared" si="405"/>
        <v>0</v>
      </c>
      <c r="S721" s="16">
        <f t="shared" si="391"/>
        <v>0</v>
      </c>
    </row>
    <row r="722" spans="1:19" s="76" customFormat="1">
      <c r="A722" s="75" t="s">
        <v>866</v>
      </c>
      <c r="B722" s="76" t="s">
        <v>25</v>
      </c>
      <c r="C722" s="111"/>
      <c r="D722" s="77" t="s">
        <v>40</v>
      </c>
      <c r="E722" s="78"/>
      <c r="F722" s="79">
        <v>1</v>
      </c>
      <c r="G722" s="80" t="s">
        <v>20</v>
      </c>
      <c r="H722" s="79">
        <v>144</v>
      </c>
      <c r="I722" s="80" t="s">
        <v>40</v>
      </c>
      <c r="J722" s="81">
        <f>5875200/144</f>
        <v>40800</v>
      </c>
      <c r="K722" s="77" t="s">
        <v>40</v>
      </c>
      <c r="L722" s="82"/>
      <c r="M722" s="82">
        <v>0.17</v>
      </c>
      <c r="N722" s="79"/>
      <c r="O722" s="80" t="s">
        <v>40</v>
      </c>
      <c r="P722" s="74">
        <f t="shared" si="404"/>
        <v>0</v>
      </c>
      <c r="Q722" s="80" t="s">
        <v>40</v>
      </c>
      <c r="R722" s="81">
        <f t="shared" si="405"/>
        <v>0</v>
      </c>
      <c r="S722" s="81">
        <f t="shared" si="391"/>
        <v>0</v>
      </c>
    </row>
    <row r="723" spans="1:19" s="19" customFormat="1">
      <c r="A723" s="128" t="s">
        <v>387</v>
      </c>
      <c r="B723" s="19" t="s">
        <v>25</v>
      </c>
      <c r="C723" s="20"/>
      <c r="D723" s="21" t="s">
        <v>40</v>
      </c>
      <c r="E723" s="26">
        <v>123</v>
      </c>
      <c r="F723" s="22">
        <v>1</v>
      </c>
      <c r="G723" s="23" t="s">
        <v>20</v>
      </c>
      <c r="H723" s="22">
        <v>144</v>
      </c>
      <c r="I723" s="23" t="s">
        <v>40</v>
      </c>
      <c r="J723" s="24">
        <f>5616000/144</f>
        <v>39000</v>
      </c>
      <c r="K723" s="21" t="s">
        <v>40</v>
      </c>
      <c r="L723" s="127">
        <v>2.5000000000000001E-2</v>
      </c>
      <c r="M723" s="25">
        <v>0.17</v>
      </c>
      <c r="N723" s="22"/>
      <c r="O723" s="23" t="s">
        <v>40</v>
      </c>
      <c r="P723" s="20">
        <f t="shared" ref="P723" si="413">(C723+(E723*F723*H723))-N723</f>
        <v>17712</v>
      </c>
      <c r="Q723" s="23" t="s">
        <v>40</v>
      </c>
      <c r="R723" s="24">
        <f t="shared" ref="R723" si="414">P723*(J723-(J723*L723)-((J723-(J723*L723))*M723))</f>
        <v>559004004</v>
      </c>
      <c r="S723" s="24">
        <f t="shared" ref="S723" si="415">R723/1.11</f>
        <v>503607210.81081074</v>
      </c>
    </row>
    <row r="724" spans="1:19" s="19" customFormat="1">
      <c r="A724" s="128" t="s">
        <v>387</v>
      </c>
      <c r="B724" s="19" t="s">
        <v>25</v>
      </c>
      <c r="C724" s="20">
        <v>1965</v>
      </c>
      <c r="D724" s="21" t="s">
        <v>40</v>
      </c>
      <c r="E724" s="26">
        <v>163</v>
      </c>
      <c r="F724" s="22">
        <v>1</v>
      </c>
      <c r="G724" s="23" t="s">
        <v>20</v>
      </c>
      <c r="H724" s="22">
        <v>144</v>
      </c>
      <c r="I724" s="23" t="s">
        <v>40</v>
      </c>
      <c r="J724" s="24">
        <f>5616000/144</f>
        <v>39000</v>
      </c>
      <c r="K724" s="21" t="s">
        <v>40</v>
      </c>
      <c r="L724" s="127"/>
      <c r="M724" s="25">
        <v>0.17</v>
      </c>
      <c r="N724" s="22"/>
      <c r="O724" s="23" t="s">
        <v>40</v>
      </c>
      <c r="P724" s="20">
        <f t="shared" si="404"/>
        <v>25437</v>
      </c>
      <c r="Q724" s="23" t="s">
        <v>40</v>
      </c>
      <c r="R724" s="24">
        <f t="shared" si="405"/>
        <v>823395690</v>
      </c>
      <c r="S724" s="24">
        <f t="shared" si="391"/>
        <v>741797918.91891885</v>
      </c>
    </row>
    <row r="725" spans="1:19" s="93" customFormat="1">
      <c r="A725" s="103" t="s">
        <v>388</v>
      </c>
      <c r="B725" s="93" t="s">
        <v>25</v>
      </c>
      <c r="C725" s="94"/>
      <c r="D725" s="95" t="s">
        <v>40</v>
      </c>
      <c r="E725" s="96">
        <v>58</v>
      </c>
      <c r="F725" s="97">
        <v>1</v>
      </c>
      <c r="G725" s="98" t="s">
        <v>20</v>
      </c>
      <c r="H725" s="97">
        <v>144</v>
      </c>
      <c r="I725" s="98" t="s">
        <v>40</v>
      </c>
      <c r="J725" s="99">
        <v>39000</v>
      </c>
      <c r="K725" s="95" t="s">
        <v>40</v>
      </c>
      <c r="L725" s="105">
        <v>2.5000000000000001E-2</v>
      </c>
      <c r="M725" s="100">
        <v>0.17</v>
      </c>
      <c r="N725" s="97"/>
      <c r="O725" s="98" t="s">
        <v>40</v>
      </c>
      <c r="P725" s="94">
        <f t="shared" ref="P725" si="416">(C725+(E725*F725*H725))-N725</f>
        <v>8352</v>
      </c>
      <c r="Q725" s="98" t="s">
        <v>40</v>
      </c>
      <c r="R725" s="99">
        <f t="shared" ref="R725" si="417">P725*(J725-(J725*L725)-((J725-(J725*L725))*M725))</f>
        <v>263595384</v>
      </c>
      <c r="S725" s="99">
        <f t="shared" ref="S725" si="418">R725/1.11</f>
        <v>237473318.91891891</v>
      </c>
    </row>
    <row r="726" spans="1:19" s="93" customFormat="1">
      <c r="A726" s="103" t="s">
        <v>388</v>
      </c>
      <c r="B726" s="93" t="s">
        <v>25</v>
      </c>
      <c r="C726" s="94"/>
      <c r="D726" s="95" t="s">
        <v>40</v>
      </c>
      <c r="E726" s="96">
        <v>6</v>
      </c>
      <c r="F726" s="97">
        <v>1</v>
      </c>
      <c r="G726" s="98" t="s">
        <v>20</v>
      </c>
      <c r="H726" s="97">
        <v>144</v>
      </c>
      <c r="I726" s="98" t="s">
        <v>40</v>
      </c>
      <c r="J726" s="99">
        <v>39000</v>
      </c>
      <c r="K726" s="95" t="s">
        <v>40</v>
      </c>
      <c r="L726" s="105"/>
      <c r="M726" s="100">
        <v>0.17</v>
      </c>
      <c r="N726" s="97"/>
      <c r="O726" s="98" t="s">
        <v>40</v>
      </c>
      <c r="P726" s="94">
        <f t="shared" ref="P726" si="419">(C726+(E726*F726*H726))-N726</f>
        <v>864</v>
      </c>
      <c r="Q726" s="98" t="s">
        <v>40</v>
      </c>
      <c r="R726" s="99">
        <f t="shared" ref="R726" si="420">P726*(J726-(J726*L726)-((J726-(J726*L726))*M726))</f>
        <v>27967680</v>
      </c>
      <c r="S726" s="99">
        <f t="shared" ref="S726" si="421">R726/1.11</f>
        <v>25196108.108108107</v>
      </c>
    </row>
    <row r="727" spans="1:19" s="93" customFormat="1">
      <c r="A727" s="85" t="s">
        <v>869</v>
      </c>
      <c r="B727" s="93" t="s">
        <v>25</v>
      </c>
      <c r="C727" s="94"/>
      <c r="D727" s="95" t="s">
        <v>40</v>
      </c>
      <c r="E727" s="96">
        <v>4</v>
      </c>
      <c r="F727" s="97">
        <v>1</v>
      </c>
      <c r="G727" s="98" t="s">
        <v>20</v>
      </c>
      <c r="H727" s="97">
        <v>144</v>
      </c>
      <c r="I727" s="98" t="s">
        <v>40</v>
      </c>
      <c r="J727" s="99">
        <v>39000</v>
      </c>
      <c r="K727" s="95" t="s">
        <v>40</v>
      </c>
      <c r="L727" s="100"/>
      <c r="M727" s="100">
        <v>0.17</v>
      </c>
      <c r="N727" s="97"/>
      <c r="O727" s="98" t="s">
        <v>40</v>
      </c>
      <c r="P727" s="94">
        <f t="shared" si="404"/>
        <v>576</v>
      </c>
      <c r="Q727" s="98" t="s">
        <v>40</v>
      </c>
      <c r="R727" s="99">
        <f t="shared" ref="R727" si="422">P727*(J727-(J727*L727)-((J727-(J727*L727))*M727))</f>
        <v>18645120</v>
      </c>
      <c r="S727" s="99">
        <f t="shared" ref="S727" si="423">R727/1.11</f>
        <v>16797405.405405402</v>
      </c>
    </row>
    <row r="728" spans="1:19" s="93" customFormat="1">
      <c r="A728" s="85" t="s">
        <v>918</v>
      </c>
      <c r="B728" s="93" t="s">
        <v>25</v>
      </c>
      <c r="C728" s="94"/>
      <c r="D728" s="95" t="s">
        <v>40</v>
      </c>
      <c r="E728" s="96">
        <v>1</v>
      </c>
      <c r="F728" s="97">
        <v>1</v>
      </c>
      <c r="G728" s="98" t="s">
        <v>20</v>
      </c>
      <c r="H728" s="97">
        <v>144</v>
      </c>
      <c r="I728" s="98" t="s">
        <v>40</v>
      </c>
      <c r="J728" s="99">
        <v>39000</v>
      </c>
      <c r="K728" s="95" t="s">
        <v>40</v>
      </c>
      <c r="L728" s="100"/>
      <c r="M728" s="100">
        <v>0.17</v>
      </c>
      <c r="N728" s="97"/>
      <c r="O728" s="98" t="s">
        <v>40</v>
      </c>
      <c r="P728" s="94">
        <f t="shared" ref="P728" si="424">(C728+(E728*F728*H728))-N728</f>
        <v>144</v>
      </c>
      <c r="Q728" s="98" t="s">
        <v>40</v>
      </c>
      <c r="R728" s="99">
        <f t="shared" ref="R728" si="425">P728*(J728-(J728*L728)-((J728-(J728*L728))*M728))</f>
        <v>4661280</v>
      </c>
      <c r="S728" s="99">
        <f t="shared" ref="S728" si="426">R728/1.11</f>
        <v>4199351.3513513505</v>
      </c>
    </row>
    <row r="729" spans="1:19" s="19" customFormat="1">
      <c r="A729" s="18" t="s">
        <v>389</v>
      </c>
      <c r="B729" s="19" t="s">
        <v>25</v>
      </c>
      <c r="C729" s="20">
        <v>537</v>
      </c>
      <c r="D729" s="21" t="s">
        <v>40</v>
      </c>
      <c r="E729" s="26"/>
      <c r="F729" s="22">
        <v>1</v>
      </c>
      <c r="G729" s="23" t="s">
        <v>20</v>
      </c>
      <c r="H729" s="22">
        <v>144</v>
      </c>
      <c r="I729" s="23" t="s">
        <v>40</v>
      </c>
      <c r="J729" s="24">
        <f>5356800/144</f>
        <v>37200</v>
      </c>
      <c r="K729" s="21" t="s">
        <v>40</v>
      </c>
      <c r="L729" s="25"/>
      <c r="M729" s="25">
        <v>0.17</v>
      </c>
      <c r="N729" s="22"/>
      <c r="O729" s="23" t="s">
        <v>40</v>
      </c>
      <c r="P729" s="20">
        <f t="shared" si="404"/>
        <v>537</v>
      </c>
      <c r="Q729" s="23" t="s">
        <v>40</v>
      </c>
      <c r="R729" s="24">
        <f t="shared" si="405"/>
        <v>16580412</v>
      </c>
      <c r="S729" s="24">
        <f t="shared" si="391"/>
        <v>14937308.108108107</v>
      </c>
    </row>
    <row r="730" spans="1:19" s="19" customFormat="1">
      <c r="A730" s="156" t="s">
        <v>389</v>
      </c>
      <c r="B730" s="19" t="s">
        <v>25</v>
      </c>
      <c r="C730" s="20"/>
      <c r="D730" s="21" t="s">
        <v>40</v>
      </c>
      <c r="E730" s="26"/>
      <c r="F730" s="22">
        <v>1</v>
      </c>
      <c r="G730" s="23" t="s">
        <v>20</v>
      </c>
      <c r="H730" s="22">
        <v>144</v>
      </c>
      <c r="I730" s="23" t="s">
        <v>40</v>
      </c>
      <c r="J730" s="24">
        <v>39000</v>
      </c>
      <c r="K730" s="21" t="s">
        <v>40</v>
      </c>
      <c r="L730" s="25"/>
      <c r="M730" s="25">
        <v>0.17</v>
      </c>
      <c r="N730" s="22"/>
      <c r="O730" s="23" t="s">
        <v>40</v>
      </c>
      <c r="P730" s="20">
        <f t="shared" ref="P730" si="427">(C730+(E730*F730*H730))-N730</f>
        <v>0</v>
      </c>
      <c r="Q730" s="23" t="s">
        <v>40</v>
      </c>
      <c r="R730" s="24">
        <f t="shared" ref="R730" si="428">P730*(J730-(J730*L730)-((J730-(J730*L730))*M730))</f>
        <v>0</v>
      </c>
      <c r="S730" s="24">
        <f t="shared" ref="S730" si="429">R730/1.11</f>
        <v>0</v>
      </c>
    </row>
    <row r="731" spans="1:19" s="19" customFormat="1">
      <c r="A731" s="128" t="s">
        <v>745</v>
      </c>
      <c r="B731" s="19" t="s">
        <v>25</v>
      </c>
      <c r="C731" s="20"/>
      <c r="D731" s="21" t="s">
        <v>40</v>
      </c>
      <c r="E731" s="26">
        <v>10</v>
      </c>
      <c r="F731" s="22">
        <v>1</v>
      </c>
      <c r="G731" s="23" t="s">
        <v>20</v>
      </c>
      <c r="H731" s="22">
        <v>144</v>
      </c>
      <c r="I731" s="23" t="s">
        <v>40</v>
      </c>
      <c r="J731" s="24">
        <f>5702400/144</f>
        <v>39600</v>
      </c>
      <c r="K731" s="21" t="s">
        <v>40</v>
      </c>
      <c r="L731" s="127">
        <v>0.05</v>
      </c>
      <c r="M731" s="25">
        <v>0.17</v>
      </c>
      <c r="N731" s="22"/>
      <c r="O731" s="23" t="s">
        <v>40</v>
      </c>
      <c r="P731" s="20">
        <f t="shared" ref="P731" si="430">(C731+(E731*F731*H731))-N731</f>
        <v>1440</v>
      </c>
      <c r="Q731" s="23" t="s">
        <v>40</v>
      </c>
      <c r="R731" s="24">
        <f t="shared" ref="R731" si="431">P731*(J731-(J731*L731)-((J731-(J731*L731))*M731))</f>
        <v>44963424</v>
      </c>
      <c r="S731" s="24">
        <f t="shared" ref="S731" si="432">R731/1.11</f>
        <v>40507589.189189188</v>
      </c>
    </row>
    <row r="732" spans="1:19" s="19" customFormat="1">
      <c r="A732" s="128" t="s">
        <v>745</v>
      </c>
      <c r="B732" s="19" t="s">
        <v>25</v>
      </c>
      <c r="C732" s="20">
        <v>566</v>
      </c>
      <c r="D732" s="21" t="s">
        <v>40</v>
      </c>
      <c r="E732" s="26">
        <v>2</v>
      </c>
      <c r="F732" s="22">
        <v>1</v>
      </c>
      <c r="G732" s="23" t="s">
        <v>20</v>
      </c>
      <c r="H732" s="22">
        <v>144</v>
      </c>
      <c r="I732" s="23" t="s">
        <v>40</v>
      </c>
      <c r="J732" s="24">
        <f>5702400/144</f>
        <v>39600</v>
      </c>
      <c r="K732" s="21" t="s">
        <v>40</v>
      </c>
      <c r="L732" s="127"/>
      <c r="M732" s="25">
        <v>0.17</v>
      </c>
      <c r="N732" s="22"/>
      <c r="O732" s="23" t="s">
        <v>40</v>
      </c>
      <c r="P732" s="20">
        <f t="shared" si="404"/>
        <v>854</v>
      </c>
      <c r="Q732" s="23" t="s">
        <v>40</v>
      </c>
      <c r="R732" s="24">
        <f t="shared" si="405"/>
        <v>28069272</v>
      </c>
      <c r="S732" s="24">
        <f t="shared" si="391"/>
        <v>25287632.432432432</v>
      </c>
    </row>
    <row r="733" spans="1:19" s="19" customFormat="1">
      <c r="A733" s="18" t="s">
        <v>746</v>
      </c>
      <c r="B733" s="19" t="s">
        <v>25</v>
      </c>
      <c r="C733" s="47"/>
      <c r="D733" s="21" t="s">
        <v>40</v>
      </c>
      <c r="E733" s="26">
        <v>1</v>
      </c>
      <c r="F733" s="22">
        <v>1</v>
      </c>
      <c r="G733" s="23" t="s">
        <v>20</v>
      </c>
      <c r="H733" s="22">
        <v>144</v>
      </c>
      <c r="I733" s="23" t="s">
        <v>40</v>
      </c>
      <c r="J733" s="24">
        <f>5702400/144</f>
        <v>39600</v>
      </c>
      <c r="K733" s="21" t="s">
        <v>40</v>
      </c>
      <c r="L733" s="25"/>
      <c r="M733" s="25">
        <v>0.17</v>
      </c>
      <c r="N733" s="22"/>
      <c r="O733" s="23" t="s">
        <v>40</v>
      </c>
      <c r="P733" s="20">
        <f t="shared" si="404"/>
        <v>144</v>
      </c>
      <c r="Q733" s="23" t="s">
        <v>40</v>
      </c>
      <c r="R733" s="24">
        <f t="shared" si="405"/>
        <v>4732992</v>
      </c>
      <c r="S733" s="24">
        <f t="shared" si="391"/>
        <v>4263956.7567567565</v>
      </c>
    </row>
    <row r="734" spans="1:19" s="19" customFormat="1">
      <c r="A734" s="18" t="s">
        <v>390</v>
      </c>
      <c r="B734" s="19" t="s">
        <v>25</v>
      </c>
      <c r="C734" s="20">
        <v>318</v>
      </c>
      <c r="D734" s="21" t="s">
        <v>40</v>
      </c>
      <c r="E734" s="26">
        <v>36</v>
      </c>
      <c r="F734" s="22">
        <v>1</v>
      </c>
      <c r="G734" s="23" t="s">
        <v>20</v>
      </c>
      <c r="H734" s="22">
        <v>144</v>
      </c>
      <c r="I734" s="23" t="s">
        <v>40</v>
      </c>
      <c r="J734" s="24">
        <f>5702400/144</f>
        <v>39600</v>
      </c>
      <c r="K734" s="21" t="s">
        <v>40</v>
      </c>
      <c r="L734" s="25"/>
      <c r="M734" s="25">
        <v>0.17</v>
      </c>
      <c r="N734" s="22"/>
      <c r="O734" s="23" t="s">
        <v>40</v>
      </c>
      <c r="P734" s="20">
        <f t="shared" si="404"/>
        <v>5502</v>
      </c>
      <c r="Q734" s="23" t="s">
        <v>40</v>
      </c>
      <c r="R734" s="24">
        <f t="shared" si="405"/>
        <v>180839736</v>
      </c>
      <c r="S734" s="24">
        <f t="shared" si="391"/>
        <v>162918681.08108106</v>
      </c>
    </row>
    <row r="735" spans="1:19" s="19" customFormat="1">
      <c r="A735" s="18" t="s">
        <v>919</v>
      </c>
      <c r="B735" s="19" t="s">
        <v>25</v>
      </c>
      <c r="C735" s="20"/>
      <c r="D735" s="21" t="s">
        <v>40</v>
      </c>
      <c r="E735" s="26">
        <v>2</v>
      </c>
      <c r="F735" s="22">
        <v>1</v>
      </c>
      <c r="G735" s="23" t="s">
        <v>20</v>
      </c>
      <c r="H735" s="22">
        <v>144</v>
      </c>
      <c r="I735" s="23" t="s">
        <v>40</v>
      </c>
      <c r="J735" s="24">
        <v>33000</v>
      </c>
      <c r="K735" s="21" t="s">
        <v>40</v>
      </c>
      <c r="L735" s="25"/>
      <c r="M735" s="25">
        <v>0.17</v>
      </c>
      <c r="N735" s="22"/>
      <c r="O735" s="23" t="s">
        <v>40</v>
      </c>
      <c r="P735" s="20">
        <f t="shared" ref="P735" si="433">(C735+(E735*F735*H735))-N735</f>
        <v>288</v>
      </c>
      <c r="Q735" s="23" t="s">
        <v>40</v>
      </c>
      <c r="R735" s="24">
        <f t="shared" ref="R735" si="434">P735*(J735-(J735*L735)-((J735-(J735*L735))*M735))</f>
        <v>7888320</v>
      </c>
      <c r="S735" s="24">
        <f t="shared" ref="S735" si="435">R735/1.11</f>
        <v>7106594.5945945941</v>
      </c>
    </row>
    <row r="736" spans="1:19">
      <c r="A736" s="17" t="s">
        <v>391</v>
      </c>
      <c r="B736" s="2" t="s">
        <v>25</v>
      </c>
      <c r="C736" s="3">
        <v>738</v>
      </c>
      <c r="D736" s="4" t="s">
        <v>40</v>
      </c>
      <c r="E736" s="5">
        <v>17</v>
      </c>
      <c r="F736" s="6">
        <v>1</v>
      </c>
      <c r="G736" s="7" t="s">
        <v>20</v>
      </c>
      <c r="H736" s="6">
        <v>144</v>
      </c>
      <c r="I736" s="7" t="s">
        <v>40</v>
      </c>
      <c r="J736" s="8">
        <f>2764800/144</f>
        <v>19200</v>
      </c>
      <c r="K736" s="4" t="s">
        <v>40</v>
      </c>
      <c r="M736" s="9">
        <v>0.17</v>
      </c>
      <c r="O736" s="7" t="s">
        <v>40</v>
      </c>
      <c r="P736" s="3">
        <f t="shared" si="404"/>
        <v>3186</v>
      </c>
      <c r="Q736" s="7" t="s">
        <v>40</v>
      </c>
      <c r="R736" s="8">
        <f t="shared" si="405"/>
        <v>50772096</v>
      </c>
      <c r="S736" s="8">
        <f t="shared" si="391"/>
        <v>45740627.027027026</v>
      </c>
    </row>
    <row r="737" spans="1:19" s="67" customFormat="1">
      <c r="A737" s="66" t="s">
        <v>392</v>
      </c>
      <c r="B737" s="67" t="s">
        <v>25</v>
      </c>
      <c r="C737" s="68"/>
      <c r="D737" s="69" t="s">
        <v>40</v>
      </c>
      <c r="E737" s="70"/>
      <c r="F737" s="71">
        <v>1</v>
      </c>
      <c r="G737" s="72" t="s">
        <v>20</v>
      </c>
      <c r="H737" s="71">
        <v>144</v>
      </c>
      <c r="I737" s="72" t="s">
        <v>40</v>
      </c>
      <c r="J737" s="16">
        <f>2764800/144</f>
        <v>19200</v>
      </c>
      <c r="K737" s="69" t="s">
        <v>40</v>
      </c>
      <c r="L737" s="73"/>
      <c r="M737" s="73">
        <v>0.17</v>
      </c>
      <c r="N737" s="71"/>
      <c r="O737" s="72" t="s">
        <v>40</v>
      </c>
      <c r="P737" s="68">
        <f t="shared" si="404"/>
        <v>0</v>
      </c>
      <c r="Q737" s="72" t="s">
        <v>40</v>
      </c>
      <c r="R737" s="16">
        <f t="shared" si="405"/>
        <v>0</v>
      </c>
      <c r="S737" s="16">
        <f t="shared" si="391"/>
        <v>0</v>
      </c>
    </row>
    <row r="738" spans="1:19" s="67" customFormat="1">
      <c r="A738" s="66" t="s">
        <v>393</v>
      </c>
      <c r="B738" s="67" t="s">
        <v>25</v>
      </c>
      <c r="C738" s="68"/>
      <c r="D738" s="69" t="s">
        <v>40</v>
      </c>
      <c r="E738" s="70"/>
      <c r="F738" s="71">
        <v>1</v>
      </c>
      <c r="G738" s="72" t="s">
        <v>20</v>
      </c>
      <c r="H738" s="71">
        <v>144</v>
      </c>
      <c r="I738" s="72" t="s">
        <v>40</v>
      </c>
      <c r="J738" s="16">
        <v>23400</v>
      </c>
      <c r="K738" s="69" t="s">
        <v>40</v>
      </c>
      <c r="L738" s="73"/>
      <c r="M738" s="73">
        <v>0.17</v>
      </c>
      <c r="N738" s="71"/>
      <c r="O738" s="72" t="s">
        <v>40</v>
      </c>
      <c r="P738" s="68">
        <f t="shared" si="404"/>
        <v>0</v>
      </c>
      <c r="Q738" s="72" t="s">
        <v>40</v>
      </c>
      <c r="R738" s="16">
        <f t="shared" si="405"/>
        <v>0</v>
      </c>
      <c r="S738" s="16">
        <f t="shared" si="391"/>
        <v>0</v>
      </c>
    </row>
    <row r="739" spans="1:19" s="19" customFormat="1">
      <c r="A739" s="18" t="s">
        <v>395</v>
      </c>
      <c r="B739" s="19" t="s">
        <v>25</v>
      </c>
      <c r="C739" s="20">
        <v>423</v>
      </c>
      <c r="D739" s="21" t="s">
        <v>40</v>
      </c>
      <c r="E739" s="26">
        <v>10</v>
      </c>
      <c r="F739" s="22">
        <v>1</v>
      </c>
      <c r="G739" s="23" t="s">
        <v>20</v>
      </c>
      <c r="H739" s="22">
        <v>144</v>
      </c>
      <c r="I739" s="23" t="s">
        <v>40</v>
      </c>
      <c r="J739" s="24">
        <f>3542400/144</f>
        <v>24600</v>
      </c>
      <c r="K739" s="21" t="s">
        <v>40</v>
      </c>
      <c r="L739" s="25"/>
      <c r="M739" s="25">
        <v>0.17</v>
      </c>
      <c r="N739" s="22"/>
      <c r="O739" s="23" t="s">
        <v>40</v>
      </c>
      <c r="P739" s="20">
        <f t="shared" si="404"/>
        <v>1863</v>
      </c>
      <c r="Q739" s="23" t="s">
        <v>40</v>
      </c>
      <c r="R739" s="24">
        <f t="shared" si="405"/>
        <v>38038734</v>
      </c>
      <c r="S739" s="24">
        <f t="shared" si="391"/>
        <v>34269129.729729727</v>
      </c>
    </row>
    <row r="740" spans="1:19" s="19" customFormat="1">
      <c r="A740" s="18" t="s">
        <v>396</v>
      </c>
      <c r="B740" s="19" t="s">
        <v>25</v>
      </c>
      <c r="C740" s="20">
        <v>2721</v>
      </c>
      <c r="D740" s="21" t="s">
        <v>40</v>
      </c>
      <c r="E740" s="26">
        <v>98</v>
      </c>
      <c r="F740" s="22">
        <v>1</v>
      </c>
      <c r="G740" s="23" t="s">
        <v>20</v>
      </c>
      <c r="H740" s="22">
        <v>144</v>
      </c>
      <c r="I740" s="23" t="s">
        <v>40</v>
      </c>
      <c r="J740" s="24">
        <f>3110400/144</f>
        <v>21600</v>
      </c>
      <c r="K740" s="21" t="s">
        <v>40</v>
      </c>
      <c r="L740" s="25"/>
      <c r="M740" s="25">
        <v>0.17</v>
      </c>
      <c r="N740" s="22"/>
      <c r="O740" s="23" t="s">
        <v>40</v>
      </c>
      <c r="P740" s="20">
        <f t="shared" si="404"/>
        <v>16833</v>
      </c>
      <c r="Q740" s="23" t="s">
        <v>40</v>
      </c>
      <c r="R740" s="24">
        <f t="shared" si="405"/>
        <v>301782024</v>
      </c>
      <c r="S740" s="24">
        <f t="shared" si="391"/>
        <v>271875697.2972973</v>
      </c>
    </row>
    <row r="741" spans="1:19" s="19" customFormat="1">
      <c r="A741" s="18" t="s">
        <v>779</v>
      </c>
      <c r="B741" s="19" t="s">
        <v>25</v>
      </c>
      <c r="C741" s="20"/>
      <c r="D741" s="21" t="s">
        <v>40</v>
      </c>
      <c r="E741" s="26">
        <v>6</v>
      </c>
      <c r="F741" s="22">
        <v>1</v>
      </c>
      <c r="G741" s="23" t="s">
        <v>20</v>
      </c>
      <c r="H741" s="22">
        <v>144</v>
      </c>
      <c r="I741" s="23" t="s">
        <v>40</v>
      </c>
      <c r="J741" s="24">
        <f>3456000/144</f>
        <v>24000</v>
      </c>
      <c r="K741" s="21" t="s">
        <v>40</v>
      </c>
      <c r="L741" s="25"/>
      <c r="M741" s="25">
        <v>0.17</v>
      </c>
      <c r="N741" s="22"/>
      <c r="O741" s="23" t="s">
        <v>40</v>
      </c>
      <c r="P741" s="20">
        <f t="shared" si="404"/>
        <v>864</v>
      </c>
      <c r="Q741" s="23" t="s">
        <v>40</v>
      </c>
      <c r="R741" s="24">
        <f t="shared" si="405"/>
        <v>17210880</v>
      </c>
      <c r="S741" s="24">
        <f t="shared" si="391"/>
        <v>15505297.297297295</v>
      </c>
    </row>
    <row r="742" spans="1:19" s="19" customFormat="1">
      <c r="A742" s="18" t="s">
        <v>397</v>
      </c>
      <c r="B742" s="19" t="s">
        <v>25</v>
      </c>
      <c r="C742" s="20">
        <f>7776/12</f>
        <v>648</v>
      </c>
      <c r="D742" s="21" t="s">
        <v>40</v>
      </c>
      <c r="E742" s="26">
        <v>13</v>
      </c>
      <c r="F742" s="22">
        <v>1</v>
      </c>
      <c r="G742" s="23" t="s">
        <v>20</v>
      </c>
      <c r="H742" s="22">
        <v>144</v>
      </c>
      <c r="I742" s="23" t="s">
        <v>40</v>
      </c>
      <c r="J742" s="24">
        <f>3758400/144</f>
        <v>26100</v>
      </c>
      <c r="K742" s="21" t="s">
        <v>40</v>
      </c>
      <c r="L742" s="25"/>
      <c r="M742" s="25">
        <v>0.17</v>
      </c>
      <c r="N742" s="22"/>
      <c r="O742" s="23" t="s">
        <v>40</v>
      </c>
      <c r="P742" s="20">
        <f t="shared" si="404"/>
        <v>2520</v>
      </c>
      <c r="Q742" s="23" t="s">
        <v>40</v>
      </c>
      <c r="R742" s="24">
        <f t="shared" si="405"/>
        <v>54590760</v>
      </c>
      <c r="S742" s="24">
        <f t="shared" si="391"/>
        <v>49180864.864864863</v>
      </c>
    </row>
    <row r="743" spans="1:19" s="19" customFormat="1">
      <c r="A743" s="18" t="s">
        <v>708</v>
      </c>
      <c r="B743" s="19" t="s">
        <v>25</v>
      </c>
      <c r="C743" s="20">
        <v>27</v>
      </c>
      <c r="D743" s="21" t="s">
        <v>40</v>
      </c>
      <c r="E743" s="26">
        <v>2</v>
      </c>
      <c r="F743" s="22">
        <v>1</v>
      </c>
      <c r="G743" s="23" t="s">
        <v>20</v>
      </c>
      <c r="H743" s="22">
        <v>144</v>
      </c>
      <c r="I743" s="23" t="s">
        <v>40</v>
      </c>
      <c r="J743" s="24">
        <f>5616000/144</f>
        <v>39000</v>
      </c>
      <c r="K743" s="21" t="s">
        <v>40</v>
      </c>
      <c r="L743" s="25"/>
      <c r="M743" s="25">
        <v>0.17</v>
      </c>
      <c r="N743" s="22"/>
      <c r="O743" s="23" t="s">
        <v>40</v>
      </c>
      <c r="P743" s="20">
        <f t="shared" si="404"/>
        <v>315</v>
      </c>
      <c r="Q743" s="23" t="s">
        <v>40</v>
      </c>
      <c r="R743" s="24">
        <f t="shared" si="405"/>
        <v>10196550</v>
      </c>
      <c r="S743" s="24">
        <f t="shared" si="391"/>
        <v>9186081.0810810812</v>
      </c>
    </row>
    <row r="744" spans="1:19" s="19" customFormat="1">
      <c r="A744" s="18" t="s">
        <v>398</v>
      </c>
      <c r="B744" s="19" t="s">
        <v>25</v>
      </c>
      <c r="C744" s="20"/>
      <c r="D744" s="21" t="s">
        <v>40</v>
      </c>
      <c r="E744" s="26">
        <v>2</v>
      </c>
      <c r="F744" s="22">
        <v>1</v>
      </c>
      <c r="G744" s="23" t="s">
        <v>20</v>
      </c>
      <c r="H744" s="22">
        <v>144</v>
      </c>
      <c r="I744" s="23" t="s">
        <v>40</v>
      </c>
      <c r="J744" s="24">
        <f>5270400/144</f>
        <v>36600</v>
      </c>
      <c r="K744" s="21" t="s">
        <v>40</v>
      </c>
      <c r="L744" s="25"/>
      <c r="M744" s="25">
        <v>0.17</v>
      </c>
      <c r="N744" s="22"/>
      <c r="O744" s="23" t="s">
        <v>40</v>
      </c>
      <c r="P744" s="20">
        <f t="shared" si="404"/>
        <v>288</v>
      </c>
      <c r="Q744" s="23" t="s">
        <v>40</v>
      </c>
      <c r="R744" s="24">
        <f t="shared" si="405"/>
        <v>8748864</v>
      </c>
      <c r="S744" s="24">
        <f t="shared" si="391"/>
        <v>7881859.4594594585</v>
      </c>
    </row>
    <row r="745" spans="1:19" s="76" customFormat="1">
      <c r="A745" s="75" t="s">
        <v>399</v>
      </c>
      <c r="B745" s="76" t="s">
        <v>25</v>
      </c>
      <c r="C745" s="74"/>
      <c r="D745" s="77" t="s">
        <v>40</v>
      </c>
      <c r="E745" s="78"/>
      <c r="F745" s="79">
        <v>1</v>
      </c>
      <c r="G745" s="80" t="s">
        <v>20</v>
      </c>
      <c r="H745" s="79">
        <v>144</v>
      </c>
      <c r="I745" s="80" t="s">
        <v>40</v>
      </c>
      <c r="J745" s="81">
        <f>5616000/144</f>
        <v>39000</v>
      </c>
      <c r="K745" s="77" t="s">
        <v>40</v>
      </c>
      <c r="L745" s="82"/>
      <c r="M745" s="82">
        <v>0.17</v>
      </c>
      <c r="N745" s="79"/>
      <c r="O745" s="80" t="s">
        <v>40</v>
      </c>
      <c r="P745" s="74">
        <f t="shared" si="404"/>
        <v>0</v>
      </c>
      <c r="Q745" s="80" t="s">
        <v>40</v>
      </c>
      <c r="R745" s="81">
        <f t="shared" si="405"/>
        <v>0</v>
      </c>
      <c r="S745" s="81">
        <f t="shared" si="391"/>
        <v>0</v>
      </c>
    </row>
    <row r="746" spans="1:19">
      <c r="A746" s="17" t="s">
        <v>400</v>
      </c>
      <c r="B746" s="2" t="s">
        <v>25</v>
      </c>
      <c r="D746" s="4" t="s">
        <v>40</v>
      </c>
      <c r="E746" s="5">
        <v>2</v>
      </c>
      <c r="F746" s="6">
        <v>1</v>
      </c>
      <c r="G746" s="7" t="s">
        <v>20</v>
      </c>
      <c r="H746" s="6">
        <v>144</v>
      </c>
      <c r="I746" s="7" t="s">
        <v>40</v>
      </c>
      <c r="J746" s="8">
        <f>5616000/144</f>
        <v>39000</v>
      </c>
      <c r="K746" s="4" t="s">
        <v>40</v>
      </c>
      <c r="M746" s="9">
        <v>0.17</v>
      </c>
      <c r="O746" s="7" t="s">
        <v>40</v>
      </c>
      <c r="P746" s="3">
        <f t="shared" si="404"/>
        <v>288</v>
      </c>
      <c r="Q746" s="7" t="s">
        <v>40</v>
      </c>
      <c r="R746" s="8">
        <f t="shared" si="405"/>
        <v>9322560</v>
      </c>
      <c r="S746" s="8">
        <f t="shared" si="391"/>
        <v>8398702.7027027011</v>
      </c>
    </row>
    <row r="748" spans="1:19" s="19" customFormat="1">
      <c r="A748" s="18" t="s">
        <v>402</v>
      </c>
      <c r="B748" s="19" t="s">
        <v>260</v>
      </c>
      <c r="C748" s="20">
        <v>2304</v>
      </c>
      <c r="D748" s="21" t="s">
        <v>40</v>
      </c>
      <c r="E748" s="26"/>
      <c r="F748" s="22">
        <v>1</v>
      </c>
      <c r="G748" s="23" t="s">
        <v>20</v>
      </c>
      <c r="H748" s="22">
        <v>144</v>
      </c>
      <c r="I748" s="23" t="s">
        <v>40</v>
      </c>
      <c r="J748" s="24">
        <v>22500</v>
      </c>
      <c r="K748" s="21" t="s">
        <v>40</v>
      </c>
      <c r="L748" s="25"/>
      <c r="M748" s="25"/>
      <c r="N748" s="22"/>
      <c r="O748" s="23" t="s">
        <v>40</v>
      </c>
      <c r="P748" s="20">
        <f t="shared" ref="P748:P757" si="436">(C748+(E748*F748*H748))-N748</f>
        <v>2304</v>
      </c>
      <c r="Q748" s="23" t="s">
        <v>40</v>
      </c>
      <c r="R748" s="24">
        <f t="shared" ref="R748:R757" si="437">P748*(J748-(J748*L748)-((J748-(J748*L748))*M748))</f>
        <v>51840000</v>
      </c>
      <c r="S748" s="24">
        <f t="shared" si="391"/>
        <v>46702702.702702701</v>
      </c>
    </row>
    <row r="749" spans="1:19" s="67" customFormat="1">
      <c r="A749" s="66" t="s">
        <v>403</v>
      </c>
      <c r="B749" s="67" t="s">
        <v>260</v>
      </c>
      <c r="C749" s="68"/>
      <c r="D749" s="69" t="s">
        <v>40</v>
      </c>
      <c r="E749" s="70"/>
      <c r="F749" s="71">
        <v>1</v>
      </c>
      <c r="G749" s="72" t="s">
        <v>20</v>
      </c>
      <c r="H749" s="71">
        <v>144</v>
      </c>
      <c r="I749" s="72" t="s">
        <v>40</v>
      </c>
      <c r="J749" s="16">
        <v>26000</v>
      </c>
      <c r="K749" s="69" t="s">
        <v>40</v>
      </c>
      <c r="L749" s="73"/>
      <c r="M749" s="73"/>
      <c r="N749" s="71"/>
      <c r="O749" s="72" t="s">
        <v>40</v>
      </c>
      <c r="P749" s="68">
        <f t="shared" si="436"/>
        <v>0</v>
      </c>
      <c r="Q749" s="72" t="s">
        <v>40</v>
      </c>
      <c r="R749" s="16">
        <f t="shared" si="437"/>
        <v>0</v>
      </c>
      <c r="S749" s="16">
        <f t="shared" si="391"/>
        <v>0</v>
      </c>
    </row>
    <row r="750" spans="1:19" s="19" customFormat="1">
      <c r="A750" s="18" t="s">
        <v>404</v>
      </c>
      <c r="B750" s="19" t="s">
        <v>260</v>
      </c>
      <c r="C750" s="20">
        <v>90</v>
      </c>
      <c r="D750" s="21" t="s">
        <v>40</v>
      </c>
      <c r="E750" s="26">
        <v>10</v>
      </c>
      <c r="F750" s="22">
        <v>1</v>
      </c>
      <c r="G750" s="23" t="s">
        <v>20</v>
      </c>
      <c r="H750" s="22">
        <v>96</v>
      </c>
      <c r="I750" s="23" t="s">
        <v>40</v>
      </c>
      <c r="J750" s="24">
        <v>31500</v>
      </c>
      <c r="K750" s="21" t="s">
        <v>40</v>
      </c>
      <c r="L750" s="25"/>
      <c r="M750" s="25"/>
      <c r="N750" s="22"/>
      <c r="O750" s="23" t="s">
        <v>40</v>
      </c>
      <c r="P750" s="20">
        <f t="shared" si="436"/>
        <v>1050</v>
      </c>
      <c r="Q750" s="23" t="s">
        <v>40</v>
      </c>
      <c r="R750" s="24">
        <f t="shared" si="437"/>
        <v>33075000</v>
      </c>
      <c r="S750" s="24">
        <f t="shared" si="391"/>
        <v>29797297.297297295</v>
      </c>
    </row>
    <row r="751" spans="1:19" s="67" customFormat="1">
      <c r="A751" s="66" t="s">
        <v>714</v>
      </c>
      <c r="B751" s="67" t="s">
        <v>260</v>
      </c>
      <c r="C751" s="68"/>
      <c r="D751" s="69" t="s">
        <v>40</v>
      </c>
      <c r="E751" s="70"/>
      <c r="F751" s="71">
        <v>1</v>
      </c>
      <c r="G751" s="72" t="s">
        <v>20</v>
      </c>
      <c r="H751" s="71">
        <v>144</v>
      </c>
      <c r="I751" s="72" t="s">
        <v>40</v>
      </c>
      <c r="J751" s="16">
        <f>31818+(31818*10%)</f>
        <v>34999.800000000003</v>
      </c>
      <c r="K751" s="69" t="s">
        <v>40</v>
      </c>
      <c r="L751" s="73"/>
      <c r="M751" s="73"/>
      <c r="N751" s="71"/>
      <c r="O751" s="72" t="s">
        <v>40</v>
      </c>
      <c r="P751" s="68">
        <f t="shared" si="436"/>
        <v>0</v>
      </c>
      <c r="Q751" s="72" t="s">
        <v>40</v>
      </c>
      <c r="R751" s="16">
        <f t="shared" si="437"/>
        <v>0</v>
      </c>
      <c r="S751" s="16">
        <f t="shared" si="391"/>
        <v>0</v>
      </c>
    </row>
    <row r="752" spans="1:19" s="19" customFormat="1">
      <c r="A752" s="18" t="s">
        <v>829</v>
      </c>
      <c r="B752" s="19" t="s">
        <v>260</v>
      </c>
      <c r="C752" s="20"/>
      <c r="D752" s="21" t="s">
        <v>40</v>
      </c>
      <c r="E752" s="26">
        <v>37</v>
      </c>
      <c r="F752" s="22">
        <v>1</v>
      </c>
      <c r="G752" s="23" t="s">
        <v>20</v>
      </c>
      <c r="H752" s="22">
        <v>144</v>
      </c>
      <c r="I752" s="23" t="s">
        <v>40</v>
      </c>
      <c r="J752" s="24">
        <v>18250</v>
      </c>
      <c r="K752" s="21" t="s">
        <v>40</v>
      </c>
      <c r="L752" s="25"/>
      <c r="M752" s="25"/>
      <c r="N752" s="22"/>
      <c r="O752" s="23" t="s">
        <v>40</v>
      </c>
      <c r="P752" s="20">
        <f t="shared" ref="P752" si="438">(C752+(E752*F752*H752))-N752</f>
        <v>5328</v>
      </c>
      <c r="Q752" s="23" t="s">
        <v>40</v>
      </c>
      <c r="R752" s="24">
        <f t="shared" ref="R752" si="439">P752*(J752-(J752*L752)-((J752-(J752*L752))*M752))</f>
        <v>97236000</v>
      </c>
      <c r="S752" s="24">
        <f t="shared" ref="S752" si="440">R752/1.11</f>
        <v>87599999.999999985</v>
      </c>
    </row>
    <row r="753" spans="1:19" s="19" customFormat="1">
      <c r="A753" s="18" t="s">
        <v>829</v>
      </c>
      <c r="B753" s="19" t="s">
        <v>260</v>
      </c>
      <c r="C753" s="20">
        <f>115+69+60+144</f>
        <v>388</v>
      </c>
      <c r="D753" s="21" t="s">
        <v>40</v>
      </c>
      <c r="E753" s="26"/>
      <c r="F753" s="22">
        <v>1</v>
      </c>
      <c r="G753" s="23" t="s">
        <v>20</v>
      </c>
      <c r="H753" s="22">
        <v>144</v>
      </c>
      <c r="I753" s="23" t="s">
        <v>40</v>
      </c>
      <c r="J753" s="24">
        <v>16175</v>
      </c>
      <c r="K753" s="21" t="s">
        <v>40</v>
      </c>
      <c r="L753" s="25"/>
      <c r="M753" s="25"/>
      <c r="N753" s="22"/>
      <c r="O753" s="23" t="s">
        <v>40</v>
      </c>
      <c r="P753" s="20">
        <f>(C753+(E753*F753*H753))-N753</f>
        <v>388</v>
      </c>
      <c r="Q753" s="23" t="s">
        <v>40</v>
      </c>
      <c r="R753" s="24">
        <f>P753*(J753-(J753*L753)-((J753-(J753*L753))*M753))</f>
        <v>6275900</v>
      </c>
      <c r="S753" s="24">
        <f>R753/1.11</f>
        <v>5653963.9639639631</v>
      </c>
    </row>
    <row r="754" spans="1:19" s="19" customFormat="1">
      <c r="A754" s="18" t="s">
        <v>942</v>
      </c>
      <c r="B754" s="19" t="s">
        <v>260</v>
      </c>
      <c r="C754" s="20"/>
      <c r="D754" s="21" t="s">
        <v>40</v>
      </c>
      <c r="E754" s="26">
        <v>3</v>
      </c>
      <c r="F754" s="22">
        <v>1</v>
      </c>
      <c r="G754" s="23" t="s">
        <v>20</v>
      </c>
      <c r="H754" s="22">
        <v>144</v>
      </c>
      <c r="I754" s="23" t="s">
        <v>40</v>
      </c>
      <c r="J754" s="24">
        <v>0</v>
      </c>
      <c r="K754" s="21" t="s">
        <v>40</v>
      </c>
      <c r="L754" s="25"/>
      <c r="M754" s="25"/>
      <c r="N754" s="22"/>
      <c r="O754" s="23" t="s">
        <v>40</v>
      </c>
      <c r="P754" s="20">
        <f>(C754+(E754*F754*H754))-N754</f>
        <v>432</v>
      </c>
      <c r="Q754" s="23" t="s">
        <v>40</v>
      </c>
      <c r="R754" s="24">
        <f>P754*(J754-(J754*L754)-((J754-(J754*L754))*M754))</f>
        <v>0</v>
      </c>
      <c r="S754" s="24">
        <f>R754/1.11</f>
        <v>0</v>
      </c>
    </row>
    <row r="755" spans="1:19" s="19" customFormat="1">
      <c r="A755" s="18" t="s">
        <v>881</v>
      </c>
      <c r="B755" s="19" t="s">
        <v>260</v>
      </c>
      <c r="C755" s="20"/>
      <c r="D755" s="21" t="s">
        <v>40</v>
      </c>
      <c r="E755" s="26">
        <v>1</v>
      </c>
      <c r="F755" s="22">
        <v>1</v>
      </c>
      <c r="G755" s="23" t="s">
        <v>20</v>
      </c>
      <c r="H755" s="22">
        <v>72</v>
      </c>
      <c r="I755" s="23" t="s">
        <v>40</v>
      </c>
      <c r="J755" s="24">
        <v>18250</v>
      </c>
      <c r="K755" s="21" t="s">
        <v>40</v>
      </c>
      <c r="L755" s="25"/>
      <c r="M755" s="25"/>
      <c r="N755" s="22"/>
      <c r="O755" s="23" t="s">
        <v>40</v>
      </c>
      <c r="P755" s="20">
        <f>(C755+(E755*F755*H755))-N755</f>
        <v>72</v>
      </c>
      <c r="Q755" s="23" t="s">
        <v>40</v>
      </c>
      <c r="R755" s="24">
        <f>P755*(J755-(J755*L755)-((J755-(J755*L755))*M755))</f>
        <v>1314000</v>
      </c>
      <c r="S755" s="24">
        <f>R755/1.11</f>
        <v>1183783.7837837837</v>
      </c>
    </row>
    <row r="756" spans="1:19" s="19" customFormat="1">
      <c r="A756" s="18" t="s">
        <v>881</v>
      </c>
      <c r="B756" s="19" t="s">
        <v>260</v>
      </c>
      <c r="C756" s="20"/>
      <c r="D756" s="21" t="s">
        <v>40</v>
      </c>
      <c r="E756" s="26">
        <v>1</v>
      </c>
      <c r="F756" s="22">
        <v>1</v>
      </c>
      <c r="G756" s="23" t="s">
        <v>20</v>
      </c>
      <c r="H756" s="22">
        <v>72</v>
      </c>
      <c r="I756" s="23" t="s">
        <v>40</v>
      </c>
      <c r="J756" s="24">
        <v>0</v>
      </c>
      <c r="K756" s="21" t="s">
        <v>40</v>
      </c>
      <c r="L756" s="25"/>
      <c r="M756" s="25"/>
      <c r="N756" s="22"/>
      <c r="O756" s="23" t="s">
        <v>40</v>
      </c>
      <c r="P756" s="20">
        <f t="shared" ref="P756" si="441">(C756+(E756*F756*H756))-N756</f>
        <v>72</v>
      </c>
      <c r="Q756" s="23" t="s">
        <v>40</v>
      </c>
      <c r="R756" s="24">
        <f t="shared" ref="R756" si="442">P756*(J756-(J756*L756)-((J756-(J756*L756))*M756))</f>
        <v>0</v>
      </c>
      <c r="S756" s="24">
        <f t="shared" ref="S756" si="443">R756/1.11</f>
        <v>0</v>
      </c>
    </row>
    <row r="757" spans="1:19" s="19" customFormat="1">
      <c r="A757" s="18" t="s">
        <v>814</v>
      </c>
      <c r="B757" s="19" t="s">
        <v>260</v>
      </c>
      <c r="C757" s="20"/>
      <c r="D757" s="21" t="s">
        <v>40</v>
      </c>
      <c r="E757" s="26">
        <v>1</v>
      </c>
      <c r="F757" s="22">
        <v>1</v>
      </c>
      <c r="G757" s="23" t="s">
        <v>20</v>
      </c>
      <c r="H757" s="22">
        <v>120</v>
      </c>
      <c r="I757" s="23" t="s">
        <v>40</v>
      </c>
      <c r="J757" s="24">
        <v>18250</v>
      </c>
      <c r="K757" s="21" t="s">
        <v>40</v>
      </c>
      <c r="L757" s="25"/>
      <c r="M757" s="25"/>
      <c r="N757" s="22"/>
      <c r="O757" s="23" t="s">
        <v>40</v>
      </c>
      <c r="P757" s="20">
        <f t="shared" si="436"/>
        <v>120</v>
      </c>
      <c r="Q757" s="23" t="s">
        <v>40</v>
      </c>
      <c r="R757" s="24">
        <f t="shared" si="437"/>
        <v>2190000</v>
      </c>
      <c r="S757" s="24">
        <f t="shared" si="391"/>
        <v>1972972.9729729728</v>
      </c>
    </row>
    <row r="758" spans="1:19" s="19" customFormat="1">
      <c r="A758" s="18" t="s">
        <v>815</v>
      </c>
      <c r="B758" s="19" t="s">
        <v>260</v>
      </c>
      <c r="C758" s="20"/>
      <c r="D758" s="21" t="s">
        <v>40</v>
      </c>
      <c r="E758" s="26">
        <v>1</v>
      </c>
      <c r="F758" s="22">
        <v>1</v>
      </c>
      <c r="G758" s="23" t="s">
        <v>20</v>
      </c>
      <c r="H758" s="22">
        <v>120</v>
      </c>
      <c r="I758" s="23" t="s">
        <v>40</v>
      </c>
      <c r="J758" s="24">
        <v>18250</v>
      </c>
      <c r="K758" s="21" t="s">
        <v>40</v>
      </c>
      <c r="L758" s="25"/>
      <c r="M758" s="25"/>
      <c r="N758" s="22"/>
      <c r="O758" s="23" t="s">
        <v>40</v>
      </c>
      <c r="P758" s="20">
        <f t="shared" ref="P758:P760" si="444">(C758+(E758*F758*H758))-N758</f>
        <v>120</v>
      </c>
      <c r="Q758" s="23" t="s">
        <v>40</v>
      </c>
      <c r="R758" s="24">
        <f t="shared" ref="R758:R760" si="445">P758*(J758-(J758*L758)-((J758-(J758*L758))*M758))</f>
        <v>2190000</v>
      </c>
      <c r="S758" s="24">
        <f t="shared" ref="S758:S760" si="446">R758/1.11</f>
        <v>1972972.9729729728</v>
      </c>
    </row>
    <row r="759" spans="1:19" s="19" customFormat="1">
      <c r="A759" s="18" t="s">
        <v>816</v>
      </c>
      <c r="B759" s="19" t="s">
        <v>260</v>
      </c>
      <c r="C759" s="20"/>
      <c r="D759" s="21" t="s">
        <v>40</v>
      </c>
      <c r="E759" s="26">
        <v>1</v>
      </c>
      <c r="F759" s="22">
        <v>1</v>
      </c>
      <c r="G759" s="23" t="s">
        <v>20</v>
      </c>
      <c r="H759" s="22">
        <v>120</v>
      </c>
      <c r="I759" s="23" t="s">
        <v>40</v>
      </c>
      <c r="J759" s="24">
        <v>18250</v>
      </c>
      <c r="K759" s="21" t="s">
        <v>40</v>
      </c>
      <c r="L759" s="25"/>
      <c r="M759" s="25"/>
      <c r="N759" s="22"/>
      <c r="O759" s="23" t="s">
        <v>40</v>
      </c>
      <c r="P759" s="20">
        <f t="shared" si="444"/>
        <v>120</v>
      </c>
      <c r="Q759" s="23" t="s">
        <v>40</v>
      </c>
      <c r="R759" s="24">
        <f t="shared" si="445"/>
        <v>2190000</v>
      </c>
      <c r="S759" s="24">
        <f t="shared" si="446"/>
        <v>1972972.9729729728</v>
      </c>
    </row>
    <row r="760" spans="1:19" s="19" customFormat="1">
      <c r="A760" s="18" t="s">
        <v>817</v>
      </c>
      <c r="B760" s="19" t="s">
        <v>260</v>
      </c>
      <c r="C760" s="20"/>
      <c r="D760" s="21" t="s">
        <v>40</v>
      </c>
      <c r="E760" s="26">
        <v>1</v>
      </c>
      <c r="F760" s="22">
        <v>1</v>
      </c>
      <c r="G760" s="23" t="s">
        <v>20</v>
      </c>
      <c r="H760" s="22">
        <v>120</v>
      </c>
      <c r="I760" s="23" t="s">
        <v>40</v>
      </c>
      <c r="J760" s="24">
        <v>18250</v>
      </c>
      <c r="K760" s="21" t="s">
        <v>40</v>
      </c>
      <c r="L760" s="25"/>
      <c r="M760" s="25"/>
      <c r="N760" s="22"/>
      <c r="O760" s="23" t="s">
        <v>40</v>
      </c>
      <c r="P760" s="20">
        <f t="shared" si="444"/>
        <v>120</v>
      </c>
      <c r="Q760" s="23" t="s">
        <v>40</v>
      </c>
      <c r="R760" s="24">
        <f t="shared" si="445"/>
        <v>2190000</v>
      </c>
      <c r="S760" s="24">
        <f t="shared" si="446"/>
        <v>1972972.9729729728</v>
      </c>
    </row>
    <row r="761" spans="1:19" s="19" customFormat="1">
      <c r="A761" s="18" t="s">
        <v>884</v>
      </c>
      <c r="B761" s="19" t="s">
        <v>260</v>
      </c>
      <c r="C761" s="20"/>
      <c r="D761" s="21" t="s">
        <v>40</v>
      </c>
      <c r="E761" s="26">
        <v>1</v>
      </c>
      <c r="F761" s="22">
        <v>1</v>
      </c>
      <c r="G761" s="23" t="s">
        <v>20</v>
      </c>
      <c r="H761" s="22">
        <v>120</v>
      </c>
      <c r="I761" s="23" t="s">
        <v>40</v>
      </c>
      <c r="J761" s="24">
        <v>18250</v>
      </c>
      <c r="K761" s="21" t="s">
        <v>40</v>
      </c>
      <c r="L761" s="25"/>
      <c r="M761" s="25"/>
      <c r="N761" s="22"/>
      <c r="O761" s="23" t="s">
        <v>40</v>
      </c>
      <c r="P761" s="20">
        <f t="shared" ref="P761" si="447">(C761+(E761*F761*H761))-N761</f>
        <v>120</v>
      </c>
      <c r="Q761" s="23" t="s">
        <v>40</v>
      </c>
      <c r="R761" s="24">
        <f t="shared" ref="R761" si="448">P761*(J761-(J761*L761)-((J761-(J761*L761))*M761))</f>
        <v>2190000</v>
      </c>
      <c r="S761" s="24">
        <f t="shared" ref="S761" si="449">R761/1.11</f>
        <v>1972972.9729729728</v>
      </c>
    </row>
    <row r="762" spans="1:19" s="19" customFormat="1">
      <c r="A762" s="18" t="s">
        <v>885</v>
      </c>
      <c r="B762" s="19" t="s">
        <v>260</v>
      </c>
      <c r="C762" s="20"/>
      <c r="D762" s="21" t="s">
        <v>40</v>
      </c>
      <c r="E762" s="26">
        <v>1</v>
      </c>
      <c r="F762" s="22">
        <v>1</v>
      </c>
      <c r="G762" s="23" t="s">
        <v>20</v>
      </c>
      <c r="H762" s="22">
        <v>120</v>
      </c>
      <c r="I762" s="23" t="s">
        <v>40</v>
      </c>
      <c r="J762" s="24">
        <v>18250</v>
      </c>
      <c r="K762" s="21" t="s">
        <v>40</v>
      </c>
      <c r="L762" s="25"/>
      <c r="M762" s="25"/>
      <c r="N762" s="22"/>
      <c r="O762" s="23" t="s">
        <v>40</v>
      </c>
      <c r="P762" s="20">
        <f t="shared" ref="P762:P767" si="450">(C762+(E762*F762*H762))-N762</f>
        <v>120</v>
      </c>
      <c r="Q762" s="23" t="s">
        <v>40</v>
      </c>
      <c r="R762" s="24">
        <f t="shared" ref="R762:R767" si="451">P762*(J762-(J762*L762)-((J762-(J762*L762))*M762))</f>
        <v>2190000</v>
      </c>
      <c r="S762" s="24">
        <f t="shared" ref="S762:S767" si="452">R762/1.11</f>
        <v>1972972.9729729728</v>
      </c>
    </row>
    <row r="763" spans="1:19" s="19" customFormat="1">
      <c r="A763" s="18" t="s">
        <v>886</v>
      </c>
      <c r="B763" s="19" t="s">
        <v>260</v>
      </c>
      <c r="C763" s="20"/>
      <c r="D763" s="21" t="s">
        <v>40</v>
      </c>
      <c r="E763" s="26">
        <v>2</v>
      </c>
      <c r="F763" s="22">
        <v>1</v>
      </c>
      <c r="G763" s="23" t="s">
        <v>20</v>
      </c>
      <c r="H763" s="22">
        <v>120</v>
      </c>
      <c r="I763" s="23" t="s">
        <v>40</v>
      </c>
      <c r="J763" s="24">
        <v>18250</v>
      </c>
      <c r="K763" s="21" t="s">
        <v>40</v>
      </c>
      <c r="L763" s="25"/>
      <c r="M763" s="25"/>
      <c r="N763" s="22"/>
      <c r="O763" s="23" t="s">
        <v>40</v>
      </c>
      <c r="P763" s="20">
        <f t="shared" si="450"/>
        <v>240</v>
      </c>
      <c r="Q763" s="23" t="s">
        <v>40</v>
      </c>
      <c r="R763" s="24">
        <f t="shared" si="451"/>
        <v>4380000</v>
      </c>
      <c r="S763" s="24">
        <f t="shared" si="452"/>
        <v>3945945.9459459456</v>
      </c>
    </row>
    <row r="764" spans="1:19" s="19" customFormat="1">
      <c r="A764" s="18" t="s">
        <v>887</v>
      </c>
      <c r="B764" s="19" t="s">
        <v>260</v>
      </c>
      <c r="C764" s="20"/>
      <c r="D764" s="21" t="s">
        <v>40</v>
      </c>
      <c r="E764" s="26">
        <v>2</v>
      </c>
      <c r="F764" s="22">
        <v>1</v>
      </c>
      <c r="G764" s="23" t="s">
        <v>20</v>
      </c>
      <c r="H764" s="22">
        <v>120</v>
      </c>
      <c r="I764" s="23" t="s">
        <v>40</v>
      </c>
      <c r="J764" s="24">
        <v>18250</v>
      </c>
      <c r="K764" s="21" t="s">
        <v>40</v>
      </c>
      <c r="L764" s="25"/>
      <c r="M764" s="25"/>
      <c r="N764" s="22"/>
      <c r="O764" s="23" t="s">
        <v>40</v>
      </c>
      <c r="P764" s="20">
        <f t="shared" si="450"/>
        <v>240</v>
      </c>
      <c r="Q764" s="23" t="s">
        <v>40</v>
      </c>
      <c r="R764" s="24">
        <f t="shared" si="451"/>
        <v>4380000</v>
      </c>
      <c r="S764" s="24">
        <f t="shared" si="452"/>
        <v>3945945.9459459456</v>
      </c>
    </row>
    <row r="765" spans="1:19" s="19" customFormat="1">
      <c r="A765" s="18" t="s">
        <v>888</v>
      </c>
      <c r="B765" s="19" t="s">
        <v>260</v>
      </c>
      <c r="C765" s="20"/>
      <c r="D765" s="21" t="s">
        <v>40</v>
      </c>
      <c r="E765" s="26">
        <v>2</v>
      </c>
      <c r="F765" s="22">
        <v>1</v>
      </c>
      <c r="G765" s="23" t="s">
        <v>20</v>
      </c>
      <c r="H765" s="22">
        <v>120</v>
      </c>
      <c r="I765" s="23" t="s">
        <v>40</v>
      </c>
      <c r="J765" s="24">
        <v>18250</v>
      </c>
      <c r="K765" s="21" t="s">
        <v>40</v>
      </c>
      <c r="L765" s="25"/>
      <c r="M765" s="25"/>
      <c r="N765" s="22"/>
      <c r="O765" s="23" t="s">
        <v>40</v>
      </c>
      <c r="P765" s="20">
        <f t="shared" si="450"/>
        <v>240</v>
      </c>
      <c r="Q765" s="23" t="s">
        <v>40</v>
      </c>
      <c r="R765" s="24">
        <f t="shared" si="451"/>
        <v>4380000</v>
      </c>
      <c r="S765" s="24">
        <f t="shared" si="452"/>
        <v>3945945.9459459456</v>
      </c>
    </row>
    <row r="766" spans="1:19" s="19" customFormat="1">
      <c r="A766" s="18" t="s">
        <v>889</v>
      </c>
      <c r="B766" s="19" t="s">
        <v>260</v>
      </c>
      <c r="C766" s="20"/>
      <c r="D766" s="21" t="s">
        <v>40</v>
      </c>
      <c r="E766" s="26">
        <v>1</v>
      </c>
      <c r="F766" s="22">
        <v>1</v>
      </c>
      <c r="G766" s="23" t="s">
        <v>20</v>
      </c>
      <c r="H766" s="22">
        <v>120</v>
      </c>
      <c r="I766" s="23" t="s">
        <v>40</v>
      </c>
      <c r="J766" s="24">
        <v>18250</v>
      </c>
      <c r="K766" s="21" t="s">
        <v>40</v>
      </c>
      <c r="L766" s="25"/>
      <c r="M766" s="25"/>
      <c r="N766" s="22"/>
      <c r="O766" s="23" t="s">
        <v>40</v>
      </c>
      <c r="P766" s="20">
        <f t="shared" si="450"/>
        <v>120</v>
      </c>
      <c r="Q766" s="23" t="s">
        <v>40</v>
      </c>
      <c r="R766" s="24">
        <f t="shared" si="451"/>
        <v>2190000</v>
      </c>
      <c r="S766" s="24">
        <f t="shared" si="452"/>
        <v>1972972.9729729728</v>
      </c>
    </row>
    <row r="767" spans="1:19" s="19" customFormat="1">
      <c r="A767" s="18" t="s">
        <v>890</v>
      </c>
      <c r="B767" s="19" t="s">
        <v>260</v>
      </c>
      <c r="C767" s="20"/>
      <c r="D767" s="21" t="s">
        <v>40</v>
      </c>
      <c r="E767" s="26">
        <v>2</v>
      </c>
      <c r="F767" s="22">
        <v>1</v>
      </c>
      <c r="G767" s="23" t="s">
        <v>20</v>
      </c>
      <c r="H767" s="22">
        <v>120</v>
      </c>
      <c r="I767" s="23" t="s">
        <v>40</v>
      </c>
      <c r="J767" s="24">
        <v>18250</v>
      </c>
      <c r="K767" s="21" t="s">
        <v>40</v>
      </c>
      <c r="L767" s="25"/>
      <c r="M767" s="25"/>
      <c r="N767" s="22"/>
      <c r="O767" s="23" t="s">
        <v>40</v>
      </c>
      <c r="P767" s="20">
        <f t="shared" si="450"/>
        <v>240</v>
      </c>
      <c r="Q767" s="23" t="s">
        <v>40</v>
      </c>
      <c r="R767" s="24">
        <f t="shared" si="451"/>
        <v>4380000</v>
      </c>
      <c r="S767" s="24">
        <f t="shared" si="452"/>
        <v>3945945.9459459456</v>
      </c>
    </row>
    <row r="768" spans="1:19" s="19" customFormat="1">
      <c r="A768" s="18" t="s">
        <v>891</v>
      </c>
      <c r="B768" s="19" t="s">
        <v>260</v>
      </c>
      <c r="C768" s="20"/>
      <c r="D768" s="21" t="s">
        <v>40</v>
      </c>
      <c r="E768" s="26">
        <v>1</v>
      </c>
      <c r="F768" s="22">
        <v>1</v>
      </c>
      <c r="G768" s="23" t="s">
        <v>20</v>
      </c>
      <c r="H768" s="22">
        <v>120</v>
      </c>
      <c r="I768" s="23" t="s">
        <v>40</v>
      </c>
      <c r="J768" s="24">
        <v>18250</v>
      </c>
      <c r="K768" s="21" t="s">
        <v>40</v>
      </c>
      <c r="L768" s="25"/>
      <c r="M768" s="25"/>
      <c r="N768" s="22"/>
      <c r="O768" s="23" t="s">
        <v>40</v>
      </c>
      <c r="P768" s="20">
        <f t="shared" ref="P768" si="453">(C768+(E768*F768*H768))-N768</f>
        <v>120</v>
      </c>
      <c r="Q768" s="23" t="s">
        <v>40</v>
      </c>
      <c r="R768" s="24">
        <f t="shared" ref="R768" si="454">P768*(J768-(J768*L768)-((J768-(J768*L768))*M768))</f>
        <v>2190000</v>
      </c>
      <c r="S768" s="24">
        <f t="shared" ref="S768" si="455">R768/1.11</f>
        <v>1972972.9729729728</v>
      </c>
    </row>
    <row r="769" spans="1:19" s="19" customFormat="1">
      <c r="A769" s="18" t="s">
        <v>892</v>
      </c>
      <c r="B769" s="19" t="s">
        <v>260</v>
      </c>
      <c r="C769" s="20"/>
      <c r="D769" s="21" t="s">
        <v>40</v>
      </c>
      <c r="E769" s="26">
        <v>1</v>
      </c>
      <c r="F769" s="22">
        <v>1</v>
      </c>
      <c r="G769" s="23" t="s">
        <v>20</v>
      </c>
      <c r="H769" s="22">
        <v>60</v>
      </c>
      <c r="I769" s="23" t="s">
        <v>40</v>
      </c>
      <c r="J769" s="24">
        <v>18250</v>
      </c>
      <c r="K769" s="21" t="s">
        <v>40</v>
      </c>
      <c r="L769" s="25"/>
      <c r="M769" s="25"/>
      <c r="N769" s="22"/>
      <c r="O769" s="23" t="s">
        <v>40</v>
      </c>
      <c r="P769" s="20">
        <f t="shared" ref="P769" si="456">(C769+(E769*F769*H769))-N769</f>
        <v>60</v>
      </c>
      <c r="Q769" s="23" t="s">
        <v>40</v>
      </c>
      <c r="R769" s="24">
        <f t="shared" ref="R769" si="457">P769*(J769-(J769*L769)-((J769-(J769*L769))*M769))</f>
        <v>1095000</v>
      </c>
      <c r="S769" s="24">
        <f t="shared" ref="S769" si="458">R769/1.11</f>
        <v>986486.48648648639</v>
      </c>
    </row>
    <row r="770" spans="1:19" s="19" customFormat="1">
      <c r="A770" s="18" t="s">
        <v>892</v>
      </c>
      <c r="B770" s="19" t="s">
        <v>260</v>
      </c>
      <c r="C770" s="20"/>
      <c r="D770" s="21" t="s">
        <v>40</v>
      </c>
      <c r="E770" s="26">
        <v>1</v>
      </c>
      <c r="F770" s="22">
        <v>1</v>
      </c>
      <c r="G770" s="23" t="s">
        <v>20</v>
      </c>
      <c r="H770" s="22">
        <v>60</v>
      </c>
      <c r="I770" s="23" t="s">
        <v>40</v>
      </c>
      <c r="J770" s="24">
        <v>0</v>
      </c>
      <c r="K770" s="21" t="s">
        <v>40</v>
      </c>
      <c r="L770" s="25"/>
      <c r="M770" s="25"/>
      <c r="N770" s="22"/>
      <c r="O770" s="23" t="s">
        <v>40</v>
      </c>
      <c r="P770" s="20">
        <v>0</v>
      </c>
      <c r="Q770" s="23" t="s">
        <v>40</v>
      </c>
      <c r="R770" s="24">
        <v>0</v>
      </c>
      <c r="S770" s="24">
        <v>0</v>
      </c>
    </row>
    <row r="771" spans="1:19" s="19" customFormat="1">
      <c r="A771" s="18" t="s">
        <v>944</v>
      </c>
      <c r="B771" s="19" t="s">
        <v>260</v>
      </c>
      <c r="C771" s="20"/>
      <c r="D771" s="21" t="s">
        <v>40</v>
      </c>
      <c r="E771" s="26">
        <v>5</v>
      </c>
      <c r="F771" s="22">
        <v>1</v>
      </c>
      <c r="G771" s="23" t="s">
        <v>20</v>
      </c>
      <c r="H771" s="22">
        <v>120</v>
      </c>
      <c r="I771" s="23" t="s">
        <v>929</v>
      </c>
      <c r="J771" s="24">
        <v>16750</v>
      </c>
      <c r="K771" s="21" t="s">
        <v>40</v>
      </c>
      <c r="L771" s="25"/>
      <c r="M771" s="25"/>
      <c r="N771" s="22"/>
      <c r="O771" s="23" t="s">
        <v>40</v>
      </c>
      <c r="P771" s="20">
        <f t="shared" ref="P771" si="459">(C771+(E771*F771*H771))-N771</f>
        <v>600</v>
      </c>
      <c r="Q771" s="23" t="s">
        <v>40</v>
      </c>
      <c r="R771" s="24">
        <f t="shared" ref="R771" si="460">P771*(J771-(J771*L771)-((J771-(J771*L771))*M771))</f>
        <v>10050000</v>
      </c>
      <c r="S771" s="24">
        <f t="shared" ref="S771" si="461">R771/1.11</f>
        <v>9054054.0540540535</v>
      </c>
    </row>
    <row r="772" spans="1:19" s="19" customFormat="1">
      <c r="A772" s="18" t="s">
        <v>958</v>
      </c>
      <c r="B772" s="19" t="s">
        <v>260</v>
      </c>
      <c r="C772" s="20"/>
      <c r="D772" s="21" t="s">
        <v>40</v>
      </c>
      <c r="E772" s="26">
        <v>1</v>
      </c>
      <c r="F772" s="22">
        <v>1</v>
      </c>
      <c r="G772" s="23" t="s">
        <v>20</v>
      </c>
      <c r="H772" s="22">
        <v>144</v>
      </c>
      <c r="I772" s="23" t="s">
        <v>929</v>
      </c>
      <c r="J772" s="24">
        <v>24000</v>
      </c>
      <c r="K772" s="21" t="s">
        <v>40</v>
      </c>
      <c r="L772" s="25"/>
      <c r="M772" s="25"/>
      <c r="N772" s="22"/>
      <c r="O772" s="23" t="s">
        <v>40</v>
      </c>
      <c r="P772" s="20">
        <f t="shared" ref="P772" si="462">(C772+(E772*F772*H772))-N772</f>
        <v>144</v>
      </c>
      <c r="Q772" s="23" t="s">
        <v>40</v>
      </c>
      <c r="R772" s="24">
        <f t="shared" ref="R772" si="463">P772*(J772-(J772*L772)-((J772-(J772*L772))*M772))</f>
        <v>3456000</v>
      </c>
      <c r="S772" s="24">
        <f t="shared" ref="S772" si="464">R772/1.11</f>
        <v>3113513.5135135134</v>
      </c>
    </row>
    <row r="774" spans="1:19">
      <c r="A774" s="17" t="s">
        <v>703</v>
      </c>
      <c r="B774" s="2" t="s">
        <v>689</v>
      </c>
      <c r="C774" s="3">
        <v>43</v>
      </c>
      <c r="D774" s="4" t="s">
        <v>40</v>
      </c>
      <c r="E774" s="5">
        <v>20</v>
      </c>
      <c r="F774" s="6">
        <v>1</v>
      </c>
      <c r="G774" s="7" t="s">
        <v>20</v>
      </c>
      <c r="H774" s="6">
        <v>96</v>
      </c>
      <c r="I774" s="7" t="s">
        <v>40</v>
      </c>
      <c r="J774" s="8">
        <v>26500</v>
      </c>
      <c r="K774" s="4" t="s">
        <v>40</v>
      </c>
      <c r="O774" s="7" t="s">
        <v>40</v>
      </c>
      <c r="P774" s="3">
        <f>(C774+(E774*F774*H774))-N774</f>
        <v>1963</v>
      </c>
      <c r="Q774" s="7" t="s">
        <v>40</v>
      </c>
      <c r="R774" s="8">
        <f>P774*(J774-(J774*L774)-((J774-(J774*L774))*M774))</f>
        <v>52019500</v>
      </c>
      <c r="S774" s="8">
        <f t="shared" si="391"/>
        <v>46864414.414414413</v>
      </c>
    </row>
    <row r="775" spans="1:19">
      <c r="A775" s="156" t="s">
        <v>703</v>
      </c>
      <c r="B775" s="2" t="s">
        <v>689</v>
      </c>
      <c r="D775" s="4" t="s">
        <v>40</v>
      </c>
      <c r="F775" s="6">
        <v>1</v>
      </c>
      <c r="G775" s="7" t="s">
        <v>20</v>
      </c>
      <c r="H775" s="6">
        <v>96</v>
      </c>
      <c r="I775" s="7" t="s">
        <v>40</v>
      </c>
      <c r="J775" s="8">
        <v>26500</v>
      </c>
      <c r="K775" s="4" t="s">
        <v>40</v>
      </c>
      <c r="L775" s="9">
        <v>0.03</v>
      </c>
      <c r="O775" s="7" t="s">
        <v>40</v>
      </c>
      <c r="P775" s="3">
        <f>(C775+(E775*F775*H775))-N775</f>
        <v>0</v>
      </c>
      <c r="Q775" s="7" t="s">
        <v>40</v>
      </c>
      <c r="R775" s="8">
        <f>P775*(J775-(J775*L775)-((J775-(J775*L775))*M775))</f>
        <v>0</v>
      </c>
      <c r="S775" s="8">
        <f t="shared" ref="S775" si="465">R775/1.11</f>
        <v>0</v>
      </c>
    </row>
    <row r="776" spans="1:19">
      <c r="A776" s="156" t="s">
        <v>1048</v>
      </c>
      <c r="B776" s="2" t="s">
        <v>689</v>
      </c>
      <c r="D776" s="4" t="s">
        <v>40</v>
      </c>
      <c r="F776" s="6">
        <v>1</v>
      </c>
      <c r="G776" s="7" t="s">
        <v>20</v>
      </c>
      <c r="H776" s="6">
        <v>96</v>
      </c>
      <c r="I776" s="7" t="s">
        <v>40</v>
      </c>
      <c r="J776" s="8">
        <v>26500</v>
      </c>
      <c r="K776" s="4" t="s">
        <v>40</v>
      </c>
      <c r="O776" s="7" t="s">
        <v>40</v>
      </c>
      <c r="P776" s="3">
        <f>(C776+(E776*F776*H776))-N776</f>
        <v>0</v>
      </c>
      <c r="Q776" s="7" t="s">
        <v>40</v>
      </c>
      <c r="R776" s="8">
        <f>P776*(J776-(J776*L776)-((J776-(J776*L776))*M776))</f>
        <v>0</v>
      </c>
      <c r="S776" s="8">
        <f t="shared" ref="S776" si="466">R776/1.11</f>
        <v>0</v>
      </c>
    </row>
    <row r="778" spans="1:19">
      <c r="A778" s="17" t="s">
        <v>742</v>
      </c>
      <c r="B778" s="2" t="s">
        <v>171</v>
      </c>
      <c r="C778" s="3">
        <v>249</v>
      </c>
      <c r="D778" s="4" t="s">
        <v>40</v>
      </c>
      <c r="F778" s="6">
        <v>1</v>
      </c>
      <c r="G778" s="7" t="s">
        <v>20</v>
      </c>
      <c r="H778" s="6">
        <v>144</v>
      </c>
      <c r="I778" s="7" t="s">
        <v>40</v>
      </c>
      <c r="J778" s="8">
        <v>19000</v>
      </c>
      <c r="K778" s="4" t="s">
        <v>40</v>
      </c>
      <c r="L778" s="9">
        <v>0.02</v>
      </c>
      <c r="O778" s="7" t="s">
        <v>40</v>
      </c>
      <c r="P778" s="3">
        <f>(C778+(E778*F778*H778))-N778</f>
        <v>249</v>
      </c>
      <c r="Q778" s="7" t="s">
        <v>40</v>
      </c>
      <c r="R778" s="8">
        <f>P778*(J778-(J778*L778)-((J778-(J778*L778))*M778))</f>
        <v>4636380</v>
      </c>
      <c r="S778" s="8">
        <f t="shared" ref="S778" si="467">R778/1.11</f>
        <v>4176918.9189189184</v>
      </c>
    </row>
    <row r="779" spans="1:19">
      <c r="A779" s="17" t="s">
        <v>405</v>
      </c>
      <c r="B779" s="2" t="s">
        <v>171</v>
      </c>
      <c r="C779" s="3">
        <v>360</v>
      </c>
      <c r="D779" s="4" t="s">
        <v>40</v>
      </c>
      <c r="F779" s="6">
        <v>1</v>
      </c>
      <c r="G779" s="7" t="s">
        <v>20</v>
      </c>
      <c r="H779" s="6">
        <v>192</v>
      </c>
      <c r="I779" s="7" t="s">
        <v>40</v>
      </c>
      <c r="J779" s="8">
        <v>12750</v>
      </c>
      <c r="K779" s="4" t="s">
        <v>40</v>
      </c>
      <c r="L779" s="9">
        <v>0.05</v>
      </c>
      <c r="O779" s="7" t="s">
        <v>40</v>
      </c>
      <c r="P779" s="3">
        <f>(C779+(E779*F779*H779))-N779</f>
        <v>360</v>
      </c>
      <c r="Q779" s="7" t="s">
        <v>40</v>
      </c>
      <c r="R779" s="8">
        <f>P779*(J779-(J779*L779)-((J779-(J779*L779))*M779))</f>
        <v>4360500</v>
      </c>
      <c r="S779" s="8">
        <f t="shared" si="391"/>
        <v>3928378.3783783782</v>
      </c>
    </row>
    <row r="780" spans="1:19" s="19" customFormat="1">
      <c r="A780" s="18" t="s">
        <v>959</v>
      </c>
      <c r="B780" s="19" t="s">
        <v>171</v>
      </c>
      <c r="C780" s="20">
        <f>2292/12</f>
        <v>191</v>
      </c>
      <c r="D780" s="21" t="s">
        <v>40</v>
      </c>
      <c r="E780" s="26">
        <v>12</v>
      </c>
      <c r="F780" s="22">
        <v>1</v>
      </c>
      <c r="G780" s="23" t="s">
        <v>20</v>
      </c>
      <c r="H780" s="22">
        <v>192</v>
      </c>
      <c r="I780" s="23" t="s">
        <v>40</v>
      </c>
      <c r="J780" s="24">
        <v>9500</v>
      </c>
      <c r="K780" s="21" t="s">
        <v>40</v>
      </c>
      <c r="L780" s="25">
        <v>7.0000000000000007E-2</v>
      </c>
      <c r="M780" s="25"/>
      <c r="N780" s="22"/>
      <c r="O780" s="23" t="s">
        <v>40</v>
      </c>
      <c r="P780" s="20">
        <f>(C780+(E780*F780*H780))-N780</f>
        <v>2495</v>
      </c>
      <c r="Q780" s="23" t="s">
        <v>40</v>
      </c>
      <c r="R780" s="24">
        <f>P780*(J780-(J780*L780)-((J780-(J780*L780))*M780))</f>
        <v>22043325</v>
      </c>
      <c r="S780" s="24">
        <f t="shared" ref="S780" si="468">R780/1.11</f>
        <v>19858851.351351351</v>
      </c>
    </row>
    <row r="781" spans="1:19" s="19" customFormat="1">
      <c r="A781" s="156" t="s">
        <v>1029</v>
      </c>
      <c r="B781" s="19" t="s">
        <v>171</v>
      </c>
      <c r="C781" s="20"/>
      <c r="D781" s="21" t="s">
        <v>40</v>
      </c>
      <c r="E781" s="26">
        <v>10</v>
      </c>
      <c r="F781" s="22">
        <v>1</v>
      </c>
      <c r="G781" s="23" t="s">
        <v>20</v>
      </c>
      <c r="H781" s="22">
        <v>192</v>
      </c>
      <c r="I781" s="23" t="s">
        <v>40</v>
      </c>
      <c r="J781" s="24">
        <v>10525</v>
      </c>
      <c r="K781" s="21" t="s">
        <v>40</v>
      </c>
      <c r="L781" s="25">
        <v>7.0000000000000007E-2</v>
      </c>
      <c r="M781" s="25"/>
      <c r="N781" s="22"/>
      <c r="O781" s="23" t="s">
        <v>40</v>
      </c>
      <c r="P781" s="20">
        <f t="shared" ref="P781:P782" si="469">(C781+(E781*F781*H781))-N781</f>
        <v>1920</v>
      </c>
      <c r="Q781" s="23" t="s">
        <v>40</v>
      </c>
      <c r="R781" s="24">
        <f t="shared" ref="R781:R782" si="470">P781*(J781-(J781*L781)-((J781-(J781*L781))*M781))</f>
        <v>18793440</v>
      </c>
      <c r="S781" s="24">
        <f t="shared" ref="S781:S782" si="471">R781/1.11</f>
        <v>16931027.027027026</v>
      </c>
    </row>
    <row r="782" spans="1:19">
      <c r="A782" s="156" t="s">
        <v>1030</v>
      </c>
      <c r="B782" s="19" t="s">
        <v>171</v>
      </c>
      <c r="C782" s="20"/>
      <c r="D782" s="21" t="s">
        <v>40</v>
      </c>
      <c r="E782" s="26">
        <v>5</v>
      </c>
      <c r="F782" s="22">
        <v>1</v>
      </c>
      <c r="G782" s="23" t="s">
        <v>20</v>
      </c>
      <c r="H782" s="22">
        <v>144</v>
      </c>
      <c r="I782" s="23" t="s">
        <v>40</v>
      </c>
      <c r="J782" s="24">
        <v>8500</v>
      </c>
      <c r="K782" s="21" t="s">
        <v>40</v>
      </c>
      <c r="L782" s="25">
        <v>7.0000000000000007E-2</v>
      </c>
      <c r="M782" s="25"/>
      <c r="N782" s="22"/>
      <c r="O782" s="23" t="s">
        <v>40</v>
      </c>
      <c r="P782" s="20">
        <f t="shared" si="469"/>
        <v>720</v>
      </c>
      <c r="Q782" s="23" t="s">
        <v>40</v>
      </c>
      <c r="R782" s="24">
        <f t="shared" si="470"/>
        <v>5691600</v>
      </c>
      <c r="S782" s="24">
        <f t="shared" si="471"/>
        <v>5127567.5675675673</v>
      </c>
    </row>
    <row r="783" spans="1:19">
      <c r="A783" s="156" t="s">
        <v>1032</v>
      </c>
      <c r="B783" s="19" t="s">
        <v>171</v>
      </c>
      <c r="C783" s="20"/>
      <c r="D783" s="21" t="s">
        <v>151</v>
      </c>
      <c r="E783" s="26">
        <v>1</v>
      </c>
      <c r="F783" s="22">
        <v>1</v>
      </c>
      <c r="G783" s="23" t="s">
        <v>20</v>
      </c>
      <c r="H783" s="22">
        <v>256</v>
      </c>
      <c r="I783" s="23" t="s">
        <v>151</v>
      </c>
      <c r="J783" s="24">
        <v>14500</v>
      </c>
      <c r="K783" s="21" t="s">
        <v>151</v>
      </c>
      <c r="L783" s="25">
        <v>7.0000000000000007E-2</v>
      </c>
      <c r="M783" s="25"/>
      <c r="N783" s="22"/>
      <c r="O783" s="23" t="s">
        <v>151</v>
      </c>
      <c r="P783" s="20">
        <f t="shared" ref="P783" si="472">(C783+(E783*F783*H783))-N783</f>
        <v>256</v>
      </c>
      <c r="Q783" s="23" t="s">
        <v>151</v>
      </c>
      <c r="R783" s="24">
        <f t="shared" ref="R783" si="473">P783*(J783-(J783*L783)-((J783-(J783*L783))*M783))</f>
        <v>3452160</v>
      </c>
      <c r="S783" s="24">
        <f t="shared" ref="S783" si="474">R783/1.11</f>
        <v>3110054.054054054</v>
      </c>
    </row>
    <row r="785" spans="1:19">
      <c r="A785" s="15" t="s">
        <v>406</v>
      </c>
    </row>
    <row r="786" spans="1:19" s="76" customFormat="1">
      <c r="A786" s="112" t="s">
        <v>407</v>
      </c>
      <c r="B786" s="76" t="s">
        <v>18</v>
      </c>
      <c r="C786" s="74"/>
      <c r="D786" s="77" t="s">
        <v>151</v>
      </c>
      <c r="E786" s="78"/>
      <c r="F786" s="79">
        <v>8</v>
      </c>
      <c r="G786" s="80" t="s">
        <v>33</v>
      </c>
      <c r="H786" s="79">
        <v>24</v>
      </c>
      <c r="I786" s="80" t="s">
        <v>151</v>
      </c>
      <c r="J786" s="81">
        <v>16500</v>
      </c>
      <c r="K786" s="77" t="s">
        <v>151</v>
      </c>
      <c r="L786" s="82">
        <v>0.125</v>
      </c>
      <c r="M786" s="82">
        <v>0.05</v>
      </c>
      <c r="N786" s="79"/>
      <c r="O786" s="80" t="s">
        <v>151</v>
      </c>
      <c r="P786" s="74">
        <f t="shared" ref="P786:P791" si="475">(C786+(E786*F786*H786))-N786</f>
        <v>0</v>
      </c>
      <c r="Q786" s="80" t="s">
        <v>151</v>
      </c>
      <c r="R786" s="81">
        <f t="shared" ref="R786:R791" si="476">P786*(J786-(J786*L786)-((J786-(J786*L786))*M786))</f>
        <v>0</v>
      </c>
      <c r="S786" s="81">
        <f t="shared" si="391"/>
        <v>0</v>
      </c>
    </row>
    <row r="787" spans="1:19" s="67" customFormat="1">
      <c r="A787" s="112" t="s">
        <v>797</v>
      </c>
      <c r="B787" s="67" t="s">
        <v>18</v>
      </c>
      <c r="C787" s="68"/>
      <c r="D787" s="69" t="s">
        <v>151</v>
      </c>
      <c r="E787" s="70"/>
      <c r="F787" s="71">
        <v>12</v>
      </c>
      <c r="G787" s="72" t="s">
        <v>33</v>
      </c>
      <c r="H787" s="71">
        <v>24</v>
      </c>
      <c r="I787" s="72" t="s">
        <v>151</v>
      </c>
      <c r="J787" s="16">
        <v>14400</v>
      </c>
      <c r="K787" s="69" t="s">
        <v>151</v>
      </c>
      <c r="L787" s="73">
        <v>0.125</v>
      </c>
      <c r="M787" s="73">
        <v>0.05</v>
      </c>
      <c r="N787" s="71"/>
      <c r="O787" s="72" t="s">
        <v>151</v>
      </c>
      <c r="P787" s="68">
        <f t="shared" si="475"/>
        <v>0</v>
      </c>
      <c r="Q787" s="72" t="s">
        <v>151</v>
      </c>
      <c r="R787" s="16">
        <f t="shared" si="476"/>
        <v>0</v>
      </c>
      <c r="S787" s="16">
        <f t="shared" ref="S787:S909" si="477">R787/1.11</f>
        <v>0</v>
      </c>
    </row>
    <row r="788" spans="1:19">
      <c r="A788" s="48" t="s">
        <v>408</v>
      </c>
      <c r="B788" s="2" t="s">
        <v>18</v>
      </c>
      <c r="C788" s="3">
        <v>7</v>
      </c>
      <c r="D788" s="4" t="s">
        <v>151</v>
      </c>
      <c r="F788" s="6">
        <v>8</v>
      </c>
      <c r="G788" s="7" t="s">
        <v>33</v>
      </c>
      <c r="H788" s="6">
        <v>30</v>
      </c>
      <c r="I788" s="7" t="s">
        <v>151</v>
      </c>
      <c r="K788" s="4" t="s">
        <v>151</v>
      </c>
      <c r="L788" s="9">
        <v>0.1</v>
      </c>
      <c r="M788" s="9">
        <v>0.05</v>
      </c>
      <c r="O788" s="7" t="s">
        <v>151</v>
      </c>
      <c r="P788" s="3">
        <f t="shared" si="475"/>
        <v>7</v>
      </c>
      <c r="Q788" s="7" t="s">
        <v>151</v>
      </c>
      <c r="R788" s="8">
        <f t="shared" si="476"/>
        <v>0</v>
      </c>
      <c r="S788" s="8">
        <f t="shared" si="477"/>
        <v>0</v>
      </c>
    </row>
    <row r="789" spans="1:19" s="67" customFormat="1">
      <c r="A789" s="112" t="s">
        <v>409</v>
      </c>
      <c r="B789" s="67" t="s">
        <v>18</v>
      </c>
      <c r="C789" s="68"/>
      <c r="D789" s="69" t="s">
        <v>151</v>
      </c>
      <c r="E789" s="70"/>
      <c r="F789" s="71">
        <v>8</v>
      </c>
      <c r="G789" s="72" t="s">
        <v>33</v>
      </c>
      <c r="H789" s="71">
        <v>24</v>
      </c>
      <c r="I789" s="72" t="s">
        <v>151</v>
      </c>
      <c r="J789" s="16">
        <v>21000</v>
      </c>
      <c r="K789" s="69" t="s">
        <v>151</v>
      </c>
      <c r="L789" s="73">
        <v>0.125</v>
      </c>
      <c r="M789" s="73">
        <v>0.05</v>
      </c>
      <c r="N789" s="71"/>
      <c r="O789" s="72" t="s">
        <v>151</v>
      </c>
      <c r="P789" s="68">
        <f t="shared" si="475"/>
        <v>0</v>
      </c>
      <c r="Q789" s="72" t="s">
        <v>151</v>
      </c>
      <c r="R789" s="16">
        <f t="shared" si="476"/>
        <v>0</v>
      </c>
      <c r="S789" s="16">
        <f t="shared" si="477"/>
        <v>0</v>
      </c>
    </row>
    <row r="790" spans="1:19" s="83" customFormat="1">
      <c r="A790" s="126" t="s">
        <v>410</v>
      </c>
      <c r="B790" s="83" t="s">
        <v>18</v>
      </c>
      <c r="C790" s="86"/>
      <c r="D790" s="87" t="s">
        <v>151</v>
      </c>
      <c r="E790" s="88">
        <v>7</v>
      </c>
      <c r="F790" s="89">
        <v>8</v>
      </c>
      <c r="G790" s="90" t="s">
        <v>33</v>
      </c>
      <c r="H790" s="89">
        <v>24</v>
      </c>
      <c r="I790" s="90" t="s">
        <v>151</v>
      </c>
      <c r="J790" s="91">
        <v>16800</v>
      </c>
      <c r="K790" s="87" t="s">
        <v>151</v>
      </c>
      <c r="L790" s="92">
        <v>0.125</v>
      </c>
      <c r="M790" s="92">
        <v>0.05</v>
      </c>
      <c r="N790" s="89"/>
      <c r="O790" s="90" t="s">
        <v>151</v>
      </c>
      <c r="P790" s="86">
        <f t="shared" si="475"/>
        <v>1344</v>
      </c>
      <c r="Q790" s="90" t="s">
        <v>151</v>
      </c>
      <c r="R790" s="91">
        <f t="shared" si="476"/>
        <v>18768960</v>
      </c>
      <c r="S790" s="91">
        <f t="shared" si="477"/>
        <v>16908972.97297297</v>
      </c>
    </row>
    <row r="791" spans="1:19" s="67" customFormat="1">
      <c r="A791" s="112" t="s">
        <v>411</v>
      </c>
      <c r="B791" s="67" t="s">
        <v>18</v>
      </c>
      <c r="C791" s="68"/>
      <c r="D791" s="69" t="s">
        <v>151</v>
      </c>
      <c r="E791" s="70"/>
      <c r="F791" s="71">
        <v>6</v>
      </c>
      <c r="G791" s="72" t="s">
        <v>33</v>
      </c>
      <c r="H791" s="71">
        <v>24</v>
      </c>
      <c r="I791" s="72" t="s">
        <v>151</v>
      </c>
      <c r="J791" s="16">
        <v>21000</v>
      </c>
      <c r="K791" s="69" t="s">
        <v>151</v>
      </c>
      <c r="L791" s="73">
        <v>0.125</v>
      </c>
      <c r="M791" s="73">
        <v>0.05</v>
      </c>
      <c r="N791" s="71"/>
      <c r="O791" s="72" t="s">
        <v>151</v>
      </c>
      <c r="P791" s="68">
        <f t="shared" si="475"/>
        <v>0</v>
      </c>
      <c r="Q791" s="72" t="s">
        <v>151</v>
      </c>
      <c r="R791" s="16">
        <f t="shared" si="476"/>
        <v>0</v>
      </c>
      <c r="S791" s="16">
        <f t="shared" si="477"/>
        <v>0</v>
      </c>
    </row>
    <row r="792" spans="1:19" s="67" customFormat="1">
      <c r="A792" s="113"/>
      <c r="C792" s="68"/>
      <c r="D792" s="69"/>
      <c r="E792" s="70"/>
      <c r="F792" s="71"/>
      <c r="G792" s="72"/>
      <c r="H792" s="71"/>
      <c r="I792" s="72"/>
      <c r="J792" s="16"/>
      <c r="K792" s="69"/>
      <c r="L792" s="73"/>
      <c r="M792" s="73"/>
      <c r="N792" s="71"/>
      <c r="O792" s="72"/>
      <c r="P792" s="68"/>
      <c r="Q792" s="72"/>
      <c r="R792" s="16"/>
      <c r="S792" s="16"/>
    </row>
    <row r="793" spans="1:19" s="67" customFormat="1">
      <c r="A793" s="66" t="s">
        <v>412</v>
      </c>
      <c r="B793" s="67" t="s">
        <v>25</v>
      </c>
      <c r="C793" s="68"/>
      <c r="D793" s="69" t="s">
        <v>151</v>
      </c>
      <c r="E793" s="70"/>
      <c r="F793" s="71">
        <v>8</v>
      </c>
      <c r="G793" s="72" t="s">
        <v>33</v>
      </c>
      <c r="H793" s="71">
        <v>30</v>
      </c>
      <c r="I793" s="72" t="s">
        <v>151</v>
      </c>
      <c r="J793" s="16">
        <f>4800000/8/30</f>
        <v>20000</v>
      </c>
      <c r="K793" s="69" t="s">
        <v>151</v>
      </c>
      <c r="L793" s="73"/>
      <c r="M793" s="73">
        <v>0.17</v>
      </c>
      <c r="N793" s="71"/>
      <c r="O793" s="72" t="s">
        <v>151</v>
      </c>
      <c r="P793" s="68">
        <f>(C793+(E793*F793*H793))-N793</f>
        <v>0</v>
      </c>
      <c r="Q793" s="72" t="s">
        <v>151</v>
      </c>
      <c r="R793" s="16">
        <f>P793*(J793-(J793*L793)-((J793-(J793*L793))*M793))</f>
        <v>0</v>
      </c>
      <c r="S793" s="16">
        <f t="shared" si="477"/>
        <v>0</v>
      </c>
    </row>
    <row r="794" spans="1:19" s="67" customFormat="1">
      <c r="A794" s="66" t="s">
        <v>674</v>
      </c>
      <c r="B794" s="67" t="s">
        <v>25</v>
      </c>
      <c r="C794" s="68"/>
      <c r="D794" s="69" t="s">
        <v>151</v>
      </c>
      <c r="E794" s="70"/>
      <c r="F794" s="71">
        <v>6</v>
      </c>
      <c r="G794" s="72" t="s">
        <v>33</v>
      </c>
      <c r="H794" s="71">
        <v>30</v>
      </c>
      <c r="I794" s="72" t="s">
        <v>151</v>
      </c>
      <c r="J794" s="16">
        <f>2664000/6/30</f>
        <v>14800</v>
      </c>
      <c r="K794" s="69" t="s">
        <v>151</v>
      </c>
      <c r="L794" s="73"/>
      <c r="M794" s="73">
        <v>0.17</v>
      </c>
      <c r="N794" s="71"/>
      <c r="O794" s="72" t="s">
        <v>151</v>
      </c>
      <c r="P794" s="68">
        <f>(C794+(E794*F794*H794))-N794</f>
        <v>0</v>
      </c>
      <c r="Q794" s="72" t="s">
        <v>151</v>
      </c>
      <c r="R794" s="16">
        <f>P794*(J794-(J794*L794)-((J794-(J794*L794))*M794))</f>
        <v>0</v>
      </c>
      <c r="S794" s="16">
        <f t="shared" si="477"/>
        <v>0</v>
      </c>
    </row>
    <row r="796" spans="1:19">
      <c r="A796" s="15" t="s">
        <v>413</v>
      </c>
    </row>
    <row r="797" spans="1:19" s="83" customFormat="1">
      <c r="A797" s="102" t="s">
        <v>414</v>
      </c>
      <c r="B797" s="83" t="s">
        <v>18</v>
      </c>
      <c r="C797" s="86"/>
      <c r="D797" s="87" t="s">
        <v>40</v>
      </c>
      <c r="E797" s="88">
        <v>1</v>
      </c>
      <c r="F797" s="89">
        <v>48</v>
      </c>
      <c r="G797" s="90" t="s">
        <v>33</v>
      </c>
      <c r="H797" s="89">
        <v>12</v>
      </c>
      <c r="I797" s="90" t="s">
        <v>19</v>
      </c>
      <c r="J797" s="91">
        <v>5800</v>
      </c>
      <c r="K797" s="87" t="s">
        <v>19</v>
      </c>
      <c r="L797" s="92">
        <v>0.125</v>
      </c>
      <c r="M797" s="92">
        <v>0.05</v>
      </c>
      <c r="N797" s="89"/>
      <c r="O797" s="90" t="s">
        <v>19</v>
      </c>
      <c r="P797" s="86">
        <f>(C797+(E797*F797*H797))-N797</f>
        <v>576</v>
      </c>
      <c r="Q797" s="90" t="s">
        <v>19</v>
      </c>
      <c r="R797" s="91">
        <f>P797*(J797-(J797*L797)-((J797-(J797*L797))*M797))</f>
        <v>2777040</v>
      </c>
      <c r="S797" s="91">
        <f>R797/1.11</f>
        <v>2501837.8378378376</v>
      </c>
    </row>
    <row r="798" spans="1:19" s="83" customFormat="1">
      <c r="A798" s="85" t="s">
        <v>976</v>
      </c>
      <c r="B798" s="83" t="s">
        <v>18</v>
      </c>
      <c r="C798" s="86"/>
      <c r="D798" s="87" t="s">
        <v>40</v>
      </c>
      <c r="E798" s="88">
        <v>1</v>
      </c>
      <c r="F798" s="89">
        <v>1</v>
      </c>
      <c r="G798" s="90" t="s">
        <v>20</v>
      </c>
      <c r="H798" s="89">
        <v>480</v>
      </c>
      <c r="I798" s="90" t="s">
        <v>19</v>
      </c>
      <c r="J798" s="91">
        <v>4250</v>
      </c>
      <c r="K798" s="87" t="s">
        <v>19</v>
      </c>
      <c r="L798" s="92">
        <v>0.125</v>
      </c>
      <c r="M798" s="92">
        <v>0.05</v>
      </c>
      <c r="N798" s="89"/>
      <c r="O798" s="90" t="s">
        <v>19</v>
      </c>
      <c r="P798" s="86">
        <f>(C798+(E798*F798*H798))-N798</f>
        <v>480</v>
      </c>
      <c r="Q798" s="90" t="s">
        <v>19</v>
      </c>
      <c r="R798" s="91">
        <f>P798*(J798-(J798*L798)-((J798-(J798*L798))*M798))</f>
        <v>1695750</v>
      </c>
      <c r="S798" s="91">
        <f>R798/1.11</f>
        <v>1527702.7027027025</v>
      </c>
    </row>
    <row r="800" spans="1:19">
      <c r="A800" s="48" t="s">
        <v>770</v>
      </c>
      <c r="B800" s="2" t="s">
        <v>25</v>
      </c>
      <c r="C800" s="3">
        <v>576</v>
      </c>
      <c r="D800" s="4" t="s">
        <v>19</v>
      </c>
      <c r="F800" s="6">
        <v>24</v>
      </c>
      <c r="G800" s="7" t="s">
        <v>33</v>
      </c>
      <c r="H800" s="6">
        <v>24</v>
      </c>
      <c r="I800" s="7" t="s">
        <v>19</v>
      </c>
      <c r="J800" s="8">
        <f>2822400/24/24</f>
        <v>4900</v>
      </c>
      <c r="K800" s="4" t="s">
        <v>19</v>
      </c>
      <c r="M800" s="9">
        <v>0.17</v>
      </c>
      <c r="O800" s="7" t="s">
        <v>19</v>
      </c>
      <c r="P800" s="3">
        <f>(C800+(E800*F800*H800))-N800</f>
        <v>576</v>
      </c>
      <c r="Q800" s="7" t="s">
        <v>19</v>
      </c>
      <c r="R800" s="8">
        <f>P800*(J800-(J800*L800)-((J800-(J800*L800))*M800))</f>
        <v>2342592</v>
      </c>
      <c r="S800" s="8">
        <f t="shared" si="477"/>
        <v>2110443.2432432431</v>
      </c>
    </row>
    <row r="801" spans="1:19">
      <c r="A801" s="48" t="s">
        <v>771</v>
      </c>
      <c r="B801" s="2" t="s">
        <v>25</v>
      </c>
      <c r="C801" s="3">
        <v>4</v>
      </c>
      <c r="D801" s="4" t="s">
        <v>40</v>
      </c>
      <c r="F801" s="6">
        <v>24</v>
      </c>
      <c r="G801" s="7" t="s">
        <v>33</v>
      </c>
      <c r="H801" s="6">
        <v>2</v>
      </c>
      <c r="I801" s="7" t="s">
        <v>40</v>
      </c>
      <c r="J801" s="8">
        <f>2592000/24/2</f>
        <v>54000</v>
      </c>
      <c r="K801" s="4" t="s">
        <v>40</v>
      </c>
      <c r="M801" s="9">
        <v>0.17</v>
      </c>
      <c r="O801" s="7" t="s">
        <v>40</v>
      </c>
      <c r="P801" s="3">
        <f>(C801+(E801*F801*H801))-N801</f>
        <v>4</v>
      </c>
      <c r="Q801" s="7" t="s">
        <v>40</v>
      </c>
      <c r="R801" s="8">
        <f>P801*(J801-(J801*L801)-((J801-(J801*L801))*M801))</f>
        <v>179280</v>
      </c>
      <c r="S801" s="8">
        <f t="shared" si="477"/>
        <v>161513.51351351349</v>
      </c>
    </row>
    <row r="802" spans="1:19">
      <c r="A802" s="48" t="s">
        <v>772</v>
      </c>
      <c r="B802" s="2" t="s">
        <v>25</v>
      </c>
      <c r="C802" s="3">
        <v>576</v>
      </c>
      <c r="D802" s="4" t="s">
        <v>19</v>
      </c>
      <c r="F802" s="6">
        <v>24</v>
      </c>
      <c r="G802" s="7" t="s">
        <v>33</v>
      </c>
      <c r="H802" s="6">
        <v>24</v>
      </c>
      <c r="I802" s="7" t="s">
        <v>19</v>
      </c>
      <c r="J802" s="8">
        <f>1900800/24/24</f>
        <v>3300</v>
      </c>
      <c r="K802" s="4" t="s">
        <v>19</v>
      </c>
      <c r="M802" s="9">
        <v>0.17</v>
      </c>
      <c r="O802" s="7" t="s">
        <v>19</v>
      </c>
      <c r="P802" s="3">
        <f>(C802+(E802*F802*H802))-N802</f>
        <v>576</v>
      </c>
      <c r="Q802" s="7" t="s">
        <v>19</v>
      </c>
      <c r="R802" s="8">
        <f>P802*(J802-(J802*L802)-((J802-(J802*L802))*M802))</f>
        <v>1577664</v>
      </c>
      <c r="S802" s="8">
        <f t="shared" si="477"/>
        <v>1421318.9189189188</v>
      </c>
    </row>
    <row r="803" spans="1:19">
      <c r="A803" s="49"/>
    </row>
    <row r="804" spans="1:19">
      <c r="A804" s="15" t="s">
        <v>415</v>
      </c>
    </row>
    <row r="805" spans="1:19" s="67" customFormat="1">
      <c r="A805" s="66" t="s">
        <v>416</v>
      </c>
      <c r="B805" s="67" t="s">
        <v>18</v>
      </c>
      <c r="C805" s="68"/>
      <c r="D805" s="69" t="s">
        <v>98</v>
      </c>
      <c r="E805" s="70"/>
      <c r="F805" s="71">
        <v>18</v>
      </c>
      <c r="G805" s="72" t="s">
        <v>33</v>
      </c>
      <c r="H805" s="71">
        <v>12</v>
      </c>
      <c r="I805" s="72" t="s">
        <v>98</v>
      </c>
      <c r="J805" s="16">
        <f>36000/12</f>
        <v>3000</v>
      </c>
      <c r="K805" s="69" t="s">
        <v>98</v>
      </c>
      <c r="L805" s="73">
        <v>0.125</v>
      </c>
      <c r="M805" s="73">
        <v>0.05</v>
      </c>
      <c r="N805" s="71"/>
      <c r="O805" s="72" t="s">
        <v>98</v>
      </c>
      <c r="P805" s="68">
        <f>(C805+(E805*F805*H805))-N805</f>
        <v>0</v>
      </c>
      <c r="Q805" s="72" t="s">
        <v>98</v>
      </c>
      <c r="R805" s="16">
        <f>P805*(J805-(J805*L805)-((J805-(J805*L805))*M805))</f>
        <v>0</v>
      </c>
      <c r="S805" s="16">
        <f t="shared" si="477"/>
        <v>0</v>
      </c>
    </row>
    <row r="806" spans="1:19" s="67" customFormat="1">
      <c r="A806" s="66" t="s">
        <v>417</v>
      </c>
      <c r="B806" s="67" t="s">
        <v>18</v>
      </c>
      <c r="C806" s="68"/>
      <c r="D806" s="69" t="s">
        <v>40</v>
      </c>
      <c r="E806" s="70"/>
      <c r="F806" s="71">
        <v>18</v>
      </c>
      <c r="G806" s="72" t="s">
        <v>33</v>
      </c>
      <c r="H806" s="71">
        <v>24</v>
      </c>
      <c r="I806" s="72" t="s">
        <v>40</v>
      </c>
      <c r="J806" s="16">
        <v>27600</v>
      </c>
      <c r="K806" s="69" t="s">
        <v>40</v>
      </c>
      <c r="L806" s="73">
        <v>0.125</v>
      </c>
      <c r="M806" s="73">
        <v>0.05</v>
      </c>
      <c r="N806" s="71"/>
      <c r="O806" s="72" t="s">
        <v>40</v>
      </c>
      <c r="P806" s="68">
        <f>(C806+(E806*F806*H806))-N806</f>
        <v>0</v>
      </c>
      <c r="Q806" s="72" t="s">
        <v>40</v>
      </c>
      <c r="R806" s="16">
        <f>P806*(J806-(J806*L806)-((J806-(J806*L806))*M806))</f>
        <v>0</v>
      </c>
      <c r="S806" s="16">
        <f t="shared" si="477"/>
        <v>0</v>
      </c>
    </row>
    <row r="807" spans="1:19" s="67" customFormat="1">
      <c r="A807" s="66"/>
      <c r="C807" s="68"/>
      <c r="D807" s="69"/>
      <c r="E807" s="70"/>
      <c r="F807" s="71"/>
      <c r="G807" s="72"/>
      <c r="H807" s="71"/>
      <c r="I807" s="72"/>
      <c r="J807" s="16"/>
      <c r="K807" s="69"/>
      <c r="L807" s="73"/>
      <c r="M807" s="73"/>
      <c r="N807" s="71"/>
      <c r="O807" s="72"/>
      <c r="P807" s="68"/>
      <c r="Q807" s="72"/>
      <c r="R807" s="16"/>
      <c r="S807" s="16"/>
    </row>
    <row r="808" spans="1:19" s="67" customFormat="1">
      <c r="A808" s="66" t="s">
        <v>418</v>
      </c>
      <c r="B808" s="67" t="s">
        <v>260</v>
      </c>
      <c r="C808" s="68"/>
      <c r="D808" s="69" t="s">
        <v>40</v>
      </c>
      <c r="E808" s="70"/>
      <c r="F808" s="71">
        <v>1</v>
      </c>
      <c r="G808" s="72" t="s">
        <v>20</v>
      </c>
      <c r="H808" s="71">
        <v>96</v>
      </c>
      <c r="I808" s="72" t="s">
        <v>40</v>
      </c>
      <c r="J808" s="16">
        <v>9500</v>
      </c>
      <c r="K808" s="69" t="s">
        <v>40</v>
      </c>
      <c r="L808" s="73"/>
      <c r="M808" s="73"/>
      <c r="N808" s="71"/>
      <c r="O808" s="72" t="s">
        <v>40</v>
      </c>
      <c r="P808" s="68">
        <f>(C808+(E808*F808*H808))-N808</f>
        <v>0</v>
      </c>
      <c r="Q808" s="72" t="s">
        <v>40</v>
      </c>
      <c r="R808" s="16">
        <f>P808*(J808-(J808*L808)-((J808-(J808*L808))*M808))</f>
        <v>0</v>
      </c>
      <c r="S808" s="16">
        <f t="shared" si="477"/>
        <v>0</v>
      </c>
    </row>
    <row r="809" spans="1:19" s="83" customFormat="1">
      <c r="A809" s="102" t="s">
        <v>875</v>
      </c>
      <c r="B809" s="83" t="s">
        <v>260</v>
      </c>
      <c r="C809" s="86"/>
      <c r="D809" s="87" t="s">
        <v>98</v>
      </c>
      <c r="E809" s="88">
        <v>2</v>
      </c>
      <c r="F809" s="89">
        <v>1</v>
      </c>
      <c r="G809" s="90" t="s">
        <v>20</v>
      </c>
      <c r="H809" s="89">
        <v>80</v>
      </c>
      <c r="I809" s="90" t="s">
        <v>98</v>
      </c>
      <c r="J809" s="91">
        <v>22500</v>
      </c>
      <c r="K809" s="87" t="s">
        <v>98</v>
      </c>
      <c r="L809" s="92"/>
      <c r="M809" s="92"/>
      <c r="N809" s="89"/>
      <c r="O809" s="90" t="s">
        <v>98</v>
      </c>
      <c r="P809" s="86">
        <f>(C809+(E809*F809*H809))-N809</f>
        <v>160</v>
      </c>
      <c r="Q809" s="90" t="s">
        <v>98</v>
      </c>
      <c r="R809" s="91">
        <f>P809*(J809-(J809*L809)-((J809-(J809*L809))*M809))</f>
        <v>3600000</v>
      </c>
      <c r="S809" s="91">
        <f t="shared" ref="S809" si="478">R809/1.11</f>
        <v>3243243.2432432431</v>
      </c>
    </row>
    <row r="811" spans="1:19">
      <c r="A811" s="17" t="s">
        <v>419</v>
      </c>
      <c r="B811" s="2" t="s">
        <v>25</v>
      </c>
      <c r="C811" s="3">
        <v>417</v>
      </c>
      <c r="D811" s="4" t="s">
        <v>19</v>
      </c>
      <c r="E811" s="5">
        <v>2</v>
      </c>
      <c r="F811" s="6">
        <v>144</v>
      </c>
      <c r="G811" s="7" t="s">
        <v>33</v>
      </c>
      <c r="H811" s="6">
        <v>24</v>
      </c>
      <c r="I811" s="7" t="s">
        <v>831</v>
      </c>
      <c r="J811" s="8">
        <v>1950</v>
      </c>
      <c r="K811" s="4" t="s">
        <v>831</v>
      </c>
      <c r="M811" s="9">
        <v>0.17</v>
      </c>
      <c r="O811" s="7" t="s">
        <v>40</v>
      </c>
      <c r="P811" s="3">
        <f>(C811+(E811*F811*H811))-N811</f>
        <v>7329</v>
      </c>
      <c r="Q811" s="7" t="s">
        <v>40</v>
      </c>
      <c r="R811" s="8">
        <f>P811*(J811-(J811*L811)-((J811-(J811*L811))*M811))</f>
        <v>11861986.5</v>
      </c>
      <c r="S811" s="8">
        <f t="shared" si="477"/>
        <v>10686474.324324323</v>
      </c>
    </row>
    <row r="812" spans="1:19" s="83" customFormat="1">
      <c r="A812" s="102" t="s">
        <v>420</v>
      </c>
      <c r="B812" s="83" t="s">
        <v>25</v>
      </c>
      <c r="C812" s="86"/>
      <c r="D812" s="87" t="s">
        <v>33</v>
      </c>
      <c r="E812" s="88">
        <v>1</v>
      </c>
      <c r="F812" s="89">
        <v>1</v>
      </c>
      <c r="G812" s="90" t="s">
        <v>20</v>
      </c>
      <c r="H812" s="89">
        <v>120</v>
      </c>
      <c r="I812" s="90" t="s">
        <v>33</v>
      </c>
      <c r="J812" s="91">
        <f>2160000/120</f>
        <v>18000</v>
      </c>
      <c r="K812" s="87" t="s">
        <v>33</v>
      </c>
      <c r="L812" s="92"/>
      <c r="M812" s="92">
        <v>0.17</v>
      </c>
      <c r="N812" s="89"/>
      <c r="O812" s="90" t="s">
        <v>33</v>
      </c>
      <c r="P812" s="86">
        <f>(C812+(E812*F812*H812))-N812</f>
        <v>120</v>
      </c>
      <c r="Q812" s="90" t="s">
        <v>33</v>
      </c>
      <c r="R812" s="91">
        <f>P812*(J812-(J812*L812)-((J812-(J812*L812))*M812))</f>
        <v>1792800</v>
      </c>
      <c r="S812" s="91">
        <f t="shared" si="477"/>
        <v>1615135.1351351349</v>
      </c>
    </row>
    <row r="814" spans="1:19">
      <c r="A814" s="17" t="s">
        <v>421</v>
      </c>
      <c r="B814" s="2" t="s">
        <v>181</v>
      </c>
      <c r="C814" s="3">
        <v>2400</v>
      </c>
      <c r="D814" s="4" t="s">
        <v>33</v>
      </c>
      <c r="F814" s="6">
        <v>1</v>
      </c>
      <c r="G814" s="7" t="s">
        <v>20</v>
      </c>
      <c r="H814" s="6">
        <v>240</v>
      </c>
      <c r="I814" s="7" t="s">
        <v>33</v>
      </c>
      <c r="J814" s="8">
        <v>5500</v>
      </c>
      <c r="K814" s="4" t="s">
        <v>33</v>
      </c>
      <c r="O814" s="7" t="s">
        <v>33</v>
      </c>
      <c r="P814" s="3">
        <f>(C814+(E814*F814*H814))-N814</f>
        <v>2400</v>
      </c>
      <c r="Q814" s="7" t="s">
        <v>33</v>
      </c>
      <c r="R814" s="8">
        <f>P814*(J814-(J814*L814)-((J814-(J814*L814))*M814))</f>
        <v>13200000</v>
      </c>
      <c r="S814" s="8">
        <f t="shared" si="477"/>
        <v>11891891.891891891</v>
      </c>
    </row>
    <row r="816" spans="1:19">
      <c r="A816" s="15" t="s">
        <v>511</v>
      </c>
    </row>
    <row r="817" spans="1:19" s="19" customFormat="1">
      <c r="A817" s="128" t="s">
        <v>941</v>
      </c>
      <c r="B817" s="19" t="s">
        <v>18</v>
      </c>
      <c r="C817" s="20">
        <v>984</v>
      </c>
      <c r="D817" s="21" t="s">
        <v>19</v>
      </c>
      <c r="E817" s="26">
        <v>2</v>
      </c>
      <c r="F817" s="22">
        <v>48</v>
      </c>
      <c r="G817" s="23" t="s">
        <v>33</v>
      </c>
      <c r="H817" s="22">
        <v>12</v>
      </c>
      <c r="I817" s="23" t="s">
        <v>19</v>
      </c>
      <c r="J817" s="24">
        <v>2350</v>
      </c>
      <c r="K817" s="21" t="s">
        <v>19</v>
      </c>
      <c r="L817" s="127">
        <v>0.1</v>
      </c>
      <c r="M817" s="25">
        <v>0.05</v>
      </c>
      <c r="N817" s="22"/>
      <c r="O817" s="23" t="s">
        <v>19</v>
      </c>
      <c r="P817" s="20">
        <f>(C817+(E817*F817*H817))-N817</f>
        <v>2136</v>
      </c>
      <c r="Q817" s="23" t="s">
        <v>19</v>
      </c>
      <c r="R817" s="24">
        <f>P817*(J817-(J817*L817)-((J817-(J817*L817))*M817))</f>
        <v>4291758</v>
      </c>
      <c r="S817" s="8">
        <f>R817/1.11</f>
        <v>3866448.6486486485</v>
      </c>
    </row>
    <row r="818" spans="1:19" s="19" customFormat="1">
      <c r="A818" s="128" t="s">
        <v>941</v>
      </c>
      <c r="B818" s="19" t="s">
        <v>18</v>
      </c>
      <c r="C818" s="20">
        <v>192</v>
      </c>
      <c r="D818" s="21" t="s">
        <v>19</v>
      </c>
      <c r="E818" s="26">
        <v>1</v>
      </c>
      <c r="F818" s="22">
        <v>48</v>
      </c>
      <c r="G818" s="23" t="s">
        <v>33</v>
      </c>
      <c r="H818" s="22">
        <v>12</v>
      </c>
      <c r="I818" s="23" t="s">
        <v>19</v>
      </c>
      <c r="J818" s="24">
        <v>2350</v>
      </c>
      <c r="K818" s="21" t="s">
        <v>19</v>
      </c>
      <c r="L818" s="127">
        <v>0.125</v>
      </c>
      <c r="M818" s="25">
        <v>0.05</v>
      </c>
      <c r="N818" s="22"/>
      <c r="O818" s="23" t="s">
        <v>19</v>
      </c>
      <c r="P818" s="20">
        <f>(C818+(E818*F818*H818))-N818</f>
        <v>768</v>
      </c>
      <c r="Q818" s="23" t="s">
        <v>19</v>
      </c>
      <c r="R818" s="24">
        <f>P818*(J818-(J818*L818)-((J818-(J818*L818))*M818))</f>
        <v>1500240</v>
      </c>
      <c r="S818" s="8">
        <f>R818/1.11</f>
        <v>1351567.5675675673</v>
      </c>
    </row>
    <row r="819" spans="1:19" s="19" customFormat="1">
      <c r="A819" s="18"/>
      <c r="C819" s="20"/>
      <c r="D819" s="21"/>
      <c r="E819" s="26"/>
      <c r="F819" s="22"/>
      <c r="G819" s="23"/>
      <c r="H819" s="22"/>
      <c r="I819" s="23"/>
      <c r="J819" s="24"/>
      <c r="K819" s="21"/>
      <c r="L819" s="25"/>
      <c r="M819" s="25"/>
      <c r="N819" s="22"/>
      <c r="O819" s="23"/>
      <c r="P819" s="20"/>
      <c r="Q819" s="23"/>
      <c r="R819" s="24"/>
      <c r="S819" s="8"/>
    </row>
    <row r="820" spans="1:19" s="83" customFormat="1">
      <c r="A820" s="125" t="s">
        <v>512</v>
      </c>
      <c r="B820" s="83" t="s">
        <v>25</v>
      </c>
      <c r="C820" s="86"/>
      <c r="D820" s="87" t="s">
        <v>40</v>
      </c>
      <c r="E820" s="88">
        <v>5</v>
      </c>
      <c r="F820" s="89">
        <v>1</v>
      </c>
      <c r="G820" s="90" t="s">
        <v>20</v>
      </c>
      <c r="H820" s="89">
        <v>60</v>
      </c>
      <c r="I820" s="90" t="s">
        <v>40</v>
      </c>
      <c r="J820" s="91">
        <f>2160000/60</f>
        <v>36000</v>
      </c>
      <c r="K820" s="87" t="s">
        <v>40</v>
      </c>
      <c r="L820" s="92"/>
      <c r="M820" s="92">
        <v>0.17</v>
      </c>
      <c r="N820" s="89"/>
      <c r="O820" s="90" t="s">
        <v>40</v>
      </c>
      <c r="P820" s="86">
        <f>(C820+(E820*F820*H820))-N820</f>
        <v>300</v>
      </c>
      <c r="Q820" s="90" t="s">
        <v>40</v>
      </c>
      <c r="R820" s="91">
        <f>P820*(J820-(J820*L820)-((J820-(J820*L820))*M820))</f>
        <v>8964000</v>
      </c>
      <c r="S820" s="91">
        <f>R820/1.11</f>
        <v>8075675.6756756753</v>
      </c>
    </row>
    <row r="821" spans="1:19">
      <c r="A821" s="45" t="s">
        <v>513</v>
      </c>
      <c r="B821" s="2" t="s">
        <v>25</v>
      </c>
      <c r="C821" s="3">
        <v>175</v>
      </c>
      <c r="D821" s="4" t="s">
        <v>40</v>
      </c>
      <c r="F821" s="6">
        <v>12</v>
      </c>
      <c r="G821" s="7" t="s">
        <v>83</v>
      </c>
      <c r="H821" s="6">
        <v>12</v>
      </c>
      <c r="I821" s="7" t="s">
        <v>40</v>
      </c>
      <c r="J821" s="8">
        <f>1555200/144</f>
        <v>10800</v>
      </c>
      <c r="K821" s="4" t="s">
        <v>40</v>
      </c>
      <c r="L821" s="9">
        <v>0.05</v>
      </c>
      <c r="M821" s="9">
        <v>0.17</v>
      </c>
      <c r="O821" s="7" t="s">
        <v>40</v>
      </c>
      <c r="P821" s="3">
        <f>(C821+(E821*F821*H821))-N821</f>
        <v>175</v>
      </c>
      <c r="Q821" s="7" t="s">
        <v>40</v>
      </c>
      <c r="R821" s="8">
        <f>P821*(J821-(J821*L821)-((J821-(J821*L821))*M821))</f>
        <v>1490264.9999999998</v>
      </c>
      <c r="S821" s="8">
        <f>R821/1.11</f>
        <v>1342581.0810810807</v>
      </c>
    </row>
    <row r="822" spans="1:19">
      <c r="A822" s="39"/>
    </row>
    <row r="823" spans="1:19" s="19" customFormat="1">
      <c r="A823" s="45" t="s">
        <v>1012</v>
      </c>
      <c r="B823" s="19" t="s">
        <v>596</v>
      </c>
      <c r="C823" s="20">
        <v>12</v>
      </c>
      <c r="D823" s="21" t="s">
        <v>151</v>
      </c>
      <c r="E823" s="26">
        <v>2</v>
      </c>
      <c r="F823" s="22">
        <v>1</v>
      </c>
      <c r="G823" s="23" t="s">
        <v>98</v>
      </c>
      <c r="H823" s="22">
        <v>12</v>
      </c>
      <c r="I823" s="23" t="s">
        <v>151</v>
      </c>
      <c r="J823" s="24">
        <f>3195.95</f>
        <v>3195.95</v>
      </c>
      <c r="K823" s="21" t="s">
        <v>151</v>
      </c>
      <c r="L823" s="25"/>
      <c r="M823" s="25"/>
      <c r="N823" s="22"/>
      <c r="O823" s="23" t="s">
        <v>151</v>
      </c>
      <c r="P823" s="20">
        <f>(C823+(E823*F823*H823))-N823</f>
        <v>36</v>
      </c>
      <c r="Q823" s="23" t="s">
        <v>40</v>
      </c>
      <c r="R823" s="24">
        <f>P823*(J823-(J823*L823)-((J823-(J823*L823))*M823))</f>
        <v>115054.2</v>
      </c>
      <c r="S823" s="24">
        <f>R823/1.11</f>
        <v>103652.43243243243</v>
      </c>
    </row>
    <row r="824" spans="1:19">
      <c r="A824" s="39"/>
    </row>
    <row r="825" spans="1:19">
      <c r="A825" s="15" t="s">
        <v>514</v>
      </c>
    </row>
    <row r="826" spans="1:19" s="67" customFormat="1">
      <c r="A826" s="110" t="s">
        <v>515</v>
      </c>
      <c r="B826" s="67" t="s">
        <v>25</v>
      </c>
      <c r="C826" s="68"/>
      <c r="D826" s="69" t="s">
        <v>40</v>
      </c>
      <c r="E826" s="70">
        <v>1</v>
      </c>
      <c r="F826" s="71">
        <v>1</v>
      </c>
      <c r="G826" s="72" t="s">
        <v>20</v>
      </c>
      <c r="H826" s="71">
        <v>60</v>
      </c>
      <c r="I826" s="72" t="s">
        <v>40</v>
      </c>
      <c r="J826" s="16">
        <f>2268000/60</f>
        <v>37800</v>
      </c>
      <c r="K826" s="69" t="s">
        <v>40</v>
      </c>
      <c r="L826" s="73"/>
      <c r="M826" s="73">
        <v>0.17</v>
      </c>
      <c r="N826" s="71"/>
      <c r="O826" s="72" t="s">
        <v>40</v>
      </c>
      <c r="P826" s="68">
        <f>(C826+(E826*F826*H826))-N826</f>
        <v>60</v>
      </c>
      <c r="Q826" s="72" t="s">
        <v>40</v>
      </c>
      <c r="R826" s="16">
        <f>P826*(J826-(J826*L826)-((J826-(J826*L826))*M826))</f>
        <v>1882440</v>
      </c>
      <c r="S826" s="16">
        <f>R826/1.11</f>
        <v>1695891.8918918918</v>
      </c>
    </row>
    <row r="827" spans="1:19" s="67" customFormat="1">
      <c r="A827" s="110"/>
      <c r="C827" s="68"/>
      <c r="D827" s="69"/>
      <c r="E827" s="70"/>
      <c r="F827" s="71"/>
      <c r="G827" s="72"/>
      <c r="H827" s="71"/>
      <c r="I827" s="72"/>
      <c r="J827" s="16"/>
      <c r="K827" s="69"/>
      <c r="L827" s="73"/>
      <c r="M827" s="73"/>
      <c r="N827" s="71"/>
      <c r="O827" s="72"/>
      <c r="P827" s="68"/>
      <c r="Q827" s="72"/>
      <c r="R827" s="16"/>
      <c r="S827" s="16"/>
    </row>
    <row r="828" spans="1:19" s="83" customFormat="1">
      <c r="A828" s="172" t="s">
        <v>1056</v>
      </c>
      <c r="B828" s="93" t="s">
        <v>18</v>
      </c>
      <c r="C828" s="86"/>
      <c r="D828" s="87" t="s">
        <v>831</v>
      </c>
      <c r="E828" s="88"/>
      <c r="F828" s="89">
        <v>1</v>
      </c>
      <c r="G828" s="90" t="s">
        <v>831</v>
      </c>
      <c r="H828" s="89">
        <v>576</v>
      </c>
      <c r="I828" s="90" t="s">
        <v>831</v>
      </c>
      <c r="J828" s="91">
        <v>2300</v>
      </c>
      <c r="K828" s="87" t="s">
        <v>831</v>
      </c>
      <c r="L828" s="92">
        <v>0.1</v>
      </c>
      <c r="M828" s="92">
        <v>0.05</v>
      </c>
      <c r="N828" s="89"/>
      <c r="O828" s="90" t="s">
        <v>831</v>
      </c>
      <c r="P828" s="86">
        <f>(C828+(E828*F828*H828))-N828</f>
        <v>0</v>
      </c>
      <c r="Q828" s="90" t="s">
        <v>831</v>
      </c>
      <c r="R828" s="91">
        <f>P828*(J828-(J828*L828)-((J828-(J828*L828))*M828))</f>
        <v>0</v>
      </c>
      <c r="S828" s="91">
        <f>R828/1.11</f>
        <v>0</v>
      </c>
    </row>
    <row r="829" spans="1:19" s="83" customFormat="1">
      <c r="A829" s="172" t="s">
        <v>1056</v>
      </c>
      <c r="B829" s="93" t="s">
        <v>18</v>
      </c>
      <c r="C829" s="86"/>
      <c r="D829" s="87" t="s">
        <v>831</v>
      </c>
      <c r="E829" s="88"/>
      <c r="F829" s="89">
        <v>1</v>
      </c>
      <c r="G829" s="90" t="s">
        <v>831</v>
      </c>
      <c r="H829" s="89">
        <v>576</v>
      </c>
      <c r="I829" s="90" t="s">
        <v>831</v>
      </c>
      <c r="J829" s="91">
        <v>2300</v>
      </c>
      <c r="K829" s="87" t="s">
        <v>831</v>
      </c>
      <c r="L829" s="92">
        <v>0.125</v>
      </c>
      <c r="M829" s="92">
        <v>0.05</v>
      </c>
      <c r="N829" s="89"/>
      <c r="O829" s="90" t="s">
        <v>831</v>
      </c>
      <c r="P829" s="86">
        <f>(C829+(E829*F829*H829))-N829</f>
        <v>0</v>
      </c>
      <c r="Q829" s="90" t="s">
        <v>831</v>
      </c>
      <c r="R829" s="91">
        <f>P829*(J829-(J829*L829)-((J829-(J829*L829))*M829))</f>
        <v>0</v>
      </c>
      <c r="S829" s="91">
        <f>R829/1.11</f>
        <v>0</v>
      </c>
    </row>
    <row r="831" spans="1:19" s="19" customFormat="1">
      <c r="A831" s="128" t="s">
        <v>738</v>
      </c>
      <c r="B831" s="19" t="s">
        <v>596</v>
      </c>
      <c r="C831" s="20">
        <v>12</v>
      </c>
      <c r="D831" s="21" t="s">
        <v>151</v>
      </c>
      <c r="E831" s="26"/>
      <c r="F831" s="22">
        <v>1</v>
      </c>
      <c r="G831" s="23" t="s">
        <v>151</v>
      </c>
      <c r="H831" s="22">
        <v>1</v>
      </c>
      <c r="I831" s="23" t="s">
        <v>151</v>
      </c>
      <c r="J831" s="132">
        <v>4000</v>
      </c>
      <c r="K831" s="21" t="s">
        <v>19</v>
      </c>
      <c r="L831" s="25"/>
      <c r="M831" s="25">
        <v>1.0999999999999999E-2</v>
      </c>
      <c r="N831" s="22"/>
      <c r="O831" s="23" t="s">
        <v>19</v>
      </c>
      <c r="P831" s="20">
        <f>(C831+(E831*F831*H831))-N831</f>
        <v>12</v>
      </c>
      <c r="Q831" s="23" t="s">
        <v>19</v>
      </c>
      <c r="R831" s="24">
        <f>P831*(J831-(J831*L831)-((J831-(J831*L831))*M831))</f>
        <v>47472</v>
      </c>
      <c r="S831" s="24">
        <f t="shared" ref="S831" si="479">R831/1.11</f>
        <v>42767.567567567567</v>
      </c>
    </row>
    <row r="832" spans="1:19" s="19" customFormat="1">
      <c r="A832" s="128" t="s">
        <v>867</v>
      </c>
      <c r="B832" s="19" t="s">
        <v>596</v>
      </c>
      <c r="C832" s="20">
        <v>48</v>
      </c>
      <c r="D832" s="21" t="s">
        <v>151</v>
      </c>
      <c r="E832" s="26"/>
      <c r="F832" s="22">
        <v>1</v>
      </c>
      <c r="G832" s="23" t="s">
        <v>151</v>
      </c>
      <c r="H832" s="22">
        <v>1</v>
      </c>
      <c r="I832" s="23" t="s">
        <v>151</v>
      </c>
      <c r="J832" s="132"/>
      <c r="K832" s="21" t="s">
        <v>19</v>
      </c>
      <c r="L832" s="25"/>
      <c r="M832" s="25">
        <v>1.0999999999999999E-2</v>
      </c>
      <c r="N832" s="22"/>
      <c r="O832" s="23" t="s">
        <v>19</v>
      </c>
      <c r="P832" s="20">
        <f>(C832+(E832*F832*H832))-N832</f>
        <v>48</v>
      </c>
      <c r="Q832" s="23" t="s">
        <v>19</v>
      </c>
      <c r="R832" s="24">
        <f>P832*(J832-(J832*L832)-((J832-(J832*L832))*M832))</f>
        <v>0</v>
      </c>
      <c r="S832" s="24">
        <f t="shared" ref="S832" si="480">R832/1.11</f>
        <v>0</v>
      </c>
    </row>
    <row r="833" spans="1:19">
      <c r="A833" s="39"/>
    </row>
    <row r="834" spans="1:19">
      <c r="A834" s="15" t="s">
        <v>516</v>
      </c>
    </row>
    <row r="835" spans="1:19" s="76" customFormat="1">
      <c r="A835" s="75" t="s">
        <v>517</v>
      </c>
      <c r="B835" s="76" t="s">
        <v>18</v>
      </c>
      <c r="C835" s="74"/>
      <c r="D835" s="77" t="s">
        <v>151</v>
      </c>
      <c r="E835" s="78"/>
      <c r="F835" s="79">
        <v>8</v>
      </c>
      <c r="G835" s="80" t="s">
        <v>33</v>
      </c>
      <c r="H835" s="79">
        <v>12</v>
      </c>
      <c r="I835" s="80" t="s">
        <v>151</v>
      </c>
      <c r="J835" s="81">
        <v>17000</v>
      </c>
      <c r="K835" s="77" t="s">
        <v>151</v>
      </c>
      <c r="L835" s="82">
        <v>0.125</v>
      </c>
      <c r="M835" s="82">
        <v>0.05</v>
      </c>
      <c r="N835" s="79"/>
      <c r="O835" s="80" t="s">
        <v>151</v>
      </c>
      <c r="P835" s="74">
        <f t="shared" ref="P835:P841" si="481">(C835+(E835*F835*H835))-N835</f>
        <v>0</v>
      </c>
      <c r="Q835" s="80" t="s">
        <v>151</v>
      </c>
      <c r="R835" s="81">
        <f t="shared" ref="R835:R841" si="482">P835*(J835-(J835*L835)-((J835-(J835*L835))*M835))</f>
        <v>0</v>
      </c>
      <c r="S835" s="16">
        <f t="shared" ref="S835:S841" si="483">R835/1.11</f>
        <v>0</v>
      </c>
    </row>
    <row r="836" spans="1:19" s="93" customFormat="1">
      <c r="A836" s="85" t="s">
        <v>517</v>
      </c>
      <c r="B836" s="93" t="s">
        <v>18</v>
      </c>
      <c r="C836" s="94"/>
      <c r="D836" s="95" t="s">
        <v>151</v>
      </c>
      <c r="E836" s="96"/>
      <c r="F836" s="97">
        <v>8</v>
      </c>
      <c r="G836" s="98" t="s">
        <v>33</v>
      </c>
      <c r="H836" s="97">
        <v>12</v>
      </c>
      <c r="I836" s="98" t="s">
        <v>151</v>
      </c>
      <c r="J836" s="99">
        <v>19000</v>
      </c>
      <c r="K836" s="95" t="s">
        <v>151</v>
      </c>
      <c r="L836" s="100">
        <v>0.125</v>
      </c>
      <c r="M836" s="100">
        <v>0.05</v>
      </c>
      <c r="N836" s="97"/>
      <c r="O836" s="98" t="s">
        <v>151</v>
      </c>
      <c r="P836" s="94">
        <f t="shared" ref="P836" si="484">(C836+(E836*F836*H836))-N836</f>
        <v>0</v>
      </c>
      <c r="Q836" s="98" t="s">
        <v>151</v>
      </c>
      <c r="R836" s="99">
        <f t="shared" ref="R836" si="485">P836*(J836-(J836*L836)-((J836-(J836*L836))*M836))</f>
        <v>0</v>
      </c>
      <c r="S836" s="91">
        <f t="shared" ref="S836" si="486">R836/1.11</f>
        <v>0</v>
      </c>
    </row>
    <row r="837" spans="1:19" s="76" customFormat="1">
      <c r="A837" s="75" t="s">
        <v>518</v>
      </c>
      <c r="B837" s="76" t="s">
        <v>18</v>
      </c>
      <c r="C837" s="74"/>
      <c r="D837" s="77" t="s">
        <v>151</v>
      </c>
      <c r="E837" s="78"/>
      <c r="F837" s="79">
        <v>8</v>
      </c>
      <c r="G837" s="80" t="s">
        <v>33</v>
      </c>
      <c r="H837" s="79">
        <v>6</v>
      </c>
      <c r="I837" s="80" t="s">
        <v>151</v>
      </c>
      <c r="J837" s="81">
        <v>34000</v>
      </c>
      <c r="K837" s="77" t="s">
        <v>151</v>
      </c>
      <c r="L837" s="82">
        <v>0.125</v>
      </c>
      <c r="M837" s="82">
        <v>0.05</v>
      </c>
      <c r="N837" s="79"/>
      <c r="O837" s="80" t="s">
        <v>151</v>
      </c>
      <c r="P837" s="74">
        <f t="shared" si="481"/>
        <v>0</v>
      </c>
      <c r="Q837" s="80" t="s">
        <v>151</v>
      </c>
      <c r="R837" s="81">
        <f t="shared" si="482"/>
        <v>0</v>
      </c>
      <c r="S837" s="16">
        <f t="shared" si="483"/>
        <v>0</v>
      </c>
    </row>
    <row r="838" spans="1:19" s="19" customFormat="1">
      <c r="A838" s="28" t="s">
        <v>519</v>
      </c>
      <c r="B838" s="19" t="s">
        <v>18</v>
      </c>
      <c r="C838" s="20">
        <v>62</v>
      </c>
      <c r="D838" s="21" t="s">
        <v>151</v>
      </c>
      <c r="E838" s="26">
        <v>1</v>
      </c>
      <c r="F838" s="22">
        <v>6</v>
      </c>
      <c r="G838" s="23" t="s">
        <v>33</v>
      </c>
      <c r="H838" s="22">
        <v>24</v>
      </c>
      <c r="I838" s="23" t="s">
        <v>151</v>
      </c>
      <c r="J838" s="29">
        <v>31500</v>
      </c>
      <c r="K838" s="21" t="s">
        <v>151</v>
      </c>
      <c r="L838" s="25">
        <v>0.125</v>
      </c>
      <c r="M838" s="25">
        <v>0.05</v>
      </c>
      <c r="N838" s="22"/>
      <c r="O838" s="23" t="s">
        <v>151</v>
      </c>
      <c r="P838" s="20">
        <f t="shared" si="481"/>
        <v>206</v>
      </c>
      <c r="Q838" s="23" t="s">
        <v>151</v>
      </c>
      <c r="R838" s="24">
        <f t="shared" si="482"/>
        <v>5393981.25</v>
      </c>
      <c r="S838" s="8">
        <f t="shared" si="483"/>
        <v>4859442.5675675673</v>
      </c>
    </row>
    <row r="839" spans="1:19" s="19" customFormat="1">
      <c r="A839" s="28" t="s">
        <v>519</v>
      </c>
      <c r="B839" s="19" t="s">
        <v>18</v>
      </c>
      <c r="C839" s="20"/>
      <c r="D839" s="21" t="s">
        <v>151</v>
      </c>
      <c r="E839" s="26">
        <v>2</v>
      </c>
      <c r="F839" s="22">
        <v>6</v>
      </c>
      <c r="G839" s="23" t="s">
        <v>33</v>
      </c>
      <c r="H839" s="22">
        <v>24</v>
      </c>
      <c r="I839" s="23" t="s">
        <v>151</v>
      </c>
      <c r="J839" s="29">
        <v>28000</v>
      </c>
      <c r="K839" s="21" t="s">
        <v>151</v>
      </c>
      <c r="L839" s="25">
        <v>0.125</v>
      </c>
      <c r="M839" s="25">
        <v>0.05</v>
      </c>
      <c r="N839" s="22"/>
      <c r="O839" s="23" t="s">
        <v>151</v>
      </c>
      <c r="P839" s="20">
        <f t="shared" si="481"/>
        <v>288</v>
      </c>
      <c r="Q839" s="23" t="s">
        <v>151</v>
      </c>
      <c r="R839" s="24">
        <f t="shared" si="482"/>
        <v>6703200</v>
      </c>
      <c r="S839" s="24">
        <f t="shared" si="483"/>
        <v>6038918.9189189188</v>
      </c>
    </row>
    <row r="840" spans="1:19" s="76" customFormat="1">
      <c r="A840" s="75" t="s">
        <v>520</v>
      </c>
      <c r="B840" s="76" t="s">
        <v>18</v>
      </c>
      <c r="C840" s="74"/>
      <c r="D840" s="77" t="s">
        <v>151</v>
      </c>
      <c r="E840" s="78"/>
      <c r="F840" s="79">
        <v>6</v>
      </c>
      <c r="G840" s="80" t="s">
        <v>33</v>
      </c>
      <c r="H840" s="79">
        <v>12</v>
      </c>
      <c r="I840" s="80" t="s">
        <v>151</v>
      </c>
      <c r="J840" s="81">
        <v>63000</v>
      </c>
      <c r="K840" s="77" t="s">
        <v>151</v>
      </c>
      <c r="L840" s="82">
        <v>0.125</v>
      </c>
      <c r="M840" s="82">
        <v>0.05</v>
      </c>
      <c r="N840" s="79"/>
      <c r="O840" s="80" t="s">
        <v>151</v>
      </c>
      <c r="P840" s="74">
        <f t="shared" si="481"/>
        <v>0</v>
      </c>
      <c r="Q840" s="80" t="s">
        <v>151</v>
      </c>
      <c r="R840" s="81">
        <f t="shared" si="482"/>
        <v>0</v>
      </c>
      <c r="S840" s="16">
        <f t="shared" si="483"/>
        <v>0</v>
      </c>
    </row>
    <row r="841" spans="1:19" s="76" customFormat="1">
      <c r="A841" s="75" t="s">
        <v>521</v>
      </c>
      <c r="B841" s="76" t="s">
        <v>18</v>
      </c>
      <c r="C841" s="74"/>
      <c r="D841" s="77" t="s">
        <v>151</v>
      </c>
      <c r="E841" s="78"/>
      <c r="F841" s="79">
        <v>6</v>
      </c>
      <c r="G841" s="80" t="s">
        <v>33</v>
      </c>
      <c r="H841" s="79">
        <v>24</v>
      </c>
      <c r="I841" s="80" t="s">
        <v>151</v>
      </c>
      <c r="J841" s="81"/>
      <c r="K841" s="77" t="s">
        <v>151</v>
      </c>
      <c r="L841" s="82">
        <v>0.1</v>
      </c>
      <c r="M841" s="82">
        <v>0.05</v>
      </c>
      <c r="N841" s="79"/>
      <c r="O841" s="80" t="s">
        <v>151</v>
      </c>
      <c r="P841" s="74">
        <f t="shared" si="481"/>
        <v>0</v>
      </c>
      <c r="Q841" s="80" t="s">
        <v>151</v>
      </c>
      <c r="R841" s="81">
        <f t="shared" si="482"/>
        <v>0</v>
      </c>
      <c r="S841" s="16">
        <f t="shared" si="483"/>
        <v>0</v>
      </c>
    </row>
    <row r="842" spans="1:19" s="76" customFormat="1">
      <c r="A842" s="75"/>
      <c r="C842" s="74"/>
      <c r="D842" s="77"/>
      <c r="E842" s="78"/>
      <c r="F842" s="79"/>
      <c r="G842" s="80"/>
      <c r="H842" s="79"/>
      <c r="I842" s="80"/>
      <c r="J842" s="81"/>
      <c r="K842" s="77"/>
      <c r="L842" s="82"/>
      <c r="M842" s="82"/>
      <c r="N842" s="79"/>
      <c r="O842" s="80"/>
      <c r="P842" s="74"/>
      <c r="Q842" s="80"/>
      <c r="R842" s="81"/>
      <c r="S842" s="16"/>
    </row>
    <row r="843" spans="1:19" s="93" customFormat="1">
      <c r="A843" s="85" t="s">
        <v>871</v>
      </c>
      <c r="B843" s="93" t="s">
        <v>25</v>
      </c>
      <c r="C843" s="94"/>
      <c r="D843" s="95" t="s">
        <v>151</v>
      </c>
      <c r="E843" s="96">
        <v>10</v>
      </c>
      <c r="F843" s="97">
        <v>6</v>
      </c>
      <c r="G843" s="98" t="s">
        <v>33</v>
      </c>
      <c r="H843" s="97">
        <v>24</v>
      </c>
      <c r="I843" s="98" t="s">
        <v>151</v>
      </c>
      <c r="J843" s="99">
        <v>25000</v>
      </c>
      <c r="K843" s="95" t="s">
        <v>151</v>
      </c>
      <c r="L843" s="100">
        <v>0.05</v>
      </c>
      <c r="M843" s="100">
        <v>0.17</v>
      </c>
      <c r="N843" s="97"/>
      <c r="O843" s="98" t="s">
        <v>151</v>
      </c>
      <c r="P843" s="94">
        <f>(C843+(E843*F843*H843))-N843</f>
        <v>1440</v>
      </c>
      <c r="Q843" s="98" t="s">
        <v>151</v>
      </c>
      <c r="R843" s="99">
        <f>P843*(J843-(J843*L843)-((J843-(J843*L843))*M843))</f>
        <v>28386000</v>
      </c>
      <c r="S843" s="99">
        <f>R843/1.11</f>
        <v>25572972.97297297</v>
      </c>
    </row>
    <row r="844" spans="1:19" s="93" customFormat="1">
      <c r="A844" s="85" t="s">
        <v>910</v>
      </c>
      <c r="B844" s="93" t="s">
        <v>25</v>
      </c>
      <c r="C844" s="94"/>
      <c r="D844" s="95" t="s">
        <v>151</v>
      </c>
      <c r="E844" s="96">
        <v>3</v>
      </c>
      <c r="F844" s="97">
        <v>6</v>
      </c>
      <c r="G844" s="98" t="s">
        <v>33</v>
      </c>
      <c r="H844" s="97">
        <v>12</v>
      </c>
      <c r="I844" s="98" t="s">
        <v>151</v>
      </c>
      <c r="J844" s="99">
        <v>49000</v>
      </c>
      <c r="K844" s="95" t="s">
        <v>151</v>
      </c>
      <c r="L844" s="100">
        <v>0.05</v>
      </c>
      <c r="M844" s="100">
        <v>0.17</v>
      </c>
      <c r="N844" s="97"/>
      <c r="O844" s="98" t="s">
        <v>151</v>
      </c>
      <c r="P844" s="94">
        <f>(C844+(E844*F844*H844))-N844</f>
        <v>216</v>
      </c>
      <c r="Q844" s="98" t="s">
        <v>151</v>
      </c>
      <c r="R844" s="99">
        <f>P844*(J844-(J844*L844)-((J844-(J844*L844))*M844))</f>
        <v>8345484</v>
      </c>
      <c r="S844" s="99">
        <f>R844/1.11</f>
        <v>7518454.0540540535</v>
      </c>
    </row>
    <row r="846" spans="1:19" ht="15.75">
      <c r="A846" s="14" t="s">
        <v>422</v>
      </c>
    </row>
    <row r="847" spans="1:19" s="19" customFormat="1">
      <c r="A847" s="18" t="s">
        <v>423</v>
      </c>
      <c r="B847" s="19" t="s">
        <v>18</v>
      </c>
      <c r="C847" s="20">
        <v>59</v>
      </c>
      <c r="D847" s="21" t="s">
        <v>83</v>
      </c>
      <c r="E847" s="26">
        <v>135</v>
      </c>
      <c r="F847" s="22">
        <v>1</v>
      </c>
      <c r="G847" s="23" t="s">
        <v>20</v>
      </c>
      <c r="H847" s="22">
        <v>30</v>
      </c>
      <c r="I847" s="23" t="s">
        <v>83</v>
      </c>
      <c r="J847" s="24">
        <v>104400</v>
      </c>
      <c r="K847" s="21" t="s">
        <v>83</v>
      </c>
      <c r="L847" s="25">
        <v>0.125</v>
      </c>
      <c r="M847" s="25">
        <v>0.05</v>
      </c>
      <c r="N847" s="22"/>
      <c r="O847" s="23" t="s">
        <v>83</v>
      </c>
      <c r="P847" s="20">
        <f t="shared" ref="P847:P855" si="487">(C847+(E847*F847*H847))-N847</f>
        <v>4109</v>
      </c>
      <c r="Q847" s="23" t="s">
        <v>83</v>
      </c>
      <c r="R847" s="24">
        <f t="shared" ref="R847:R855" si="488">P847*(J847-(J847*L847)-((J847-(J847*L847))*M847))</f>
        <v>356589292.5</v>
      </c>
      <c r="S847" s="24">
        <f t="shared" si="477"/>
        <v>321251614.86486483</v>
      </c>
    </row>
    <row r="848" spans="1:19" s="76" customFormat="1">
      <c r="A848" s="75" t="s">
        <v>653</v>
      </c>
      <c r="B848" s="76" t="s">
        <v>18</v>
      </c>
      <c r="C848" s="74"/>
      <c r="D848" s="77" t="s">
        <v>83</v>
      </c>
      <c r="E848" s="78"/>
      <c r="F848" s="79">
        <v>1</v>
      </c>
      <c r="G848" s="80" t="s">
        <v>20</v>
      </c>
      <c r="H848" s="79">
        <v>30</v>
      </c>
      <c r="I848" s="80" t="s">
        <v>83</v>
      </c>
      <c r="J848" s="81">
        <v>102000</v>
      </c>
      <c r="K848" s="77" t="s">
        <v>83</v>
      </c>
      <c r="L848" s="82">
        <v>0.125</v>
      </c>
      <c r="M848" s="82">
        <v>0.05</v>
      </c>
      <c r="N848" s="79"/>
      <c r="O848" s="80" t="s">
        <v>83</v>
      </c>
      <c r="P848" s="74">
        <f t="shared" si="487"/>
        <v>0</v>
      </c>
      <c r="Q848" s="80" t="s">
        <v>83</v>
      </c>
      <c r="R848" s="81">
        <f t="shared" si="488"/>
        <v>0</v>
      </c>
      <c r="S848" s="81">
        <f t="shared" si="477"/>
        <v>0</v>
      </c>
    </row>
    <row r="849" spans="1:19" s="93" customFormat="1">
      <c r="A849" s="85" t="s">
        <v>653</v>
      </c>
      <c r="B849" s="93" t="s">
        <v>18</v>
      </c>
      <c r="C849" s="94"/>
      <c r="D849" s="95" t="s">
        <v>83</v>
      </c>
      <c r="E849" s="96">
        <v>2</v>
      </c>
      <c r="F849" s="97">
        <v>1</v>
      </c>
      <c r="G849" s="98" t="s">
        <v>20</v>
      </c>
      <c r="H849" s="97">
        <v>30</v>
      </c>
      <c r="I849" s="98" t="s">
        <v>83</v>
      </c>
      <c r="J849" s="99">
        <v>109200</v>
      </c>
      <c r="K849" s="95" t="s">
        <v>83</v>
      </c>
      <c r="L849" s="100">
        <v>0.125</v>
      </c>
      <c r="M849" s="100">
        <v>0.05</v>
      </c>
      <c r="N849" s="97"/>
      <c r="O849" s="98" t="s">
        <v>83</v>
      </c>
      <c r="P849" s="94">
        <f t="shared" ref="P849" si="489">(C849+(E849*F849*H849))-N849</f>
        <v>60</v>
      </c>
      <c r="Q849" s="98" t="s">
        <v>83</v>
      </c>
      <c r="R849" s="99">
        <f t="shared" ref="R849" si="490">P849*(J849-(J849*L849)-((J849-(J849*L849))*M849))</f>
        <v>5446350</v>
      </c>
      <c r="S849" s="99">
        <f t="shared" ref="S849" si="491">R849/1.11</f>
        <v>4906621.6216216208</v>
      </c>
    </row>
    <row r="850" spans="1:19" s="83" customFormat="1">
      <c r="A850" s="102" t="s">
        <v>424</v>
      </c>
      <c r="B850" s="83" t="s">
        <v>18</v>
      </c>
      <c r="C850" s="86"/>
      <c r="D850" s="87" t="s">
        <v>83</v>
      </c>
      <c r="E850" s="88">
        <v>5</v>
      </c>
      <c r="F850" s="89">
        <v>1</v>
      </c>
      <c r="G850" s="90" t="s">
        <v>20</v>
      </c>
      <c r="H850" s="89">
        <v>30</v>
      </c>
      <c r="I850" s="90" t="s">
        <v>83</v>
      </c>
      <c r="J850" s="91">
        <v>99000</v>
      </c>
      <c r="K850" s="87" t="s">
        <v>83</v>
      </c>
      <c r="L850" s="92">
        <v>0.125</v>
      </c>
      <c r="M850" s="92">
        <v>0.05</v>
      </c>
      <c r="N850" s="89"/>
      <c r="O850" s="90" t="s">
        <v>83</v>
      </c>
      <c r="P850" s="86">
        <f t="shared" si="487"/>
        <v>150</v>
      </c>
      <c r="Q850" s="90" t="s">
        <v>83</v>
      </c>
      <c r="R850" s="91">
        <f t="shared" si="488"/>
        <v>12344062.5</v>
      </c>
      <c r="S850" s="91">
        <f t="shared" si="477"/>
        <v>11120777.027027026</v>
      </c>
    </row>
    <row r="851" spans="1:19" s="19" customFormat="1">
      <c r="A851" s="18" t="s">
        <v>974</v>
      </c>
      <c r="B851" s="19" t="s">
        <v>18</v>
      </c>
      <c r="C851" s="20"/>
      <c r="D851" s="21" t="s">
        <v>83</v>
      </c>
      <c r="E851" s="26">
        <v>2</v>
      </c>
      <c r="F851" s="22">
        <v>1</v>
      </c>
      <c r="G851" s="23" t="s">
        <v>20</v>
      </c>
      <c r="H851" s="22">
        <v>30</v>
      </c>
      <c r="I851" s="23" t="s">
        <v>83</v>
      </c>
      <c r="J851" s="24">
        <v>139200</v>
      </c>
      <c r="K851" s="21" t="s">
        <v>83</v>
      </c>
      <c r="L851" s="25">
        <v>0.125</v>
      </c>
      <c r="M851" s="25">
        <v>0.05</v>
      </c>
      <c r="N851" s="22"/>
      <c r="O851" s="23" t="s">
        <v>83</v>
      </c>
      <c r="P851" s="20">
        <f t="shared" ref="P851" si="492">(C851+(E851*F851*H851))-N851</f>
        <v>60</v>
      </c>
      <c r="Q851" s="23" t="s">
        <v>83</v>
      </c>
      <c r="R851" s="24">
        <f t="shared" ref="R851" si="493">P851*(J851-(J851*L851)-((J851-(J851*L851))*M851))</f>
        <v>6942600</v>
      </c>
      <c r="S851" s="24">
        <f t="shared" ref="S851" si="494">R851/1.11</f>
        <v>6254594.5945945941</v>
      </c>
    </row>
    <row r="852" spans="1:19">
      <c r="A852" s="17" t="s">
        <v>425</v>
      </c>
      <c r="B852" s="2" t="s">
        <v>18</v>
      </c>
      <c r="D852" s="4" t="s">
        <v>83</v>
      </c>
      <c r="E852" s="5">
        <v>7</v>
      </c>
      <c r="F852" s="6">
        <v>1</v>
      </c>
      <c r="G852" s="7" t="s">
        <v>20</v>
      </c>
      <c r="H852" s="6">
        <v>30</v>
      </c>
      <c r="I852" s="7" t="s">
        <v>83</v>
      </c>
      <c r="J852" s="8">
        <v>96000</v>
      </c>
      <c r="K852" s="4" t="s">
        <v>83</v>
      </c>
      <c r="L852" s="9">
        <v>0.125</v>
      </c>
      <c r="M852" s="9">
        <v>0.05</v>
      </c>
      <c r="O852" s="7" t="s">
        <v>83</v>
      </c>
      <c r="P852" s="3">
        <f t="shared" si="487"/>
        <v>210</v>
      </c>
      <c r="Q852" s="7" t="s">
        <v>83</v>
      </c>
      <c r="R852" s="8">
        <f t="shared" si="488"/>
        <v>16758000</v>
      </c>
      <c r="S852" s="8">
        <f t="shared" si="477"/>
        <v>15097297.297297295</v>
      </c>
    </row>
    <row r="853" spans="1:19" s="67" customFormat="1">
      <c r="A853" s="66" t="s">
        <v>426</v>
      </c>
      <c r="B853" s="67" t="s">
        <v>18</v>
      </c>
      <c r="C853" s="68"/>
      <c r="D853" s="69" t="s">
        <v>83</v>
      </c>
      <c r="E853" s="70"/>
      <c r="F853" s="71">
        <v>1</v>
      </c>
      <c r="G853" s="72" t="s">
        <v>20</v>
      </c>
      <c r="H853" s="71">
        <v>30</v>
      </c>
      <c r="I853" s="72" t="s">
        <v>83</v>
      </c>
      <c r="J853" s="16">
        <v>109000</v>
      </c>
      <c r="K853" s="69" t="s">
        <v>83</v>
      </c>
      <c r="L853" s="73">
        <v>0.125</v>
      </c>
      <c r="M853" s="73">
        <v>0.05</v>
      </c>
      <c r="N853" s="71"/>
      <c r="O853" s="72" t="s">
        <v>83</v>
      </c>
      <c r="P853" s="68">
        <f t="shared" si="487"/>
        <v>0</v>
      </c>
      <c r="Q853" s="72" t="s">
        <v>83</v>
      </c>
      <c r="R853" s="16">
        <f t="shared" si="488"/>
        <v>0</v>
      </c>
      <c r="S853" s="16">
        <f t="shared" si="477"/>
        <v>0</v>
      </c>
    </row>
    <row r="854" spans="1:19" s="67" customFormat="1">
      <c r="A854" s="66" t="s">
        <v>1053</v>
      </c>
      <c r="B854" s="67" t="s">
        <v>18</v>
      </c>
      <c r="C854" s="68"/>
      <c r="D854" s="69" t="s">
        <v>83</v>
      </c>
      <c r="E854" s="70"/>
      <c r="F854" s="71">
        <v>1</v>
      </c>
      <c r="G854" s="72" t="s">
        <v>20</v>
      </c>
      <c r="H854" s="71">
        <v>30</v>
      </c>
      <c r="I854" s="72" t="s">
        <v>83</v>
      </c>
      <c r="J854" s="16">
        <v>144000</v>
      </c>
      <c r="K854" s="69" t="s">
        <v>83</v>
      </c>
      <c r="L854" s="73">
        <v>0.125</v>
      </c>
      <c r="M854" s="73">
        <v>0.05</v>
      </c>
      <c r="N854" s="71"/>
      <c r="O854" s="72" t="s">
        <v>83</v>
      </c>
      <c r="P854" s="68">
        <f t="shared" si="487"/>
        <v>0</v>
      </c>
      <c r="Q854" s="72" t="s">
        <v>83</v>
      </c>
      <c r="R854" s="16">
        <f t="shared" si="488"/>
        <v>0</v>
      </c>
      <c r="S854" s="16">
        <f t="shared" si="477"/>
        <v>0</v>
      </c>
    </row>
    <row r="855" spans="1:19" s="83" customFormat="1">
      <c r="A855" s="102" t="s">
        <v>732</v>
      </c>
      <c r="B855" s="83" t="s">
        <v>18</v>
      </c>
      <c r="C855" s="86"/>
      <c r="D855" s="87" t="s">
        <v>83</v>
      </c>
      <c r="E855" s="88">
        <v>1</v>
      </c>
      <c r="F855" s="89">
        <v>1</v>
      </c>
      <c r="G855" s="90" t="s">
        <v>20</v>
      </c>
      <c r="H855" s="89">
        <v>30</v>
      </c>
      <c r="I855" s="90" t="s">
        <v>83</v>
      </c>
      <c r="J855" s="91">
        <v>144000</v>
      </c>
      <c r="K855" s="87" t="s">
        <v>83</v>
      </c>
      <c r="L855" s="92">
        <v>0.125</v>
      </c>
      <c r="M855" s="92">
        <v>0.05</v>
      </c>
      <c r="N855" s="89"/>
      <c r="O855" s="90" t="s">
        <v>83</v>
      </c>
      <c r="P855" s="86">
        <f t="shared" si="487"/>
        <v>30</v>
      </c>
      <c r="Q855" s="90" t="s">
        <v>83</v>
      </c>
      <c r="R855" s="91">
        <f t="shared" si="488"/>
        <v>3591000</v>
      </c>
      <c r="S855" s="91">
        <f t="shared" si="477"/>
        <v>3235135.1351351347</v>
      </c>
    </row>
    <row r="856" spans="1:19" s="93" customFormat="1">
      <c r="A856" s="85" t="s">
        <v>926</v>
      </c>
      <c r="B856" s="93" t="s">
        <v>18</v>
      </c>
      <c r="C856" s="94"/>
      <c r="D856" s="95" t="s">
        <v>83</v>
      </c>
      <c r="E856" s="96">
        <v>1</v>
      </c>
      <c r="F856" s="97">
        <v>1</v>
      </c>
      <c r="G856" s="98" t="s">
        <v>20</v>
      </c>
      <c r="H856" s="97">
        <v>30</v>
      </c>
      <c r="I856" s="98" t="s">
        <v>83</v>
      </c>
      <c r="J856" s="99">
        <v>99000</v>
      </c>
      <c r="K856" s="95" t="s">
        <v>83</v>
      </c>
      <c r="L856" s="100">
        <v>0.125</v>
      </c>
      <c r="M856" s="100">
        <v>0.05</v>
      </c>
      <c r="N856" s="97"/>
      <c r="O856" s="98" t="s">
        <v>83</v>
      </c>
      <c r="P856" s="94">
        <f t="shared" ref="P856" si="495">(C856+(E856*F856*H856))-N856</f>
        <v>30</v>
      </c>
      <c r="Q856" s="98" t="s">
        <v>83</v>
      </c>
      <c r="R856" s="99">
        <f t="shared" ref="R856" si="496">P856*(J856-(J856*L856)-((J856-(J856*L856))*M856))</f>
        <v>2468812.5</v>
      </c>
      <c r="S856" s="99">
        <f t="shared" ref="S856" si="497">R856/1.11</f>
        <v>2224155.405405405</v>
      </c>
    </row>
    <row r="858" spans="1:19" s="17" customFormat="1">
      <c r="A858" s="39" t="s">
        <v>751</v>
      </c>
      <c r="B858" s="17" t="s">
        <v>25</v>
      </c>
      <c r="C858" s="50">
        <v>5</v>
      </c>
      <c r="D858" s="51" t="s">
        <v>83</v>
      </c>
      <c r="E858" s="32"/>
      <c r="F858" s="52">
        <v>1</v>
      </c>
      <c r="G858" s="53" t="s">
        <v>20</v>
      </c>
      <c r="H858" s="52">
        <v>20</v>
      </c>
      <c r="I858" s="53" t="s">
        <v>83</v>
      </c>
      <c r="J858" s="54">
        <f>2448000/20</f>
        <v>122400</v>
      </c>
      <c r="K858" s="51" t="s">
        <v>83</v>
      </c>
      <c r="L858" s="55"/>
      <c r="M858" s="55">
        <v>0.17</v>
      </c>
      <c r="N858" s="52"/>
      <c r="O858" s="53" t="s">
        <v>83</v>
      </c>
      <c r="P858" s="50">
        <f t="shared" ref="P858:P880" si="498">(C858+(E858*F858*H858))-N858</f>
        <v>5</v>
      </c>
      <c r="Q858" s="53" t="s">
        <v>83</v>
      </c>
      <c r="R858" s="54">
        <f t="shared" ref="R858:R880" si="499">P858*(J858-(J858*L858)-((J858-(J858*L858))*M858))</f>
        <v>507960</v>
      </c>
      <c r="S858" s="8">
        <f t="shared" ref="S858:S859" si="500">R858/1.11</f>
        <v>457621.6216216216</v>
      </c>
    </row>
    <row r="859" spans="1:19" s="18" customFormat="1">
      <c r="A859" s="39" t="s">
        <v>427</v>
      </c>
      <c r="B859" s="18" t="s">
        <v>25</v>
      </c>
      <c r="C859" s="40">
        <v>40</v>
      </c>
      <c r="D859" s="41" t="s">
        <v>83</v>
      </c>
      <c r="E859" s="42">
        <v>10</v>
      </c>
      <c r="F859" s="43">
        <v>1</v>
      </c>
      <c r="G859" s="38" t="s">
        <v>20</v>
      </c>
      <c r="H859" s="43">
        <v>20</v>
      </c>
      <c r="I859" s="38" t="s">
        <v>83</v>
      </c>
      <c r="J859" s="27">
        <v>115200</v>
      </c>
      <c r="K859" s="41" t="s">
        <v>83</v>
      </c>
      <c r="L859" s="44"/>
      <c r="M859" s="44">
        <v>0.17</v>
      </c>
      <c r="N859" s="43"/>
      <c r="O859" s="38" t="s">
        <v>83</v>
      </c>
      <c r="P859" s="40">
        <f t="shared" ref="P859" si="501">(C859+(E859*F859*H859))-N859</f>
        <v>240</v>
      </c>
      <c r="Q859" s="38" t="s">
        <v>83</v>
      </c>
      <c r="R859" s="27">
        <f t="shared" ref="R859" si="502">P859*(J859-(J859*L859)-((J859-(J859*L859))*M859))</f>
        <v>22947840</v>
      </c>
      <c r="S859" s="24">
        <f t="shared" si="500"/>
        <v>20673729.729729727</v>
      </c>
    </row>
    <row r="860" spans="1:19" s="66" customFormat="1">
      <c r="A860" s="108" t="s">
        <v>743</v>
      </c>
      <c r="B860" s="66" t="s">
        <v>25</v>
      </c>
      <c r="C860" s="114"/>
      <c r="D860" s="115" t="s">
        <v>83</v>
      </c>
      <c r="E860" s="116"/>
      <c r="F860" s="117">
        <v>1</v>
      </c>
      <c r="G860" s="118" t="s">
        <v>20</v>
      </c>
      <c r="H860" s="117">
        <v>20</v>
      </c>
      <c r="I860" s="118" t="s">
        <v>83</v>
      </c>
      <c r="J860" s="119">
        <f>2880000/20</f>
        <v>144000</v>
      </c>
      <c r="K860" s="115" t="s">
        <v>83</v>
      </c>
      <c r="L860" s="120"/>
      <c r="M860" s="120">
        <v>0.17</v>
      </c>
      <c r="N860" s="117"/>
      <c r="O860" s="118" t="s">
        <v>83</v>
      </c>
      <c r="P860" s="114">
        <f t="shared" si="498"/>
        <v>0</v>
      </c>
      <c r="Q860" s="118" t="s">
        <v>83</v>
      </c>
      <c r="R860" s="119">
        <f t="shared" si="499"/>
        <v>0</v>
      </c>
      <c r="S860" s="16">
        <f t="shared" si="477"/>
        <v>0</v>
      </c>
    </row>
    <row r="861" spans="1:19" s="102" customFormat="1">
      <c r="A861" s="171" t="s">
        <v>1055</v>
      </c>
      <c r="B861" s="102" t="s">
        <v>25</v>
      </c>
      <c r="C861" s="148"/>
      <c r="D861" s="149" t="s">
        <v>83</v>
      </c>
      <c r="E861" s="150"/>
      <c r="F861" s="151">
        <v>1</v>
      </c>
      <c r="G861" s="152" t="s">
        <v>20</v>
      </c>
      <c r="H861" s="151">
        <v>20</v>
      </c>
      <c r="I861" s="152" t="s">
        <v>83</v>
      </c>
      <c r="J861" s="153">
        <v>122400</v>
      </c>
      <c r="K861" s="149" t="s">
        <v>83</v>
      </c>
      <c r="L861" s="154"/>
      <c r="M861" s="154">
        <v>0.17</v>
      </c>
      <c r="N861" s="151"/>
      <c r="O861" s="152" t="s">
        <v>83</v>
      </c>
      <c r="P861" s="148">
        <f t="shared" ref="P861" si="503">(C861+(E861*F861*H861))-N861</f>
        <v>0</v>
      </c>
      <c r="Q861" s="152" t="s">
        <v>83</v>
      </c>
      <c r="R861" s="153">
        <f t="shared" ref="R861" si="504">P861*(J861-(J861*L861)-((J861-(J861*L861))*M861))</f>
        <v>0</v>
      </c>
      <c r="S861" s="91">
        <f t="shared" ref="S861" si="505">R861/1.11</f>
        <v>0</v>
      </c>
    </row>
    <row r="862" spans="1:19" s="17" customFormat="1">
      <c r="A862" s="39" t="s">
        <v>656</v>
      </c>
      <c r="B862" s="17" t="s">
        <v>25</v>
      </c>
      <c r="C862" s="50">
        <v>60</v>
      </c>
      <c r="D862" s="51" t="s">
        <v>83</v>
      </c>
      <c r="E862" s="32">
        <v>7</v>
      </c>
      <c r="F862" s="52">
        <v>1</v>
      </c>
      <c r="G862" s="53" t="s">
        <v>20</v>
      </c>
      <c r="H862" s="52">
        <v>20</v>
      </c>
      <c r="I862" s="53" t="s">
        <v>83</v>
      </c>
      <c r="J862" s="54">
        <f>2448000/20</f>
        <v>122400</v>
      </c>
      <c r="K862" s="51" t="s">
        <v>83</v>
      </c>
      <c r="L862" s="55"/>
      <c r="M862" s="55">
        <v>0.17</v>
      </c>
      <c r="N862" s="52"/>
      <c r="O862" s="53" t="s">
        <v>83</v>
      </c>
      <c r="P862" s="50">
        <f t="shared" si="498"/>
        <v>200</v>
      </c>
      <c r="Q862" s="53" t="s">
        <v>83</v>
      </c>
      <c r="R862" s="54">
        <f t="shared" si="499"/>
        <v>20318400</v>
      </c>
      <c r="S862" s="8">
        <f t="shared" si="477"/>
        <v>18304864.864864863</v>
      </c>
    </row>
    <row r="863" spans="1:19" s="17" customFormat="1">
      <c r="A863" s="39" t="s">
        <v>428</v>
      </c>
      <c r="B863" s="17" t="s">
        <v>25</v>
      </c>
      <c r="C863" s="50">
        <v>20</v>
      </c>
      <c r="D863" s="51" t="s">
        <v>83</v>
      </c>
      <c r="E863" s="32">
        <v>23</v>
      </c>
      <c r="F863" s="52">
        <v>1</v>
      </c>
      <c r="G863" s="53" t="s">
        <v>20</v>
      </c>
      <c r="H863" s="52">
        <v>20</v>
      </c>
      <c r="I863" s="53" t="s">
        <v>83</v>
      </c>
      <c r="J863" s="54">
        <f>2112000/20</f>
        <v>105600</v>
      </c>
      <c r="K863" s="51" t="s">
        <v>83</v>
      </c>
      <c r="L863" s="55"/>
      <c r="M863" s="55">
        <v>0.17</v>
      </c>
      <c r="N863" s="52"/>
      <c r="O863" s="53" t="s">
        <v>83</v>
      </c>
      <c r="P863" s="50">
        <f t="shared" si="498"/>
        <v>480</v>
      </c>
      <c r="Q863" s="53" t="s">
        <v>83</v>
      </c>
      <c r="R863" s="54">
        <f t="shared" si="499"/>
        <v>42071040</v>
      </c>
      <c r="S863" s="8">
        <f t="shared" si="477"/>
        <v>37901837.837837838</v>
      </c>
    </row>
    <row r="864" spans="1:19" s="17" customFormat="1">
      <c r="A864" s="39" t="s">
        <v>429</v>
      </c>
      <c r="B864" s="17" t="s">
        <v>25</v>
      </c>
      <c r="C864" s="50"/>
      <c r="D864" s="51" t="s">
        <v>83</v>
      </c>
      <c r="E864" s="32">
        <v>3</v>
      </c>
      <c r="F864" s="52">
        <v>1</v>
      </c>
      <c r="G864" s="53" t="s">
        <v>20</v>
      </c>
      <c r="H864" s="52">
        <v>20</v>
      </c>
      <c r="I864" s="53" t="s">
        <v>83</v>
      </c>
      <c r="J864" s="54">
        <f>2448000/20</f>
        <v>122400</v>
      </c>
      <c r="K864" s="51" t="s">
        <v>83</v>
      </c>
      <c r="L864" s="55"/>
      <c r="M864" s="55">
        <v>0.17</v>
      </c>
      <c r="N864" s="52"/>
      <c r="O864" s="53" t="s">
        <v>83</v>
      </c>
      <c r="P864" s="50">
        <f t="shared" si="498"/>
        <v>60</v>
      </c>
      <c r="Q864" s="53" t="s">
        <v>83</v>
      </c>
      <c r="R864" s="54">
        <f t="shared" si="499"/>
        <v>6095520</v>
      </c>
      <c r="S864" s="8">
        <f t="shared" si="477"/>
        <v>5491459.4594594594</v>
      </c>
    </row>
    <row r="865" spans="1:19" s="17" customFormat="1">
      <c r="A865" s="39" t="s">
        <v>430</v>
      </c>
      <c r="B865" s="17" t="s">
        <v>25</v>
      </c>
      <c r="C865" s="50">
        <v>20</v>
      </c>
      <c r="D865" s="51" t="s">
        <v>83</v>
      </c>
      <c r="E865" s="32"/>
      <c r="F865" s="52">
        <v>1</v>
      </c>
      <c r="G865" s="53" t="s">
        <v>20</v>
      </c>
      <c r="H865" s="52">
        <v>20</v>
      </c>
      <c r="I865" s="53" t="s">
        <v>83</v>
      </c>
      <c r="J865" s="54">
        <f>2256000/20</f>
        <v>112800</v>
      </c>
      <c r="K865" s="51" t="s">
        <v>83</v>
      </c>
      <c r="L865" s="55"/>
      <c r="M865" s="55">
        <v>0.17</v>
      </c>
      <c r="N865" s="52"/>
      <c r="O865" s="53" t="s">
        <v>83</v>
      </c>
      <c r="P865" s="50">
        <f t="shared" si="498"/>
        <v>20</v>
      </c>
      <c r="Q865" s="53" t="s">
        <v>83</v>
      </c>
      <c r="R865" s="54">
        <f t="shared" si="499"/>
        <v>1872480</v>
      </c>
      <c r="S865" s="8">
        <f t="shared" si="477"/>
        <v>1686918.9189189188</v>
      </c>
    </row>
    <row r="866" spans="1:19" s="17" customFormat="1">
      <c r="A866" s="39" t="s">
        <v>431</v>
      </c>
      <c r="B866" s="17" t="s">
        <v>25</v>
      </c>
      <c r="C866" s="40"/>
      <c r="D866" s="51" t="s">
        <v>83</v>
      </c>
      <c r="E866" s="32">
        <v>1</v>
      </c>
      <c r="F866" s="52">
        <v>1</v>
      </c>
      <c r="G866" s="53" t="s">
        <v>20</v>
      </c>
      <c r="H866" s="52">
        <v>20</v>
      </c>
      <c r="I866" s="53" t="s">
        <v>83</v>
      </c>
      <c r="J866" s="54">
        <f>8500*12</f>
        <v>102000</v>
      </c>
      <c r="K866" s="51" t="s">
        <v>83</v>
      </c>
      <c r="L866" s="55"/>
      <c r="M866" s="55">
        <v>0.17</v>
      </c>
      <c r="N866" s="56"/>
      <c r="O866" s="53" t="s">
        <v>83</v>
      </c>
      <c r="P866" s="50">
        <f t="shared" si="498"/>
        <v>20</v>
      </c>
      <c r="Q866" s="53" t="s">
        <v>83</v>
      </c>
      <c r="R866" s="54">
        <f t="shared" si="499"/>
        <v>1693200</v>
      </c>
      <c r="S866" s="8">
        <f t="shared" si="477"/>
        <v>1525405.4054054052</v>
      </c>
    </row>
    <row r="867" spans="1:19" s="18" customFormat="1">
      <c r="A867" s="39" t="s">
        <v>1006</v>
      </c>
      <c r="B867" s="18" t="s">
        <v>25</v>
      </c>
      <c r="C867" s="40"/>
      <c r="D867" s="41" t="s">
        <v>83</v>
      </c>
      <c r="E867" s="42">
        <v>2</v>
      </c>
      <c r="F867" s="43">
        <v>1</v>
      </c>
      <c r="G867" s="38" t="s">
        <v>20</v>
      </c>
      <c r="H867" s="43">
        <v>20</v>
      </c>
      <c r="I867" s="38" t="s">
        <v>83</v>
      </c>
      <c r="J867" s="27">
        <v>105600</v>
      </c>
      <c r="K867" s="41" t="s">
        <v>83</v>
      </c>
      <c r="L867" s="44"/>
      <c r="M867" s="44">
        <v>0.17</v>
      </c>
      <c r="N867" s="162"/>
      <c r="O867" s="38" t="s">
        <v>83</v>
      </c>
      <c r="P867" s="40">
        <f t="shared" ref="P867" si="506">(C867+(E867*F867*H867))-N867</f>
        <v>40</v>
      </c>
      <c r="Q867" s="38" t="s">
        <v>83</v>
      </c>
      <c r="R867" s="27">
        <f t="shared" ref="R867" si="507">P867*(J867-(J867*L867)-((J867-(J867*L867))*M867))</f>
        <v>3505920</v>
      </c>
      <c r="S867" s="24">
        <f t="shared" ref="S867" si="508">R867/1.11</f>
        <v>3158486.4864864862</v>
      </c>
    </row>
    <row r="868" spans="1:19" s="66" customFormat="1">
      <c r="A868" s="108" t="s">
        <v>432</v>
      </c>
      <c r="B868" s="66" t="s">
        <v>25</v>
      </c>
      <c r="C868" s="121"/>
      <c r="D868" s="115" t="s">
        <v>83</v>
      </c>
      <c r="E868" s="116"/>
      <c r="F868" s="117">
        <v>1</v>
      </c>
      <c r="G868" s="118" t="s">
        <v>20</v>
      </c>
      <c r="H868" s="117">
        <v>20</v>
      </c>
      <c r="I868" s="118" t="s">
        <v>83</v>
      </c>
      <c r="J868" s="119">
        <v>103200</v>
      </c>
      <c r="K868" s="115" t="s">
        <v>83</v>
      </c>
      <c r="L868" s="120"/>
      <c r="M868" s="120">
        <v>0.17</v>
      </c>
      <c r="N868" s="117"/>
      <c r="O868" s="118" t="s">
        <v>83</v>
      </c>
      <c r="P868" s="114">
        <f t="shared" si="498"/>
        <v>0</v>
      </c>
      <c r="Q868" s="118" t="s">
        <v>83</v>
      </c>
      <c r="R868" s="119">
        <f t="shared" si="499"/>
        <v>0</v>
      </c>
      <c r="S868" s="16">
        <f t="shared" si="477"/>
        <v>0</v>
      </c>
    </row>
    <row r="869" spans="1:19" s="67" customFormat="1">
      <c r="A869" s="66" t="s">
        <v>433</v>
      </c>
      <c r="B869" s="67" t="s">
        <v>25</v>
      </c>
      <c r="C869" s="74"/>
      <c r="D869" s="69" t="s">
        <v>83</v>
      </c>
      <c r="E869" s="70"/>
      <c r="F869" s="71">
        <v>1</v>
      </c>
      <c r="G869" s="72" t="s">
        <v>20</v>
      </c>
      <c r="H869" s="71">
        <v>20</v>
      </c>
      <c r="I869" s="72" t="s">
        <v>83</v>
      </c>
      <c r="J869" s="16">
        <f>1980000/20</f>
        <v>99000</v>
      </c>
      <c r="K869" s="69" t="s">
        <v>83</v>
      </c>
      <c r="L869" s="73"/>
      <c r="M869" s="73">
        <v>0.17</v>
      </c>
      <c r="N869" s="71"/>
      <c r="O869" s="72" t="s">
        <v>83</v>
      </c>
      <c r="P869" s="68">
        <f t="shared" si="498"/>
        <v>0</v>
      </c>
      <c r="Q869" s="72" t="s">
        <v>83</v>
      </c>
      <c r="R869" s="16">
        <f t="shared" si="499"/>
        <v>0</v>
      </c>
      <c r="S869" s="16">
        <f t="shared" si="477"/>
        <v>0</v>
      </c>
    </row>
    <row r="870" spans="1:19" s="18" customFormat="1">
      <c r="A870" s="39" t="s">
        <v>434</v>
      </c>
      <c r="B870" s="18" t="s">
        <v>25</v>
      </c>
      <c r="C870" s="40">
        <v>115</v>
      </c>
      <c r="D870" s="41" t="s">
        <v>83</v>
      </c>
      <c r="E870" s="42">
        <v>13</v>
      </c>
      <c r="F870" s="43">
        <v>1</v>
      </c>
      <c r="G870" s="38" t="s">
        <v>20</v>
      </c>
      <c r="H870" s="43">
        <v>20</v>
      </c>
      <c r="I870" s="38" t="s">
        <v>83</v>
      </c>
      <c r="J870" s="27">
        <f>2208000/20</f>
        <v>110400</v>
      </c>
      <c r="K870" s="41" t="s">
        <v>83</v>
      </c>
      <c r="L870" s="44"/>
      <c r="M870" s="44">
        <v>0.17</v>
      </c>
      <c r="N870" s="43"/>
      <c r="O870" s="38" t="s">
        <v>83</v>
      </c>
      <c r="P870" s="40">
        <f t="shared" si="498"/>
        <v>375</v>
      </c>
      <c r="Q870" s="38" t="s">
        <v>83</v>
      </c>
      <c r="R870" s="27">
        <f t="shared" si="499"/>
        <v>34362000</v>
      </c>
      <c r="S870" s="24">
        <f t="shared" si="477"/>
        <v>30956756.756756753</v>
      </c>
    </row>
    <row r="871" spans="1:19" s="18" customFormat="1">
      <c r="A871" s="39" t="s">
        <v>435</v>
      </c>
      <c r="B871" s="18" t="s">
        <v>25</v>
      </c>
      <c r="C871" s="40">
        <v>96</v>
      </c>
      <c r="D871" s="41" t="s">
        <v>83</v>
      </c>
      <c r="E871" s="42">
        <v>13</v>
      </c>
      <c r="F871" s="43">
        <v>1</v>
      </c>
      <c r="G871" s="38" t="s">
        <v>20</v>
      </c>
      <c r="H871" s="43">
        <v>20</v>
      </c>
      <c r="I871" s="38" t="s">
        <v>83</v>
      </c>
      <c r="J871" s="27">
        <f>2208000/20</f>
        <v>110400</v>
      </c>
      <c r="K871" s="41" t="s">
        <v>83</v>
      </c>
      <c r="L871" s="44"/>
      <c r="M871" s="44">
        <v>0.17</v>
      </c>
      <c r="N871" s="43"/>
      <c r="O871" s="38" t="s">
        <v>83</v>
      </c>
      <c r="P871" s="40">
        <f t="shared" si="498"/>
        <v>356</v>
      </c>
      <c r="Q871" s="38" t="s">
        <v>83</v>
      </c>
      <c r="R871" s="27">
        <f t="shared" si="499"/>
        <v>32620992</v>
      </c>
      <c r="S871" s="24">
        <f t="shared" si="477"/>
        <v>29388281.081081077</v>
      </c>
    </row>
    <row r="872" spans="1:19" s="17" customFormat="1">
      <c r="A872" s="163" t="s">
        <v>1054</v>
      </c>
      <c r="B872" s="17" t="s">
        <v>25</v>
      </c>
      <c r="C872" s="50"/>
      <c r="D872" s="51" t="s">
        <v>83</v>
      </c>
      <c r="E872" s="32">
        <v>2</v>
      </c>
      <c r="F872" s="52">
        <v>1</v>
      </c>
      <c r="G872" s="53" t="s">
        <v>20</v>
      </c>
      <c r="H872" s="52">
        <v>20</v>
      </c>
      <c r="I872" s="53" t="s">
        <v>83</v>
      </c>
      <c r="J872" s="164">
        <v>112800</v>
      </c>
      <c r="K872" s="51" t="s">
        <v>83</v>
      </c>
      <c r="L872" s="55"/>
      <c r="M872" s="55">
        <v>0.17</v>
      </c>
      <c r="N872" s="52"/>
      <c r="O872" s="53" t="s">
        <v>83</v>
      </c>
      <c r="P872" s="50">
        <f t="shared" ref="P872" si="509">(C872+(E872*F872*H872))-N872</f>
        <v>40</v>
      </c>
      <c r="Q872" s="53" t="s">
        <v>83</v>
      </c>
      <c r="R872" s="54">
        <f t="shared" ref="R872" si="510">P872*(J872-(J872*L872)-((J872-(J872*L872))*M872))</f>
        <v>3744960</v>
      </c>
      <c r="S872" s="8">
        <f t="shared" ref="S872" si="511">R872/1.11</f>
        <v>3373837.8378378376</v>
      </c>
    </row>
    <row r="873" spans="1:19" s="17" customFormat="1">
      <c r="A873" s="163" t="s">
        <v>1054</v>
      </c>
      <c r="B873" s="17" t="s">
        <v>25</v>
      </c>
      <c r="C873" s="50">
        <v>19</v>
      </c>
      <c r="D873" s="51" t="s">
        <v>83</v>
      </c>
      <c r="E873" s="32"/>
      <c r="F873" s="52">
        <v>1</v>
      </c>
      <c r="G873" s="53" t="s">
        <v>20</v>
      </c>
      <c r="H873" s="52">
        <v>20</v>
      </c>
      <c r="I873" s="53" t="s">
        <v>83</v>
      </c>
      <c r="J873" s="164">
        <f>2112000/20</f>
        <v>105600</v>
      </c>
      <c r="K873" s="51" t="s">
        <v>83</v>
      </c>
      <c r="L873" s="55"/>
      <c r="M873" s="55">
        <v>0.17</v>
      </c>
      <c r="N873" s="52"/>
      <c r="O873" s="53" t="s">
        <v>83</v>
      </c>
      <c r="P873" s="50">
        <f t="shared" si="498"/>
        <v>19</v>
      </c>
      <c r="Q873" s="53" t="s">
        <v>83</v>
      </c>
      <c r="R873" s="54">
        <f t="shared" si="499"/>
        <v>1665312</v>
      </c>
      <c r="S873" s="8">
        <f t="shared" si="477"/>
        <v>1500281.0810810809</v>
      </c>
    </row>
    <row r="874" spans="1:19" s="102" customFormat="1">
      <c r="A874" s="122" t="s">
        <v>436</v>
      </c>
      <c r="B874" s="102" t="s">
        <v>25</v>
      </c>
      <c r="C874" s="148"/>
      <c r="D874" s="149" t="s">
        <v>83</v>
      </c>
      <c r="E874" s="150">
        <v>2</v>
      </c>
      <c r="F874" s="151">
        <v>1</v>
      </c>
      <c r="G874" s="152" t="s">
        <v>20</v>
      </c>
      <c r="H874" s="151">
        <v>20</v>
      </c>
      <c r="I874" s="152" t="s">
        <v>83</v>
      </c>
      <c r="J874" s="153">
        <f>2160000/20</f>
        <v>108000</v>
      </c>
      <c r="K874" s="149" t="s">
        <v>83</v>
      </c>
      <c r="L874" s="154"/>
      <c r="M874" s="154">
        <v>0.17</v>
      </c>
      <c r="N874" s="151"/>
      <c r="O874" s="152" t="s">
        <v>83</v>
      </c>
      <c r="P874" s="148">
        <f t="shared" si="498"/>
        <v>40</v>
      </c>
      <c r="Q874" s="152" t="s">
        <v>83</v>
      </c>
      <c r="R874" s="153">
        <f t="shared" si="499"/>
        <v>3585600</v>
      </c>
      <c r="S874" s="91">
        <f t="shared" si="477"/>
        <v>3230270.2702702698</v>
      </c>
    </row>
    <row r="875" spans="1:19" s="17" customFormat="1">
      <c r="A875" s="39" t="s">
        <v>437</v>
      </c>
      <c r="B875" s="17" t="s">
        <v>25</v>
      </c>
      <c r="C875" s="50"/>
      <c r="D875" s="51" t="s">
        <v>83</v>
      </c>
      <c r="E875" s="32">
        <v>17</v>
      </c>
      <c r="F875" s="52">
        <v>1</v>
      </c>
      <c r="G875" s="53" t="s">
        <v>20</v>
      </c>
      <c r="H875" s="52">
        <v>20</v>
      </c>
      <c r="I875" s="53" t="s">
        <v>83</v>
      </c>
      <c r="J875" s="54">
        <f>2160000/20</f>
        <v>108000</v>
      </c>
      <c r="K875" s="51" t="s">
        <v>83</v>
      </c>
      <c r="L875" s="55"/>
      <c r="M875" s="55">
        <v>0.17</v>
      </c>
      <c r="N875" s="52"/>
      <c r="O875" s="53" t="s">
        <v>83</v>
      </c>
      <c r="P875" s="50">
        <f t="shared" si="498"/>
        <v>340</v>
      </c>
      <c r="Q875" s="53" t="s">
        <v>83</v>
      </c>
      <c r="R875" s="54">
        <f t="shared" si="499"/>
        <v>30477600</v>
      </c>
      <c r="S875" s="8">
        <f t="shared" si="477"/>
        <v>27457297.297297295</v>
      </c>
    </row>
    <row r="876" spans="1:19" s="102" customFormat="1">
      <c r="A876" s="122" t="s">
        <v>709</v>
      </c>
      <c r="B876" s="102" t="s">
        <v>25</v>
      </c>
      <c r="C876" s="148"/>
      <c r="D876" s="149" t="s">
        <v>83</v>
      </c>
      <c r="E876" s="150">
        <v>6</v>
      </c>
      <c r="F876" s="151">
        <v>1</v>
      </c>
      <c r="G876" s="152" t="s">
        <v>20</v>
      </c>
      <c r="H876" s="151">
        <v>20</v>
      </c>
      <c r="I876" s="152" t="s">
        <v>83</v>
      </c>
      <c r="J876" s="153">
        <f>2256000/20</f>
        <v>112800</v>
      </c>
      <c r="K876" s="149" t="s">
        <v>83</v>
      </c>
      <c r="L876" s="154"/>
      <c r="M876" s="154">
        <v>0.17</v>
      </c>
      <c r="N876" s="151"/>
      <c r="O876" s="152" t="s">
        <v>83</v>
      </c>
      <c r="P876" s="148">
        <f t="shared" si="498"/>
        <v>120</v>
      </c>
      <c r="Q876" s="152" t="s">
        <v>83</v>
      </c>
      <c r="R876" s="153">
        <f t="shared" si="499"/>
        <v>11234880</v>
      </c>
      <c r="S876" s="91">
        <f t="shared" si="477"/>
        <v>10121513.513513513</v>
      </c>
    </row>
    <row r="877" spans="1:19" s="85" customFormat="1">
      <c r="A877" s="122" t="s">
        <v>1007</v>
      </c>
      <c r="B877" s="85" t="s">
        <v>25</v>
      </c>
      <c r="C877" s="165"/>
      <c r="D877" s="166" t="s">
        <v>83</v>
      </c>
      <c r="E877" s="167">
        <v>2</v>
      </c>
      <c r="F877" s="168">
        <v>1</v>
      </c>
      <c r="G877" s="161" t="s">
        <v>20</v>
      </c>
      <c r="H877" s="168">
        <v>20</v>
      </c>
      <c r="I877" s="161" t="s">
        <v>83</v>
      </c>
      <c r="J877" s="169">
        <v>120000</v>
      </c>
      <c r="K877" s="166" t="s">
        <v>83</v>
      </c>
      <c r="L877" s="170"/>
      <c r="M877" s="170">
        <v>0.17</v>
      </c>
      <c r="N877" s="168"/>
      <c r="O877" s="161" t="s">
        <v>83</v>
      </c>
      <c r="P877" s="165">
        <f t="shared" ref="P877" si="512">(C877+(E877*F877*H877))-N877</f>
        <v>40</v>
      </c>
      <c r="Q877" s="161" t="s">
        <v>83</v>
      </c>
      <c r="R877" s="169">
        <f t="shared" ref="R877" si="513">P877*(J877-(J877*L877)-((J877-(J877*L877))*M877))</f>
        <v>3984000</v>
      </c>
      <c r="S877" s="99">
        <f t="shared" ref="S877" si="514">R877/1.11</f>
        <v>3589189.1891891886</v>
      </c>
    </row>
    <row r="878" spans="1:19" s="17" customFormat="1">
      <c r="A878" s="39" t="s">
        <v>438</v>
      </c>
      <c r="B878" s="17" t="s">
        <v>25</v>
      </c>
      <c r="C878" s="50"/>
      <c r="D878" s="51" t="s">
        <v>83</v>
      </c>
      <c r="E878" s="32">
        <v>2</v>
      </c>
      <c r="F878" s="52">
        <v>1</v>
      </c>
      <c r="G878" s="53" t="s">
        <v>20</v>
      </c>
      <c r="H878" s="52">
        <v>20</v>
      </c>
      <c r="I878" s="53" t="s">
        <v>83</v>
      </c>
      <c r="J878" s="54">
        <f>2112000/20</f>
        <v>105600</v>
      </c>
      <c r="K878" s="51" t="s">
        <v>83</v>
      </c>
      <c r="L878" s="55"/>
      <c r="M878" s="55">
        <v>0.17</v>
      </c>
      <c r="N878" s="52"/>
      <c r="O878" s="53" t="s">
        <v>83</v>
      </c>
      <c r="P878" s="50">
        <f t="shared" si="498"/>
        <v>40</v>
      </c>
      <c r="Q878" s="53" t="s">
        <v>83</v>
      </c>
      <c r="R878" s="54">
        <f t="shared" si="499"/>
        <v>3505920</v>
      </c>
      <c r="S878" s="8">
        <f t="shared" si="477"/>
        <v>3158486.4864864862</v>
      </c>
    </row>
    <row r="879" spans="1:19" s="66" customFormat="1">
      <c r="A879" s="108" t="s">
        <v>439</v>
      </c>
      <c r="B879" s="66" t="s">
        <v>25</v>
      </c>
      <c r="C879" s="114"/>
      <c r="D879" s="115" t="s">
        <v>83</v>
      </c>
      <c r="E879" s="116"/>
      <c r="F879" s="117">
        <v>1</v>
      </c>
      <c r="G879" s="118" t="s">
        <v>20</v>
      </c>
      <c r="H879" s="117">
        <v>20</v>
      </c>
      <c r="I879" s="118" t="s">
        <v>83</v>
      </c>
      <c r="J879" s="119">
        <f>2352000/20</f>
        <v>117600</v>
      </c>
      <c r="K879" s="115" t="s">
        <v>83</v>
      </c>
      <c r="L879" s="120"/>
      <c r="M879" s="120">
        <v>0.17</v>
      </c>
      <c r="N879" s="117"/>
      <c r="O879" s="118" t="s">
        <v>83</v>
      </c>
      <c r="P879" s="114">
        <f t="shared" si="498"/>
        <v>0</v>
      </c>
      <c r="Q879" s="118" t="s">
        <v>83</v>
      </c>
      <c r="R879" s="119">
        <f t="shared" si="499"/>
        <v>0</v>
      </c>
      <c r="S879" s="16">
        <f t="shared" si="477"/>
        <v>0</v>
      </c>
    </row>
    <row r="880" spans="1:19" s="17" customFormat="1">
      <c r="A880" s="39" t="s">
        <v>744</v>
      </c>
      <c r="B880" s="17" t="s">
        <v>25</v>
      </c>
      <c r="C880" s="50"/>
      <c r="D880" s="51" t="s">
        <v>83</v>
      </c>
      <c r="E880" s="32">
        <v>1</v>
      </c>
      <c r="F880" s="52">
        <v>1</v>
      </c>
      <c r="G880" s="53" t="s">
        <v>20</v>
      </c>
      <c r="H880" s="52">
        <v>20</v>
      </c>
      <c r="I880" s="53" t="s">
        <v>83</v>
      </c>
      <c r="J880" s="54">
        <f>2256000/20</f>
        <v>112800</v>
      </c>
      <c r="K880" s="51" t="s">
        <v>83</v>
      </c>
      <c r="L880" s="55"/>
      <c r="M880" s="55">
        <v>0.17</v>
      </c>
      <c r="N880" s="52"/>
      <c r="O880" s="53" t="s">
        <v>83</v>
      </c>
      <c r="P880" s="50">
        <f t="shared" si="498"/>
        <v>20</v>
      </c>
      <c r="Q880" s="53" t="s">
        <v>83</v>
      </c>
      <c r="R880" s="54">
        <f t="shared" si="499"/>
        <v>1872480</v>
      </c>
      <c r="S880" s="8">
        <f t="shared" si="477"/>
        <v>1686918.9189189188</v>
      </c>
    </row>
    <row r="881" spans="1:19" s="17" customFormat="1">
      <c r="A881" s="39"/>
      <c r="C881" s="50"/>
      <c r="D881" s="51"/>
      <c r="E881" s="32"/>
      <c r="F881" s="52"/>
      <c r="G881" s="53"/>
      <c r="H881" s="52"/>
      <c r="I881" s="53"/>
      <c r="J881" s="54"/>
      <c r="K881" s="51"/>
      <c r="L881" s="55"/>
      <c r="M881" s="55"/>
      <c r="N881" s="52"/>
      <c r="O881" s="53"/>
      <c r="P881" s="50"/>
      <c r="Q881" s="53"/>
      <c r="R881" s="54"/>
      <c r="S881" s="8"/>
    </row>
    <row r="882" spans="1:19" s="17" customFormat="1">
      <c r="A882" s="39" t="s">
        <v>440</v>
      </c>
      <c r="B882" s="17" t="s">
        <v>181</v>
      </c>
      <c r="C882" s="50">
        <v>181</v>
      </c>
      <c r="D882" s="51" t="s">
        <v>83</v>
      </c>
      <c r="E882" s="32"/>
      <c r="F882" s="52">
        <v>1</v>
      </c>
      <c r="G882" s="53" t="s">
        <v>20</v>
      </c>
      <c r="H882" s="52">
        <v>30</v>
      </c>
      <c r="I882" s="53" t="s">
        <v>83</v>
      </c>
      <c r="J882" s="54">
        <v>155000</v>
      </c>
      <c r="K882" s="51" t="s">
        <v>83</v>
      </c>
      <c r="L882" s="55"/>
      <c r="M882" s="55"/>
      <c r="N882" s="52"/>
      <c r="O882" s="53" t="s">
        <v>83</v>
      </c>
      <c r="P882" s="50">
        <f>(C882+(E882*F882*H882))-N882</f>
        <v>181</v>
      </c>
      <c r="Q882" s="53" t="s">
        <v>83</v>
      </c>
      <c r="R882" s="54">
        <f>P882*(J882-(J882*L882)-((J882-(J882*L882))*M882))</f>
        <v>28055000</v>
      </c>
      <c r="S882" s="8">
        <f t="shared" si="477"/>
        <v>25274774.774774771</v>
      </c>
    </row>
    <row r="883" spans="1:19" s="17" customFormat="1">
      <c r="A883" s="39" t="s">
        <v>943</v>
      </c>
      <c r="B883" s="17" t="s">
        <v>181</v>
      </c>
      <c r="C883" s="50"/>
      <c r="D883" s="51" t="s">
        <v>33</v>
      </c>
      <c r="E883" s="32">
        <v>30</v>
      </c>
      <c r="F883" s="52">
        <v>1</v>
      </c>
      <c r="G883" s="53" t="s">
        <v>20</v>
      </c>
      <c r="H883" s="52">
        <v>40</v>
      </c>
      <c r="I883" s="53" t="s">
        <v>33</v>
      </c>
      <c r="J883" s="54">
        <v>52703</v>
      </c>
      <c r="K883" s="51" t="s">
        <v>33</v>
      </c>
      <c r="L883" s="55"/>
      <c r="M883" s="55"/>
      <c r="N883" s="52"/>
      <c r="O883" s="53" t="s">
        <v>33</v>
      </c>
      <c r="P883" s="50">
        <f>(C883+(E883*F883*H883))-N883</f>
        <v>1200</v>
      </c>
      <c r="Q883" s="53" t="s">
        <v>33</v>
      </c>
      <c r="R883" s="54">
        <f>P883*(J883-(J883*L883)-((J883-(J883*L883))*M883))</f>
        <v>63243600</v>
      </c>
      <c r="S883" s="8">
        <f t="shared" ref="S883" si="515">R883/1.11</f>
        <v>56976216.216216214</v>
      </c>
    </row>
    <row r="884" spans="1:19" s="17" customFormat="1">
      <c r="A884" s="157" t="s">
        <v>943</v>
      </c>
      <c r="B884" s="17" t="s">
        <v>181</v>
      </c>
      <c r="C884" s="50"/>
      <c r="D884" s="51" t="s">
        <v>33</v>
      </c>
      <c r="E884" s="32">
        <v>25</v>
      </c>
      <c r="F884" s="52">
        <v>1</v>
      </c>
      <c r="G884" s="53" t="s">
        <v>20</v>
      </c>
      <c r="H884" s="52">
        <v>40</v>
      </c>
      <c r="I884" s="53" t="s">
        <v>33</v>
      </c>
      <c r="J884" s="54">
        <v>53154</v>
      </c>
      <c r="K884" s="51" t="s">
        <v>33</v>
      </c>
      <c r="L884" s="55"/>
      <c r="M884" s="55"/>
      <c r="N884" s="52"/>
      <c r="O884" s="53" t="s">
        <v>33</v>
      </c>
      <c r="P884" s="50">
        <f>(C884+(E884*F884*H884))-N884</f>
        <v>1000</v>
      </c>
      <c r="Q884" s="53" t="s">
        <v>33</v>
      </c>
      <c r="R884" s="54">
        <f>P884*(J884-(J884*L884)-((J884-(J884*L884))*M884))</f>
        <v>53154000</v>
      </c>
      <c r="S884" s="8">
        <f t="shared" ref="S884" si="516">R884/1.11</f>
        <v>47886486.48648648</v>
      </c>
    </row>
    <row r="885" spans="1:19" s="17" customFormat="1">
      <c r="A885" s="39"/>
      <c r="C885" s="50"/>
      <c r="D885" s="51"/>
      <c r="E885" s="32"/>
      <c r="F885" s="52"/>
      <c r="G885" s="53"/>
      <c r="H885" s="52"/>
      <c r="I885" s="53"/>
      <c r="J885" s="54"/>
      <c r="K885" s="51"/>
      <c r="L885" s="55"/>
      <c r="M885" s="55"/>
      <c r="N885" s="52"/>
      <c r="O885" s="53"/>
      <c r="P885" s="50"/>
      <c r="Q885" s="53"/>
      <c r="R885" s="54"/>
      <c r="S885" s="8"/>
    </row>
    <row r="886" spans="1:19">
      <c r="A886" s="15" t="s">
        <v>441</v>
      </c>
    </row>
    <row r="887" spans="1:19">
      <c r="A887" s="17" t="s">
        <v>442</v>
      </c>
      <c r="B887" s="2" t="s">
        <v>181</v>
      </c>
      <c r="C887" s="3">
        <v>103</v>
      </c>
      <c r="D887" s="4" t="s">
        <v>33</v>
      </c>
      <c r="F887" s="6">
        <v>1</v>
      </c>
      <c r="G887" s="7" t="s">
        <v>20</v>
      </c>
      <c r="H887" s="6">
        <v>40</v>
      </c>
      <c r="I887" s="7" t="s">
        <v>33</v>
      </c>
      <c r="J887" s="8">
        <v>33600</v>
      </c>
      <c r="K887" s="4" t="s">
        <v>33</v>
      </c>
      <c r="O887" s="7" t="s">
        <v>33</v>
      </c>
      <c r="P887" s="3">
        <f>(C887+(E887*F887*H887))-N887</f>
        <v>103</v>
      </c>
      <c r="Q887" s="7" t="s">
        <v>33</v>
      </c>
      <c r="R887" s="8">
        <f>P887*(J887-(J887*L887)-((J887-(J887*L887))*M887))</f>
        <v>3460800</v>
      </c>
      <c r="S887" s="8">
        <f t="shared" si="477"/>
        <v>3117837.8378378376</v>
      </c>
    </row>
    <row r="888" spans="1:19">
      <c r="A888" s="17" t="s">
        <v>443</v>
      </c>
      <c r="B888" s="2" t="s">
        <v>181</v>
      </c>
      <c r="C888" s="3">
        <v>118</v>
      </c>
      <c r="D888" s="4" t="s">
        <v>33</v>
      </c>
      <c r="F888" s="6">
        <v>1</v>
      </c>
      <c r="G888" s="7" t="s">
        <v>20</v>
      </c>
      <c r="H888" s="6">
        <v>40</v>
      </c>
      <c r="I888" s="7" t="s">
        <v>33</v>
      </c>
      <c r="J888" s="8">
        <v>33600</v>
      </c>
      <c r="K888" s="4" t="s">
        <v>33</v>
      </c>
      <c r="O888" s="7" t="s">
        <v>33</v>
      </c>
      <c r="P888" s="3">
        <f>(C888+(E888*F888*H888))-N888</f>
        <v>118</v>
      </c>
      <c r="Q888" s="7" t="s">
        <v>33</v>
      </c>
      <c r="R888" s="8">
        <f>P888*(J888-(J888*L888)-((J888-(J888*L888))*M888))</f>
        <v>3964800</v>
      </c>
      <c r="S888" s="8">
        <f t="shared" si="477"/>
        <v>3571891.8918918916</v>
      </c>
    </row>
    <row r="889" spans="1:19">
      <c r="A889" s="17" t="s">
        <v>444</v>
      </c>
      <c r="B889" s="2" t="s">
        <v>181</v>
      </c>
      <c r="C889" s="3">
        <v>318</v>
      </c>
      <c r="D889" s="4" t="s">
        <v>33</v>
      </c>
      <c r="F889" s="6">
        <v>1</v>
      </c>
      <c r="G889" s="7" t="s">
        <v>20</v>
      </c>
      <c r="H889" s="6">
        <v>40</v>
      </c>
      <c r="I889" s="7" t="s">
        <v>33</v>
      </c>
      <c r="J889" s="8">
        <v>33600</v>
      </c>
      <c r="K889" s="4" t="s">
        <v>33</v>
      </c>
      <c r="O889" s="7" t="s">
        <v>33</v>
      </c>
      <c r="P889" s="3">
        <f>(C889+(E889*F889*H889))-N889</f>
        <v>318</v>
      </c>
      <c r="Q889" s="7" t="s">
        <v>33</v>
      </c>
      <c r="R889" s="8">
        <f>P889*(J889-(J889*L889)-((J889-(J889*L889))*M889))</f>
        <v>10684800</v>
      </c>
      <c r="S889" s="8">
        <f t="shared" si="477"/>
        <v>9625945.9459459446</v>
      </c>
    </row>
    <row r="890" spans="1:19" s="67" customFormat="1">
      <c r="A890" s="66" t="s">
        <v>445</v>
      </c>
      <c r="B890" s="67" t="s">
        <v>181</v>
      </c>
      <c r="C890" s="74"/>
      <c r="D890" s="69" t="s">
        <v>33</v>
      </c>
      <c r="E890" s="70"/>
      <c r="F890" s="71">
        <v>1</v>
      </c>
      <c r="G890" s="72" t="s">
        <v>20</v>
      </c>
      <c r="H890" s="71">
        <v>40</v>
      </c>
      <c r="I890" s="72" t="s">
        <v>33</v>
      </c>
      <c r="J890" s="16">
        <v>33600</v>
      </c>
      <c r="K890" s="69" t="s">
        <v>33</v>
      </c>
      <c r="L890" s="73"/>
      <c r="M890" s="73"/>
      <c r="N890" s="71"/>
      <c r="O890" s="72" t="s">
        <v>33</v>
      </c>
      <c r="P890" s="68">
        <f>(C890+(E890*F890*H890))-N890</f>
        <v>0</v>
      </c>
      <c r="Q890" s="72" t="s">
        <v>33</v>
      </c>
      <c r="R890" s="16">
        <f>P890*(J890-(J890*L890)-((J890-(J890*L890))*M890))</f>
        <v>0</v>
      </c>
      <c r="S890" s="16">
        <f t="shared" si="477"/>
        <v>0</v>
      </c>
    </row>
    <row r="891" spans="1:19" s="67" customFormat="1">
      <c r="A891" s="66" t="s">
        <v>446</v>
      </c>
      <c r="B891" s="67" t="s">
        <v>181</v>
      </c>
      <c r="C891" s="74"/>
      <c r="D891" s="69" t="s">
        <v>33</v>
      </c>
      <c r="E891" s="70"/>
      <c r="F891" s="71">
        <v>1</v>
      </c>
      <c r="G891" s="72" t="s">
        <v>20</v>
      </c>
      <c r="H891" s="71">
        <v>24</v>
      </c>
      <c r="I891" s="72" t="s">
        <v>33</v>
      </c>
      <c r="J891" s="16">
        <v>38400</v>
      </c>
      <c r="K891" s="69" t="s">
        <v>33</v>
      </c>
      <c r="L891" s="73"/>
      <c r="M891" s="73"/>
      <c r="N891" s="71"/>
      <c r="O891" s="72" t="s">
        <v>33</v>
      </c>
      <c r="P891" s="68">
        <f>(C891+(E891*F891*H891))-N891</f>
        <v>0</v>
      </c>
      <c r="Q891" s="72" t="s">
        <v>33</v>
      </c>
      <c r="R891" s="16">
        <f>P891*(J891-(J891*L891)-((J891-(J891*L891))*M891))</f>
        <v>0</v>
      </c>
      <c r="S891" s="16">
        <f t="shared" si="477"/>
        <v>0</v>
      </c>
    </row>
    <row r="892" spans="1:19">
      <c r="C892" s="20"/>
    </row>
    <row r="893" spans="1:19">
      <c r="A893" s="15" t="s">
        <v>447</v>
      </c>
      <c r="C893" s="20"/>
    </row>
    <row r="894" spans="1:19">
      <c r="A894" s="49" t="s">
        <v>448</v>
      </c>
      <c r="B894" s="2" t="s">
        <v>18</v>
      </c>
      <c r="C894" s="20">
        <v>698</v>
      </c>
      <c r="D894" s="4" t="s">
        <v>83</v>
      </c>
      <c r="F894" s="6">
        <v>1</v>
      </c>
      <c r="G894" s="7" t="s">
        <v>20</v>
      </c>
      <c r="H894" s="6">
        <v>12</v>
      </c>
      <c r="I894" s="7" t="s">
        <v>83</v>
      </c>
      <c r="J894" s="8">
        <v>255600</v>
      </c>
      <c r="K894" s="4" t="s">
        <v>83</v>
      </c>
      <c r="L894" s="9">
        <v>0.125</v>
      </c>
      <c r="M894" s="9">
        <v>0.05</v>
      </c>
      <c r="O894" s="7" t="s">
        <v>83</v>
      </c>
      <c r="P894" s="3">
        <f>(C894+(E894*F894*H894))-N894</f>
        <v>698</v>
      </c>
      <c r="Q894" s="7" t="s">
        <v>83</v>
      </c>
      <c r="R894" s="8">
        <f>P894*(J894-(J894*L894)-((J894-(J894*L894))*M894))</f>
        <v>148302315</v>
      </c>
      <c r="S894" s="8">
        <f t="shared" ref="S894:S895" si="517">R894/1.11</f>
        <v>133605689.18918918</v>
      </c>
    </row>
    <row r="895" spans="1:19" s="67" customFormat="1">
      <c r="A895" s="113" t="s">
        <v>449</v>
      </c>
      <c r="B895" s="67" t="s">
        <v>25</v>
      </c>
      <c r="C895" s="74"/>
      <c r="D895" s="69" t="s">
        <v>40</v>
      </c>
      <c r="E895" s="70"/>
      <c r="F895" s="71">
        <v>12</v>
      </c>
      <c r="G895" s="72" t="s">
        <v>33</v>
      </c>
      <c r="H895" s="71">
        <v>6</v>
      </c>
      <c r="I895" s="72" t="s">
        <v>40</v>
      </c>
      <c r="J895" s="16">
        <v>21000</v>
      </c>
      <c r="K895" s="69" t="s">
        <v>40</v>
      </c>
      <c r="L895" s="73"/>
      <c r="M895" s="73">
        <v>0.17</v>
      </c>
      <c r="N895" s="71"/>
      <c r="O895" s="72" t="s">
        <v>40</v>
      </c>
      <c r="P895" s="68">
        <f>(C895+(E895*F895*H895))-N895</f>
        <v>0</v>
      </c>
      <c r="Q895" s="72" t="s">
        <v>40</v>
      </c>
      <c r="R895" s="16">
        <f>P895*(J895-(J895*L895)-((J895-(J895*L895))*M895))</f>
        <v>0</v>
      </c>
      <c r="S895" s="16">
        <f t="shared" si="517"/>
        <v>0</v>
      </c>
    </row>
    <row r="896" spans="1:19">
      <c r="A896" s="49"/>
      <c r="C896" s="20"/>
    </row>
    <row r="897" spans="1:19">
      <c r="A897" s="15" t="s">
        <v>450</v>
      </c>
      <c r="C897" s="20"/>
    </row>
    <row r="898" spans="1:19" s="67" customFormat="1">
      <c r="A898" s="113" t="s">
        <v>451</v>
      </c>
      <c r="B898" s="67" t="s">
        <v>18</v>
      </c>
      <c r="C898" s="74"/>
      <c r="D898" s="69" t="s">
        <v>40</v>
      </c>
      <c r="E898" s="70"/>
      <c r="F898" s="71">
        <v>1</v>
      </c>
      <c r="G898" s="72" t="s">
        <v>20</v>
      </c>
      <c r="H898" s="71">
        <v>144</v>
      </c>
      <c r="I898" s="72" t="s">
        <v>40</v>
      </c>
      <c r="J898" s="16">
        <v>49200</v>
      </c>
      <c r="K898" s="69" t="s">
        <v>40</v>
      </c>
      <c r="L898" s="73">
        <v>0.125</v>
      </c>
      <c r="M898" s="73">
        <v>0.05</v>
      </c>
      <c r="N898" s="71"/>
      <c r="O898" s="72" t="s">
        <v>40</v>
      </c>
      <c r="P898" s="68">
        <f t="shared" ref="P898:P904" si="518">(C898+(E898*F898*H898))-N898</f>
        <v>0</v>
      </c>
      <c r="Q898" s="72" t="s">
        <v>40</v>
      </c>
      <c r="R898" s="16">
        <f t="shared" ref="R898:R904" si="519">P898*(J898-(J898*L898)-((J898-(J898*L898))*M898))</f>
        <v>0</v>
      </c>
      <c r="S898" s="16">
        <f t="shared" si="477"/>
        <v>0</v>
      </c>
    </row>
    <row r="899" spans="1:19" s="76" customFormat="1">
      <c r="A899" s="113" t="s">
        <v>452</v>
      </c>
      <c r="B899" s="76" t="s">
        <v>18</v>
      </c>
      <c r="C899" s="74"/>
      <c r="D899" s="77" t="s">
        <v>40</v>
      </c>
      <c r="E899" s="78"/>
      <c r="F899" s="79">
        <v>1</v>
      </c>
      <c r="G899" s="80" t="s">
        <v>20</v>
      </c>
      <c r="H899" s="79">
        <v>120</v>
      </c>
      <c r="I899" s="80" t="s">
        <v>40</v>
      </c>
      <c r="J899" s="81">
        <v>30600</v>
      </c>
      <c r="K899" s="77" t="s">
        <v>40</v>
      </c>
      <c r="L899" s="82">
        <v>0.125</v>
      </c>
      <c r="M899" s="82">
        <v>0.05</v>
      </c>
      <c r="N899" s="79"/>
      <c r="O899" s="80" t="s">
        <v>40</v>
      </c>
      <c r="P899" s="74">
        <f t="shared" si="518"/>
        <v>0</v>
      </c>
      <c r="Q899" s="80" t="s">
        <v>40</v>
      </c>
      <c r="R899" s="81">
        <f t="shared" si="519"/>
        <v>0</v>
      </c>
      <c r="S899" s="81">
        <f t="shared" si="477"/>
        <v>0</v>
      </c>
    </row>
    <row r="900" spans="1:19">
      <c r="A900" s="49" t="s">
        <v>453</v>
      </c>
      <c r="B900" s="2" t="s">
        <v>18</v>
      </c>
      <c r="C900" s="3">
        <v>108</v>
      </c>
      <c r="D900" s="4" t="s">
        <v>40</v>
      </c>
      <c r="F900" s="6">
        <v>1</v>
      </c>
      <c r="G900" s="7" t="s">
        <v>20</v>
      </c>
      <c r="H900" s="6">
        <v>144</v>
      </c>
      <c r="I900" s="7" t="s">
        <v>40</v>
      </c>
      <c r="J900" s="8">
        <v>23400</v>
      </c>
      <c r="K900" s="4" t="s">
        <v>40</v>
      </c>
      <c r="L900" s="9">
        <v>0.125</v>
      </c>
      <c r="M900" s="9">
        <v>0.05</v>
      </c>
      <c r="O900" s="7" t="s">
        <v>40</v>
      </c>
      <c r="P900" s="3">
        <f t="shared" si="518"/>
        <v>108</v>
      </c>
      <c r="Q900" s="7" t="s">
        <v>40</v>
      </c>
      <c r="R900" s="8">
        <f t="shared" si="519"/>
        <v>2100735</v>
      </c>
      <c r="S900" s="8">
        <f t="shared" si="477"/>
        <v>1892554.054054054</v>
      </c>
    </row>
    <row r="901" spans="1:19" s="67" customFormat="1">
      <c r="A901" s="113" t="s">
        <v>454</v>
      </c>
      <c r="B901" s="67" t="s">
        <v>18</v>
      </c>
      <c r="C901" s="68"/>
      <c r="D901" s="69" t="s">
        <v>40</v>
      </c>
      <c r="E901" s="70">
        <v>1</v>
      </c>
      <c r="F901" s="71">
        <v>1</v>
      </c>
      <c r="G901" s="72" t="s">
        <v>20</v>
      </c>
      <c r="H901" s="71">
        <v>144</v>
      </c>
      <c r="I901" s="72" t="s">
        <v>40</v>
      </c>
      <c r="J901" s="16">
        <v>40800</v>
      </c>
      <c r="K901" s="69" t="s">
        <v>40</v>
      </c>
      <c r="L901" s="73">
        <v>0.125</v>
      </c>
      <c r="M901" s="73">
        <v>0.05</v>
      </c>
      <c r="N901" s="71"/>
      <c r="O901" s="72" t="s">
        <v>40</v>
      </c>
      <c r="P901" s="68">
        <f t="shared" si="518"/>
        <v>144</v>
      </c>
      <c r="Q901" s="72" t="s">
        <v>40</v>
      </c>
      <c r="R901" s="16">
        <f t="shared" si="519"/>
        <v>4883760</v>
      </c>
      <c r="S901" s="16">
        <f t="shared" si="477"/>
        <v>4399783.7837837832</v>
      </c>
    </row>
    <row r="902" spans="1:19">
      <c r="A902" s="49" t="s">
        <v>733</v>
      </c>
      <c r="B902" s="2" t="s">
        <v>18</v>
      </c>
      <c r="C902" s="3">
        <v>144</v>
      </c>
      <c r="D902" s="4" t="s">
        <v>40</v>
      </c>
      <c r="F902" s="6">
        <v>1</v>
      </c>
      <c r="G902" s="7" t="s">
        <v>20</v>
      </c>
      <c r="H902" s="6">
        <v>144</v>
      </c>
      <c r="I902" s="7" t="s">
        <v>40</v>
      </c>
      <c r="J902" s="8">
        <v>40800</v>
      </c>
      <c r="K902" s="4" t="s">
        <v>40</v>
      </c>
      <c r="L902" s="9">
        <v>0.125</v>
      </c>
      <c r="M902" s="9">
        <v>0.05</v>
      </c>
      <c r="O902" s="7" t="s">
        <v>40</v>
      </c>
      <c r="P902" s="3">
        <f t="shared" si="518"/>
        <v>144</v>
      </c>
      <c r="Q902" s="7" t="s">
        <v>40</v>
      </c>
      <c r="R902" s="8">
        <f t="shared" si="519"/>
        <v>4883760</v>
      </c>
      <c r="S902" s="8">
        <f t="shared" si="477"/>
        <v>4399783.7837837832</v>
      </c>
    </row>
    <row r="903" spans="1:19" s="19" customFormat="1">
      <c r="A903" s="49" t="s">
        <v>455</v>
      </c>
      <c r="B903" s="19" t="s">
        <v>18</v>
      </c>
      <c r="C903" s="20"/>
      <c r="D903" s="21" t="s">
        <v>40</v>
      </c>
      <c r="E903" s="26">
        <v>5</v>
      </c>
      <c r="F903" s="22">
        <v>1</v>
      </c>
      <c r="G903" s="23" t="s">
        <v>20</v>
      </c>
      <c r="H903" s="22">
        <v>144</v>
      </c>
      <c r="I903" s="23" t="s">
        <v>40</v>
      </c>
      <c r="J903" s="24">
        <v>40800</v>
      </c>
      <c r="K903" s="21" t="s">
        <v>40</v>
      </c>
      <c r="L903" s="25">
        <v>0.125</v>
      </c>
      <c r="M903" s="25">
        <v>0.05</v>
      </c>
      <c r="N903" s="22"/>
      <c r="O903" s="23" t="s">
        <v>40</v>
      </c>
      <c r="P903" s="20">
        <f t="shared" ref="P903" si="520">(C903+(E903*F903*H903))-N903</f>
        <v>720</v>
      </c>
      <c r="Q903" s="23" t="s">
        <v>40</v>
      </c>
      <c r="R903" s="24">
        <f t="shared" ref="R903" si="521">P903*(J903-(J903*L903)-((J903-(J903*L903))*M903))</f>
        <v>24418800</v>
      </c>
      <c r="S903" s="24">
        <f t="shared" ref="S903" si="522">R903/1.11</f>
        <v>21998918.918918919</v>
      </c>
    </row>
    <row r="904" spans="1:19" s="67" customFormat="1">
      <c r="A904" s="113" t="s">
        <v>793</v>
      </c>
      <c r="B904" s="67" t="s">
        <v>18</v>
      </c>
      <c r="C904" s="68"/>
      <c r="D904" s="69" t="s">
        <v>40</v>
      </c>
      <c r="E904" s="70"/>
      <c r="F904" s="71">
        <v>1</v>
      </c>
      <c r="G904" s="72" t="s">
        <v>20</v>
      </c>
      <c r="H904" s="71">
        <v>144</v>
      </c>
      <c r="I904" s="72" t="s">
        <v>40</v>
      </c>
      <c r="J904" s="16">
        <v>25200</v>
      </c>
      <c r="K904" s="69" t="s">
        <v>40</v>
      </c>
      <c r="L904" s="73">
        <v>0.125</v>
      </c>
      <c r="M904" s="73">
        <v>0.05</v>
      </c>
      <c r="N904" s="71"/>
      <c r="O904" s="72" t="s">
        <v>40</v>
      </c>
      <c r="P904" s="68">
        <f t="shared" si="518"/>
        <v>0</v>
      </c>
      <c r="Q904" s="72" t="s">
        <v>40</v>
      </c>
      <c r="R904" s="16">
        <f t="shared" si="519"/>
        <v>0</v>
      </c>
      <c r="S904" s="16">
        <f t="shared" si="477"/>
        <v>0</v>
      </c>
    </row>
    <row r="905" spans="1:19">
      <c r="A905" s="49"/>
    </row>
    <row r="906" spans="1:19">
      <c r="A906" s="17" t="s">
        <v>456</v>
      </c>
      <c r="B906" s="2" t="s">
        <v>25</v>
      </c>
      <c r="C906" s="3">
        <v>142</v>
      </c>
      <c r="D906" s="4" t="s">
        <v>40</v>
      </c>
      <c r="E906" s="5">
        <v>2</v>
      </c>
      <c r="F906" s="6">
        <v>1</v>
      </c>
      <c r="G906" s="7" t="s">
        <v>20</v>
      </c>
      <c r="H906" s="6">
        <v>144</v>
      </c>
      <c r="I906" s="7" t="s">
        <v>40</v>
      </c>
      <c r="J906" s="8">
        <f>6739200/144</f>
        <v>46800</v>
      </c>
      <c r="K906" s="4" t="s">
        <v>40</v>
      </c>
      <c r="M906" s="9">
        <v>0.17</v>
      </c>
      <c r="O906" s="7" t="s">
        <v>40</v>
      </c>
      <c r="P906" s="3">
        <f t="shared" ref="P906:P912" si="523">(C906+(E906*F906*H906))-N906</f>
        <v>430</v>
      </c>
      <c r="Q906" s="7" t="s">
        <v>40</v>
      </c>
      <c r="R906" s="8">
        <f t="shared" ref="R906:R912" si="524">P906*(J906-(J906*L906)-((J906-(J906*L906))*M906))</f>
        <v>16702920</v>
      </c>
      <c r="S906" s="8">
        <f t="shared" si="477"/>
        <v>15047675.675675675</v>
      </c>
    </row>
    <row r="907" spans="1:19">
      <c r="A907" s="156" t="s">
        <v>456</v>
      </c>
      <c r="B907" s="2" t="s">
        <v>25</v>
      </c>
      <c r="D907" s="4" t="s">
        <v>40</v>
      </c>
      <c r="E907" s="5">
        <v>2</v>
      </c>
      <c r="F907" s="6">
        <v>1</v>
      </c>
      <c r="G907" s="7" t="s">
        <v>20</v>
      </c>
      <c r="H907" s="6">
        <v>144</v>
      </c>
      <c r="I907" s="7" t="s">
        <v>40</v>
      </c>
      <c r="J907" s="8">
        <v>51600</v>
      </c>
      <c r="K907" s="4" t="s">
        <v>40</v>
      </c>
      <c r="M907" s="9">
        <v>0.17</v>
      </c>
      <c r="O907" s="7" t="s">
        <v>40</v>
      </c>
      <c r="P907" s="3">
        <f t="shared" si="523"/>
        <v>288</v>
      </c>
      <c r="Q907" s="7" t="s">
        <v>40</v>
      </c>
      <c r="R907" s="8">
        <f t="shared" si="524"/>
        <v>12334464</v>
      </c>
      <c r="S907" s="8">
        <f t="shared" ref="S907" si="525">R907/1.11</f>
        <v>11112129.729729729</v>
      </c>
    </row>
    <row r="908" spans="1:19" s="67" customFormat="1">
      <c r="A908" s="66" t="s">
        <v>457</v>
      </c>
      <c r="B908" s="67" t="s">
        <v>25</v>
      </c>
      <c r="C908" s="74"/>
      <c r="D908" s="69" t="s">
        <v>40</v>
      </c>
      <c r="E908" s="70"/>
      <c r="F908" s="71">
        <v>1</v>
      </c>
      <c r="G908" s="72" t="s">
        <v>20</v>
      </c>
      <c r="H908" s="71">
        <v>144</v>
      </c>
      <c r="I908" s="72" t="s">
        <v>40</v>
      </c>
      <c r="J908" s="16">
        <f>4492800/144</f>
        <v>31200</v>
      </c>
      <c r="K908" s="69" t="s">
        <v>40</v>
      </c>
      <c r="L908" s="73"/>
      <c r="M908" s="73">
        <v>0.17</v>
      </c>
      <c r="N908" s="71"/>
      <c r="O908" s="72" t="s">
        <v>40</v>
      </c>
      <c r="P908" s="68">
        <f t="shared" si="523"/>
        <v>0</v>
      </c>
      <c r="Q908" s="72" t="s">
        <v>40</v>
      </c>
      <c r="R908" s="16">
        <f t="shared" si="524"/>
        <v>0</v>
      </c>
      <c r="S908" s="16">
        <f t="shared" si="477"/>
        <v>0</v>
      </c>
    </row>
    <row r="909" spans="1:19" s="67" customFormat="1">
      <c r="A909" s="66" t="s">
        <v>458</v>
      </c>
      <c r="B909" s="67" t="s">
        <v>25</v>
      </c>
      <c r="C909" s="74"/>
      <c r="D909" s="69" t="s">
        <v>40</v>
      </c>
      <c r="E909" s="70"/>
      <c r="F909" s="71">
        <v>1</v>
      </c>
      <c r="G909" s="72" t="s">
        <v>20</v>
      </c>
      <c r="H909" s="71">
        <v>144</v>
      </c>
      <c r="I909" s="72" t="s">
        <v>40</v>
      </c>
      <c r="J909" s="16">
        <v>29400</v>
      </c>
      <c r="K909" s="69" t="s">
        <v>40</v>
      </c>
      <c r="L909" s="73"/>
      <c r="M909" s="73">
        <v>0.17</v>
      </c>
      <c r="N909" s="71"/>
      <c r="O909" s="72" t="s">
        <v>40</v>
      </c>
      <c r="P909" s="68">
        <f t="shared" si="523"/>
        <v>0</v>
      </c>
      <c r="Q909" s="72" t="s">
        <v>40</v>
      </c>
      <c r="R909" s="16">
        <f t="shared" si="524"/>
        <v>0</v>
      </c>
      <c r="S909" s="16">
        <f t="shared" si="477"/>
        <v>0</v>
      </c>
    </row>
    <row r="910" spans="1:19" s="67" customFormat="1">
      <c r="A910" s="66" t="s">
        <v>459</v>
      </c>
      <c r="B910" s="67" t="s">
        <v>25</v>
      </c>
      <c r="C910" s="74"/>
      <c r="D910" s="69" t="s">
        <v>40</v>
      </c>
      <c r="E910" s="70"/>
      <c r="F910" s="71">
        <v>1</v>
      </c>
      <c r="G910" s="72" t="s">
        <v>20</v>
      </c>
      <c r="H910" s="71">
        <v>144</v>
      </c>
      <c r="I910" s="72" t="s">
        <v>40</v>
      </c>
      <c r="J910" s="16">
        <f>2764800/144</f>
        <v>19200</v>
      </c>
      <c r="K910" s="69" t="s">
        <v>40</v>
      </c>
      <c r="L910" s="73"/>
      <c r="M910" s="73">
        <v>0.17</v>
      </c>
      <c r="N910" s="71"/>
      <c r="O910" s="72" t="s">
        <v>40</v>
      </c>
      <c r="P910" s="68">
        <f t="shared" si="523"/>
        <v>0</v>
      </c>
      <c r="Q910" s="72" t="s">
        <v>40</v>
      </c>
      <c r="R910" s="16">
        <f t="shared" si="524"/>
        <v>0</v>
      </c>
      <c r="S910" s="16">
        <f t="shared" ref="S910:S1059" si="526">R910/1.11</f>
        <v>0</v>
      </c>
    </row>
    <row r="911" spans="1:19" s="83" customFormat="1">
      <c r="A911" s="155" t="s">
        <v>459</v>
      </c>
      <c r="B911" s="83" t="s">
        <v>25</v>
      </c>
      <c r="C911" s="94"/>
      <c r="D911" s="87" t="s">
        <v>40</v>
      </c>
      <c r="E911" s="88">
        <v>1</v>
      </c>
      <c r="F911" s="89">
        <v>1</v>
      </c>
      <c r="G911" s="90" t="s">
        <v>20</v>
      </c>
      <c r="H911" s="89">
        <v>144</v>
      </c>
      <c r="I911" s="90" t="s">
        <v>40</v>
      </c>
      <c r="J911" s="91">
        <v>22200</v>
      </c>
      <c r="K911" s="87" t="s">
        <v>40</v>
      </c>
      <c r="L911" s="92"/>
      <c r="M911" s="92">
        <v>0.17</v>
      </c>
      <c r="N911" s="89"/>
      <c r="O911" s="90" t="s">
        <v>40</v>
      </c>
      <c r="P911" s="86">
        <f t="shared" si="523"/>
        <v>144</v>
      </c>
      <c r="Q911" s="90" t="s">
        <v>40</v>
      </c>
      <c r="R911" s="91">
        <f t="shared" si="524"/>
        <v>2653344</v>
      </c>
      <c r="S911" s="91">
        <f t="shared" ref="S911" si="527">R911/1.11</f>
        <v>2390400</v>
      </c>
    </row>
    <row r="912" spans="1:19" s="67" customFormat="1">
      <c r="A912" s="66" t="s">
        <v>460</v>
      </c>
      <c r="B912" s="67" t="s">
        <v>25</v>
      </c>
      <c r="C912" s="74"/>
      <c r="D912" s="69" t="s">
        <v>40</v>
      </c>
      <c r="E912" s="70"/>
      <c r="F912" s="71">
        <v>1</v>
      </c>
      <c r="G912" s="72" t="s">
        <v>20</v>
      </c>
      <c r="H912" s="71">
        <v>144</v>
      </c>
      <c r="I912" s="72" t="s">
        <v>40</v>
      </c>
      <c r="J912" s="16">
        <f>3369600/144</f>
        <v>23400</v>
      </c>
      <c r="K912" s="69" t="s">
        <v>40</v>
      </c>
      <c r="L912" s="73"/>
      <c r="M912" s="73">
        <v>0.17</v>
      </c>
      <c r="N912" s="71"/>
      <c r="O912" s="72" t="s">
        <v>40</v>
      </c>
      <c r="P912" s="68">
        <f t="shared" si="523"/>
        <v>0</v>
      </c>
      <c r="Q912" s="72" t="s">
        <v>40</v>
      </c>
      <c r="R912" s="16">
        <f t="shared" si="524"/>
        <v>0</v>
      </c>
      <c r="S912" s="16">
        <f t="shared" si="526"/>
        <v>0</v>
      </c>
    </row>
    <row r="913" spans="1:19" s="67" customFormat="1">
      <c r="A913" s="66"/>
      <c r="C913" s="74"/>
      <c r="D913" s="69"/>
      <c r="E913" s="70"/>
      <c r="F913" s="71"/>
      <c r="G913" s="72"/>
      <c r="H913" s="71"/>
      <c r="I913" s="72"/>
      <c r="J913" s="16"/>
      <c r="K913" s="69"/>
      <c r="L913" s="73"/>
      <c r="M913" s="73"/>
      <c r="N913" s="71"/>
      <c r="O913" s="72"/>
      <c r="P913" s="68"/>
      <c r="Q913" s="72"/>
      <c r="R913" s="16"/>
      <c r="S913" s="16"/>
    </row>
    <row r="914" spans="1:19" s="67" customFormat="1">
      <c r="A914" s="66" t="s">
        <v>461</v>
      </c>
      <c r="B914" s="67" t="s">
        <v>260</v>
      </c>
      <c r="C914" s="74"/>
      <c r="D914" s="69" t="s">
        <v>40</v>
      </c>
      <c r="E914" s="70"/>
      <c r="F914" s="71">
        <v>1</v>
      </c>
      <c r="G914" s="72" t="s">
        <v>20</v>
      </c>
      <c r="H914" s="71">
        <v>144</v>
      </c>
      <c r="I914" s="72" t="s">
        <v>40</v>
      </c>
      <c r="J914" s="16">
        <v>12500</v>
      </c>
      <c r="K914" s="69" t="s">
        <v>40</v>
      </c>
      <c r="L914" s="73"/>
      <c r="M914" s="73"/>
      <c r="N914" s="71"/>
      <c r="O914" s="72" t="s">
        <v>40</v>
      </c>
      <c r="P914" s="68">
        <f t="shared" ref="P914:P919" si="528">(C914+(E914*F914*H914))-N914</f>
        <v>0</v>
      </c>
      <c r="Q914" s="72" t="s">
        <v>40</v>
      </c>
      <c r="R914" s="16">
        <f t="shared" ref="R914:R919" si="529">P914*(J914-(J914*L914)-((J914-(J914*L914))*M914))</f>
        <v>0</v>
      </c>
      <c r="S914" s="16">
        <f t="shared" ref="S914:S919" si="530">R914/1.11</f>
        <v>0</v>
      </c>
    </row>
    <row r="915" spans="1:19" s="67" customFormat="1">
      <c r="A915" s="66" t="s">
        <v>462</v>
      </c>
      <c r="B915" s="67" t="s">
        <v>260</v>
      </c>
      <c r="C915" s="74"/>
      <c r="D915" s="69" t="s">
        <v>40</v>
      </c>
      <c r="E915" s="70"/>
      <c r="F915" s="71">
        <v>1</v>
      </c>
      <c r="G915" s="72" t="s">
        <v>20</v>
      </c>
      <c r="H915" s="71">
        <v>144</v>
      </c>
      <c r="I915" s="72" t="s">
        <v>40</v>
      </c>
      <c r="J915" s="16">
        <v>12500</v>
      </c>
      <c r="K915" s="69" t="s">
        <v>40</v>
      </c>
      <c r="L915" s="73"/>
      <c r="M915" s="73"/>
      <c r="N915" s="71"/>
      <c r="O915" s="72" t="s">
        <v>40</v>
      </c>
      <c r="P915" s="68">
        <f t="shared" si="528"/>
        <v>0</v>
      </c>
      <c r="Q915" s="72" t="s">
        <v>40</v>
      </c>
      <c r="R915" s="16">
        <f t="shared" si="529"/>
        <v>0</v>
      </c>
      <c r="S915" s="16">
        <f t="shared" si="530"/>
        <v>0</v>
      </c>
    </row>
    <row r="916" spans="1:19">
      <c r="A916" s="156" t="s">
        <v>962</v>
      </c>
      <c r="B916" s="2" t="s">
        <v>260</v>
      </c>
      <c r="D916" s="4" t="s">
        <v>40</v>
      </c>
      <c r="E916" s="5">
        <v>1</v>
      </c>
      <c r="F916" s="6">
        <v>1</v>
      </c>
      <c r="G916" s="7" t="s">
        <v>20</v>
      </c>
      <c r="H916" s="6">
        <v>96</v>
      </c>
      <c r="I916" s="7" t="s">
        <v>40</v>
      </c>
      <c r="J916" s="8">
        <v>29000</v>
      </c>
      <c r="K916" s="4" t="s">
        <v>40</v>
      </c>
      <c r="O916" s="7" t="s">
        <v>40</v>
      </c>
      <c r="P916" s="3">
        <f t="shared" si="528"/>
        <v>96</v>
      </c>
      <c r="Q916" s="7" t="s">
        <v>40</v>
      </c>
      <c r="R916" s="8">
        <f t="shared" si="529"/>
        <v>2784000</v>
      </c>
      <c r="S916" s="8">
        <f t="shared" si="530"/>
        <v>2508108.1081081079</v>
      </c>
    </row>
    <row r="917" spans="1:19">
      <c r="A917" s="17" t="s">
        <v>463</v>
      </c>
      <c r="B917" s="2" t="s">
        <v>260</v>
      </c>
      <c r="C917" s="3">
        <v>96</v>
      </c>
      <c r="D917" s="4" t="s">
        <v>40</v>
      </c>
      <c r="F917" s="6">
        <v>1</v>
      </c>
      <c r="G917" s="7" t="s">
        <v>20</v>
      </c>
      <c r="H917" s="6">
        <v>96</v>
      </c>
      <c r="I917" s="7" t="s">
        <v>40</v>
      </c>
      <c r="J917" s="8">
        <v>27500</v>
      </c>
      <c r="K917" s="4" t="s">
        <v>40</v>
      </c>
      <c r="O917" s="7" t="s">
        <v>40</v>
      </c>
      <c r="P917" s="3">
        <f t="shared" si="528"/>
        <v>96</v>
      </c>
      <c r="Q917" s="7" t="s">
        <v>40</v>
      </c>
      <c r="R917" s="8">
        <f t="shared" si="529"/>
        <v>2640000</v>
      </c>
      <c r="S917" s="8">
        <f t="shared" si="530"/>
        <v>2378378.3783783782</v>
      </c>
    </row>
    <row r="918" spans="1:19">
      <c r="A918" s="156" t="s">
        <v>1049</v>
      </c>
      <c r="B918" s="2" t="s">
        <v>260</v>
      </c>
      <c r="D918" s="4" t="s">
        <v>40</v>
      </c>
      <c r="F918" s="6">
        <v>1</v>
      </c>
      <c r="G918" s="7" t="s">
        <v>20</v>
      </c>
      <c r="H918" s="6">
        <v>96</v>
      </c>
      <c r="I918" s="7" t="s">
        <v>40</v>
      </c>
      <c r="J918" s="8">
        <v>29000</v>
      </c>
      <c r="K918" s="4" t="s">
        <v>40</v>
      </c>
      <c r="O918" s="7" t="s">
        <v>40</v>
      </c>
      <c r="P918" s="3">
        <f t="shared" si="528"/>
        <v>0</v>
      </c>
      <c r="Q918" s="7" t="s">
        <v>40</v>
      </c>
      <c r="R918" s="8">
        <f t="shared" si="529"/>
        <v>0</v>
      </c>
      <c r="S918" s="8">
        <f t="shared" si="530"/>
        <v>0</v>
      </c>
    </row>
    <row r="919" spans="1:19">
      <c r="A919" s="156" t="s">
        <v>963</v>
      </c>
      <c r="B919" s="2" t="s">
        <v>260</v>
      </c>
      <c r="D919" s="4" t="s">
        <v>40</v>
      </c>
      <c r="E919" s="5">
        <v>1</v>
      </c>
      <c r="F919" s="6">
        <v>1</v>
      </c>
      <c r="G919" s="7" t="s">
        <v>20</v>
      </c>
      <c r="H919" s="6">
        <v>144</v>
      </c>
      <c r="I919" s="7" t="s">
        <v>40</v>
      </c>
      <c r="J919" s="8">
        <v>13250</v>
      </c>
      <c r="K919" s="4" t="s">
        <v>40</v>
      </c>
      <c r="O919" s="7" t="s">
        <v>40</v>
      </c>
      <c r="P919" s="3">
        <f t="shared" si="528"/>
        <v>144</v>
      </c>
      <c r="Q919" s="7" t="s">
        <v>40</v>
      </c>
      <c r="R919" s="8">
        <f t="shared" si="529"/>
        <v>1908000</v>
      </c>
      <c r="S919" s="8">
        <f t="shared" si="530"/>
        <v>1718918.9189189188</v>
      </c>
    </row>
    <row r="921" spans="1:19">
      <c r="A921" s="15" t="s">
        <v>664</v>
      </c>
    </row>
    <row r="922" spans="1:19">
      <c r="A922" s="49" t="s">
        <v>665</v>
      </c>
      <c r="B922" s="2" t="s">
        <v>18</v>
      </c>
      <c r="D922" s="4" t="s">
        <v>83</v>
      </c>
      <c r="E922" s="5">
        <v>21</v>
      </c>
      <c r="F922" s="6">
        <v>1</v>
      </c>
      <c r="G922" s="7" t="s">
        <v>20</v>
      </c>
      <c r="H922" s="6">
        <v>12</v>
      </c>
      <c r="I922" s="7" t="s">
        <v>83</v>
      </c>
      <c r="J922" s="8">
        <v>176400</v>
      </c>
      <c r="K922" s="4" t="s">
        <v>83</v>
      </c>
      <c r="L922" s="9">
        <v>0.125</v>
      </c>
      <c r="M922" s="9">
        <v>0.05</v>
      </c>
      <c r="O922" s="7" t="s">
        <v>83</v>
      </c>
      <c r="P922" s="3">
        <f t="shared" ref="P922:P927" si="531">(C922+(E922*F922*H922))-N922</f>
        <v>252</v>
      </c>
      <c r="Q922" s="7" t="s">
        <v>83</v>
      </c>
      <c r="R922" s="8">
        <f t="shared" ref="R922:R927" si="532">P922*(J922-(J922*L922)-((J922-(J922*L922))*M922))</f>
        <v>36951390</v>
      </c>
      <c r="S922" s="8">
        <f t="shared" si="526"/>
        <v>33289540.540540539</v>
      </c>
    </row>
    <row r="923" spans="1:19" s="67" customFormat="1">
      <c r="A923" s="113" t="s">
        <v>666</v>
      </c>
      <c r="B923" s="67" t="s">
        <v>18</v>
      </c>
      <c r="C923" s="68"/>
      <c r="D923" s="69" t="s">
        <v>83</v>
      </c>
      <c r="E923" s="70">
        <v>1</v>
      </c>
      <c r="F923" s="71">
        <v>12</v>
      </c>
      <c r="G923" s="72" t="s">
        <v>33</v>
      </c>
      <c r="H923" s="71">
        <v>1</v>
      </c>
      <c r="I923" s="72" t="s">
        <v>83</v>
      </c>
      <c r="J923" s="16">
        <v>183600</v>
      </c>
      <c r="K923" s="69" t="s">
        <v>83</v>
      </c>
      <c r="L923" s="73">
        <v>0.125</v>
      </c>
      <c r="M923" s="73">
        <v>0.05</v>
      </c>
      <c r="N923" s="71"/>
      <c r="O923" s="72" t="s">
        <v>83</v>
      </c>
      <c r="P923" s="68">
        <f t="shared" si="531"/>
        <v>12</v>
      </c>
      <c r="Q923" s="72" t="s">
        <v>83</v>
      </c>
      <c r="R923" s="16">
        <f t="shared" si="532"/>
        <v>1831410</v>
      </c>
      <c r="S923" s="16">
        <f t="shared" si="526"/>
        <v>1649918.9189189188</v>
      </c>
    </row>
    <row r="924" spans="1:19" s="19" customFormat="1">
      <c r="A924" s="49" t="s">
        <v>667</v>
      </c>
      <c r="B924" s="19" t="s">
        <v>18</v>
      </c>
      <c r="C924" s="20"/>
      <c r="D924" s="21" t="s">
        <v>40</v>
      </c>
      <c r="E924" s="26">
        <v>12</v>
      </c>
      <c r="F924" s="22">
        <v>12</v>
      </c>
      <c r="G924" s="23" t="s">
        <v>83</v>
      </c>
      <c r="H924" s="22">
        <v>12</v>
      </c>
      <c r="I924" s="23" t="s">
        <v>40</v>
      </c>
      <c r="J924" s="24">
        <v>19800</v>
      </c>
      <c r="K924" s="21" t="s">
        <v>40</v>
      </c>
      <c r="L924" s="25">
        <v>0.125</v>
      </c>
      <c r="M924" s="25">
        <v>0.05</v>
      </c>
      <c r="N924" s="22"/>
      <c r="O924" s="23" t="s">
        <v>40</v>
      </c>
      <c r="P924" s="20">
        <f t="shared" ref="P924" si="533">(C924+(E924*F924*H924))-N924</f>
        <v>1728</v>
      </c>
      <c r="Q924" s="23" t="s">
        <v>40</v>
      </c>
      <c r="R924" s="24">
        <f t="shared" ref="R924" si="534">P924*(J924-(J924*L924)-((J924-(J924*L924))*M924))</f>
        <v>28440720</v>
      </c>
      <c r="S924" s="24">
        <f t="shared" ref="S924" si="535">R924/1.11</f>
        <v>25622270.270270269</v>
      </c>
    </row>
    <row r="925" spans="1:19" s="19" customFormat="1">
      <c r="A925" s="49" t="s">
        <v>668</v>
      </c>
      <c r="B925" s="19" t="s">
        <v>18</v>
      </c>
      <c r="C925" s="20">
        <v>144</v>
      </c>
      <c r="D925" s="21" t="s">
        <v>40</v>
      </c>
      <c r="E925" s="26">
        <v>37</v>
      </c>
      <c r="F925" s="22">
        <v>12</v>
      </c>
      <c r="G925" s="23" t="s">
        <v>83</v>
      </c>
      <c r="H925" s="22">
        <v>6</v>
      </c>
      <c r="I925" s="23" t="s">
        <v>40</v>
      </c>
      <c r="J925" s="24">
        <f>3100*12</f>
        <v>37200</v>
      </c>
      <c r="K925" s="21" t="s">
        <v>40</v>
      </c>
      <c r="L925" s="25">
        <v>0.125</v>
      </c>
      <c r="M925" s="25">
        <v>0.05</v>
      </c>
      <c r="N925" s="22"/>
      <c r="O925" s="23" t="s">
        <v>40</v>
      </c>
      <c r="P925" s="20">
        <f t="shared" ref="P925" si="536">(C925+(E925*F925*H925))-N925</f>
        <v>2808</v>
      </c>
      <c r="Q925" s="23" t="s">
        <v>40</v>
      </c>
      <c r="R925" s="24">
        <f t="shared" ref="R925" si="537">P925*(J925-(J925*L925)-((J925-(J925*L925))*M925))</f>
        <v>86830380</v>
      </c>
      <c r="S925" s="24">
        <f t="shared" ref="S925" si="538">R925/1.11</f>
        <v>78225567.567567557</v>
      </c>
    </row>
    <row r="926" spans="1:19" s="19" customFormat="1">
      <c r="A926" s="49" t="s">
        <v>669</v>
      </c>
      <c r="B926" s="19" t="s">
        <v>18</v>
      </c>
      <c r="C926" s="20">
        <v>12</v>
      </c>
      <c r="D926" s="21" t="s">
        <v>83</v>
      </c>
      <c r="E926" s="26">
        <v>2</v>
      </c>
      <c r="F926" s="22">
        <v>1</v>
      </c>
      <c r="G926" s="23" t="s">
        <v>20</v>
      </c>
      <c r="H926" s="22">
        <v>12</v>
      </c>
      <c r="I926" s="23" t="s">
        <v>83</v>
      </c>
      <c r="J926" s="24">
        <v>198000</v>
      </c>
      <c r="K926" s="21" t="s">
        <v>83</v>
      </c>
      <c r="L926" s="25">
        <v>0.125</v>
      </c>
      <c r="M926" s="25">
        <v>0.05</v>
      </c>
      <c r="N926" s="22"/>
      <c r="O926" s="23" t="s">
        <v>83</v>
      </c>
      <c r="P926" s="20">
        <f t="shared" ref="P926" si="539">(C926+(E926*F926*H926))-N926</f>
        <v>36</v>
      </c>
      <c r="Q926" s="23" t="s">
        <v>83</v>
      </c>
      <c r="R926" s="24">
        <f t="shared" ref="R926" si="540">P926*(J926-(J926*L926)-((J926-(J926*L926))*M926))</f>
        <v>5925150</v>
      </c>
      <c r="S926" s="24">
        <f t="shared" ref="S926" si="541">R926/1.11</f>
        <v>5337972.9729729723</v>
      </c>
    </row>
    <row r="927" spans="1:19">
      <c r="A927" s="49" t="s">
        <v>734</v>
      </c>
      <c r="B927" s="2" t="s">
        <v>18</v>
      </c>
      <c r="C927" s="3">
        <v>10</v>
      </c>
      <c r="D927" s="4" t="s">
        <v>40</v>
      </c>
      <c r="E927" s="5">
        <v>2</v>
      </c>
      <c r="F927" s="6">
        <v>1</v>
      </c>
      <c r="G927" s="7" t="s">
        <v>20</v>
      </c>
      <c r="H927" s="6">
        <v>72</v>
      </c>
      <c r="I927" s="7" t="s">
        <v>40</v>
      </c>
      <c r="J927" s="8">
        <v>39600</v>
      </c>
      <c r="K927" s="4" t="s">
        <v>40</v>
      </c>
      <c r="L927" s="9">
        <v>0.125</v>
      </c>
      <c r="M927" s="9">
        <v>0.05</v>
      </c>
      <c r="O927" s="7" t="s">
        <v>83</v>
      </c>
      <c r="P927" s="3">
        <f t="shared" si="531"/>
        <v>154</v>
      </c>
      <c r="Q927" s="7" t="s">
        <v>83</v>
      </c>
      <c r="R927" s="8">
        <f t="shared" si="532"/>
        <v>5069295</v>
      </c>
      <c r="S927" s="8">
        <f t="shared" si="526"/>
        <v>4566932.4324324317</v>
      </c>
    </row>
    <row r="928" spans="1:19">
      <c r="A928" s="49"/>
    </row>
    <row r="929" spans="1:19">
      <c r="A929" s="49" t="s">
        <v>670</v>
      </c>
      <c r="B929" s="2" t="s">
        <v>25</v>
      </c>
      <c r="C929" s="3">
        <v>11</v>
      </c>
      <c r="D929" s="4" t="s">
        <v>83</v>
      </c>
      <c r="E929" s="5">
        <v>8</v>
      </c>
      <c r="F929" s="6">
        <v>1</v>
      </c>
      <c r="G929" s="7" t="s">
        <v>20</v>
      </c>
      <c r="H929" s="6">
        <v>18</v>
      </c>
      <c r="I929" s="7" t="s">
        <v>83</v>
      </c>
      <c r="J929" s="8">
        <f>3240000/18</f>
        <v>180000</v>
      </c>
      <c r="K929" s="4" t="s">
        <v>83</v>
      </c>
      <c r="M929" s="9">
        <v>0.17</v>
      </c>
      <c r="O929" s="7" t="s">
        <v>83</v>
      </c>
      <c r="P929" s="3">
        <f>(C929+(E929*F929*H929))-N929</f>
        <v>155</v>
      </c>
      <c r="Q929" s="7" t="s">
        <v>83</v>
      </c>
      <c r="R929" s="8">
        <f>P929*(J929-(J929*L929)-((J929-(J929*L929))*M929))</f>
        <v>23157000</v>
      </c>
      <c r="S929" s="8">
        <f t="shared" si="526"/>
        <v>20862162.162162159</v>
      </c>
    </row>
    <row r="930" spans="1:19" s="93" customFormat="1">
      <c r="A930" s="85" t="s">
        <v>671</v>
      </c>
      <c r="B930" s="93" t="s">
        <v>25</v>
      </c>
      <c r="C930" s="94"/>
      <c r="D930" s="95" t="s">
        <v>40</v>
      </c>
      <c r="E930" s="96">
        <v>1</v>
      </c>
      <c r="F930" s="97">
        <v>12</v>
      </c>
      <c r="G930" s="98" t="s">
        <v>83</v>
      </c>
      <c r="H930" s="97">
        <v>12</v>
      </c>
      <c r="I930" s="98" t="s">
        <v>40</v>
      </c>
      <c r="J930" s="99">
        <v>16200</v>
      </c>
      <c r="K930" s="95" t="s">
        <v>40</v>
      </c>
      <c r="L930" s="100"/>
      <c r="M930" s="100">
        <v>0.17</v>
      </c>
      <c r="N930" s="97"/>
      <c r="O930" s="98" t="s">
        <v>40</v>
      </c>
      <c r="P930" s="94">
        <f>(C930+(E930*F930*H930))-N930</f>
        <v>144</v>
      </c>
      <c r="Q930" s="98" t="s">
        <v>40</v>
      </c>
      <c r="R930" s="99">
        <f>P930*(J930-(J930*L930)-((J930-(J930*L930))*M930))</f>
        <v>1936224</v>
      </c>
      <c r="S930" s="99">
        <f t="shared" ref="S930" si="542">R930/1.11</f>
        <v>1744345.9459459458</v>
      </c>
    </row>
    <row r="931" spans="1:19">
      <c r="A931" s="17" t="s">
        <v>672</v>
      </c>
      <c r="B931" s="2" t="s">
        <v>25</v>
      </c>
      <c r="C931" s="3">
        <v>144</v>
      </c>
      <c r="D931" s="4" t="s">
        <v>40</v>
      </c>
      <c r="E931" s="5">
        <v>1</v>
      </c>
      <c r="F931" s="6">
        <v>12</v>
      </c>
      <c r="G931" s="7" t="s">
        <v>83</v>
      </c>
      <c r="H931" s="6">
        <v>12</v>
      </c>
      <c r="I931" s="7" t="s">
        <v>40</v>
      </c>
      <c r="J931" s="8">
        <f>2937600/12/12</f>
        <v>20400</v>
      </c>
      <c r="K931" s="4" t="s">
        <v>40</v>
      </c>
      <c r="M931" s="9">
        <v>0.17</v>
      </c>
      <c r="O931" s="7" t="s">
        <v>40</v>
      </c>
      <c r="P931" s="3">
        <f>(C931+(E931*F931*H931))-N931</f>
        <v>288</v>
      </c>
      <c r="Q931" s="7" t="s">
        <v>40</v>
      </c>
      <c r="R931" s="8">
        <f>P931*(J931-(J931*L931)-((J931-(J931*L931))*M931))</f>
        <v>4876416</v>
      </c>
      <c r="S931" s="8">
        <f t="shared" si="526"/>
        <v>4393167.5675675673</v>
      </c>
    </row>
    <row r="933" spans="1:19">
      <c r="A933" s="17" t="s">
        <v>776</v>
      </c>
      <c r="B933" s="2" t="s">
        <v>181</v>
      </c>
      <c r="C933" s="20">
        <v>10520</v>
      </c>
      <c r="D933" s="4" t="s">
        <v>151</v>
      </c>
      <c r="F933" s="6">
        <v>40</v>
      </c>
      <c r="G933" s="7" t="s">
        <v>33</v>
      </c>
      <c r="H933" s="6">
        <f>1600/40</f>
        <v>40</v>
      </c>
      <c r="I933" s="7" t="s">
        <v>151</v>
      </c>
      <c r="J933" s="8">
        <v>1532</v>
      </c>
      <c r="K933" s="4" t="s">
        <v>151</v>
      </c>
      <c r="O933" s="7" t="s">
        <v>151</v>
      </c>
      <c r="P933" s="3">
        <f>(C933+(E933*F933*H933))-N933</f>
        <v>10520</v>
      </c>
      <c r="Q933" s="7" t="s">
        <v>151</v>
      </c>
      <c r="R933" s="8">
        <f>P933*(J933-(J933*L933)-((J933-(J933*L933))*M933))</f>
        <v>16116640</v>
      </c>
      <c r="S933" s="8">
        <f t="shared" si="526"/>
        <v>14519495.495495494</v>
      </c>
    </row>
    <row r="935" spans="1:19">
      <c r="A935" s="15" t="s">
        <v>464</v>
      </c>
    </row>
    <row r="936" spans="1:19" s="19" customFormat="1">
      <c r="A936" s="18" t="s">
        <v>927</v>
      </c>
      <c r="B936" s="19" t="s">
        <v>18</v>
      </c>
      <c r="C936" s="20"/>
      <c r="D936" s="21" t="s">
        <v>151</v>
      </c>
      <c r="E936" s="26">
        <v>3</v>
      </c>
      <c r="F936" s="22">
        <v>12</v>
      </c>
      <c r="G936" s="23" t="s">
        <v>33</v>
      </c>
      <c r="H936" s="22">
        <v>12</v>
      </c>
      <c r="I936" s="23" t="s">
        <v>151</v>
      </c>
      <c r="J936" s="24">
        <v>12200</v>
      </c>
      <c r="K936" s="21" t="s">
        <v>151</v>
      </c>
      <c r="L936" s="25">
        <v>0.125</v>
      </c>
      <c r="M936" s="25">
        <v>0.05</v>
      </c>
      <c r="N936" s="22"/>
      <c r="O936" s="23" t="s">
        <v>151</v>
      </c>
      <c r="P936" s="20">
        <f t="shared" ref="P936" si="543">(C936+(E936*F936*H936))-N936</f>
        <v>432</v>
      </c>
      <c r="Q936" s="23" t="s">
        <v>151</v>
      </c>
      <c r="R936" s="24">
        <f t="shared" ref="R936" si="544">P936*(J936-(J936*L936)-((J936-(J936*L936))*M936))</f>
        <v>4381020</v>
      </c>
      <c r="S936" s="24">
        <f t="shared" ref="S936" si="545">R936/1.11</f>
        <v>3946864.8648648644</v>
      </c>
    </row>
    <row r="937" spans="1:19" s="19" customFormat="1">
      <c r="A937" s="18" t="s">
        <v>465</v>
      </c>
      <c r="B937" s="19" t="s">
        <v>18</v>
      </c>
      <c r="C937" s="20">
        <v>1236</v>
      </c>
      <c r="D937" s="21" t="s">
        <v>151</v>
      </c>
      <c r="E937" s="26">
        <v>38</v>
      </c>
      <c r="F937" s="22">
        <v>12</v>
      </c>
      <c r="G937" s="23" t="s">
        <v>33</v>
      </c>
      <c r="H937" s="22">
        <v>24</v>
      </c>
      <c r="I937" s="23" t="s">
        <v>151</v>
      </c>
      <c r="J937" s="24">
        <v>6700</v>
      </c>
      <c r="K937" s="21" t="s">
        <v>151</v>
      </c>
      <c r="L937" s="25">
        <v>0.125</v>
      </c>
      <c r="M937" s="25">
        <v>0.05</v>
      </c>
      <c r="N937" s="22"/>
      <c r="O937" s="23" t="s">
        <v>151</v>
      </c>
      <c r="P937" s="20">
        <f t="shared" ref="P937:P952" si="546">(C937+(E937*F937*H937))-N937</f>
        <v>12180</v>
      </c>
      <c r="Q937" s="23" t="s">
        <v>151</v>
      </c>
      <c r="R937" s="24">
        <f t="shared" ref="R937:R952" si="547">P937*(J937-(J937*L937)-((J937-(J937*L937))*M937))</f>
        <v>67834987.5</v>
      </c>
      <c r="S937" s="24">
        <f t="shared" si="526"/>
        <v>61112601.351351343</v>
      </c>
    </row>
    <row r="938" spans="1:19" s="19" customFormat="1">
      <c r="A938" s="18" t="s">
        <v>466</v>
      </c>
      <c r="B938" s="19" t="s">
        <v>18</v>
      </c>
      <c r="C938" s="20">
        <v>96</v>
      </c>
      <c r="D938" s="21" t="s">
        <v>151</v>
      </c>
      <c r="E938" s="26">
        <v>10</v>
      </c>
      <c r="F938" s="22">
        <v>12</v>
      </c>
      <c r="G938" s="23" t="s">
        <v>33</v>
      </c>
      <c r="H938" s="22">
        <v>12</v>
      </c>
      <c r="I938" s="23" t="s">
        <v>151</v>
      </c>
      <c r="J938" s="24">
        <v>13800</v>
      </c>
      <c r="K938" s="21" t="s">
        <v>151</v>
      </c>
      <c r="L938" s="25">
        <v>0.125</v>
      </c>
      <c r="M938" s="25">
        <v>0.05</v>
      </c>
      <c r="N938" s="22"/>
      <c r="O938" s="23" t="s">
        <v>151</v>
      </c>
      <c r="P938" s="20">
        <f t="shared" si="546"/>
        <v>1536</v>
      </c>
      <c r="Q938" s="23" t="s">
        <v>151</v>
      </c>
      <c r="R938" s="24">
        <f t="shared" si="547"/>
        <v>17619840</v>
      </c>
      <c r="S938" s="8">
        <f t="shared" si="526"/>
        <v>15873729.729729729</v>
      </c>
    </row>
    <row r="939" spans="1:19" s="19" customFormat="1">
      <c r="A939" s="156" t="s">
        <v>467</v>
      </c>
      <c r="B939" s="19" t="s">
        <v>18</v>
      </c>
      <c r="C939" s="20"/>
      <c r="D939" s="21" t="s">
        <v>151</v>
      </c>
      <c r="E939" s="26">
        <v>10</v>
      </c>
      <c r="F939" s="22">
        <v>12</v>
      </c>
      <c r="G939" s="23" t="s">
        <v>33</v>
      </c>
      <c r="H939" s="22">
        <v>12</v>
      </c>
      <c r="I939" s="23" t="s">
        <v>151</v>
      </c>
      <c r="J939" s="24">
        <v>10600</v>
      </c>
      <c r="K939" s="21" t="s">
        <v>151</v>
      </c>
      <c r="L939" s="25">
        <v>0.125</v>
      </c>
      <c r="M939" s="25">
        <v>0.1</v>
      </c>
      <c r="N939" s="22"/>
      <c r="O939" s="23" t="s">
        <v>151</v>
      </c>
      <c r="P939" s="20">
        <f t="shared" ref="P939" si="548">(C939+(E939*F939*H939))-N939</f>
        <v>1440</v>
      </c>
      <c r="Q939" s="23" t="s">
        <v>151</v>
      </c>
      <c r="R939" s="24">
        <f t="shared" ref="R939" si="549">P939*(J939-(J939*L939)-((J939-(J939*L939))*M939))</f>
        <v>12020400</v>
      </c>
      <c r="S939" s="24">
        <f t="shared" ref="S939" si="550">R939/1.11</f>
        <v>10829189.189189188</v>
      </c>
    </row>
    <row r="940" spans="1:19" s="19" customFormat="1">
      <c r="A940" s="18" t="s">
        <v>467</v>
      </c>
      <c r="B940" s="19" t="s">
        <v>18</v>
      </c>
      <c r="C940" s="20">
        <v>3084</v>
      </c>
      <c r="D940" s="21" t="s">
        <v>151</v>
      </c>
      <c r="E940" s="26">
        <v>154</v>
      </c>
      <c r="F940" s="22">
        <v>12</v>
      </c>
      <c r="G940" s="23" t="s">
        <v>33</v>
      </c>
      <c r="H940" s="22">
        <v>12</v>
      </c>
      <c r="I940" s="23" t="s">
        <v>151</v>
      </c>
      <c r="J940" s="24">
        <v>10600</v>
      </c>
      <c r="K940" s="21" t="s">
        <v>151</v>
      </c>
      <c r="L940" s="25">
        <v>0.125</v>
      </c>
      <c r="M940" s="25">
        <v>0.05</v>
      </c>
      <c r="N940" s="22"/>
      <c r="O940" s="23" t="s">
        <v>151</v>
      </c>
      <c r="P940" s="20">
        <f t="shared" si="546"/>
        <v>25260</v>
      </c>
      <c r="Q940" s="23" t="s">
        <v>151</v>
      </c>
      <c r="R940" s="24">
        <f t="shared" si="547"/>
        <v>222572175</v>
      </c>
      <c r="S940" s="24">
        <f t="shared" si="526"/>
        <v>200515472.97297296</v>
      </c>
    </row>
    <row r="941" spans="1:19" s="19" customFormat="1">
      <c r="A941" s="18" t="s">
        <v>468</v>
      </c>
      <c r="B941" s="19" t="s">
        <v>18</v>
      </c>
      <c r="C941" s="20">
        <v>390</v>
      </c>
      <c r="D941" s="21" t="s">
        <v>151</v>
      </c>
      <c r="E941" s="26">
        <v>59</v>
      </c>
      <c r="F941" s="22">
        <v>12</v>
      </c>
      <c r="G941" s="23" t="s">
        <v>33</v>
      </c>
      <c r="H941" s="22">
        <v>6</v>
      </c>
      <c r="I941" s="23" t="s">
        <v>151</v>
      </c>
      <c r="J941" s="24">
        <v>21200</v>
      </c>
      <c r="K941" s="21" t="s">
        <v>151</v>
      </c>
      <c r="L941" s="25">
        <v>0.125</v>
      </c>
      <c r="M941" s="25">
        <v>0.05</v>
      </c>
      <c r="N941" s="22"/>
      <c r="O941" s="23" t="s">
        <v>151</v>
      </c>
      <c r="P941" s="20">
        <f t="shared" si="546"/>
        <v>4638</v>
      </c>
      <c r="Q941" s="23" t="s">
        <v>151</v>
      </c>
      <c r="R941" s="24">
        <f t="shared" si="547"/>
        <v>81733155</v>
      </c>
      <c r="S941" s="8">
        <f t="shared" si="526"/>
        <v>73633472.972972959</v>
      </c>
    </row>
    <row r="942" spans="1:19" s="93" customFormat="1">
      <c r="A942" s="85" t="s">
        <v>469</v>
      </c>
      <c r="B942" s="93" t="s">
        <v>18</v>
      </c>
      <c r="C942" s="94"/>
      <c r="D942" s="95" t="s">
        <v>151</v>
      </c>
      <c r="E942" s="96">
        <v>6</v>
      </c>
      <c r="F942" s="97">
        <v>8</v>
      </c>
      <c r="G942" s="98" t="s">
        <v>33</v>
      </c>
      <c r="H942" s="97">
        <v>6</v>
      </c>
      <c r="I942" s="98" t="s">
        <v>151</v>
      </c>
      <c r="J942" s="99">
        <v>35000</v>
      </c>
      <c r="K942" s="95" t="s">
        <v>151</v>
      </c>
      <c r="L942" s="100">
        <v>0.125</v>
      </c>
      <c r="M942" s="100">
        <v>0.05</v>
      </c>
      <c r="N942" s="97"/>
      <c r="O942" s="98" t="s">
        <v>151</v>
      </c>
      <c r="P942" s="94">
        <f t="shared" si="546"/>
        <v>288</v>
      </c>
      <c r="Q942" s="98" t="s">
        <v>151</v>
      </c>
      <c r="R942" s="99">
        <f t="shared" si="547"/>
        <v>8379000</v>
      </c>
      <c r="S942" s="91">
        <f t="shared" si="526"/>
        <v>7548648.6486486476</v>
      </c>
    </row>
    <row r="943" spans="1:19" s="19" customFormat="1">
      <c r="A943" s="18" t="s">
        <v>470</v>
      </c>
      <c r="B943" s="19" t="s">
        <v>18</v>
      </c>
      <c r="C943" s="20">
        <v>408</v>
      </c>
      <c r="D943" s="21" t="s">
        <v>151</v>
      </c>
      <c r="E943" s="26">
        <v>8</v>
      </c>
      <c r="F943" s="22">
        <v>12</v>
      </c>
      <c r="G943" s="23" t="s">
        <v>33</v>
      </c>
      <c r="H943" s="22">
        <v>12</v>
      </c>
      <c r="I943" s="23" t="s">
        <v>151</v>
      </c>
      <c r="J943" s="24">
        <v>9600</v>
      </c>
      <c r="K943" s="21" t="s">
        <v>151</v>
      </c>
      <c r="L943" s="25">
        <v>0.125</v>
      </c>
      <c r="M943" s="25">
        <v>0.05</v>
      </c>
      <c r="N943" s="22"/>
      <c r="O943" s="23" t="s">
        <v>151</v>
      </c>
      <c r="P943" s="20">
        <f t="shared" si="546"/>
        <v>1560</v>
      </c>
      <c r="Q943" s="23" t="s">
        <v>151</v>
      </c>
      <c r="R943" s="24">
        <f t="shared" si="547"/>
        <v>12448800</v>
      </c>
      <c r="S943" s="24">
        <f t="shared" si="526"/>
        <v>11215135.135135135</v>
      </c>
    </row>
    <row r="944" spans="1:19" s="67" customFormat="1">
      <c r="A944" s="66" t="s">
        <v>471</v>
      </c>
      <c r="B944" s="67" t="s">
        <v>18</v>
      </c>
      <c r="C944" s="68"/>
      <c r="D944" s="69" t="s">
        <v>151</v>
      </c>
      <c r="E944" s="70">
        <v>5</v>
      </c>
      <c r="F944" s="71">
        <v>12</v>
      </c>
      <c r="G944" s="72" t="s">
        <v>33</v>
      </c>
      <c r="H944" s="71">
        <v>6</v>
      </c>
      <c r="I944" s="72" t="s">
        <v>151</v>
      </c>
      <c r="J944" s="16">
        <v>19200</v>
      </c>
      <c r="K944" s="69" t="s">
        <v>151</v>
      </c>
      <c r="L944" s="73">
        <v>0.125</v>
      </c>
      <c r="M944" s="73">
        <v>0.05</v>
      </c>
      <c r="N944" s="71"/>
      <c r="O944" s="72" t="s">
        <v>151</v>
      </c>
      <c r="P944" s="68">
        <f t="shared" si="546"/>
        <v>360</v>
      </c>
      <c r="Q944" s="72" t="s">
        <v>151</v>
      </c>
      <c r="R944" s="16">
        <f t="shared" si="547"/>
        <v>5745600</v>
      </c>
      <c r="S944" s="16">
        <f t="shared" si="526"/>
        <v>5176216.2162162159</v>
      </c>
    </row>
    <row r="945" spans="1:19" s="67" customFormat="1">
      <c r="A945" s="66" t="s">
        <v>472</v>
      </c>
      <c r="B945" s="67" t="s">
        <v>18</v>
      </c>
      <c r="C945" s="68"/>
      <c r="D945" s="69" t="s">
        <v>151</v>
      </c>
      <c r="E945" s="70"/>
      <c r="F945" s="71">
        <v>12</v>
      </c>
      <c r="G945" s="72" t="s">
        <v>33</v>
      </c>
      <c r="H945" s="71">
        <v>24</v>
      </c>
      <c r="I945" s="72" t="s">
        <v>151</v>
      </c>
      <c r="J945" s="16">
        <v>5800</v>
      </c>
      <c r="K945" s="69" t="s">
        <v>151</v>
      </c>
      <c r="L945" s="73">
        <v>0.125</v>
      </c>
      <c r="M945" s="73">
        <v>0.05</v>
      </c>
      <c r="N945" s="71"/>
      <c r="O945" s="72" t="s">
        <v>151</v>
      </c>
      <c r="P945" s="68">
        <f t="shared" si="546"/>
        <v>0</v>
      </c>
      <c r="Q945" s="72" t="s">
        <v>151</v>
      </c>
      <c r="R945" s="16">
        <f t="shared" si="547"/>
        <v>0</v>
      </c>
      <c r="S945" s="16">
        <f t="shared" si="526"/>
        <v>0</v>
      </c>
    </row>
    <row r="946" spans="1:19" s="19" customFormat="1">
      <c r="A946" s="18" t="s">
        <v>473</v>
      </c>
      <c r="B946" s="19" t="s">
        <v>18</v>
      </c>
      <c r="C946" s="20"/>
      <c r="D946" s="21" t="s">
        <v>151</v>
      </c>
      <c r="E946" s="26">
        <v>10</v>
      </c>
      <c r="F946" s="22">
        <v>12</v>
      </c>
      <c r="G946" s="23" t="s">
        <v>33</v>
      </c>
      <c r="H946" s="22">
        <v>12</v>
      </c>
      <c r="I946" s="23" t="s">
        <v>151</v>
      </c>
      <c r="J946" s="24">
        <v>8400</v>
      </c>
      <c r="K946" s="21" t="s">
        <v>151</v>
      </c>
      <c r="L946" s="25">
        <v>0.125</v>
      </c>
      <c r="M946" s="25">
        <v>0.05</v>
      </c>
      <c r="N946" s="22"/>
      <c r="O946" s="23" t="s">
        <v>151</v>
      </c>
      <c r="P946" s="20">
        <f t="shared" ref="P946" si="551">(C946+(E946*F946*H946))-N946</f>
        <v>1440</v>
      </c>
      <c r="Q946" s="23" t="s">
        <v>151</v>
      </c>
      <c r="R946" s="24">
        <f t="shared" ref="R946" si="552">P946*(J946-(J946*L946)-((J946-(J946*L946))*M946))</f>
        <v>10054800</v>
      </c>
      <c r="S946" s="24">
        <f t="shared" ref="S946" si="553">R946/1.11</f>
        <v>9058378.3783783782</v>
      </c>
    </row>
    <row r="947" spans="1:19" s="19" customFormat="1">
      <c r="A947" s="18" t="s">
        <v>801</v>
      </c>
      <c r="B947" s="19" t="s">
        <v>18</v>
      </c>
      <c r="C947" s="20">
        <v>72</v>
      </c>
      <c r="D947" s="21" t="s">
        <v>151</v>
      </c>
      <c r="E947" s="26">
        <v>6</v>
      </c>
      <c r="F947" s="22">
        <v>12</v>
      </c>
      <c r="G947" s="23" t="s">
        <v>33</v>
      </c>
      <c r="H947" s="22">
        <v>6</v>
      </c>
      <c r="I947" s="23" t="s">
        <v>151</v>
      </c>
      <c r="J947" s="24">
        <v>16800</v>
      </c>
      <c r="K947" s="21" t="s">
        <v>151</v>
      </c>
      <c r="L947" s="25">
        <v>0.125</v>
      </c>
      <c r="M947" s="25">
        <v>0.05</v>
      </c>
      <c r="N947" s="22"/>
      <c r="O947" s="23" t="s">
        <v>151</v>
      </c>
      <c r="P947" s="20">
        <f t="shared" si="546"/>
        <v>504</v>
      </c>
      <c r="Q947" s="23" t="s">
        <v>151</v>
      </c>
      <c r="R947" s="24">
        <f t="shared" si="547"/>
        <v>7038360</v>
      </c>
      <c r="S947" s="8">
        <f t="shared" si="526"/>
        <v>6340864.8648648644</v>
      </c>
    </row>
    <row r="948" spans="1:19" s="19" customFormat="1">
      <c r="A948" s="18" t="s">
        <v>474</v>
      </c>
      <c r="B948" s="19" t="s">
        <v>18</v>
      </c>
      <c r="C948" s="20">
        <v>144</v>
      </c>
      <c r="D948" s="21" t="s">
        <v>151</v>
      </c>
      <c r="E948" s="26"/>
      <c r="F948" s="22">
        <v>12</v>
      </c>
      <c r="G948" s="23" t="s">
        <v>33</v>
      </c>
      <c r="H948" s="22">
        <v>12</v>
      </c>
      <c r="I948" s="23" t="s">
        <v>151</v>
      </c>
      <c r="J948" s="24">
        <v>11000</v>
      </c>
      <c r="K948" s="21" t="s">
        <v>151</v>
      </c>
      <c r="L948" s="25">
        <v>0.125</v>
      </c>
      <c r="M948" s="25">
        <v>0.05</v>
      </c>
      <c r="N948" s="22"/>
      <c r="O948" s="23" t="s">
        <v>151</v>
      </c>
      <c r="P948" s="20">
        <f t="shared" si="546"/>
        <v>144</v>
      </c>
      <c r="Q948" s="23" t="s">
        <v>151</v>
      </c>
      <c r="R948" s="24">
        <f t="shared" si="547"/>
        <v>1316700</v>
      </c>
      <c r="S948" s="8">
        <f t="shared" si="526"/>
        <v>1186216.2162162161</v>
      </c>
    </row>
    <row r="949" spans="1:19" s="19" customFormat="1">
      <c r="A949" s="18" t="s">
        <v>475</v>
      </c>
      <c r="B949" s="19" t="s">
        <v>18</v>
      </c>
      <c r="C949" s="20">
        <v>252</v>
      </c>
      <c r="D949" s="21" t="s">
        <v>151</v>
      </c>
      <c r="E949" s="26">
        <v>4</v>
      </c>
      <c r="F949" s="22">
        <v>12</v>
      </c>
      <c r="G949" s="23" t="s">
        <v>33</v>
      </c>
      <c r="H949" s="22">
        <v>24</v>
      </c>
      <c r="I949" s="23" t="s">
        <v>151</v>
      </c>
      <c r="J949" s="24">
        <v>5400</v>
      </c>
      <c r="K949" s="21" t="s">
        <v>151</v>
      </c>
      <c r="L949" s="25">
        <v>0.125</v>
      </c>
      <c r="M949" s="25">
        <v>0.05</v>
      </c>
      <c r="N949" s="22"/>
      <c r="O949" s="23" t="s">
        <v>151</v>
      </c>
      <c r="P949" s="20">
        <f t="shared" si="546"/>
        <v>1404</v>
      </c>
      <c r="Q949" s="23" t="s">
        <v>151</v>
      </c>
      <c r="R949" s="24">
        <f t="shared" si="547"/>
        <v>6302205</v>
      </c>
      <c r="S949" s="8">
        <f t="shared" si="526"/>
        <v>5677662.1621621614</v>
      </c>
    </row>
    <row r="950" spans="1:19" s="19" customFormat="1">
      <c r="A950" s="156" t="s">
        <v>1038</v>
      </c>
      <c r="B950" s="19" t="s">
        <v>18</v>
      </c>
      <c r="C950" s="20"/>
      <c r="D950" s="21" t="s">
        <v>151</v>
      </c>
      <c r="E950" s="26">
        <v>2</v>
      </c>
      <c r="F950" s="22">
        <v>12</v>
      </c>
      <c r="G950" s="23" t="s">
        <v>33</v>
      </c>
      <c r="H950" s="22">
        <v>24</v>
      </c>
      <c r="I950" s="23" t="s">
        <v>151</v>
      </c>
      <c r="J950" s="24">
        <v>6700</v>
      </c>
      <c r="K950" s="21" t="s">
        <v>151</v>
      </c>
      <c r="L950" s="25">
        <v>0.125</v>
      </c>
      <c r="M950" s="25">
        <v>0.05</v>
      </c>
      <c r="N950" s="22"/>
      <c r="O950" s="23" t="s">
        <v>151</v>
      </c>
      <c r="P950" s="20">
        <f t="shared" ref="P950" si="554">(C950+(E950*F950*H950))-N950</f>
        <v>576</v>
      </c>
      <c r="Q950" s="23" t="s">
        <v>151</v>
      </c>
      <c r="R950" s="24">
        <f t="shared" ref="R950" si="555">P950*(J950-(J950*L950)-((J950-(J950*L950))*M950))</f>
        <v>3207960</v>
      </c>
      <c r="S950" s="8">
        <f t="shared" ref="S950" si="556">R950/1.11</f>
        <v>2890054.054054054</v>
      </c>
    </row>
    <row r="951" spans="1:19" s="76" customFormat="1">
      <c r="A951" s="75" t="s">
        <v>476</v>
      </c>
      <c r="B951" s="76" t="s">
        <v>18</v>
      </c>
      <c r="C951" s="74"/>
      <c r="D951" s="77" t="s">
        <v>151</v>
      </c>
      <c r="E951" s="78"/>
      <c r="F951" s="79">
        <v>12</v>
      </c>
      <c r="G951" s="80" t="s">
        <v>33</v>
      </c>
      <c r="H951" s="79">
        <v>12</v>
      </c>
      <c r="I951" s="80" t="s">
        <v>151</v>
      </c>
      <c r="J951" s="81">
        <v>16900</v>
      </c>
      <c r="K951" s="77" t="s">
        <v>151</v>
      </c>
      <c r="L951" s="82">
        <v>0.125</v>
      </c>
      <c r="M951" s="82">
        <v>0.05</v>
      </c>
      <c r="N951" s="79"/>
      <c r="O951" s="80" t="s">
        <v>151</v>
      </c>
      <c r="P951" s="74">
        <f t="shared" si="546"/>
        <v>0</v>
      </c>
      <c r="Q951" s="80" t="s">
        <v>151</v>
      </c>
      <c r="R951" s="81">
        <f t="shared" si="547"/>
        <v>0</v>
      </c>
      <c r="S951" s="16">
        <f t="shared" si="526"/>
        <v>0</v>
      </c>
    </row>
    <row r="952" spans="1:19" s="76" customFormat="1">
      <c r="A952" s="75" t="s">
        <v>477</v>
      </c>
      <c r="B952" s="76" t="s">
        <v>18</v>
      </c>
      <c r="C952" s="74"/>
      <c r="D952" s="77" t="s">
        <v>151</v>
      </c>
      <c r="E952" s="78"/>
      <c r="F952" s="79">
        <v>12</v>
      </c>
      <c r="G952" s="80" t="s">
        <v>33</v>
      </c>
      <c r="H952" s="79">
        <v>6</v>
      </c>
      <c r="I952" s="80" t="s">
        <v>151</v>
      </c>
      <c r="J952" s="81">
        <v>33800</v>
      </c>
      <c r="K952" s="77" t="s">
        <v>151</v>
      </c>
      <c r="L952" s="82">
        <v>0.125</v>
      </c>
      <c r="M952" s="82">
        <v>0.05</v>
      </c>
      <c r="N952" s="79"/>
      <c r="O952" s="80" t="s">
        <v>151</v>
      </c>
      <c r="P952" s="74">
        <f t="shared" si="546"/>
        <v>0</v>
      </c>
      <c r="Q952" s="80" t="s">
        <v>151</v>
      </c>
      <c r="R952" s="81">
        <f t="shared" si="547"/>
        <v>0</v>
      </c>
      <c r="S952" s="16">
        <f t="shared" si="526"/>
        <v>0</v>
      </c>
    </row>
    <row r="953" spans="1:19" s="19" customFormat="1">
      <c r="A953" s="18"/>
      <c r="C953" s="20"/>
      <c r="D953" s="21"/>
      <c r="E953" s="26"/>
      <c r="F953" s="22"/>
      <c r="G953" s="23"/>
      <c r="H953" s="22"/>
      <c r="I953" s="23"/>
      <c r="J953" s="24"/>
      <c r="K953" s="21"/>
      <c r="L953" s="25"/>
      <c r="M953" s="25"/>
      <c r="N953" s="22"/>
      <c r="O953" s="23"/>
      <c r="P953" s="20"/>
      <c r="Q953" s="23"/>
      <c r="R953" s="24"/>
      <c r="S953" s="8"/>
    </row>
    <row r="954" spans="1:19" s="19" customFormat="1">
      <c r="A954" s="18" t="s">
        <v>478</v>
      </c>
      <c r="B954" s="19" t="s">
        <v>25</v>
      </c>
      <c r="C954" s="20">
        <v>166</v>
      </c>
      <c r="D954" s="21" t="s">
        <v>40</v>
      </c>
      <c r="E954" s="26">
        <v>22</v>
      </c>
      <c r="F954" s="22">
        <v>24</v>
      </c>
      <c r="G954" s="23" t="s">
        <v>33</v>
      </c>
      <c r="H954" s="22">
        <v>2</v>
      </c>
      <c r="I954" s="23" t="s">
        <v>40</v>
      </c>
      <c r="J954" s="24">
        <f>3801600/24/2</f>
        <v>79200</v>
      </c>
      <c r="K954" s="21" t="s">
        <v>40</v>
      </c>
      <c r="L954" s="25"/>
      <c r="M954" s="25">
        <v>0.17</v>
      </c>
      <c r="N954" s="22"/>
      <c r="O954" s="23" t="s">
        <v>40</v>
      </c>
      <c r="P954" s="20">
        <f t="shared" ref="P954:P956" si="557">(C954+(E954*F954*H954))-N954</f>
        <v>1222</v>
      </c>
      <c r="Q954" s="23" t="s">
        <v>40</v>
      </c>
      <c r="R954" s="24">
        <f t="shared" ref="R954:R956" si="558">P954*(J954-(J954*L954)-((J954-(J954*L954))*M954))</f>
        <v>80329392</v>
      </c>
      <c r="S954" s="24">
        <f t="shared" ref="S954:S956" si="559">R954/1.11</f>
        <v>72368821.621621609</v>
      </c>
    </row>
    <row r="955" spans="1:19" s="19" customFormat="1">
      <c r="A955" s="156" t="s">
        <v>478</v>
      </c>
      <c r="B955" s="19" t="s">
        <v>25</v>
      </c>
      <c r="C955" s="20"/>
      <c r="D955" s="21" t="s">
        <v>40</v>
      </c>
      <c r="E955" s="26"/>
      <c r="F955" s="22">
        <v>24</v>
      </c>
      <c r="G955" s="23" t="s">
        <v>33</v>
      </c>
      <c r="H955" s="22">
        <v>2</v>
      </c>
      <c r="I955" s="23" t="s">
        <v>40</v>
      </c>
      <c r="J955" s="24">
        <f>3801600/24/2</f>
        <v>79200</v>
      </c>
      <c r="K955" s="21" t="s">
        <v>40</v>
      </c>
      <c r="L955" s="25">
        <v>0.03</v>
      </c>
      <c r="M955" s="25">
        <v>0.17</v>
      </c>
      <c r="N955" s="22"/>
      <c r="O955" s="23" t="s">
        <v>40</v>
      </c>
      <c r="P955" s="20">
        <f t="shared" ref="P955" si="560">(C955+(E955*F955*H955))-N955</f>
        <v>0</v>
      </c>
      <c r="Q955" s="23" t="s">
        <v>40</v>
      </c>
      <c r="R955" s="24">
        <f t="shared" ref="R955" si="561">P955*(J955-(J955*L955)-((J955-(J955*L955))*M955))</f>
        <v>0</v>
      </c>
      <c r="S955" s="24">
        <f t="shared" ref="S955" si="562">R955/1.11</f>
        <v>0</v>
      </c>
    </row>
    <row r="956" spans="1:19" s="19" customFormat="1">
      <c r="A956" s="128" t="s">
        <v>479</v>
      </c>
      <c r="B956" s="19" t="s">
        <v>25</v>
      </c>
      <c r="C956" s="20"/>
      <c r="D956" s="21" t="s">
        <v>40</v>
      </c>
      <c r="E956" s="26">
        <v>100</v>
      </c>
      <c r="F956" s="22">
        <v>1</v>
      </c>
      <c r="G956" s="23" t="s">
        <v>20</v>
      </c>
      <c r="H956" s="22">
        <v>24</v>
      </c>
      <c r="I956" s="23" t="s">
        <v>40</v>
      </c>
      <c r="J956" s="24">
        <f>2980800/24</f>
        <v>124200</v>
      </c>
      <c r="K956" s="21" t="s">
        <v>40</v>
      </c>
      <c r="L956" s="127">
        <v>0.03</v>
      </c>
      <c r="M956" s="25">
        <v>0.17</v>
      </c>
      <c r="N956" s="22"/>
      <c r="O956" s="23" t="s">
        <v>40</v>
      </c>
      <c r="P956" s="20">
        <f t="shared" si="557"/>
        <v>2400</v>
      </c>
      <c r="Q956" s="23" t="s">
        <v>40</v>
      </c>
      <c r="R956" s="24">
        <f t="shared" si="558"/>
        <v>239984208</v>
      </c>
      <c r="S956" s="24">
        <f t="shared" si="559"/>
        <v>216201989.18918917</v>
      </c>
    </row>
    <row r="957" spans="1:19" s="19" customFormat="1">
      <c r="A957" s="128" t="s">
        <v>479</v>
      </c>
      <c r="B957" s="19" t="s">
        <v>25</v>
      </c>
      <c r="C957" s="20">
        <v>184</v>
      </c>
      <c r="D957" s="21" t="s">
        <v>40</v>
      </c>
      <c r="E957" s="26">
        <v>47</v>
      </c>
      <c r="F957" s="22">
        <v>1</v>
      </c>
      <c r="G957" s="23" t="s">
        <v>20</v>
      </c>
      <c r="H957" s="22">
        <v>24</v>
      </c>
      <c r="I957" s="23" t="s">
        <v>40</v>
      </c>
      <c r="J957" s="24">
        <f>2980800/24</f>
        <v>124200</v>
      </c>
      <c r="K957" s="21" t="s">
        <v>40</v>
      </c>
      <c r="L957" s="127"/>
      <c r="M957" s="25">
        <v>0.17</v>
      </c>
      <c r="N957" s="22"/>
      <c r="O957" s="23" t="s">
        <v>40</v>
      </c>
      <c r="P957" s="20">
        <f t="shared" ref="P957:P968" si="563">(C957+(E957*F957*H957))-N957</f>
        <v>1312</v>
      </c>
      <c r="Q957" s="23" t="s">
        <v>40</v>
      </c>
      <c r="R957" s="24">
        <f t="shared" ref="R957:R968" si="564">P957*(J957-(J957*L957)-((J957-(J957*L957))*M957))</f>
        <v>135248832</v>
      </c>
      <c r="S957" s="24">
        <f t="shared" si="526"/>
        <v>121845794.59459458</v>
      </c>
    </row>
    <row r="958" spans="1:19">
      <c r="A958" s="17" t="s">
        <v>480</v>
      </c>
      <c r="B958" s="2" t="s">
        <v>25</v>
      </c>
      <c r="D958" s="4" t="s">
        <v>40</v>
      </c>
      <c r="E958" s="5">
        <v>9</v>
      </c>
      <c r="F958" s="6">
        <v>1</v>
      </c>
      <c r="G958" s="7" t="s">
        <v>20</v>
      </c>
      <c r="H958" s="6">
        <v>12</v>
      </c>
      <c r="I958" s="7" t="s">
        <v>40</v>
      </c>
      <c r="J958" s="8">
        <f>2980800/12</f>
        <v>248400</v>
      </c>
      <c r="K958" s="4" t="s">
        <v>40</v>
      </c>
      <c r="M958" s="9">
        <v>0.17</v>
      </c>
      <c r="O958" s="7" t="s">
        <v>40</v>
      </c>
      <c r="P958" s="3">
        <f t="shared" si="563"/>
        <v>108</v>
      </c>
      <c r="Q958" s="7" t="s">
        <v>40</v>
      </c>
      <c r="R958" s="8">
        <f t="shared" si="564"/>
        <v>22266576</v>
      </c>
      <c r="S958" s="8">
        <f t="shared" si="526"/>
        <v>20059978.378378376</v>
      </c>
    </row>
    <row r="959" spans="1:19">
      <c r="A959" s="17" t="s">
        <v>676</v>
      </c>
      <c r="B959" s="2" t="s">
        <v>25</v>
      </c>
      <c r="C959" s="3">
        <v>106</v>
      </c>
      <c r="D959" s="4" t="s">
        <v>151</v>
      </c>
      <c r="E959" s="5">
        <v>1</v>
      </c>
      <c r="F959" s="6">
        <v>20</v>
      </c>
      <c r="G959" s="7" t="s">
        <v>33</v>
      </c>
      <c r="H959" s="6">
        <v>4</v>
      </c>
      <c r="I959" s="7" t="s">
        <v>151</v>
      </c>
      <c r="J959" s="8">
        <f>2640000/20/4</f>
        <v>33000</v>
      </c>
      <c r="K959" s="4" t="s">
        <v>151</v>
      </c>
      <c r="M959" s="9">
        <v>0.17</v>
      </c>
      <c r="O959" s="7" t="s">
        <v>151</v>
      </c>
      <c r="P959" s="3">
        <f t="shared" si="563"/>
        <v>186</v>
      </c>
      <c r="Q959" s="7" t="s">
        <v>151</v>
      </c>
      <c r="R959" s="8">
        <f t="shared" si="564"/>
        <v>5094540</v>
      </c>
      <c r="S959" s="8">
        <f>R959/1.11</f>
        <v>4589675.6756756753</v>
      </c>
    </row>
    <row r="960" spans="1:19" s="67" customFormat="1">
      <c r="A960" s="66" t="s">
        <v>481</v>
      </c>
      <c r="B960" s="67" t="s">
        <v>25</v>
      </c>
      <c r="C960" s="68"/>
      <c r="D960" s="69" t="s">
        <v>40</v>
      </c>
      <c r="E960" s="70">
        <v>7</v>
      </c>
      <c r="F960" s="71">
        <v>1</v>
      </c>
      <c r="G960" s="72" t="s">
        <v>20</v>
      </c>
      <c r="H960" s="71">
        <v>24</v>
      </c>
      <c r="I960" s="72" t="s">
        <v>40</v>
      </c>
      <c r="J960" s="16">
        <f>2448000/24</f>
        <v>102000</v>
      </c>
      <c r="K960" s="69" t="s">
        <v>40</v>
      </c>
      <c r="L960" s="73"/>
      <c r="M960" s="73">
        <v>0.17</v>
      </c>
      <c r="N960" s="71"/>
      <c r="O960" s="72" t="s">
        <v>40</v>
      </c>
      <c r="P960" s="68">
        <f t="shared" si="563"/>
        <v>168</v>
      </c>
      <c r="Q960" s="72" t="s">
        <v>40</v>
      </c>
      <c r="R960" s="16">
        <f t="shared" si="564"/>
        <v>14222880</v>
      </c>
      <c r="S960" s="16">
        <f t="shared" si="526"/>
        <v>12813405.405405404</v>
      </c>
    </row>
    <row r="961" spans="1:19">
      <c r="A961" s="156" t="s">
        <v>482</v>
      </c>
      <c r="B961" s="2" t="s">
        <v>25</v>
      </c>
      <c r="D961" s="4" t="s">
        <v>40</v>
      </c>
      <c r="E961" s="5">
        <v>17</v>
      </c>
      <c r="F961" s="6">
        <v>1</v>
      </c>
      <c r="G961" s="7" t="s">
        <v>20</v>
      </c>
      <c r="H961" s="6">
        <v>16</v>
      </c>
      <c r="I961" s="7" t="s">
        <v>40</v>
      </c>
      <c r="J961" s="8">
        <v>126000</v>
      </c>
      <c r="K961" s="4" t="s">
        <v>40</v>
      </c>
      <c r="M961" s="9">
        <v>0.17</v>
      </c>
      <c r="O961" s="7" t="s">
        <v>40</v>
      </c>
      <c r="P961" s="3">
        <f t="shared" ref="P961" si="565">(C961+(E961*F961*H961))-N961</f>
        <v>272</v>
      </c>
      <c r="Q961" s="7" t="s">
        <v>40</v>
      </c>
      <c r="R961" s="8">
        <f t="shared" ref="R961" si="566">P961*(J961-(J961*L961)-((J961-(J961*L961))*M961))</f>
        <v>28445760</v>
      </c>
      <c r="S961" s="8">
        <f t="shared" ref="S961" si="567">R961/1.11</f>
        <v>25626810.810810808</v>
      </c>
    </row>
    <row r="962" spans="1:19">
      <c r="A962" s="17" t="s">
        <v>482</v>
      </c>
      <c r="B962" s="2" t="s">
        <v>25</v>
      </c>
      <c r="C962" s="3">
        <v>10</v>
      </c>
      <c r="D962" s="4" t="s">
        <v>40</v>
      </c>
      <c r="F962" s="6">
        <v>1</v>
      </c>
      <c r="G962" s="7" t="s">
        <v>20</v>
      </c>
      <c r="H962" s="6">
        <v>16</v>
      </c>
      <c r="I962" s="7" t="s">
        <v>40</v>
      </c>
      <c r="J962" s="8">
        <f>1824000/16</f>
        <v>114000</v>
      </c>
      <c r="K962" s="4" t="s">
        <v>40</v>
      </c>
      <c r="M962" s="9">
        <v>0.17</v>
      </c>
      <c r="O962" s="7" t="s">
        <v>40</v>
      </c>
      <c r="P962" s="3">
        <f t="shared" si="563"/>
        <v>10</v>
      </c>
      <c r="Q962" s="7" t="s">
        <v>40</v>
      </c>
      <c r="R962" s="8">
        <f t="shared" si="564"/>
        <v>946200</v>
      </c>
      <c r="S962" s="8">
        <f t="shared" si="526"/>
        <v>852432.43243243231</v>
      </c>
    </row>
    <row r="963" spans="1:19" s="67" customFormat="1">
      <c r="A963" s="66" t="s">
        <v>679</v>
      </c>
      <c r="B963" s="67" t="s">
        <v>25</v>
      </c>
      <c r="C963" s="68"/>
      <c r="D963" s="69" t="s">
        <v>151</v>
      </c>
      <c r="E963" s="70">
        <v>1</v>
      </c>
      <c r="F963" s="71">
        <v>24</v>
      </c>
      <c r="G963" s="72" t="s">
        <v>33</v>
      </c>
      <c r="H963" s="71">
        <v>6</v>
      </c>
      <c r="I963" s="72" t="s">
        <v>151</v>
      </c>
      <c r="J963" s="16">
        <f>2448000/24/6</f>
        <v>17000</v>
      </c>
      <c r="K963" s="69" t="s">
        <v>151</v>
      </c>
      <c r="L963" s="73"/>
      <c r="M963" s="73">
        <v>0.17</v>
      </c>
      <c r="N963" s="71"/>
      <c r="O963" s="72" t="s">
        <v>151</v>
      </c>
      <c r="P963" s="68">
        <f t="shared" si="563"/>
        <v>144</v>
      </c>
      <c r="Q963" s="72" t="s">
        <v>151</v>
      </c>
      <c r="R963" s="16">
        <f t="shared" si="564"/>
        <v>2031840</v>
      </c>
      <c r="S963" s="16">
        <f t="shared" si="526"/>
        <v>1830486.4864864864</v>
      </c>
    </row>
    <row r="964" spans="1:19">
      <c r="A964" s="17" t="s">
        <v>483</v>
      </c>
      <c r="B964" s="2" t="s">
        <v>25</v>
      </c>
      <c r="D964" s="4" t="s">
        <v>151</v>
      </c>
      <c r="E964" s="5">
        <v>3</v>
      </c>
      <c r="F964" s="6">
        <v>10</v>
      </c>
      <c r="G964" s="7" t="s">
        <v>40</v>
      </c>
      <c r="H964" s="6">
        <v>12</v>
      </c>
      <c r="I964" s="7" t="s">
        <v>151</v>
      </c>
      <c r="J964" s="8">
        <f>2040000/10/12</f>
        <v>17000</v>
      </c>
      <c r="K964" s="4" t="s">
        <v>151</v>
      </c>
      <c r="M964" s="9">
        <v>0.17</v>
      </c>
      <c r="O964" s="7" t="s">
        <v>151</v>
      </c>
      <c r="P964" s="3">
        <f t="shared" si="563"/>
        <v>360</v>
      </c>
      <c r="Q964" s="7" t="s">
        <v>151</v>
      </c>
      <c r="R964" s="8">
        <f t="shared" si="564"/>
        <v>5079600</v>
      </c>
      <c r="S964" s="8">
        <f t="shared" si="526"/>
        <v>4576216.2162162159</v>
      </c>
    </row>
    <row r="965" spans="1:19" s="83" customFormat="1">
      <c r="A965" s="102" t="s">
        <v>484</v>
      </c>
      <c r="B965" s="83" t="s">
        <v>25</v>
      </c>
      <c r="C965" s="86"/>
      <c r="D965" s="87" t="s">
        <v>151</v>
      </c>
      <c r="E965" s="88">
        <v>3</v>
      </c>
      <c r="F965" s="89">
        <v>10</v>
      </c>
      <c r="G965" s="90" t="s">
        <v>33</v>
      </c>
      <c r="H965" s="89">
        <v>6</v>
      </c>
      <c r="I965" s="90" t="s">
        <v>151</v>
      </c>
      <c r="J965" s="91">
        <f>2040000/10/6</f>
        <v>34000</v>
      </c>
      <c r="K965" s="87" t="s">
        <v>151</v>
      </c>
      <c r="L965" s="92"/>
      <c r="M965" s="92">
        <v>0.17</v>
      </c>
      <c r="N965" s="89"/>
      <c r="O965" s="90" t="s">
        <v>151</v>
      </c>
      <c r="P965" s="86">
        <f t="shared" si="563"/>
        <v>180</v>
      </c>
      <c r="Q965" s="90" t="s">
        <v>151</v>
      </c>
      <c r="R965" s="91">
        <f t="shared" si="564"/>
        <v>5079600</v>
      </c>
      <c r="S965" s="91">
        <f t="shared" si="526"/>
        <v>4576216.2162162159</v>
      </c>
    </row>
    <row r="966" spans="1:19" s="93" customFormat="1">
      <c r="A966" s="85" t="s">
        <v>485</v>
      </c>
      <c r="B966" s="93" t="s">
        <v>25</v>
      </c>
      <c r="C966" s="94"/>
      <c r="D966" s="95" t="s">
        <v>151</v>
      </c>
      <c r="E966" s="96">
        <v>8</v>
      </c>
      <c r="F966" s="97">
        <v>24</v>
      </c>
      <c r="G966" s="98" t="s">
        <v>40</v>
      </c>
      <c r="H966" s="97">
        <v>12</v>
      </c>
      <c r="I966" s="98" t="s">
        <v>151</v>
      </c>
      <c r="J966" s="99">
        <f>3571200/24/12</f>
        <v>12400</v>
      </c>
      <c r="K966" s="95" t="s">
        <v>151</v>
      </c>
      <c r="L966" s="100"/>
      <c r="M966" s="100">
        <v>0.17</v>
      </c>
      <c r="N966" s="97"/>
      <c r="O966" s="98" t="s">
        <v>151</v>
      </c>
      <c r="P966" s="94">
        <f t="shared" si="563"/>
        <v>2304</v>
      </c>
      <c r="Q966" s="98" t="s">
        <v>151</v>
      </c>
      <c r="R966" s="99">
        <f t="shared" si="564"/>
        <v>23712768</v>
      </c>
      <c r="S966" s="91">
        <f t="shared" si="526"/>
        <v>21362854.054054052</v>
      </c>
    </row>
    <row r="967" spans="1:19" s="93" customFormat="1">
      <c r="A967" s="85" t="s">
        <v>486</v>
      </c>
      <c r="B967" s="93" t="s">
        <v>25</v>
      </c>
      <c r="C967" s="94"/>
      <c r="D967" s="95" t="s">
        <v>151</v>
      </c>
      <c r="E967" s="96">
        <v>4</v>
      </c>
      <c r="F967" s="97">
        <v>16</v>
      </c>
      <c r="G967" s="98" t="s">
        <v>40</v>
      </c>
      <c r="H967" s="97">
        <v>12</v>
      </c>
      <c r="I967" s="98" t="s">
        <v>151</v>
      </c>
      <c r="J967" s="99">
        <f>3648000/16/12</f>
        <v>19000</v>
      </c>
      <c r="K967" s="95" t="s">
        <v>151</v>
      </c>
      <c r="L967" s="100"/>
      <c r="M967" s="100">
        <v>0.17</v>
      </c>
      <c r="N967" s="97"/>
      <c r="O967" s="98" t="s">
        <v>151</v>
      </c>
      <c r="P967" s="94">
        <f t="shared" si="563"/>
        <v>768</v>
      </c>
      <c r="Q967" s="98" t="s">
        <v>151</v>
      </c>
      <c r="R967" s="99">
        <f t="shared" si="564"/>
        <v>12111360</v>
      </c>
      <c r="S967" s="91">
        <f t="shared" si="526"/>
        <v>10911135.135135135</v>
      </c>
    </row>
    <row r="968" spans="1:19" s="67" customFormat="1">
      <c r="A968" s="66" t="s">
        <v>487</v>
      </c>
      <c r="B968" s="67" t="s">
        <v>25</v>
      </c>
      <c r="C968" s="68"/>
      <c r="D968" s="69" t="s">
        <v>151</v>
      </c>
      <c r="E968" s="70"/>
      <c r="F968" s="71">
        <v>24</v>
      </c>
      <c r="G968" s="72" t="s">
        <v>33</v>
      </c>
      <c r="H968" s="71">
        <v>6</v>
      </c>
      <c r="I968" s="72" t="s">
        <v>151</v>
      </c>
      <c r="J968" s="16">
        <v>22000</v>
      </c>
      <c r="K968" s="69" t="s">
        <v>151</v>
      </c>
      <c r="L968" s="73"/>
      <c r="M968" s="73">
        <v>0.17</v>
      </c>
      <c r="N968" s="71"/>
      <c r="O968" s="72" t="s">
        <v>151</v>
      </c>
      <c r="P968" s="68">
        <f t="shared" si="563"/>
        <v>0</v>
      </c>
      <c r="Q968" s="72" t="s">
        <v>151</v>
      </c>
      <c r="R968" s="16">
        <f t="shared" si="564"/>
        <v>0</v>
      </c>
      <c r="S968" s="16">
        <f t="shared" si="526"/>
        <v>0</v>
      </c>
    </row>
    <row r="970" spans="1:19">
      <c r="A970" s="18" t="s">
        <v>877</v>
      </c>
      <c r="B970" s="2" t="s">
        <v>260</v>
      </c>
      <c r="D970" s="4" t="s">
        <v>151</v>
      </c>
      <c r="E970" s="5">
        <v>1</v>
      </c>
      <c r="F970" s="6">
        <v>1</v>
      </c>
      <c r="G970" s="7" t="s">
        <v>20</v>
      </c>
      <c r="H970" s="6">
        <v>144</v>
      </c>
      <c r="I970" s="7" t="s">
        <v>151</v>
      </c>
      <c r="J970" s="8">
        <v>18500</v>
      </c>
      <c r="K970" s="4" t="s">
        <v>151</v>
      </c>
      <c r="O970" s="72" t="s">
        <v>151</v>
      </c>
      <c r="P970" s="68">
        <f t="shared" ref="P970" si="568">(C970+(E970*F970*H970))-N970</f>
        <v>144</v>
      </c>
      <c r="Q970" s="72" t="s">
        <v>151</v>
      </c>
      <c r="R970" s="16">
        <f t="shared" ref="R970" si="569">P970*(J970-(J970*L970)-((J970-(J970*L970))*M970))</f>
        <v>2664000</v>
      </c>
      <c r="S970" s="16">
        <f t="shared" ref="S970" si="570">R970/1.11</f>
        <v>2400000</v>
      </c>
    </row>
    <row r="971" spans="1:19">
      <c r="A971" s="18" t="s">
        <v>878</v>
      </c>
      <c r="B971" s="2" t="s">
        <v>260</v>
      </c>
      <c r="D971" s="4" t="s">
        <v>151</v>
      </c>
      <c r="E971" s="5">
        <v>1</v>
      </c>
      <c r="F971" s="6">
        <v>1</v>
      </c>
      <c r="G971" s="7" t="s">
        <v>20</v>
      </c>
      <c r="H971" s="6">
        <v>240</v>
      </c>
      <c r="I971" s="7" t="s">
        <v>151</v>
      </c>
      <c r="J971" s="8">
        <v>8800</v>
      </c>
      <c r="K971" s="4" t="s">
        <v>151</v>
      </c>
      <c r="O971" s="72" t="s">
        <v>151</v>
      </c>
      <c r="P971" s="68">
        <f t="shared" ref="P971:P973" si="571">(C971+(E971*F971*H971))-N971</f>
        <v>240</v>
      </c>
      <c r="Q971" s="72" t="s">
        <v>151</v>
      </c>
      <c r="R971" s="16">
        <f t="shared" ref="R971:R973" si="572">P971*(J971-(J971*L971)-((J971-(J971*L971))*M971))</f>
        <v>2112000</v>
      </c>
      <c r="S971" s="16">
        <f t="shared" ref="S971:S973" si="573">R971/1.11</f>
        <v>1902702.7027027025</v>
      </c>
    </row>
    <row r="972" spans="1:19">
      <c r="A972" s="18" t="s">
        <v>879</v>
      </c>
      <c r="B972" s="2" t="s">
        <v>260</v>
      </c>
      <c r="D972" s="4" t="s">
        <v>151</v>
      </c>
      <c r="E972" s="5">
        <v>2</v>
      </c>
      <c r="F972" s="6">
        <v>1</v>
      </c>
      <c r="G972" s="7" t="s">
        <v>20</v>
      </c>
      <c r="H972" s="6">
        <v>288</v>
      </c>
      <c r="I972" s="7" t="s">
        <v>151</v>
      </c>
      <c r="J972" s="8">
        <v>10800</v>
      </c>
      <c r="K972" s="4" t="s">
        <v>151</v>
      </c>
      <c r="O972" s="72" t="s">
        <v>151</v>
      </c>
      <c r="P972" s="68">
        <f t="shared" si="571"/>
        <v>576</v>
      </c>
      <c r="Q972" s="72" t="s">
        <v>151</v>
      </c>
      <c r="R972" s="16">
        <f t="shared" si="572"/>
        <v>6220800</v>
      </c>
      <c r="S972" s="16">
        <f t="shared" si="573"/>
        <v>5604324.3243243238</v>
      </c>
    </row>
    <row r="973" spans="1:19">
      <c r="A973" s="18" t="s">
        <v>1000</v>
      </c>
      <c r="B973" s="2" t="s">
        <v>260</v>
      </c>
      <c r="D973" s="4" t="s">
        <v>151</v>
      </c>
      <c r="E973" s="5">
        <v>5</v>
      </c>
      <c r="F973" s="6">
        <v>1</v>
      </c>
      <c r="G973" s="7" t="s">
        <v>20</v>
      </c>
      <c r="H973" s="6">
        <v>360</v>
      </c>
      <c r="I973" s="7" t="s">
        <v>929</v>
      </c>
      <c r="J973" s="8">
        <v>8100</v>
      </c>
      <c r="K973" s="4" t="s">
        <v>929</v>
      </c>
      <c r="O973" s="72" t="s">
        <v>929</v>
      </c>
      <c r="P973" s="68">
        <f t="shared" si="571"/>
        <v>1800</v>
      </c>
      <c r="Q973" s="72" t="s">
        <v>929</v>
      </c>
      <c r="R973" s="16">
        <f t="shared" si="572"/>
        <v>14580000</v>
      </c>
      <c r="S973" s="16">
        <f t="shared" si="573"/>
        <v>13135135.135135135</v>
      </c>
    </row>
    <row r="974" spans="1:19">
      <c r="A974" s="18" t="s">
        <v>1001</v>
      </c>
      <c r="B974" s="2" t="s">
        <v>260</v>
      </c>
      <c r="D974" s="4" t="s">
        <v>151</v>
      </c>
      <c r="E974" s="5">
        <v>1</v>
      </c>
      <c r="F974" s="6">
        <v>1</v>
      </c>
      <c r="G974" s="7" t="s">
        <v>20</v>
      </c>
      <c r="H974" s="6">
        <v>360</v>
      </c>
      <c r="I974" s="7" t="s">
        <v>929</v>
      </c>
      <c r="J974" s="8">
        <v>7700</v>
      </c>
      <c r="K974" s="4" t="s">
        <v>929</v>
      </c>
      <c r="O974" s="72" t="s">
        <v>929</v>
      </c>
      <c r="P974" s="68">
        <f t="shared" ref="P974:P978" si="574">(C974+(E974*F974*H974))-N974</f>
        <v>360</v>
      </c>
      <c r="Q974" s="72" t="s">
        <v>929</v>
      </c>
      <c r="R974" s="16">
        <f t="shared" ref="R974:R978" si="575">P974*(J974-(J974*L974)-((J974-(J974*L974))*M974))</f>
        <v>2772000</v>
      </c>
      <c r="S974" s="16">
        <f t="shared" ref="S974:S978" si="576">R974/1.11</f>
        <v>2497297.297297297</v>
      </c>
    </row>
    <row r="975" spans="1:19">
      <c r="A975" s="18" t="s">
        <v>1002</v>
      </c>
      <c r="B975" s="2" t="s">
        <v>260</v>
      </c>
      <c r="D975" s="4" t="s">
        <v>151</v>
      </c>
      <c r="E975" s="5">
        <v>1</v>
      </c>
      <c r="F975" s="6">
        <v>1</v>
      </c>
      <c r="G975" s="7" t="s">
        <v>20</v>
      </c>
      <c r="H975" s="6">
        <v>360</v>
      </c>
      <c r="I975" s="7" t="s">
        <v>929</v>
      </c>
      <c r="J975" s="8">
        <v>7700</v>
      </c>
      <c r="K975" s="4" t="s">
        <v>929</v>
      </c>
      <c r="O975" s="72" t="s">
        <v>929</v>
      </c>
      <c r="P975" s="68">
        <f t="shared" si="574"/>
        <v>360</v>
      </c>
      <c r="Q975" s="72" t="s">
        <v>929</v>
      </c>
      <c r="R975" s="16">
        <f t="shared" si="575"/>
        <v>2772000</v>
      </c>
      <c r="S975" s="16">
        <f t="shared" si="576"/>
        <v>2497297.297297297</v>
      </c>
    </row>
    <row r="976" spans="1:19">
      <c r="A976" s="18" t="s">
        <v>1003</v>
      </c>
      <c r="B976" s="2" t="s">
        <v>260</v>
      </c>
      <c r="D976" s="4" t="s">
        <v>151</v>
      </c>
      <c r="E976" s="5">
        <v>1</v>
      </c>
      <c r="F976" s="6">
        <v>1</v>
      </c>
      <c r="G976" s="7" t="s">
        <v>20</v>
      </c>
      <c r="H976" s="6">
        <v>360</v>
      </c>
      <c r="I976" s="7" t="s">
        <v>929</v>
      </c>
      <c r="J976" s="8">
        <v>7700</v>
      </c>
      <c r="K976" s="4" t="s">
        <v>929</v>
      </c>
      <c r="O976" s="72" t="s">
        <v>929</v>
      </c>
      <c r="P976" s="68">
        <f t="shared" si="574"/>
        <v>360</v>
      </c>
      <c r="Q976" s="72" t="s">
        <v>929</v>
      </c>
      <c r="R976" s="16">
        <f t="shared" si="575"/>
        <v>2772000</v>
      </c>
      <c r="S976" s="16">
        <f t="shared" si="576"/>
        <v>2497297.297297297</v>
      </c>
    </row>
    <row r="977" spans="1:19">
      <c r="A977" s="18" t="s">
        <v>1004</v>
      </c>
      <c r="B977" s="2" t="s">
        <v>260</v>
      </c>
      <c r="D977" s="4" t="s">
        <v>151</v>
      </c>
      <c r="E977" s="5">
        <v>1</v>
      </c>
      <c r="F977" s="6">
        <v>1</v>
      </c>
      <c r="G977" s="7" t="s">
        <v>20</v>
      </c>
      <c r="H977" s="6">
        <v>360</v>
      </c>
      <c r="I977" s="7" t="s">
        <v>929</v>
      </c>
      <c r="J977" s="8">
        <v>7700</v>
      </c>
      <c r="K977" s="4" t="s">
        <v>929</v>
      </c>
      <c r="O977" s="72" t="s">
        <v>929</v>
      </c>
      <c r="P977" s="68">
        <f t="shared" si="574"/>
        <v>360</v>
      </c>
      <c r="Q977" s="72" t="s">
        <v>929</v>
      </c>
      <c r="R977" s="16">
        <f t="shared" si="575"/>
        <v>2772000</v>
      </c>
      <c r="S977" s="16">
        <f t="shared" si="576"/>
        <v>2497297.297297297</v>
      </c>
    </row>
    <row r="978" spans="1:19">
      <c r="A978" s="18" t="s">
        <v>1005</v>
      </c>
      <c r="B978" s="2" t="s">
        <v>260</v>
      </c>
      <c r="D978" s="4" t="s">
        <v>151</v>
      </c>
      <c r="E978" s="5">
        <v>1</v>
      </c>
      <c r="F978" s="6">
        <v>1</v>
      </c>
      <c r="G978" s="7" t="s">
        <v>20</v>
      </c>
      <c r="H978" s="6">
        <v>360</v>
      </c>
      <c r="I978" s="7" t="s">
        <v>929</v>
      </c>
      <c r="J978" s="8">
        <v>7700</v>
      </c>
      <c r="K978" s="4" t="s">
        <v>929</v>
      </c>
      <c r="O978" s="72" t="s">
        <v>929</v>
      </c>
      <c r="P978" s="68">
        <f t="shared" si="574"/>
        <v>360</v>
      </c>
      <c r="Q978" s="72" t="s">
        <v>929</v>
      </c>
      <c r="R978" s="16">
        <f t="shared" si="575"/>
        <v>2772000</v>
      </c>
      <c r="S978" s="16">
        <f t="shared" si="576"/>
        <v>2497297.297297297</v>
      </c>
    </row>
    <row r="979" spans="1:19">
      <c r="A979" s="18"/>
      <c r="O979" s="72"/>
      <c r="P979" s="68"/>
      <c r="Q979" s="72"/>
      <c r="R979" s="16"/>
      <c r="S979" s="16"/>
    </row>
    <row r="980" spans="1:19">
      <c r="A980" s="18" t="s">
        <v>975</v>
      </c>
      <c r="B980" s="2" t="s">
        <v>171</v>
      </c>
      <c r="D980" s="4" t="s">
        <v>151</v>
      </c>
      <c r="E980" s="5">
        <v>5</v>
      </c>
      <c r="F980" s="6">
        <v>1</v>
      </c>
      <c r="G980" s="7" t="s">
        <v>20</v>
      </c>
      <c r="H980" s="6">
        <v>240</v>
      </c>
      <c r="I980" s="7" t="s">
        <v>151</v>
      </c>
      <c r="J980" s="8">
        <v>4850</v>
      </c>
      <c r="K980" s="4" t="s">
        <v>151</v>
      </c>
      <c r="M980" s="9">
        <v>7.0000000000000007E-2</v>
      </c>
      <c r="O980" s="72" t="s">
        <v>151</v>
      </c>
      <c r="P980" s="68">
        <f t="shared" ref="P980" si="577">(C980+(E980*F980*H980))-N980</f>
        <v>1200</v>
      </c>
      <c r="Q980" s="72" t="s">
        <v>151</v>
      </c>
      <c r="R980" s="16">
        <f t="shared" ref="R980" si="578">P980*(J980-(J980*L980)-((J980-(J980*L980))*M980))</f>
        <v>5412600</v>
      </c>
      <c r="S980" s="16">
        <f t="shared" ref="S980" si="579">R980/1.11</f>
        <v>4876216.2162162159</v>
      </c>
    </row>
    <row r="982" spans="1:19" ht="15.75">
      <c r="A982" s="14" t="s">
        <v>488</v>
      </c>
    </row>
    <row r="983" spans="1:19">
      <c r="A983" s="17" t="s">
        <v>489</v>
      </c>
      <c r="B983" s="2" t="s">
        <v>18</v>
      </c>
      <c r="C983" s="3">
        <v>72</v>
      </c>
      <c r="D983" s="4" t="s">
        <v>19</v>
      </c>
      <c r="F983" s="6">
        <v>12</v>
      </c>
      <c r="G983" s="7" t="s">
        <v>33</v>
      </c>
      <c r="H983" s="6">
        <v>24</v>
      </c>
      <c r="I983" s="7" t="s">
        <v>19</v>
      </c>
      <c r="J983" s="8">
        <v>3550</v>
      </c>
      <c r="K983" s="4" t="s">
        <v>19</v>
      </c>
      <c r="L983" s="9">
        <v>0.125</v>
      </c>
      <c r="M983" s="9">
        <v>0.05</v>
      </c>
      <c r="O983" s="7" t="s">
        <v>19</v>
      </c>
      <c r="P983" s="3">
        <f t="shared" ref="P983:P988" si="580">(C983+(E983*F983*H983))-N983</f>
        <v>72</v>
      </c>
      <c r="Q983" s="7" t="s">
        <v>19</v>
      </c>
      <c r="R983" s="8">
        <f t="shared" ref="R983:R988" si="581">P983*(J983-(J983*L983)-((J983-(J983*L983))*M983))</f>
        <v>212467.5</v>
      </c>
      <c r="S983" s="8">
        <f t="shared" si="526"/>
        <v>191412.16216216216</v>
      </c>
    </row>
    <row r="984" spans="1:19" s="19" customFormat="1">
      <c r="A984" s="28" t="s">
        <v>822</v>
      </c>
      <c r="B984" s="19" t="s">
        <v>18</v>
      </c>
      <c r="C984" s="20"/>
      <c r="D984" s="21" t="s">
        <v>19</v>
      </c>
      <c r="E984" s="26">
        <v>1</v>
      </c>
      <c r="F984" s="22">
        <v>1</v>
      </c>
      <c r="G984" s="23" t="s">
        <v>20</v>
      </c>
      <c r="H984" s="22">
        <v>288</v>
      </c>
      <c r="I984" s="23" t="s">
        <v>19</v>
      </c>
      <c r="J984" s="29">
        <v>4000</v>
      </c>
      <c r="K984" s="21" t="s">
        <v>19</v>
      </c>
      <c r="L984" s="25">
        <v>0.125</v>
      </c>
      <c r="M984" s="25">
        <v>0.05</v>
      </c>
      <c r="N984" s="22"/>
      <c r="O984" s="23" t="s">
        <v>19</v>
      </c>
      <c r="P984" s="20">
        <f t="shared" si="580"/>
        <v>288</v>
      </c>
      <c r="Q984" s="23" t="s">
        <v>19</v>
      </c>
      <c r="R984" s="24">
        <f t="shared" si="581"/>
        <v>957600</v>
      </c>
      <c r="S984" s="24">
        <f t="shared" ref="S984" si="582">R984/1.11</f>
        <v>862702.70270270261</v>
      </c>
    </row>
    <row r="985" spans="1:19" s="19" customFormat="1">
      <c r="A985" s="28" t="s">
        <v>490</v>
      </c>
      <c r="B985" s="19" t="s">
        <v>18</v>
      </c>
      <c r="C985" s="20">
        <v>276</v>
      </c>
      <c r="D985" s="21" t="s">
        <v>19</v>
      </c>
      <c r="E985" s="26"/>
      <c r="F985" s="22">
        <v>1</v>
      </c>
      <c r="G985" s="23" t="s">
        <v>20</v>
      </c>
      <c r="H985" s="22">
        <v>288</v>
      </c>
      <c r="I985" s="23" t="s">
        <v>19</v>
      </c>
      <c r="J985" s="29">
        <v>3550</v>
      </c>
      <c r="K985" s="21" t="s">
        <v>19</v>
      </c>
      <c r="L985" s="25">
        <v>0.125</v>
      </c>
      <c r="M985" s="25">
        <v>0.05</v>
      </c>
      <c r="N985" s="22"/>
      <c r="O985" s="23" t="s">
        <v>19</v>
      </c>
      <c r="P985" s="20">
        <f t="shared" si="580"/>
        <v>276</v>
      </c>
      <c r="Q985" s="23" t="s">
        <v>19</v>
      </c>
      <c r="R985" s="24">
        <f t="shared" si="581"/>
        <v>814458.75</v>
      </c>
      <c r="S985" s="24">
        <f t="shared" si="526"/>
        <v>733746.62162162154</v>
      </c>
    </row>
    <row r="986" spans="1:19" s="19" customFormat="1">
      <c r="A986" s="156" t="s">
        <v>490</v>
      </c>
      <c r="B986" s="19" t="s">
        <v>18</v>
      </c>
      <c r="C986" s="20">
        <v>276</v>
      </c>
      <c r="D986" s="21" t="s">
        <v>19</v>
      </c>
      <c r="E986" s="26">
        <v>1</v>
      </c>
      <c r="F986" s="22">
        <v>1</v>
      </c>
      <c r="G986" s="23" t="s">
        <v>20</v>
      </c>
      <c r="H986" s="22">
        <v>288</v>
      </c>
      <c r="I986" s="23" t="s">
        <v>19</v>
      </c>
      <c r="J986" s="29">
        <v>4000</v>
      </c>
      <c r="K986" s="21" t="s">
        <v>19</v>
      </c>
      <c r="L986" s="25">
        <v>0.125</v>
      </c>
      <c r="M986" s="25">
        <v>0.05</v>
      </c>
      <c r="N986" s="22"/>
      <c r="O986" s="23" t="s">
        <v>19</v>
      </c>
      <c r="P986" s="20">
        <f t="shared" si="580"/>
        <v>564</v>
      </c>
      <c r="Q986" s="23" t="s">
        <v>19</v>
      </c>
      <c r="R986" s="24">
        <f t="shared" si="581"/>
        <v>1875300</v>
      </c>
      <c r="S986" s="24">
        <f t="shared" ref="S986" si="583">R986/1.11</f>
        <v>1689459.4594594594</v>
      </c>
    </row>
    <row r="987" spans="1:19" s="19" customFormat="1">
      <c r="A987" s="18" t="s">
        <v>491</v>
      </c>
      <c r="B987" s="19" t="s">
        <v>18</v>
      </c>
      <c r="C987" s="20">
        <v>2508</v>
      </c>
      <c r="D987" s="21" t="s">
        <v>19</v>
      </c>
      <c r="E987" s="26">
        <v>95</v>
      </c>
      <c r="F987" s="22">
        <v>1</v>
      </c>
      <c r="G987" s="23" t="s">
        <v>20</v>
      </c>
      <c r="H987" s="22">
        <v>288</v>
      </c>
      <c r="I987" s="23" t="s">
        <v>19</v>
      </c>
      <c r="J987" s="24">
        <v>4800</v>
      </c>
      <c r="K987" s="21" t="s">
        <v>19</v>
      </c>
      <c r="L987" s="25">
        <v>0.125</v>
      </c>
      <c r="M987" s="25">
        <v>0.05</v>
      </c>
      <c r="N987" s="22"/>
      <c r="O987" s="23" t="s">
        <v>19</v>
      </c>
      <c r="P987" s="20">
        <f t="shared" si="580"/>
        <v>29868</v>
      </c>
      <c r="Q987" s="23" t="s">
        <v>19</v>
      </c>
      <c r="R987" s="24">
        <f t="shared" si="581"/>
        <v>119173320</v>
      </c>
      <c r="S987" s="24">
        <f t="shared" si="526"/>
        <v>107363351.35135134</v>
      </c>
    </row>
    <row r="988" spans="1:19" s="19" customFormat="1">
      <c r="A988" s="18" t="s">
        <v>925</v>
      </c>
      <c r="B988" s="19" t="s">
        <v>18</v>
      </c>
      <c r="C988" s="20"/>
      <c r="D988" s="21" t="s">
        <v>19</v>
      </c>
      <c r="E988" s="26">
        <v>3</v>
      </c>
      <c r="F988" s="22">
        <v>1</v>
      </c>
      <c r="G988" s="23" t="s">
        <v>20</v>
      </c>
      <c r="H988" s="22">
        <v>288</v>
      </c>
      <c r="I988" s="23" t="s">
        <v>19</v>
      </c>
      <c r="J988" s="24">
        <v>4800</v>
      </c>
      <c r="K988" s="21" t="s">
        <v>19</v>
      </c>
      <c r="L988" s="25">
        <v>0.125</v>
      </c>
      <c r="M988" s="25">
        <v>0.05</v>
      </c>
      <c r="N988" s="22"/>
      <c r="O988" s="23" t="s">
        <v>19</v>
      </c>
      <c r="P988" s="20">
        <f t="shared" si="580"/>
        <v>864</v>
      </c>
      <c r="Q988" s="23" t="s">
        <v>19</v>
      </c>
      <c r="R988" s="24">
        <f t="shared" si="581"/>
        <v>3447360</v>
      </c>
      <c r="S988" s="24">
        <f t="shared" ref="S988" si="584">R988/1.11</f>
        <v>3105729.7297297292</v>
      </c>
    </row>
    <row r="989" spans="1:19" s="19" customFormat="1">
      <c r="A989" s="18"/>
      <c r="C989" s="20"/>
      <c r="D989" s="21"/>
      <c r="E989" s="26"/>
      <c r="F989" s="22"/>
      <c r="G989" s="23"/>
      <c r="H989" s="22"/>
      <c r="I989" s="23"/>
      <c r="J989" s="24"/>
      <c r="K989" s="21"/>
      <c r="L989" s="25"/>
      <c r="M989" s="25"/>
      <c r="N989" s="22"/>
      <c r="O989" s="23"/>
      <c r="P989" s="20"/>
      <c r="Q989" s="23"/>
      <c r="R989" s="24"/>
      <c r="S989" s="24"/>
    </row>
    <row r="990" spans="1:19" s="19" customFormat="1">
      <c r="A990" s="18" t="s">
        <v>492</v>
      </c>
      <c r="B990" s="19" t="s">
        <v>25</v>
      </c>
      <c r="C990" s="20">
        <v>174</v>
      </c>
      <c r="D990" s="21" t="s">
        <v>40</v>
      </c>
      <c r="E990" s="26">
        <v>28</v>
      </c>
      <c r="F990" s="22">
        <v>1</v>
      </c>
      <c r="G990" s="23" t="s">
        <v>20</v>
      </c>
      <c r="H990" s="22">
        <v>24</v>
      </c>
      <c r="I990" s="23" t="s">
        <v>40</v>
      </c>
      <c r="J990" s="24">
        <f>1497600/24</f>
        <v>62400</v>
      </c>
      <c r="K990" s="21" t="s">
        <v>40</v>
      </c>
      <c r="L990" s="25"/>
      <c r="M990" s="25">
        <v>0.17</v>
      </c>
      <c r="N990" s="22"/>
      <c r="O990" s="23" t="s">
        <v>40</v>
      </c>
      <c r="P990" s="20">
        <f>(C990+(E990*F990*H990))-N990</f>
        <v>846</v>
      </c>
      <c r="Q990" s="23" t="s">
        <v>40</v>
      </c>
      <c r="R990" s="24">
        <f>P990*(J990-(J990*L990)-((J990-(J990*L990))*M990))</f>
        <v>43816032</v>
      </c>
      <c r="S990" s="24">
        <f t="shared" si="526"/>
        <v>39473902.702702701</v>
      </c>
    </row>
    <row r="991" spans="1:19" s="19" customFormat="1">
      <c r="A991" s="18"/>
      <c r="C991" s="20"/>
      <c r="D991" s="21"/>
      <c r="E991" s="26"/>
      <c r="F991" s="22"/>
      <c r="G991" s="23"/>
      <c r="H991" s="22"/>
      <c r="I991" s="23"/>
      <c r="J991" s="24"/>
      <c r="K991" s="21"/>
      <c r="L991" s="25"/>
      <c r="M991" s="25"/>
      <c r="N991" s="22"/>
      <c r="O991" s="23"/>
      <c r="P991" s="20"/>
      <c r="Q991" s="23"/>
      <c r="R991" s="24"/>
      <c r="S991" s="8"/>
    </row>
    <row r="992" spans="1:19">
      <c r="A992" s="46" t="s">
        <v>493</v>
      </c>
      <c r="B992" s="2" t="s">
        <v>171</v>
      </c>
      <c r="C992" s="3">
        <v>1026</v>
      </c>
      <c r="D992" s="4" t="s">
        <v>19</v>
      </c>
      <c r="F992" s="6">
        <v>1</v>
      </c>
      <c r="G992" s="7" t="s">
        <v>20</v>
      </c>
      <c r="H992" s="6">
        <v>120</v>
      </c>
      <c r="I992" s="7" t="s">
        <v>19</v>
      </c>
      <c r="J992" s="8">
        <v>11500</v>
      </c>
      <c r="K992" s="4" t="s">
        <v>19</v>
      </c>
      <c r="O992" s="7" t="s">
        <v>19</v>
      </c>
      <c r="P992" s="3">
        <f t="shared" ref="P992:P995" si="585">(C992+(E992*F992*H992))-N992</f>
        <v>1026</v>
      </c>
      <c r="Q992" s="7" t="s">
        <v>19</v>
      </c>
      <c r="R992" s="8">
        <f t="shared" ref="R992:R995" si="586">P992*(J992-(J992*L992)-((J992-(J992*L992))*M992))</f>
        <v>11799000</v>
      </c>
      <c r="S992" s="8">
        <f t="shared" si="526"/>
        <v>10629729.729729729</v>
      </c>
    </row>
    <row r="993" spans="1:19">
      <c r="A993" s="46" t="s">
        <v>715</v>
      </c>
      <c r="B993" s="2" t="s">
        <v>171</v>
      </c>
      <c r="C993" s="3">
        <v>251</v>
      </c>
      <c r="D993" s="4" t="s">
        <v>19</v>
      </c>
      <c r="F993" s="6">
        <v>1</v>
      </c>
      <c r="G993" s="7" t="s">
        <v>20</v>
      </c>
      <c r="H993" s="6">
        <v>100</v>
      </c>
      <c r="I993" s="7" t="s">
        <v>19</v>
      </c>
      <c r="J993" s="8">
        <v>13500</v>
      </c>
      <c r="K993" s="4" t="s">
        <v>19</v>
      </c>
      <c r="L993" s="9">
        <v>0.05</v>
      </c>
      <c r="O993" s="7" t="s">
        <v>19</v>
      </c>
      <c r="P993" s="3">
        <f t="shared" si="585"/>
        <v>251</v>
      </c>
      <c r="Q993" s="7" t="s">
        <v>19</v>
      </c>
      <c r="R993" s="8">
        <f t="shared" si="586"/>
        <v>3219075</v>
      </c>
      <c r="S993" s="8">
        <f t="shared" si="526"/>
        <v>2900067.5675675673</v>
      </c>
    </row>
    <row r="994" spans="1:19">
      <c r="A994" s="46" t="s">
        <v>494</v>
      </c>
      <c r="B994" s="2" t="s">
        <v>171</v>
      </c>
      <c r="C994" s="3">
        <v>486</v>
      </c>
      <c r="D994" s="4" t="s">
        <v>19</v>
      </c>
      <c r="F994" s="6">
        <v>1</v>
      </c>
      <c r="G994" s="7" t="s">
        <v>20</v>
      </c>
      <c r="H994" s="6">
        <v>96</v>
      </c>
      <c r="I994" s="7" t="s">
        <v>19</v>
      </c>
      <c r="J994" s="8">
        <v>21000</v>
      </c>
      <c r="K994" s="4" t="s">
        <v>19</v>
      </c>
      <c r="O994" s="7" t="s">
        <v>19</v>
      </c>
      <c r="P994" s="3">
        <f t="shared" si="585"/>
        <v>486</v>
      </c>
      <c r="Q994" s="7" t="s">
        <v>19</v>
      </c>
      <c r="R994" s="8">
        <f t="shared" si="586"/>
        <v>10206000</v>
      </c>
      <c r="S994" s="8">
        <f t="shared" si="526"/>
        <v>9194594.5945945941</v>
      </c>
    </row>
    <row r="995" spans="1:19" s="67" customFormat="1">
      <c r="A995" s="109" t="s">
        <v>686</v>
      </c>
      <c r="B995" s="67" t="s">
        <v>171</v>
      </c>
      <c r="C995" s="68"/>
      <c r="D995" s="69" t="s">
        <v>19</v>
      </c>
      <c r="E995" s="70"/>
      <c r="F995" s="71">
        <v>1</v>
      </c>
      <c r="G995" s="72" t="s">
        <v>20</v>
      </c>
      <c r="H995" s="71">
        <v>144</v>
      </c>
      <c r="I995" s="72" t="s">
        <v>19</v>
      </c>
      <c r="J995" s="16">
        <v>8750</v>
      </c>
      <c r="K995" s="69" t="s">
        <v>19</v>
      </c>
      <c r="L995" s="73"/>
      <c r="M995" s="73"/>
      <c r="N995" s="71"/>
      <c r="O995" s="72" t="s">
        <v>19</v>
      </c>
      <c r="P995" s="68">
        <f t="shared" si="585"/>
        <v>0</v>
      </c>
      <c r="Q995" s="72" t="s">
        <v>19</v>
      </c>
      <c r="R995" s="16">
        <f t="shared" si="586"/>
        <v>0</v>
      </c>
      <c r="S995" s="16">
        <f t="shared" si="526"/>
        <v>0</v>
      </c>
    </row>
    <row r="996" spans="1:19">
      <c r="A996" s="46" t="s">
        <v>687</v>
      </c>
      <c r="B996" s="2" t="s">
        <v>171</v>
      </c>
      <c r="C996" s="3">
        <v>24</v>
      </c>
      <c r="D996" s="4" t="s">
        <v>19</v>
      </c>
      <c r="F996" s="6">
        <v>1</v>
      </c>
      <c r="G996" s="7" t="s">
        <v>20</v>
      </c>
      <c r="H996" s="6">
        <v>144</v>
      </c>
      <c r="I996" s="7" t="s">
        <v>19</v>
      </c>
      <c r="J996" s="8">
        <v>8750</v>
      </c>
      <c r="K996" s="4" t="s">
        <v>19</v>
      </c>
      <c r="O996" s="7" t="s">
        <v>19</v>
      </c>
      <c r="P996" s="3">
        <f t="shared" ref="P996:P1001" si="587">(C996+(E996*F996*H996))-N996</f>
        <v>24</v>
      </c>
      <c r="Q996" s="7" t="s">
        <v>19</v>
      </c>
      <c r="R996" s="8">
        <f t="shared" ref="R996:R1001" si="588">P996*(J996-(J996*L996)-((J996-(J996*L996))*M996))</f>
        <v>210000</v>
      </c>
      <c r="S996" s="8">
        <f t="shared" ref="S996:S1001" si="589">R996/1.11</f>
        <v>189189.18918918917</v>
      </c>
    </row>
    <row r="997" spans="1:19">
      <c r="A997" s="46" t="s">
        <v>688</v>
      </c>
      <c r="B997" s="2" t="s">
        <v>171</v>
      </c>
      <c r="C997" s="3">
        <v>40</v>
      </c>
      <c r="D997" s="4" t="s">
        <v>19</v>
      </c>
      <c r="F997" s="6">
        <v>1</v>
      </c>
      <c r="G997" s="7" t="s">
        <v>20</v>
      </c>
      <c r="H997" s="6">
        <v>160</v>
      </c>
      <c r="I997" s="7" t="s">
        <v>19</v>
      </c>
      <c r="J997" s="8">
        <v>8750</v>
      </c>
      <c r="K997" s="4" t="s">
        <v>19</v>
      </c>
      <c r="O997" s="7" t="s">
        <v>19</v>
      </c>
      <c r="P997" s="3">
        <f t="shared" si="587"/>
        <v>40</v>
      </c>
      <c r="Q997" s="7" t="s">
        <v>19</v>
      </c>
      <c r="R997" s="8">
        <f t="shared" si="588"/>
        <v>350000</v>
      </c>
      <c r="S997" s="8">
        <f t="shared" si="589"/>
        <v>315315.31531531527</v>
      </c>
    </row>
    <row r="998" spans="1:19" s="19" customFormat="1">
      <c r="A998" s="38" t="s">
        <v>832</v>
      </c>
      <c r="B998" s="19" t="s">
        <v>171</v>
      </c>
      <c r="C998" s="20"/>
      <c r="D998" s="21" t="s">
        <v>19</v>
      </c>
      <c r="E998" s="26">
        <v>6</v>
      </c>
      <c r="F998" s="22">
        <v>1</v>
      </c>
      <c r="G998" s="23" t="s">
        <v>20</v>
      </c>
      <c r="H998" s="22">
        <v>160</v>
      </c>
      <c r="I998" s="23" t="s">
        <v>19</v>
      </c>
      <c r="J998" s="24">
        <v>9500</v>
      </c>
      <c r="K998" s="21" t="s">
        <v>19</v>
      </c>
      <c r="L998" s="25">
        <v>0.05</v>
      </c>
      <c r="M998" s="25"/>
      <c r="N998" s="22"/>
      <c r="O998" s="23" t="s">
        <v>19</v>
      </c>
      <c r="P998" s="20">
        <f t="shared" si="587"/>
        <v>960</v>
      </c>
      <c r="Q998" s="23" t="s">
        <v>19</v>
      </c>
      <c r="R998" s="24">
        <f t="shared" si="588"/>
        <v>8664000</v>
      </c>
      <c r="S998" s="24">
        <f t="shared" si="589"/>
        <v>7805405.405405405</v>
      </c>
    </row>
    <row r="999" spans="1:19">
      <c r="A999" s="38" t="s">
        <v>827</v>
      </c>
      <c r="B999" s="2" t="s">
        <v>171</v>
      </c>
      <c r="D999" s="4" t="s">
        <v>19</v>
      </c>
      <c r="E999" s="5">
        <v>3</v>
      </c>
      <c r="F999" s="6">
        <v>1</v>
      </c>
      <c r="G999" s="7" t="s">
        <v>20</v>
      </c>
      <c r="H999" s="6">
        <v>192</v>
      </c>
      <c r="I999" s="7" t="s">
        <v>19</v>
      </c>
      <c r="J999" s="8">
        <v>9500</v>
      </c>
      <c r="K999" s="4" t="s">
        <v>19</v>
      </c>
      <c r="L999" s="9">
        <v>0.05</v>
      </c>
      <c r="O999" s="7" t="s">
        <v>19</v>
      </c>
      <c r="P999" s="3">
        <f t="shared" si="587"/>
        <v>576</v>
      </c>
      <c r="Q999" s="7" t="s">
        <v>19</v>
      </c>
      <c r="R999" s="8">
        <f t="shared" si="588"/>
        <v>5198400</v>
      </c>
      <c r="S999" s="8">
        <f t="shared" si="589"/>
        <v>4683243.2432432426</v>
      </c>
    </row>
    <row r="1000" spans="1:19" s="19" customFormat="1">
      <c r="A1000" s="38" t="s">
        <v>893</v>
      </c>
      <c r="B1000" s="19" t="s">
        <v>171</v>
      </c>
      <c r="C1000" s="20"/>
      <c r="D1000" s="21" t="s">
        <v>19</v>
      </c>
      <c r="E1000" s="26">
        <v>10</v>
      </c>
      <c r="F1000" s="22">
        <v>1</v>
      </c>
      <c r="G1000" s="23" t="s">
        <v>20</v>
      </c>
      <c r="H1000" s="22">
        <v>144</v>
      </c>
      <c r="I1000" s="23" t="s">
        <v>19</v>
      </c>
      <c r="J1000" s="24">
        <v>9500</v>
      </c>
      <c r="K1000" s="21" t="s">
        <v>19</v>
      </c>
      <c r="L1000" s="25">
        <v>0.05</v>
      </c>
      <c r="M1000" s="25"/>
      <c r="N1000" s="22"/>
      <c r="O1000" s="23" t="s">
        <v>19</v>
      </c>
      <c r="P1000" s="20">
        <f t="shared" si="587"/>
        <v>1440</v>
      </c>
      <c r="Q1000" s="23" t="s">
        <v>19</v>
      </c>
      <c r="R1000" s="24">
        <f t="shared" si="588"/>
        <v>12996000</v>
      </c>
      <c r="S1000" s="24">
        <f t="shared" si="589"/>
        <v>11708108.108108107</v>
      </c>
    </row>
    <row r="1001" spans="1:19" s="19" customFormat="1">
      <c r="A1001" s="38" t="s">
        <v>894</v>
      </c>
      <c r="B1001" s="19" t="s">
        <v>171</v>
      </c>
      <c r="C1001" s="20"/>
      <c r="D1001" s="21" t="s">
        <v>19</v>
      </c>
      <c r="E1001" s="26">
        <v>25</v>
      </c>
      <c r="F1001" s="22">
        <v>1</v>
      </c>
      <c r="G1001" s="23" t="s">
        <v>20</v>
      </c>
      <c r="H1001" s="22">
        <v>144</v>
      </c>
      <c r="I1001" s="23" t="s">
        <v>19</v>
      </c>
      <c r="J1001" s="24">
        <v>9500</v>
      </c>
      <c r="K1001" s="21" t="s">
        <v>19</v>
      </c>
      <c r="L1001" s="25">
        <v>0.05</v>
      </c>
      <c r="M1001" s="25"/>
      <c r="N1001" s="22"/>
      <c r="O1001" s="23" t="s">
        <v>19</v>
      </c>
      <c r="P1001" s="20">
        <f t="shared" si="587"/>
        <v>3600</v>
      </c>
      <c r="Q1001" s="23" t="s">
        <v>19</v>
      </c>
      <c r="R1001" s="24">
        <f t="shared" si="588"/>
        <v>32490000</v>
      </c>
      <c r="S1001" s="24">
        <f t="shared" si="589"/>
        <v>29270270.270270269</v>
      </c>
    </row>
    <row r="1002" spans="1:19" s="19" customFormat="1">
      <c r="A1002" s="38" t="s">
        <v>930</v>
      </c>
      <c r="B1002" s="19" t="s">
        <v>171</v>
      </c>
      <c r="C1002" s="20">
        <v>142</v>
      </c>
      <c r="D1002" s="21" t="s">
        <v>19</v>
      </c>
      <c r="E1002" s="26">
        <v>2</v>
      </c>
      <c r="F1002" s="22">
        <v>1</v>
      </c>
      <c r="G1002" s="23" t="s">
        <v>20</v>
      </c>
      <c r="H1002" s="22">
        <v>144</v>
      </c>
      <c r="I1002" s="23" t="s">
        <v>19</v>
      </c>
      <c r="J1002" s="24">
        <v>10000</v>
      </c>
      <c r="K1002" s="21" t="s">
        <v>19</v>
      </c>
      <c r="L1002" s="25">
        <v>0.05</v>
      </c>
      <c r="M1002" s="25"/>
      <c r="N1002" s="22"/>
      <c r="O1002" s="23" t="s">
        <v>19</v>
      </c>
      <c r="P1002" s="20">
        <f t="shared" ref="P1002:P1005" si="590">(C1002+(E1002*F1002*H1002))-N1002</f>
        <v>430</v>
      </c>
      <c r="Q1002" s="23" t="s">
        <v>19</v>
      </c>
      <c r="R1002" s="24">
        <f t="shared" ref="R1002:R1005" si="591">P1002*(J1002-(J1002*L1002)-((J1002-(J1002*L1002))*M1002))</f>
        <v>4085000</v>
      </c>
      <c r="S1002" s="24">
        <f t="shared" ref="S1002:S1005" si="592">R1002/1.11</f>
        <v>3680180.1801801799</v>
      </c>
    </row>
    <row r="1003" spans="1:19" s="19" customFormat="1">
      <c r="A1003" s="38" t="s">
        <v>931</v>
      </c>
      <c r="B1003" s="19" t="s">
        <v>171</v>
      </c>
      <c r="C1003" s="20"/>
      <c r="D1003" s="21" t="s">
        <v>19</v>
      </c>
      <c r="E1003" s="26">
        <v>1</v>
      </c>
      <c r="F1003" s="22">
        <v>1</v>
      </c>
      <c r="G1003" s="23" t="s">
        <v>20</v>
      </c>
      <c r="H1003" s="22">
        <v>144</v>
      </c>
      <c r="I1003" s="23" t="s">
        <v>19</v>
      </c>
      <c r="J1003" s="24">
        <v>10000</v>
      </c>
      <c r="K1003" s="21" t="s">
        <v>19</v>
      </c>
      <c r="L1003" s="25">
        <v>0.05</v>
      </c>
      <c r="M1003" s="25"/>
      <c r="N1003" s="22"/>
      <c r="O1003" s="23" t="s">
        <v>19</v>
      </c>
      <c r="P1003" s="20">
        <f t="shared" si="590"/>
        <v>144</v>
      </c>
      <c r="Q1003" s="23" t="s">
        <v>19</v>
      </c>
      <c r="R1003" s="24">
        <f t="shared" si="591"/>
        <v>1368000</v>
      </c>
      <c r="S1003" s="24">
        <f t="shared" si="592"/>
        <v>1232432.4324324324</v>
      </c>
    </row>
    <row r="1004" spans="1:19" s="19" customFormat="1">
      <c r="A1004" s="38" t="s">
        <v>932</v>
      </c>
      <c r="B1004" s="19" t="s">
        <v>171</v>
      </c>
      <c r="C1004" s="20"/>
      <c r="D1004" s="21" t="s">
        <v>19</v>
      </c>
      <c r="E1004" s="26">
        <v>11</v>
      </c>
      <c r="F1004" s="22">
        <v>1</v>
      </c>
      <c r="G1004" s="23" t="s">
        <v>20</v>
      </c>
      <c r="H1004" s="22">
        <v>144</v>
      </c>
      <c r="I1004" s="23" t="s">
        <v>19</v>
      </c>
      <c r="J1004" s="24">
        <v>10500</v>
      </c>
      <c r="K1004" s="21" t="s">
        <v>19</v>
      </c>
      <c r="L1004" s="25">
        <v>0.05</v>
      </c>
      <c r="M1004" s="25"/>
      <c r="N1004" s="22"/>
      <c r="O1004" s="23" t="s">
        <v>19</v>
      </c>
      <c r="P1004" s="20">
        <f t="shared" si="590"/>
        <v>1584</v>
      </c>
      <c r="Q1004" s="23" t="s">
        <v>19</v>
      </c>
      <c r="R1004" s="24">
        <f t="shared" si="591"/>
        <v>15800400</v>
      </c>
      <c r="S1004" s="24">
        <f t="shared" si="592"/>
        <v>14234594.594594594</v>
      </c>
    </row>
    <row r="1005" spans="1:19" s="19" customFormat="1">
      <c r="A1005" s="38" t="s">
        <v>933</v>
      </c>
      <c r="B1005" s="19" t="s">
        <v>171</v>
      </c>
      <c r="C1005" s="20">
        <v>143</v>
      </c>
      <c r="D1005" s="21" t="s">
        <v>19</v>
      </c>
      <c r="E1005" s="26">
        <v>5</v>
      </c>
      <c r="F1005" s="22">
        <v>1</v>
      </c>
      <c r="G1005" s="23" t="s">
        <v>20</v>
      </c>
      <c r="H1005" s="22">
        <v>144</v>
      </c>
      <c r="I1005" s="23" t="s">
        <v>19</v>
      </c>
      <c r="J1005" s="24">
        <v>10500</v>
      </c>
      <c r="K1005" s="21" t="s">
        <v>19</v>
      </c>
      <c r="L1005" s="25">
        <v>0.05</v>
      </c>
      <c r="M1005" s="25"/>
      <c r="N1005" s="22"/>
      <c r="O1005" s="23" t="s">
        <v>19</v>
      </c>
      <c r="P1005" s="20">
        <f t="shared" si="590"/>
        <v>863</v>
      </c>
      <c r="Q1005" s="23" t="s">
        <v>19</v>
      </c>
      <c r="R1005" s="24">
        <f t="shared" si="591"/>
        <v>8608425</v>
      </c>
      <c r="S1005" s="24">
        <f t="shared" si="592"/>
        <v>7755337.8378378367</v>
      </c>
    </row>
    <row r="1006" spans="1:19" s="19" customFormat="1">
      <c r="A1006" s="38"/>
      <c r="C1006" s="20"/>
      <c r="D1006" s="21"/>
      <c r="E1006" s="26"/>
      <c r="F1006" s="22"/>
      <c r="G1006" s="23"/>
      <c r="H1006" s="22"/>
      <c r="I1006" s="23"/>
      <c r="J1006" s="24"/>
      <c r="K1006" s="21"/>
      <c r="L1006" s="25"/>
      <c r="M1006" s="25"/>
      <c r="N1006" s="22"/>
      <c r="O1006" s="23"/>
      <c r="P1006" s="20"/>
      <c r="Q1006" s="23"/>
      <c r="R1006" s="24"/>
      <c r="S1006" s="24"/>
    </row>
    <row r="1007" spans="1:19" s="19" customFormat="1">
      <c r="A1007" s="159" t="s">
        <v>964</v>
      </c>
      <c r="B1007" s="19" t="s">
        <v>171</v>
      </c>
      <c r="C1007" s="20"/>
      <c r="D1007" s="21" t="s">
        <v>19</v>
      </c>
      <c r="E1007" s="26">
        <v>50</v>
      </c>
      <c r="F1007" s="22">
        <v>1</v>
      </c>
      <c r="G1007" s="23" t="s">
        <v>20</v>
      </c>
      <c r="H1007" s="22">
        <v>160</v>
      </c>
      <c r="I1007" s="23" t="s">
        <v>19</v>
      </c>
      <c r="J1007" s="24">
        <v>8500</v>
      </c>
      <c r="K1007" s="21" t="s">
        <v>19</v>
      </c>
      <c r="L1007" s="25">
        <v>7.0000000000000007E-2</v>
      </c>
      <c r="M1007" s="25"/>
      <c r="N1007" s="22"/>
      <c r="O1007" s="23" t="s">
        <v>19</v>
      </c>
      <c r="P1007" s="20">
        <f t="shared" ref="P1007" si="593">(C1007+(E1007*F1007*H1007))-N1007</f>
        <v>8000</v>
      </c>
      <c r="Q1007" s="23" t="s">
        <v>19</v>
      </c>
      <c r="R1007" s="24">
        <f t="shared" ref="R1007" si="594">P1007*(J1007-(J1007*L1007)-((J1007-(J1007*L1007))*M1007))</f>
        <v>63240000</v>
      </c>
      <c r="S1007" s="24">
        <f t="shared" ref="S1007" si="595">R1007/1.11</f>
        <v>56972972.972972967</v>
      </c>
    </row>
    <row r="1008" spans="1:19" s="19" customFormat="1">
      <c r="A1008" s="159" t="s">
        <v>965</v>
      </c>
      <c r="B1008" s="19" t="s">
        <v>171</v>
      </c>
      <c r="C1008" s="20"/>
      <c r="D1008" s="21" t="s">
        <v>19</v>
      </c>
      <c r="E1008" s="26">
        <v>16</v>
      </c>
      <c r="F1008" s="22">
        <v>1</v>
      </c>
      <c r="G1008" s="23" t="s">
        <v>20</v>
      </c>
      <c r="H1008" s="22">
        <v>120</v>
      </c>
      <c r="I1008" s="23" t="s">
        <v>19</v>
      </c>
      <c r="J1008" s="24">
        <v>11500</v>
      </c>
      <c r="K1008" s="21" t="s">
        <v>19</v>
      </c>
      <c r="L1008" s="25">
        <v>7.0000000000000007E-2</v>
      </c>
      <c r="M1008" s="25"/>
      <c r="N1008" s="22"/>
      <c r="O1008" s="23" t="s">
        <v>19</v>
      </c>
      <c r="P1008" s="20">
        <f t="shared" ref="P1008:P1022" si="596">(C1008+(E1008*F1008*H1008))-N1008</f>
        <v>1920</v>
      </c>
      <c r="Q1008" s="23" t="s">
        <v>19</v>
      </c>
      <c r="R1008" s="24">
        <f t="shared" ref="R1008:R1022" si="597">P1008*(J1008-(J1008*L1008)-((J1008-(J1008*L1008))*M1008))</f>
        <v>20534400</v>
      </c>
      <c r="S1008" s="24">
        <f t="shared" ref="S1008:S1022" si="598">R1008/1.11</f>
        <v>18499459.459459458</v>
      </c>
    </row>
    <row r="1009" spans="1:19" s="19" customFormat="1">
      <c r="A1009" s="159" t="s">
        <v>966</v>
      </c>
      <c r="B1009" s="19" t="s">
        <v>171</v>
      </c>
      <c r="C1009" s="20"/>
      <c r="D1009" s="21" t="s">
        <v>19</v>
      </c>
      <c r="E1009" s="26">
        <v>43</v>
      </c>
      <c r="F1009" s="22">
        <v>1</v>
      </c>
      <c r="G1009" s="23" t="s">
        <v>20</v>
      </c>
      <c r="H1009" s="22">
        <v>144</v>
      </c>
      <c r="I1009" s="23" t="s">
        <v>19</v>
      </c>
      <c r="J1009" s="24">
        <v>9250</v>
      </c>
      <c r="K1009" s="21" t="s">
        <v>19</v>
      </c>
      <c r="L1009" s="25">
        <v>7.0000000000000007E-2</v>
      </c>
      <c r="M1009" s="25"/>
      <c r="N1009" s="22"/>
      <c r="O1009" s="23" t="s">
        <v>19</v>
      </c>
      <c r="P1009" s="20">
        <f t="shared" si="596"/>
        <v>6192</v>
      </c>
      <c r="Q1009" s="23" t="s">
        <v>19</v>
      </c>
      <c r="R1009" s="24">
        <f t="shared" si="597"/>
        <v>53266680</v>
      </c>
      <c r="S1009" s="24">
        <f t="shared" si="598"/>
        <v>47987999.999999993</v>
      </c>
    </row>
    <row r="1010" spans="1:19" s="19" customFormat="1">
      <c r="A1010" s="159" t="s">
        <v>967</v>
      </c>
      <c r="B1010" s="19" t="s">
        <v>171</v>
      </c>
      <c r="C1010" s="20"/>
      <c r="D1010" s="21" t="s">
        <v>19</v>
      </c>
      <c r="E1010" s="26">
        <v>26</v>
      </c>
      <c r="F1010" s="22">
        <v>1</v>
      </c>
      <c r="G1010" s="23" t="s">
        <v>20</v>
      </c>
      <c r="H1010" s="22">
        <v>160</v>
      </c>
      <c r="I1010" s="23" t="s">
        <v>19</v>
      </c>
      <c r="J1010" s="24">
        <v>9250</v>
      </c>
      <c r="K1010" s="21" t="s">
        <v>19</v>
      </c>
      <c r="L1010" s="25">
        <v>7.0000000000000007E-2</v>
      </c>
      <c r="M1010" s="25"/>
      <c r="N1010" s="22"/>
      <c r="O1010" s="23" t="s">
        <v>19</v>
      </c>
      <c r="P1010" s="20">
        <f t="shared" si="596"/>
        <v>4160</v>
      </c>
      <c r="Q1010" s="23" t="s">
        <v>19</v>
      </c>
      <c r="R1010" s="24">
        <f t="shared" si="597"/>
        <v>35786400</v>
      </c>
      <c r="S1010" s="24">
        <f t="shared" si="598"/>
        <v>32239999.999999996</v>
      </c>
    </row>
    <row r="1011" spans="1:19" s="19" customFormat="1">
      <c r="A1011" s="159" t="s">
        <v>827</v>
      </c>
      <c r="B1011" s="19" t="s">
        <v>171</v>
      </c>
      <c r="C1011" s="20"/>
      <c r="D1011" s="21" t="s">
        <v>19</v>
      </c>
      <c r="E1011" s="26">
        <v>28</v>
      </c>
      <c r="F1011" s="22">
        <v>1</v>
      </c>
      <c r="G1011" s="23" t="s">
        <v>20</v>
      </c>
      <c r="H1011" s="22">
        <v>192</v>
      </c>
      <c r="I1011" s="23" t="s">
        <v>19</v>
      </c>
      <c r="J1011" s="24">
        <v>9250</v>
      </c>
      <c r="K1011" s="21" t="s">
        <v>19</v>
      </c>
      <c r="L1011" s="25">
        <v>7.0000000000000007E-2</v>
      </c>
      <c r="M1011" s="25"/>
      <c r="N1011" s="22"/>
      <c r="O1011" s="23" t="s">
        <v>19</v>
      </c>
      <c r="P1011" s="20">
        <f t="shared" si="596"/>
        <v>5376</v>
      </c>
      <c r="Q1011" s="23" t="s">
        <v>19</v>
      </c>
      <c r="R1011" s="24">
        <f t="shared" si="597"/>
        <v>46247040</v>
      </c>
      <c r="S1011" s="24">
        <f t="shared" si="598"/>
        <v>41664000</v>
      </c>
    </row>
    <row r="1012" spans="1:19" s="19" customFormat="1">
      <c r="A1012" s="159" t="s">
        <v>997</v>
      </c>
      <c r="B1012" s="19" t="s">
        <v>171</v>
      </c>
      <c r="C1012" s="20"/>
      <c r="D1012" s="21" t="s">
        <v>19</v>
      </c>
      <c r="E1012" s="26">
        <v>21</v>
      </c>
      <c r="F1012" s="22">
        <v>1</v>
      </c>
      <c r="G1012" s="23" t="s">
        <v>20</v>
      </c>
      <c r="H1012" s="22">
        <v>192</v>
      </c>
      <c r="I1012" s="23" t="s">
        <v>19</v>
      </c>
      <c r="J1012" s="24">
        <v>9250</v>
      </c>
      <c r="K1012" s="21" t="s">
        <v>19</v>
      </c>
      <c r="L1012" s="25">
        <v>7.0000000000000007E-2</v>
      </c>
      <c r="M1012" s="25"/>
      <c r="N1012" s="22"/>
      <c r="O1012" s="23" t="s">
        <v>19</v>
      </c>
      <c r="P1012" s="20">
        <f t="shared" ref="P1012" si="599">(C1012+(E1012*F1012*H1012))-N1012</f>
        <v>4032</v>
      </c>
      <c r="Q1012" s="23" t="s">
        <v>19</v>
      </c>
      <c r="R1012" s="24">
        <f t="shared" ref="R1012" si="600">P1012*(J1012-(J1012*L1012)-((J1012-(J1012*L1012))*M1012))</f>
        <v>34685280</v>
      </c>
      <c r="S1012" s="24">
        <f t="shared" ref="S1012" si="601">R1012/1.11</f>
        <v>31247999.999999996</v>
      </c>
    </row>
    <row r="1013" spans="1:19" s="19" customFormat="1">
      <c r="A1013" s="159" t="s">
        <v>893</v>
      </c>
      <c r="B1013" s="19" t="s">
        <v>171</v>
      </c>
      <c r="C1013" s="20"/>
      <c r="D1013" s="21" t="s">
        <v>19</v>
      </c>
      <c r="E1013" s="26">
        <v>44</v>
      </c>
      <c r="F1013" s="22">
        <v>1</v>
      </c>
      <c r="G1013" s="23" t="s">
        <v>20</v>
      </c>
      <c r="H1013" s="22">
        <v>144</v>
      </c>
      <c r="I1013" s="23" t="s">
        <v>19</v>
      </c>
      <c r="J1013" s="24">
        <v>9250</v>
      </c>
      <c r="K1013" s="21" t="s">
        <v>19</v>
      </c>
      <c r="L1013" s="25">
        <v>7.0000000000000007E-2</v>
      </c>
      <c r="M1013" s="25"/>
      <c r="N1013" s="22"/>
      <c r="O1013" s="23" t="s">
        <v>19</v>
      </c>
      <c r="P1013" s="20">
        <f t="shared" si="596"/>
        <v>6336</v>
      </c>
      <c r="Q1013" s="23" t="s">
        <v>19</v>
      </c>
      <c r="R1013" s="24">
        <f t="shared" si="597"/>
        <v>54505440</v>
      </c>
      <c r="S1013" s="24">
        <f t="shared" si="598"/>
        <v>49103999.999999993</v>
      </c>
    </row>
    <row r="1014" spans="1:19" s="19" customFormat="1">
      <c r="A1014" s="159" t="s">
        <v>894</v>
      </c>
      <c r="B1014" s="19" t="s">
        <v>171</v>
      </c>
      <c r="C1014" s="20"/>
      <c r="D1014" s="21" t="s">
        <v>19</v>
      </c>
      <c r="E1014" s="26">
        <v>21</v>
      </c>
      <c r="F1014" s="22">
        <v>1</v>
      </c>
      <c r="G1014" s="23" t="s">
        <v>20</v>
      </c>
      <c r="H1014" s="22">
        <v>144</v>
      </c>
      <c r="I1014" s="23" t="s">
        <v>19</v>
      </c>
      <c r="J1014" s="24">
        <v>9250</v>
      </c>
      <c r="K1014" s="21" t="s">
        <v>19</v>
      </c>
      <c r="L1014" s="25">
        <v>7.0000000000000007E-2</v>
      </c>
      <c r="M1014" s="25"/>
      <c r="N1014" s="22"/>
      <c r="O1014" s="23" t="s">
        <v>19</v>
      </c>
      <c r="P1014" s="20">
        <f t="shared" si="596"/>
        <v>3024</v>
      </c>
      <c r="Q1014" s="23" t="s">
        <v>19</v>
      </c>
      <c r="R1014" s="24">
        <f t="shared" si="597"/>
        <v>26013960</v>
      </c>
      <c r="S1014" s="24">
        <f t="shared" si="598"/>
        <v>23435999.999999996</v>
      </c>
    </row>
    <row r="1015" spans="1:19" s="19" customFormat="1">
      <c r="A1015" s="159" t="s">
        <v>932</v>
      </c>
      <c r="B1015" s="19" t="s">
        <v>171</v>
      </c>
      <c r="C1015" s="20"/>
      <c r="D1015" s="21" t="s">
        <v>19</v>
      </c>
      <c r="E1015" s="26">
        <v>10</v>
      </c>
      <c r="F1015" s="22">
        <v>1</v>
      </c>
      <c r="G1015" s="23" t="s">
        <v>20</v>
      </c>
      <c r="H1015" s="22">
        <v>144</v>
      </c>
      <c r="I1015" s="23" t="s">
        <v>19</v>
      </c>
      <c r="J1015" s="24">
        <v>10500</v>
      </c>
      <c r="K1015" s="21" t="s">
        <v>19</v>
      </c>
      <c r="L1015" s="25">
        <v>7.0000000000000007E-2</v>
      </c>
      <c r="M1015" s="25"/>
      <c r="N1015" s="22"/>
      <c r="O1015" s="23" t="s">
        <v>19</v>
      </c>
      <c r="P1015" s="20">
        <f t="shared" si="596"/>
        <v>1440</v>
      </c>
      <c r="Q1015" s="23" t="s">
        <v>19</v>
      </c>
      <c r="R1015" s="24">
        <f t="shared" si="597"/>
        <v>14061600</v>
      </c>
      <c r="S1015" s="24">
        <f t="shared" si="598"/>
        <v>12668108.108108107</v>
      </c>
    </row>
    <row r="1016" spans="1:19" s="19" customFormat="1">
      <c r="A1016" s="159" t="s">
        <v>968</v>
      </c>
      <c r="B1016" s="19" t="s">
        <v>171</v>
      </c>
      <c r="C1016" s="20"/>
      <c r="D1016" s="21" t="s">
        <v>19</v>
      </c>
      <c r="E1016" s="26">
        <v>1</v>
      </c>
      <c r="F1016" s="22">
        <v>1</v>
      </c>
      <c r="G1016" s="23" t="s">
        <v>20</v>
      </c>
      <c r="H1016" s="22">
        <v>192</v>
      </c>
      <c r="I1016" s="23" t="s">
        <v>19</v>
      </c>
      <c r="J1016" s="24">
        <v>10000</v>
      </c>
      <c r="K1016" s="21" t="s">
        <v>19</v>
      </c>
      <c r="L1016" s="25">
        <v>7.0000000000000007E-2</v>
      </c>
      <c r="M1016" s="25"/>
      <c r="N1016" s="22"/>
      <c r="O1016" s="23" t="s">
        <v>19</v>
      </c>
      <c r="P1016" s="20">
        <f t="shared" si="596"/>
        <v>192</v>
      </c>
      <c r="Q1016" s="23" t="s">
        <v>19</v>
      </c>
      <c r="R1016" s="24">
        <f t="shared" si="597"/>
        <v>1785600</v>
      </c>
      <c r="S1016" s="24">
        <f t="shared" si="598"/>
        <v>1608648.6486486485</v>
      </c>
    </row>
    <row r="1017" spans="1:19" s="19" customFormat="1">
      <c r="A1017" s="159" t="s">
        <v>969</v>
      </c>
      <c r="B1017" s="19" t="s">
        <v>171</v>
      </c>
      <c r="C1017" s="20"/>
      <c r="D1017" s="21" t="s">
        <v>19</v>
      </c>
      <c r="E1017" s="26">
        <v>8</v>
      </c>
      <c r="F1017" s="22">
        <v>1</v>
      </c>
      <c r="G1017" s="23" t="s">
        <v>20</v>
      </c>
      <c r="H1017" s="22">
        <v>144</v>
      </c>
      <c r="I1017" s="23" t="s">
        <v>19</v>
      </c>
      <c r="J1017" s="24">
        <v>11500</v>
      </c>
      <c r="K1017" s="21" t="s">
        <v>19</v>
      </c>
      <c r="L1017" s="25">
        <v>7.0000000000000007E-2</v>
      </c>
      <c r="M1017" s="25"/>
      <c r="N1017" s="22"/>
      <c r="O1017" s="23" t="s">
        <v>19</v>
      </c>
      <c r="P1017" s="20">
        <f t="shared" si="596"/>
        <v>1152</v>
      </c>
      <c r="Q1017" s="23" t="s">
        <v>19</v>
      </c>
      <c r="R1017" s="24">
        <f t="shared" si="597"/>
        <v>12320640</v>
      </c>
      <c r="S1017" s="24">
        <f t="shared" si="598"/>
        <v>11099675.675675675</v>
      </c>
    </row>
    <row r="1018" spans="1:19" s="19" customFormat="1">
      <c r="A1018" s="159" t="s">
        <v>970</v>
      </c>
      <c r="B1018" s="19" t="s">
        <v>171</v>
      </c>
      <c r="C1018" s="20">
        <v>143</v>
      </c>
      <c r="D1018" s="21" t="s">
        <v>19</v>
      </c>
      <c r="E1018" s="26">
        <v>32</v>
      </c>
      <c r="F1018" s="22">
        <v>1</v>
      </c>
      <c r="G1018" s="23" t="s">
        <v>20</v>
      </c>
      <c r="H1018" s="22">
        <v>144</v>
      </c>
      <c r="I1018" s="23" t="s">
        <v>19</v>
      </c>
      <c r="J1018" s="24">
        <v>10500</v>
      </c>
      <c r="K1018" s="21" t="s">
        <v>19</v>
      </c>
      <c r="L1018" s="25">
        <v>7.0000000000000007E-2</v>
      </c>
      <c r="M1018" s="25"/>
      <c r="N1018" s="22"/>
      <c r="O1018" s="23" t="s">
        <v>19</v>
      </c>
      <c r="P1018" s="20">
        <f t="shared" si="596"/>
        <v>4751</v>
      </c>
      <c r="Q1018" s="23" t="s">
        <v>19</v>
      </c>
      <c r="R1018" s="24">
        <f t="shared" si="597"/>
        <v>46393515</v>
      </c>
      <c r="S1018" s="24">
        <f t="shared" si="598"/>
        <v>41795959.459459454</v>
      </c>
    </row>
    <row r="1019" spans="1:19" s="19" customFormat="1">
      <c r="A1019" s="159" t="s">
        <v>971</v>
      </c>
      <c r="B1019" s="19" t="s">
        <v>171</v>
      </c>
      <c r="C1019" s="20"/>
      <c r="D1019" s="21" t="s">
        <v>19</v>
      </c>
      <c r="E1019" s="26">
        <v>10</v>
      </c>
      <c r="F1019" s="22">
        <v>1</v>
      </c>
      <c r="G1019" s="23" t="s">
        <v>20</v>
      </c>
      <c r="H1019" s="22">
        <v>144</v>
      </c>
      <c r="I1019" s="23" t="s">
        <v>19</v>
      </c>
      <c r="J1019" s="24">
        <v>11000</v>
      </c>
      <c r="K1019" s="21" t="s">
        <v>19</v>
      </c>
      <c r="L1019" s="25">
        <v>7.0000000000000007E-2</v>
      </c>
      <c r="M1019" s="25"/>
      <c r="N1019" s="22"/>
      <c r="O1019" s="23" t="s">
        <v>19</v>
      </c>
      <c r="P1019" s="20">
        <f t="shared" si="596"/>
        <v>1440</v>
      </c>
      <c r="Q1019" s="23" t="s">
        <v>19</v>
      </c>
      <c r="R1019" s="24">
        <f t="shared" si="597"/>
        <v>14731200</v>
      </c>
      <c r="S1019" s="24">
        <f t="shared" si="598"/>
        <v>13271351.351351351</v>
      </c>
    </row>
    <row r="1020" spans="1:19" s="19" customFormat="1">
      <c r="A1020" s="159" t="s">
        <v>972</v>
      </c>
      <c r="B1020" s="19" t="s">
        <v>171</v>
      </c>
      <c r="C1020" s="20"/>
      <c r="D1020" s="21" t="s">
        <v>19</v>
      </c>
      <c r="E1020" s="26">
        <v>25</v>
      </c>
      <c r="F1020" s="22">
        <v>1</v>
      </c>
      <c r="G1020" s="23" t="s">
        <v>20</v>
      </c>
      <c r="H1020" s="22">
        <v>144</v>
      </c>
      <c r="I1020" s="23" t="s">
        <v>19</v>
      </c>
      <c r="J1020" s="24">
        <v>11500</v>
      </c>
      <c r="K1020" s="21" t="s">
        <v>19</v>
      </c>
      <c r="L1020" s="25">
        <v>7.0000000000000007E-2</v>
      </c>
      <c r="M1020" s="25"/>
      <c r="N1020" s="22"/>
      <c r="O1020" s="23" t="s">
        <v>19</v>
      </c>
      <c r="P1020" s="20">
        <f t="shared" si="596"/>
        <v>3600</v>
      </c>
      <c r="Q1020" s="23" t="s">
        <v>19</v>
      </c>
      <c r="R1020" s="24">
        <f t="shared" si="597"/>
        <v>38502000</v>
      </c>
      <c r="S1020" s="24">
        <f t="shared" si="598"/>
        <v>34686486.486486487</v>
      </c>
    </row>
    <row r="1021" spans="1:19" s="19" customFormat="1">
      <c r="A1021" s="159" t="s">
        <v>998</v>
      </c>
      <c r="B1021" s="19" t="s">
        <v>171</v>
      </c>
      <c r="C1021" s="20"/>
      <c r="D1021" s="21" t="s">
        <v>19</v>
      </c>
      <c r="E1021" s="26">
        <v>10</v>
      </c>
      <c r="F1021" s="22">
        <v>1</v>
      </c>
      <c r="G1021" s="23" t="s">
        <v>20</v>
      </c>
      <c r="H1021" s="22">
        <v>192</v>
      </c>
      <c r="I1021" s="23" t="s">
        <v>19</v>
      </c>
      <c r="J1021" s="24">
        <v>9250</v>
      </c>
      <c r="K1021" s="21" t="s">
        <v>19</v>
      </c>
      <c r="L1021" s="25">
        <v>7.0000000000000007E-2</v>
      </c>
      <c r="M1021" s="25"/>
      <c r="N1021" s="22"/>
      <c r="O1021" s="23" t="s">
        <v>19</v>
      </c>
      <c r="P1021" s="20">
        <f t="shared" ref="P1021" si="602">(C1021+(E1021*F1021*H1021))-N1021</f>
        <v>1920</v>
      </c>
      <c r="Q1021" s="23" t="s">
        <v>19</v>
      </c>
      <c r="R1021" s="24">
        <f t="shared" ref="R1021" si="603">P1021*(J1021-(J1021*L1021)-((J1021-(J1021*L1021))*M1021))</f>
        <v>16516800</v>
      </c>
      <c r="S1021" s="24">
        <f t="shared" ref="S1021" si="604">R1021/1.11</f>
        <v>14879999.999999998</v>
      </c>
    </row>
    <row r="1022" spans="1:19" s="19" customFormat="1">
      <c r="A1022" s="159" t="s">
        <v>973</v>
      </c>
      <c r="B1022" s="19" t="s">
        <v>171</v>
      </c>
      <c r="C1022" s="20"/>
      <c r="D1022" s="21" t="s">
        <v>19</v>
      </c>
      <c r="E1022" s="26">
        <v>20</v>
      </c>
      <c r="F1022" s="22">
        <v>1</v>
      </c>
      <c r="G1022" s="23" t="s">
        <v>20</v>
      </c>
      <c r="H1022" s="22">
        <v>144</v>
      </c>
      <c r="I1022" s="23" t="s">
        <v>19</v>
      </c>
      <c r="J1022" s="24">
        <v>11000</v>
      </c>
      <c r="K1022" s="21" t="s">
        <v>19</v>
      </c>
      <c r="L1022" s="25">
        <v>7.0000000000000007E-2</v>
      </c>
      <c r="M1022" s="25"/>
      <c r="N1022" s="22"/>
      <c r="O1022" s="23" t="s">
        <v>19</v>
      </c>
      <c r="P1022" s="20">
        <f t="shared" si="596"/>
        <v>2880</v>
      </c>
      <c r="Q1022" s="23" t="s">
        <v>19</v>
      </c>
      <c r="R1022" s="24">
        <f t="shared" si="597"/>
        <v>29462400</v>
      </c>
      <c r="S1022" s="24">
        <f t="shared" si="598"/>
        <v>26542702.702702701</v>
      </c>
    </row>
    <row r="1023" spans="1:19" s="19" customFormat="1">
      <c r="A1023" s="159" t="s">
        <v>999</v>
      </c>
      <c r="B1023" s="19" t="s">
        <v>171</v>
      </c>
      <c r="C1023" s="20"/>
      <c r="D1023" s="21" t="s">
        <v>19</v>
      </c>
      <c r="E1023" s="26">
        <v>26</v>
      </c>
      <c r="F1023" s="22">
        <v>1</v>
      </c>
      <c r="G1023" s="23" t="s">
        <v>20</v>
      </c>
      <c r="H1023" s="22">
        <v>192</v>
      </c>
      <c r="I1023" s="23" t="s">
        <v>19</v>
      </c>
      <c r="J1023" s="24">
        <v>9500</v>
      </c>
      <c r="K1023" s="21" t="s">
        <v>19</v>
      </c>
      <c r="L1023" s="25">
        <v>7.0000000000000007E-2</v>
      </c>
      <c r="M1023" s="25"/>
      <c r="N1023" s="22"/>
      <c r="O1023" s="23" t="s">
        <v>19</v>
      </c>
      <c r="P1023" s="20">
        <f t="shared" ref="P1023" si="605">(C1023+(E1023*F1023*H1023))-N1023</f>
        <v>4992</v>
      </c>
      <c r="Q1023" s="23" t="s">
        <v>19</v>
      </c>
      <c r="R1023" s="24">
        <f t="shared" ref="R1023" si="606">P1023*(J1023-(J1023*L1023)-((J1023-(J1023*L1023))*M1023))</f>
        <v>44104320</v>
      </c>
      <c r="S1023" s="24">
        <f t="shared" ref="S1023" si="607">R1023/1.11</f>
        <v>39733621.621621616</v>
      </c>
    </row>
    <row r="1024" spans="1:19" s="19" customFormat="1">
      <c r="A1024" s="159" t="s">
        <v>981</v>
      </c>
      <c r="B1024" s="19" t="s">
        <v>171</v>
      </c>
      <c r="C1024" s="20"/>
      <c r="D1024" s="21" t="s">
        <v>19</v>
      </c>
      <c r="E1024" s="26">
        <v>58</v>
      </c>
      <c r="F1024" s="22">
        <v>1</v>
      </c>
      <c r="G1024" s="23" t="s">
        <v>20</v>
      </c>
      <c r="H1024" s="22">
        <v>144</v>
      </c>
      <c r="I1024" s="23" t="s">
        <v>19</v>
      </c>
      <c r="J1024" s="24">
        <v>8500</v>
      </c>
      <c r="K1024" s="21" t="s">
        <v>19</v>
      </c>
      <c r="L1024" s="25">
        <v>7.0000000000000007E-2</v>
      </c>
      <c r="M1024" s="25"/>
      <c r="N1024" s="22"/>
      <c r="O1024" s="23" t="s">
        <v>19</v>
      </c>
      <c r="P1024" s="20">
        <f t="shared" ref="P1024" si="608">(C1024+(E1024*F1024*H1024))-N1024</f>
        <v>8352</v>
      </c>
      <c r="Q1024" s="23" t="s">
        <v>19</v>
      </c>
      <c r="R1024" s="24">
        <f t="shared" ref="R1024" si="609">P1024*(J1024-(J1024*L1024)-((J1024-(J1024*L1024))*M1024))</f>
        <v>66022560</v>
      </c>
      <c r="S1024" s="24">
        <f t="shared" ref="S1024" si="610">R1024/1.11</f>
        <v>59479783.783783779</v>
      </c>
    </row>
    <row r="1025" spans="1:19">
      <c r="A1025" s="38"/>
    </row>
    <row r="1026" spans="1:19">
      <c r="A1026" s="17" t="s">
        <v>682</v>
      </c>
      <c r="B1026" s="2" t="s">
        <v>260</v>
      </c>
      <c r="C1026" s="3">
        <v>2244</v>
      </c>
      <c r="D1026" s="4" t="s">
        <v>19</v>
      </c>
      <c r="E1026" s="32"/>
      <c r="F1026" s="6">
        <v>1</v>
      </c>
      <c r="G1026" s="7" t="s">
        <v>20</v>
      </c>
      <c r="H1026" s="33">
        <v>480</v>
      </c>
      <c r="I1026" s="7" t="s">
        <v>19</v>
      </c>
      <c r="J1026" s="8">
        <v>26000</v>
      </c>
      <c r="K1026" s="4" t="s">
        <v>19</v>
      </c>
      <c r="L1026" s="31">
        <v>0.2</v>
      </c>
      <c r="O1026" s="7" t="s">
        <v>19</v>
      </c>
      <c r="P1026" s="3">
        <f>(C1026+(E1026*F1026*H1026))-N1026</f>
        <v>2244</v>
      </c>
      <c r="Q1026" s="7" t="s">
        <v>19</v>
      </c>
      <c r="R1026" s="8">
        <f>P1026*(J1026-(J1026*L1026)-((J1026-(J1026*L1026))*M1026))</f>
        <v>46675200</v>
      </c>
      <c r="S1026" s="8">
        <f>R1026/1.11</f>
        <v>42049729.729729727</v>
      </c>
    </row>
    <row r="1027" spans="1:19">
      <c r="A1027" s="17" t="s">
        <v>684</v>
      </c>
      <c r="B1027" s="2" t="s">
        <v>260</v>
      </c>
      <c r="C1027" s="3">
        <v>2208</v>
      </c>
      <c r="D1027" s="4" t="s">
        <v>19</v>
      </c>
      <c r="E1027" s="32"/>
      <c r="F1027" s="6">
        <v>1</v>
      </c>
      <c r="G1027" s="7" t="s">
        <v>20</v>
      </c>
      <c r="H1027" s="33">
        <v>480</v>
      </c>
      <c r="I1027" s="7" t="s">
        <v>19</v>
      </c>
      <c r="J1027" s="8">
        <v>20800</v>
      </c>
      <c r="K1027" s="4" t="s">
        <v>19</v>
      </c>
      <c r="L1027" s="31">
        <v>0.3</v>
      </c>
      <c r="O1027" s="7" t="s">
        <v>19</v>
      </c>
      <c r="P1027" s="3">
        <f>(C1027+(E1027*F1027*H1027))-N1027</f>
        <v>2208</v>
      </c>
      <c r="Q1027" s="7" t="s">
        <v>19</v>
      </c>
      <c r="R1027" s="8">
        <f>P1027*(J1027-(J1027*L1027)-((J1027-(J1027*L1027))*M1027))</f>
        <v>32148480</v>
      </c>
      <c r="S1027" s="8">
        <f>R1027/1.11</f>
        <v>28962594.59459459</v>
      </c>
    </row>
    <row r="1028" spans="1:19">
      <c r="A1028" s="17" t="s">
        <v>680</v>
      </c>
      <c r="B1028" s="2" t="s">
        <v>260</v>
      </c>
      <c r="C1028" s="3">
        <v>1944</v>
      </c>
      <c r="D1028" s="4" t="s">
        <v>19</v>
      </c>
      <c r="E1028" s="32"/>
      <c r="F1028" s="6">
        <v>1</v>
      </c>
      <c r="G1028" s="7" t="s">
        <v>20</v>
      </c>
      <c r="H1028" s="33">
        <v>480</v>
      </c>
      <c r="I1028" s="7" t="s">
        <v>19</v>
      </c>
      <c r="J1028" s="8">
        <v>15000</v>
      </c>
      <c r="K1028" s="4" t="s">
        <v>19</v>
      </c>
      <c r="L1028" s="31">
        <v>0.2</v>
      </c>
      <c r="O1028" s="7" t="s">
        <v>19</v>
      </c>
      <c r="P1028" s="3">
        <f>(C1028+(E1028*F1028*H1028))-N1028</f>
        <v>1944</v>
      </c>
      <c r="Q1028" s="7" t="s">
        <v>19</v>
      </c>
      <c r="R1028" s="8">
        <f>P1028*(J1028-(J1028*L1028)-((J1028-(J1028*L1028))*M1028))</f>
        <v>23328000</v>
      </c>
      <c r="S1028" s="8">
        <f>R1028/1.11</f>
        <v>21016216.216216214</v>
      </c>
    </row>
    <row r="1029" spans="1:19">
      <c r="A1029" s="17" t="s">
        <v>683</v>
      </c>
      <c r="B1029" s="2" t="s">
        <v>260</v>
      </c>
      <c r="C1029" s="3">
        <v>2094</v>
      </c>
      <c r="D1029" s="4" t="s">
        <v>19</v>
      </c>
      <c r="E1029" s="32"/>
      <c r="F1029" s="6">
        <v>1</v>
      </c>
      <c r="G1029" s="7" t="s">
        <v>20</v>
      </c>
      <c r="H1029" s="33">
        <v>480</v>
      </c>
      <c r="I1029" s="7" t="s">
        <v>19</v>
      </c>
      <c r="J1029" s="8">
        <v>29900</v>
      </c>
      <c r="K1029" s="4" t="s">
        <v>19</v>
      </c>
      <c r="L1029" s="31">
        <v>0.25</v>
      </c>
      <c r="O1029" s="7" t="s">
        <v>19</v>
      </c>
      <c r="P1029" s="3">
        <f>(C1029+(E1029*F1029*H1029))-N1029</f>
        <v>2094</v>
      </c>
      <c r="Q1029" s="7" t="s">
        <v>19</v>
      </c>
      <c r="R1029" s="8">
        <f>P1029*(J1029-(J1029*L1029)-((J1029-(J1029*L1029))*M1029))</f>
        <v>46957950</v>
      </c>
      <c r="S1029" s="8">
        <f>R1029/1.11</f>
        <v>42304459.459459454</v>
      </c>
    </row>
    <row r="1030" spans="1:19">
      <c r="A1030" s="17" t="s">
        <v>681</v>
      </c>
      <c r="B1030" s="2" t="s">
        <v>260</v>
      </c>
      <c r="C1030" s="3">
        <v>1272</v>
      </c>
      <c r="D1030" s="4" t="s">
        <v>19</v>
      </c>
      <c r="E1030" s="32"/>
      <c r="F1030" s="6">
        <v>1</v>
      </c>
      <c r="G1030" s="7" t="s">
        <v>20</v>
      </c>
      <c r="H1030" s="33">
        <v>384</v>
      </c>
      <c r="I1030" s="7" t="s">
        <v>19</v>
      </c>
      <c r="J1030" s="8">
        <v>16000</v>
      </c>
      <c r="K1030" s="4" t="s">
        <v>19</v>
      </c>
      <c r="L1030" s="31">
        <v>0.25</v>
      </c>
      <c r="O1030" s="7" t="s">
        <v>19</v>
      </c>
      <c r="P1030" s="3">
        <f>(C1030+(E1030*F1030*H1030))-N1030</f>
        <v>1272</v>
      </c>
      <c r="Q1030" s="7" t="s">
        <v>19</v>
      </c>
      <c r="R1030" s="8">
        <f>P1030*(J1030-(J1030*L1030)-((J1030-(J1030*L1030))*M1030))</f>
        <v>15264000</v>
      </c>
      <c r="S1030" s="8">
        <f>R1030/1.11</f>
        <v>13751351.351351351</v>
      </c>
    </row>
    <row r="1032" spans="1:19" ht="15.75">
      <c r="A1032" s="14" t="s">
        <v>495</v>
      </c>
    </row>
    <row r="1033" spans="1:19">
      <c r="A1033" s="15" t="s">
        <v>496</v>
      </c>
    </row>
    <row r="1034" spans="1:19">
      <c r="A1034" s="17" t="s">
        <v>763</v>
      </c>
      <c r="B1034" s="2" t="s">
        <v>18</v>
      </c>
      <c r="D1034" s="4" t="s">
        <v>33</v>
      </c>
      <c r="E1034" s="5">
        <v>6</v>
      </c>
      <c r="F1034" s="6">
        <v>1</v>
      </c>
      <c r="G1034" s="7" t="s">
        <v>20</v>
      </c>
      <c r="H1034" s="6">
        <v>48</v>
      </c>
      <c r="I1034" s="7" t="s">
        <v>33</v>
      </c>
      <c r="J1034" s="8">
        <v>31200</v>
      </c>
      <c r="K1034" s="4" t="s">
        <v>33</v>
      </c>
      <c r="L1034" s="9">
        <v>0.125</v>
      </c>
      <c r="M1034" s="9">
        <v>0.05</v>
      </c>
      <c r="O1034" s="7" t="s">
        <v>33</v>
      </c>
      <c r="P1034" s="3">
        <f>(C1034+(E1034*F1034*H1034))-N1034</f>
        <v>288</v>
      </c>
      <c r="Q1034" s="7" t="s">
        <v>33</v>
      </c>
      <c r="R1034" s="8">
        <f>P1034*(J1034-(J1034*L1034)-((J1034-(J1034*L1034))*M1034))</f>
        <v>7469280</v>
      </c>
      <c r="S1034" s="8">
        <f t="shared" si="526"/>
        <v>6729081.0810810803</v>
      </c>
    </row>
    <row r="1036" spans="1:19" s="19" customFormat="1">
      <c r="A1036" s="39" t="s">
        <v>764</v>
      </c>
      <c r="B1036" s="19" t="s">
        <v>25</v>
      </c>
      <c r="C1036" s="20">
        <v>122</v>
      </c>
      <c r="D1036" s="21" t="s">
        <v>40</v>
      </c>
      <c r="E1036" s="26">
        <v>11</v>
      </c>
      <c r="F1036" s="22">
        <v>1</v>
      </c>
      <c r="G1036" s="23" t="s">
        <v>20</v>
      </c>
      <c r="H1036" s="22">
        <v>48</v>
      </c>
      <c r="I1036" s="23" t="s">
        <v>40</v>
      </c>
      <c r="J1036" s="24">
        <f>1584000/48</f>
        <v>33000</v>
      </c>
      <c r="K1036" s="21" t="s">
        <v>40</v>
      </c>
      <c r="L1036" s="25"/>
      <c r="M1036" s="25">
        <v>0.17</v>
      </c>
      <c r="N1036" s="22"/>
      <c r="O1036" s="23" t="s">
        <v>40</v>
      </c>
      <c r="P1036" s="20">
        <f>(C1036+(E1036*F1036*H1036))-N1036</f>
        <v>650</v>
      </c>
      <c r="Q1036" s="23" t="s">
        <v>40</v>
      </c>
      <c r="R1036" s="24">
        <f>P1036*(J1036-(J1036*L1036)-((J1036-(J1036*L1036))*M1036))</f>
        <v>17803500</v>
      </c>
      <c r="S1036" s="24">
        <f t="shared" si="526"/>
        <v>16039189.189189188</v>
      </c>
    </row>
    <row r="1037" spans="1:19" s="19" customFormat="1">
      <c r="A1037" s="39"/>
      <c r="C1037" s="20"/>
      <c r="D1037" s="21"/>
      <c r="E1037" s="26"/>
      <c r="F1037" s="22"/>
      <c r="G1037" s="23"/>
      <c r="H1037" s="22"/>
      <c r="I1037" s="23"/>
      <c r="J1037" s="24"/>
      <c r="K1037" s="21"/>
      <c r="L1037" s="25"/>
      <c r="M1037" s="25"/>
      <c r="N1037" s="22"/>
      <c r="O1037" s="23"/>
      <c r="P1037" s="20"/>
      <c r="Q1037" s="23"/>
      <c r="R1037" s="24"/>
      <c r="S1037" s="24"/>
    </row>
    <row r="1038" spans="1:19" s="19" customFormat="1">
      <c r="A1038" s="39" t="s">
        <v>1052</v>
      </c>
      <c r="B1038" s="19" t="s">
        <v>18</v>
      </c>
      <c r="C1038" s="20"/>
      <c r="D1038" s="21" t="s">
        <v>33</v>
      </c>
      <c r="E1038" s="26"/>
      <c r="F1038" s="22">
        <v>1</v>
      </c>
      <c r="G1038" s="23" t="s">
        <v>20</v>
      </c>
      <c r="H1038" s="22">
        <v>100</v>
      </c>
      <c r="I1038" s="23" t="s">
        <v>33</v>
      </c>
      <c r="J1038" s="24">
        <v>22000</v>
      </c>
      <c r="K1038" s="21" t="s">
        <v>33</v>
      </c>
      <c r="L1038" s="25">
        <v>0.125</v>
      </c>
      <c r="M1038" s="25">
        <v>0.05</v>
      </c>
      <c r="N1038" s="22"/>
      <c r="O1038" s="23" t="s">
        <v>33</v>
      </c>
      <c r="P1038" s="20">
        <f>(C1038+(E1038*F1038*H1038))-N1038</f>
        <v>0</v>
      </c>
      <c r="Q1038" s="23" t="s">
        <v>33</v>
      </c>
      <c r="R1038" s="24">
        <f>P1038*(J1038-(J1038*L1038)-((J1038-(J1038*L1038))*M1038))</f>
        <v>0</v>
      </c>
      <c r="S1038" s="24">
        <f t="shared" ref="S1038" si="611">R1038/1.11</f>
        <v>0</v>
      </c>
    </row>
    <row r="1040" spans="1:19" ht="15.75">
      <c r="A1040" s="14" t="s">
        <v>497</v>
      </c>
    </row>
    <row r="1041" spans="1:19" s="19" customFormat="1">
      <c r="A1041" s="128" t="s">
        <v>658</v>
      </c>
      <c r="B1041" s="19" t="s">
        <v>18</v>
      </c>
      <c r="C1041" s="20"/>
      <c r="D1041" s="21" t="s">
        <v>19</v>
      </c>
      <c r="E1041" s="26">
        <v>1</v>
      </c>
      <c r="F1041" s="22">
        <v>10</v>
      </c>
      <c r="G1041" s="23" t="s">
        <v>33</v>
      </c>
      <c r="H1041" s="22">
        <v>12</v>
      </c>
      <c r="I1041" s="23" t="s">
        <v>19</v>
      </c>
      <c r="J1041" s="132">
        <v>11600</v>
      </c>
      <c r="K1041" s="21" t="s">
        <v>19</v>
      </c>
      <c r="L1041" s="25">
        <v>0.125</v>
      </c>
      <c r="M1041" s="25">
        <v>0.05</v>
      </c>
      <c r="N1041" s="22"/>
      <c r="O1041" s="23" t="s">
        <v>19</v>
      </c>
      <c r="P1041" s="20">
        <f t="shared" ref="P1041" si="612">(C1041+(E1041*F1041*H1041))-N1041</f>
        <v>120</v>
      </c>
      <c r="Q1041" s="23" t="s">
        <v>19</v>
      </c>
      <c r="R1041" s="24">
        <f t="shared" ref="R1041" si="613">P1041*(J1041-(J1041*L1041)-((J1041-(J1041*L1041))*M1041))</f>
        <v>1157100</v>
      </c>
      <c r="S1041" s="24">
        <f t="shared" ref="S1041" si="614">R1041/1.11</f>
        <v>1042432.4324324323</v>
      </c>
    </row>
    <row r="1042" spans="1:19" s="19" customFormat="1">
      <c r="A1042" s="128" t="s">
        <v>658</v>
      </c>
      <c r="B1042" s="19" t="s">
        <v>18</v>
      </c>
      <c r="C1042" s="20">
        <v>36</v>
      </c>
      <c r="D1042" s="21" t="s">
        <v>19</v>
      </c>
      <c r="E1042" s="26"/>
      <c r="F1042" s="22">
        <v>10</v>
      </c>
      <c r="G1042" s="23" t="s">
        <v>33</v>
      </c>
      <c r="H1042" s="22">
        <v>12</v>
      </c>
      <c r="I1042" s="23" t="s">
        <v>19</v>
      </c>
      <c r="J1042" s="132">
        <v>11200</v>
      </c>
      <c r="K1042" s="21" t="s">
        <v>19</v>
      </c>
      <c r="L1042" s="25">
        <v>0.125</v>
      </c>
      <c r="M1042" s="25">
        <v>0.05</v>
      </c>
      <c r="N1042" s="22"/>
      <c r="O1042" s="23" t="s">
        <v>19</v>
      </c>
      <c r="P1042" s="20">
        <f t="shared" ref="P1042:P1048" si="615">(C1042+(E1042*F1042*H1042))-N1042</f>
        <v>36</v>
      </c>
      <c r="Q1042" s="23" t="s">
        <v>19</v>
      </c>
      <c r="R1042" s="24">
        <f t="shared" ref="R1042:R1048" si="616">P1042*(J1042-(J1042*L1042)-((J1042-(J1042*L1042))*M1042))</f>
        <v>335160</v>
      </c>
      <c r="S1042" s="24">
        <f t="shared" ref="S1042:S1043" si="617">R1042/1.11</f>
        <v>301945.94594594592</v>
      </c>
    </row>
    <row r="1043" spans="1:19" s="19" customFormat="1">
      <c r="A1043" s="18" t="s">
        <v>659</v>
      </c>
      <c r="B1043" s="19" t="s">
        <v>18</v>
      </c>
      <c r="C1043" s="20">
        <v>48</v>
      </c>
      <c r="D1043" s="21" t="s">
        <v>19</v>
      </c>
      <c r="E1043" s="26"/>
      <c r="F1043" s="22">
        <v>10</v>
      </c>
      <c r="G1043" s="23" t="s">
        <v>33</v>
      </c>
      <c r="H1043" s="22">
        <v>12</v>
      </c>
      <c r="I1043" s="23" t="s">
        <v>19</v>
      </c>
      <c r="J1043" s="24">
        <v>12400</v>
      </c>
      <c r="K1043" s="21" t="s">
        <v>19</v>
      </c>
      <c r="L1043" s="25">
        <v>0.125</v>
      </c>
      <c r="M1043" s="25">
        <v>0.05</v>
      </c>
      <c r="N1043" s="22"/>
      <c r="O1043" s="23" t="s">
        <v>19</v>
      </c>
      <c r="P1043" s="20">
        <f t="shared" si="615"/>
        <v>48</v>
      </c>
      <c r="Q1043" s="23" t="s">
        <v>19</v>
      </c>
      <c r="R1043" s="24">
        <f t="shared" si="616"/>
        <v>494760</v>
      </c>
      <c r="S1043" s="24">
        <f t="shared" si="617"/>
        <v>445729.7297297297</v>
      </c>
    </row>
    <row r="1044" spans="1:19" s="19" customFormat="1">
      <c r="A1044" s="18" t="s">
        <v>498</v>
      </c>
      <c r="B1044" s="19" t="s">
        <v>18</v>
      </c>
      <c r="C1044" s="20">
        <v>840</v>
      </c>
      <c r="D1044" s="21" t="s">
        <v>19</v>
      </c>
      <c r="E1044" s="26">
        <v>14</v>
      </c>
      <c r="F1044" s="22">
        <v>10</v>
      </c>
      <c r="G1044" s="23" t="s">
        <v>33</v>
      </c>
      <c r="H1044" s="22">
        <v>12</v>
      </c>
      <c r="I1044" s="23" t="s">
        <v>19</v>
      </c>
      <c r="J1044" s="24">
        <v>12950</v>
      </c>
      <c r="K1044" s="21" t="s">
        <v>19</v>
      </c>
      <c r="L1044" s="25">
        <v>0.125</v>
      </c>
      <c r="M1044" s="25">
        <v>0.05</v>
      </c>
      <c r="N1044" s="22"/>
      <c r="O1044" s="23" t="s">
        <v>19</v>
      </c>
      <c r="P1044" s="20">
        <f t="shared" si="615"/>
        <v>2520</v>
      </c>
      <c r="Q1044" s="23" t="s">
        <v>19</v>
      </c>
      <c r="R1044" s="24">
        <f t="shared" si="616"/>
        <v>27127012.5</v>
      </c>
      <c r="S1044" s="24">
        <f t="shared" si="526"/>
        <v>24438749.999999996</v>
      </c>
    </row>
    <row r="1045" spans="1:19">
      <c r="A1045" s="156" t="s">
        <v>499</v>
      </c>
      <c r="B1045" s="2" t="s">
        <v>18</v>
      </c>
      <c r="D1045" s="4" t="s">
        <v>19</v>
      </c>
      <c r="E1045" s="5">
        <v>5</v>
      </c>
      <c r="F1045" s="6">
        <v>5</v>
      </c>
      <c r="G1045" s="7" t="s">
        <v>33</v>
      </c>
      <c r="H1045" s="6">
        <v>12</v>
      </c>
      <c r="I1045" s="7" t="s">
        <v>19</v>
      </c>
      <c r="J1045" s="8">
        <v>29500</v>
      </c>
      <c r="K1045" s="4" t="s">
        <v>19</v>
      </c>
      <c r="L1045" s="9">
        <v>0.125</v>
      </c>
      <c r="M1045" s="9">
        <v>0.05</v>
      </c>
      <c r="O1045" s="7" t="s">
        <v>19</v>
      </c>
      <c r="P1045" s="3">
        <f t="shared" ref="P1045" si="618">(C1045+(E1045*F1045*H1045))-N1045</f>
        <v>300</v>
      </c>
      <c r="Q1045" s="7" t="s">
        <v>19</v>
      </c>
      <c r="R1045" s="8">
        <f t="shared" ref="R1045" si="619">P1045*(J1045-(J1045*L1045)-((J1045-(J1045*L1045))*M1045))</f>
        <v>7356562.5</v>
      </c>
      <c r="S1045" s="8">
        <f t="shared" ref="S1045" si="620">R1045/1.11</f>
        <v>6627533.7837837832</v>
      </c>
    </row>
    <row r="1046" spans="1:19">
      <c r="A1046" s="17" t="s">
        <v>499</v>
      </c>
      <c r="B1046" s="2" t="s">
        <v>18</v>
      </c>
      <c r="C1046" s="3">
        <v>60</v>
      </c>
      <c r="D1046" s="4" t="s">
        <v>19</v>
      </c>
      <c r="F1046" s="6">
        <v>5</v>
      </c>
      <c r="G1046" s="7" t="s">
        <v>33</v>
      </c>
      <c r="H1046" s="6">
        <v>12</v>
      </c>
      <c r="I1046" s="7" t="s">
        <v>19</v>
      </c>
      <c r="J1046" s="8">
        <v>27000</v>
      </c>
      <c r="K1046" s="4" t="s">
        <v>19</v>
      </c>
      <c r="L1046" s="9">
        <v>0.125</v>
      </c>
      <c r="M1046" s="9">
        <v>0.05</v>
      </c>
      <c r="O1046" s="7" t="s">
        <v>19</v>
      </c>
      <c r="P1046" s="3">
        <f t="shared" si="615"/>
        <v>60</v>
      </c>
      <c r="Q1046" s="7" t="s">
        <v>19</v>
      </c>
      <c r="R1046" s="8">
        <f t="shared" si="616"/>
        <v>1346625</v>
      </c>
      <c r="S1046" s="8">
        <f t="shared" si="526"/>
        <v>1213175.6756756755</v>
      </c>
    </row>
    <row r="1047" spans="1:19">
      <c r="A1047" s="17" t="s">
        <v>500</v>
      </c>
      <c r="B1047" s="2" t="s">
        <v>18</v>
      </c>
      <c r="C1047" s="3">
        <v>48</v>
      </c>
      <c r="D1047" s="4" t="s">
        <v>19</v>
      </c>
      <c r="E1047" s="5">
        <v>8</v>
      </c>
      <c r="F1047" s="6">
        <v>1</v>
      </c>
      <c r="G1047" s="7" t="s">
        <v>20</v>
      </c>
      <c r="H1047" s="6">
        <v>24</v>
      </c>
      <c r="I1047" s="7" t="s">
        <v>19</v>
      </c>
      <c r="J1047" s="8">
        <v>40000</v>
      </c>
      <c r="K1047" s="4" t="s">
        <v>19</v>
      </c>
      <c r="L1047" s="9">
        <v>0.125</v>
      </c>
      <c r="M1047" s="9">
        <v>0.05</v>
      </c>
      <c r="O1047" s="7" t="s">
        <v>19</v>
      </c>
      <c r="P1047" s="3">
        <f t="shared" si="615"/>
        <v>240</v>
      </c>
      <c r="Q1047" s="7" t="s">
        <v>19</v>
      </c>
      <c r="R1047" s="8">
        <f t="shared" si="616"/>
        <v>7980000</v>
      </c>
      <c r="S1047" s="8">
        <f t="shared" si="526"/>
        <v>7189189.1891891882</v>
      </c>
    </row>
    <row r="1048" spans="1:19" s="83" customFormat="1">
      <c r="A1048" s="102" t="s">
        <v>501</v>
      </c>
      <c r="B1048" s="83" t="s">
        <v>18</v>
      </c>
      <c r="C1048" s="86"/>
      <c r="D1048" s="87" t="s">
        <v>19</v>
      </c>
      <c r="E1048" s="88">
        <v>4</v>
      </c>
      <c r="F1048" s="89">
        <v>1</v>
      </c>
      <c r="G1048" s="90" t="s">
        <v>20</v>
      </c>
      <c r="H1048" s="89">
        <v>24</v>
      </c>
      <c r="I1048" s="90" t="s">
        <v>19</v>
      </c>
      <c r="J1048" s="91">
        <v>45500</v>
      </c>
      <c r="K1048" s="87" t="s">
        <v>19</v>
      </c>
      <c r="L1048" s="92">
        <v>0.125</v>
      </c>
      <c r="M1048" s="92">
        <v>0.05</v>
      </c>
      <c r="N1048" s="89"/>
      <c r="O1048" s="90" t="s">
        <v>19</v>
      </c>
      <c r="P1048" s="86">
        <f t="shared" si="615"/>
        <v>96</v>
      </c>
      <c r="Q1048" s="90" t="s">
        <v>19</v>
      </c>
      <c r="R1048" s="91">
        <f t="shared" si="616"/>
        <v>3630900</v>
      </c>
      <c r="S1048" s="91">
        <f t="shared" si="526"/>
        <v>3271081.0810810807</v>
      </c>
    </row>
    <row r="1050" spans="1:19" s="67" customFormat="1">
      <c r="A1050" s="66" t="s">
        <v>502</v>
      </c>
      <c r="B1050" s="67" t="s">
        <v>25</v>
      </c>
      <c r="C1050" s="68"/>
      <c r="D1050" s="69" t="s">
        <v>19</v>
      </c>
      <c r="E1050" s="70"/>
      <c r="F1050" s="71">
        <v>10</v>
      </c>
      <c r="G1050" s="72" t="s">
        <v>40</v>
      </c>
      <c r="H1050" s="71">
        <v>12</v>
      </c>
      <c r="I1050" s="72" t="s">
        <v>19</v>
      </c>
      <c r="J1050" s="16">
        <f>1500000/10/12</f>
        <v>12500</v>
      </c>
      <c r="K1050" s="69" t="s">
        <v>19</v>
      </c>
      <c r="L1050" s="73"/>
      <c r="M1050" s="73">
        <v>0.17</v>
      </c>
      <c r="N1050" s="71"/>
      <c r="O1050" s="72" t="s">
        <v>19</v>
      </c>
      <c r="P1050" s="68">
        <f t="shared" ref="P1050:P1059" si="621">(C1050+(E1050*F1050*H1050))-N1050</f>
        <v>0</v>
      </c>
      <c r="Q1050" s="72" t="s">
        <v>19</v>
      </c>
      <c r="R1050" s="16">
        <f t="shared" ref="R1050:R1059" si="622">P1050*(J1050-(J1050*L1050)-((J1050-(J1050*L1050))*M1050))</f>
        <v>0</v>
      </c>
      <c r="S1050" s="16">
        <f t="shared" si="526"/>
        <v>0</v>
      </c>
    </row>
    <row r="1051" spans="1:19" s="19" customFormat="1">
      <c r="A1051" s="18" t="s">
        <v>503</v>
      </c>
      <c r="B1051" s="19" t="s">
        <v>25</v>
      </c>
      <c r="C1051" s="20"/>
      <c r="D1051" s="21" t="s">
        <v>40</v>
      </c>
      <c r="E1051" s="26">
        <v>15</v>
      </c>
      <c r="F1051" s="22">
        <v>1</v>
      </c>
      <c r="G1051" s="23" t="s">
        <v>20</v>
      </c>
      <c r="H1051" s="22">
        <v>10</v>
      </c>
      <c r="I1051" s="23" t="s">
        <v>40</v>
      </c>
      <c r="J1051" s="24">
        <f>1560000/10</f>
        <v>156000</v>
      </c>
      <c r="K1051" s="21" t="s">
        <v>40</v>
      </c>
      <c r="L1051" s="25"/>
      <c r="M1051" s="25">
        <v>0.17</v>
      </c>
      <c r="N1051" s="22"/>
      <c r="O1051" s="23" t="s">
        <v>40</v>
      </c>
      <c r="P1051" s="20">
        <f t="shared" si="621"/>
        <v>150</v>
      </c>
      <c r="Q1051" s="23" t="s">
        <v>40</v>
      </c>
      <c r="R1051" s="24">
        <f t="shared" si="622"/>
        <v>19422000</v>
      </c>
      <c r="S1051" s="24">
        <f t="shared" si="526"/>
        <v>17497297.297297295</v>
      </c>
    </row>
    <row r="1052" spans="1:19" s="76" customFormat="1">
      <c r="A1052" s="75" t="s">
        <v>504</v>
      </c>
      <c r="B1052" s="76" t="s">
        <v>25</v>
      </c>
      <c r="C1052" s="74"/>
      <c r="D1052" s="77" t="s">
        <v>19</v>
      </c>
      <c r="E1052" s="78"/>
      <c r="F1052" s="79">
        <v>10</v>
      </c>
      <c r="G1052" s="80" t="s">
        <v>40</v>
      </c>
      <c r="H1052" s="79">
        <v>12</v>
      </c>
      <c r="I1052" s="80" t="s">
        <v>19</v>
      </c>
      <c r="J1052" s="81">
        <f>13000</f>
        <v>13000</v>
      </c>
      <c r="K1052" s="77" t="s">
        <v>19</v>
      </c>
      <c r="L1052" s="82"/>
      <c r="M1052" s="82">
        <v>0.17</v>
      </c>
      <c r="N1052" s="79"/>
      <c r="O1052" s="80" t="s">
        <v>19</v>
      </c>
      <c r="P1052" s="74">
        <f t="shared" si="621"/>
        <v>0</v>
      </c>
      <c r="Q1052" s="80" t="s">
        <v>19</v>
      </c>
      <c r="R1052" s="81">
        <f t="shared" si="622"/>
        <v>0</v>
      </c>
      <c r="S1052" s="16">
        <f t="shared" si="526"/>
        <v>0</v>
      </c>
    </row>
    <row r="1053" spans="1:19" s="19" customFormat="1">
      <c r="A1053" s="18" t="s">
        <v>505</v>
      </c>
      <c r="B1053" s="19" t="s">
        <v>25</v>
      </c>
      <c r="C1053" s="20">
        <v>20</v>
      </c>
      <c r="D1053" s="21" t="s">
        <v>40</v>
      </c>
      <c r="E1053" s="26">
        <v>10</v>
      </c>
      <c r="F1053" s="22">
        <v>4</v>
      </c>
      <c r="G1053" s="23" t="s">
        <v>33</v>
      </c>
      <c r="H1053" s="22">
        <v>2</v>
      </c>
      <c r="I1053" s="23" t="s">
        <v>40</v>
      </c>
      <c r="J1053" s="24">
        <f>1440000/4/2</f>
        <v>180000</v>
      </c>
      <c r="K1053" s="21" t="s">
        <v>40</v>
      </c>
      <c r="L1053" s="25"/>
      <c r="M1053" s="25">
        <v>0.17</v>
      </c>
      <c r="N1053" s="22"/>
      <c r="O1053" s="23" t="s">
        <v>40</v>
      </c>
      <c r="P1053" s="20">
        <f t="shared" si="621"/>
        <v>100</v>
      </c>
      <c r="Q1053" s="23" t="s">
        <v>40</v>
      </c>
      <c r="R1053" s="24">
        <f t="shared" si="622"/>
        <v>14940000</v>
      </c>
      <c r="S1053" s="24">
        <f t="shared" si="526"/>
        <v>13459459.459459458</v>
      </c>
    </row>
    <row r="1054" spans="1:19" s="19" customFormat="1">
      <c r="A1054" s="18" t="s">
        <v>506</v>
      </c>
      <c r="B1054" s="19" t="s">
        <v>25</v>
      </c>
      <c r="C1054" s="20">
        <v>3</v>
      </c>
      <c r="D1054" s="21" t="s">
        <v>40</v>
      </c>
      <c r="E1054" s="26">
        <v>5</v>
      </c>
      <c r="F1054" s="22">
        <v>1</v>
      </c>
      <c r="G1054" s="23" t="s">
        <v>20</v>
      </c>
      <c r="H1054" s="22">
        <v>5</v>
      </c>
      <c r="I1054" s="23" t="s">
        <v>40</v>
      </c>
      <c r="J1054" s="24">
        <f>1410000/5</f>
        <v>282000</v>
      </c>
      <c r="K1054" s="21" t="s">
        <v>19</v>
      </c>
      <c r="L1054" s="25"/>
      <c r="M1054" s="25">
        <v>0.17</v>
      </c>
      <c r="N1054" s="22"/>
      <c r="O1054" s="23" t="s">
        <v>40</v>
      </c>
      <c r="P1054" s="20">
        <f t="shared" si="621"/>
        <v>28</v>
      </c>
      <c r="Q1054" s="23" t="s">
        <v>40</v>
      </c>
      <c r="R1054" s="24">
        <f t="shared" si="622"/>
        <v>6553680</v>
      </c>
      <c r="S1054" s="24">
        <f t="shared" si="526"/>
        <v>5904216.2162162159</v>
      </c>
    </row>
    <row r="1055" spans="1:19" s="19" customFormat="1">
      <c r="A1055" s="128" t="s">
        <v>507</v>
      </c>
      <c r="B1055" s="19" t="s">
        <v>25</v>
      </c>
      <c r="C1055" s="20"/>
      <c r="D1055" s="21" t="s">
        <v>40</v>
      </c>
      <c r="E1055" s="26">
        <v>4</v>
      </c>
      <c r="F1055" s="22">
        <v>1</v>
      </c>
      <c r="G1055" s="23" t="s">
        <v>20</v>
      </c>
      <c r="H1055" s="22">
        <v>4</v>
      </c>
      <c r="I1055" s="23" t="s">
        <v>40</v>
      </c>
      <c r="J1055" s="132">
        <v>384000</v>
      </c>
      <c r="K1055" s="21" t="s">
        <v>40</v>
      </c>
      <c r="L1055" s="25"/>
      <c r="M1055" s="25">
        <v>0.17</v>
      </c>
      <c r="N1055" s="22"/>
      <c r="O1055" s="23" t="s">
        <v>40</v>
      </c>
      <c r="P1055" s="20">
        <f t="shared" ref="P1055" si="623">(C1055+(E1055*F1055*H1055))-N1055</f>
        <v>16</v>
      </c>
      <c r="Q1055" s="23" t="s">
        <v>40</v>
      </c>
      <c r="R1055" s="24">
        <f t="shared" ref="R1055" si="624">P1055*(J1055-(J1055*L1055)-((J1055-(J1055*L1055))*M1055))</f>
        <v>5099520</v>
      </c>
      <c r="S1055" s="24">
        <f t="shared" ref="S1055" si="625">R1055/1.11</f>
        <v>4594162.1621621614</v>
      </c>
    </row>
    <row r="1056" spans="1:19" s="19" customFormat="1">
      <c r="A1056" s="128" t="s">
        <v>507</v>
      </c>
      <c r="B1056" s="19" t="s">
        <v>25</v>
      </c>
      <c r="C1056" s="20">
        <f>8+4</f>
        <v>12</v>
      </c>
      <c r="D1056" s="21" t="s">
        <v>40</v>
      </c>
      <c r="E1056" s="26"/>
      <c r="F1056" s="22">
        <v>1</v>
      </c>
      <c r="G1056" s="23" t="s">
        <v>20</v>
      </c>
      <c r="H1056" s="22">
        <v>4</v>
      </c>
      <c r="I1056" s="23" t="s">
        <v>40</v>
      </c>
      <c r="J1056" s="132">
        <f>1410000/4</f>
        <v>352500</v>
      </c>
      <c r="K1056" s="21" t="s">
        <v>40</v>
      </c>
      <c r="L1056" s="25"/>
      <c r="M1056" s="25">
        <v>0.17</v>
      </c>
      <c r="N1056" s="22"/>
      <c r="O1056" s="23" t="s">
        <v>40</v>
      </c>
      <c r="P1056" s="20">
        <f t="shared" si="621"/>
        <v>12</v>
      </c>
      <c r="Q1056" s="23" t="s">
        <v>40</v>
      </c>
      <c r="R1056" s="24">
        <f t="shared" si="622"/>
        <v>3510900</v>
      </c>
      <c r="S1056" s="24">
        <f t="shared" si="526"/>
        <v>3162972.9729729728</v>
      </c>
    </row>
    <row r="1057" spans="1:19" s="67" customFormat="1">
      <c r="A1057" s="66" t="s">
        <v>508</v>
      </c>
      <c r="B1057" s="67" t="s">
        <v>25</v>
      </c>
      <c r="C1057" s="68"/>
      <c r="D1057" s="69" t="s">
        <v>19</v>
      </c>
      <c r="E1057" s="70">
        <v>1</v>
      </c>
      <c r="F1057" s="71">
        <v>1</v>
      </c>
      <c r="G1057" s="72" t="s">
        <v>20</v>
      </c>
      <c r="H1057" s="71">
        <v>24</v>
      </c>
      <c r="I1057" s="72" t="s">
        <v>19</v>
      </c>
      <c r="J1057" s="16">
        <f>1164000/24</f>
        <v>48500</v>
      </c>
      <c r="K1057" s="69" t="s">
        <v>19</v>
      </c>
      <c r="L1057" s="73"/>
      <c r="M1057" s="73">
        <v>0.17</v>
      </c>
      <c r="N1057" s="71"/>
      <c r="O1057" s="72" t="s">
        <v>19</v>
      </c>
      <c r="P1057" s="68">
        <f t="shared" si="621"/>
        <v>24</v>
      </c>
      <c r="Q1057" s="72" t="s">
        <v>19</v>
      </c>
      <c r="R1057" s="16">
        <f t="shared" si="622"/>
        <v>966120</v>
      </c>
      <c r="S1057" s="16">
        <f t="shared" si="526"/>
        <v>870378.37837837834</v>
      </c>
    </row>
    <row r="1058" spans="1:19">
      <c r="A1058" s="17" t="s">
        <v>509</v>
      </c>
      <c r="B1058" s="2" t="s">
        <v>25</v>
      </c>
      <c r="C1058" s="3">
        <v>66</v>
      </c>
      <c r="D1058" s="4" t="s">
        <v>19</v>
      </c>
      <c r="E1058" s="5">
        <v>5</v>
      </c>
      <c r="F1058" s="6">
        <v>1</v>
      </c>
      <c r="G1058" s="7" t="s">
        <v>20</v>
      </c>
      <c r="H1058" s="6">
        <v>24</v>
      </c>
      <c r="I1058" s="7" t="s">
        <v>19</v>
      </c>
      <c r="J1058" s="8">
        <f>1020000/24</f>
        <v>42500</v>
      </c>
      <c r="K1058" s="4" t="s">
        <v>19</v>
      </c>
      <c r="M1058" s="9">
        <v>0.17</v>
      </c>
      <c r="O1058" s="7" t="s">
        <v>19</v>
      </c>
      <c r="P1058" s="3">
        <f t="shared" si="621"/>
        <v>186</v>
      </c>
      <c r="Q1058" s="7" t="s">
        <v>19</v>
      </c>
      <c r="R1058" s="8">
        <f t="shared" si="622"/>
        <v>6561150</v>
      </c>
      <c r="S1058" s="8">
        <f t="shared" si="526"/>
        <v>5910945.9459459456</v>
      </c>
    </row>
    <row r="1059" spans="1:19">
      <c r="A1059" s="17" t="s">
        <v>510</v>
      </c>
      <c r="B1059" s="2" t="s">
        <v>25</v>
      </c>
      <c r="C1059" s="3">
        <v>72</v>
      </c>
      <c r="D1059" s="4" t="s">
        <v>19</v>
      </c>
      <c r="E1059" s="5">
        <v>6</v>
      </c>
      <c r="F1059" s="6">
        <v>1</v>
      </c>
      <c r="G1059" s="7" t="s">
        <v>20</v>
      </c>
      <c r="H1059" s="6">
        <v>24</v>
      </c>
      <c r="I1059" s="7" t="s">
        <v>19</v>
      </c>
      <c r="J1059" s="8">
        <f>1416000/24</f>
        <v>59000</v>
      </c>
      <c r="K1059" s="4" t="s">
        <v>19</v>
      </c>
      <c r="M1059" s="9">
        <v>0.17</v>
      </c>
      <c r="O1059" s="7" t="s">
        <v>19</v>
      </c>
      <c r="P1059" s="3">
        <f t="shared" si="621"/>
        <v>216</v>
      </c>
      <c r="Q1059" s="7" t="s">
        <v>19</v>
      </c>
      <c r="R1059" s="8">
        <f t="shared" si="622"/>
        <v>10577520</v>
      </c>
      <c r="S1059" s="8">
        <f t="shared" si="526"/>
        <v>9529297.297297297</v>
      </c>
    </row>
    <row r="1061" spans="1:19" ht="15.75">
      <c r="A1061" s="14" t="s">
        <v>914</v>
      </c>
      <c r="R1061" s="16"/>
      <c r="S1061" s="16"/>
    </row>
    <row r="1062" spans="1:19">
      <c r="A1062" s="17" t="s">
        <v>935</v>
      </c>
      <c r="B1062" s="19" t="s">
        <v>45</v>
      </c>
      <c r="C1062" s="3">
        <v>5</v>
      </c>
      <c r="D1062" s="4" t="s">
        <v>19</v>
      </c>
      <c r="F1062" s="6">
        <v>15</v>
      </c>
      <c r="G1062" s="7" t="s">
        <v>33</v>
      </c>
      <c r="H1062" s="6">
        <v>20</v>
      </c>
      <c r="I1062" s="7" t="s">
        <v>831</v>
      </c>
      <c r="J1062" s="24">
        <v>42900</v>
      </c>
      <c r="K1062" s="21" t="s">
        <v>19</v>
      </c>
      <c r="L1062" s="25">
        <v>0.1</v>
      </c>
      <c r="M1062" s="25">
        <v>0.05</v>
      </c>
      <c r="N1062" s="22"/>
      <c r="O1062" s="23" t="s">
        <v>19</v>
      </c>
      <c r="P1062" s="20">
        <f>(C1062+(E1062*F1062*H1062))-N1062</f>
        <v>5</v>
      </c>
      <c r="Q1062" s="23" t="s">
        <v>19</v>
      </c>
      <c r="R1062" s="24">
        <f>P1062*(J1062-(J1062*L1062)-((J1062-(J1062*L1062))*M1062))</f>
        <v>183397.5</v>
      </c>
      <c r="S1062" s="24">
        <f t="shared" ref="S1062" si="626">R1062/1.11</f>
        <v>165222.97297297296</v>
      </c>
    </row>
    <row r="1063" spans="1:19">
      <c r="J1063" s="24"/>
      <c r="K1063" s="21"/>
      <c r="L1063" s="25"/>
      <c r="M1063" s="25"/>
      <c r="N1063" s="22"/>
      <c r="O1063" s="23"/>
      <c r="P1063" s="20"/>
      <c r="Q1063" s="23"/>
      <c r="R1063" s="24"/>
      <c r="S1063" s="24"/>
    </row>
    <row r="1064" spans="1:19" ht="15.75">
      <c r="A1064" s="14" t="s">
        <v>522</v>
      </c>
    </row>
    <row r="1065" spans="1:19" s="19" customFormat="1">
      <c r="A1065" s="18" t="s">
        <v>523</v>
      </c>
      <c r="B1065" s="19" t="s">
        <v>18</v>
      </c>
      <c r="C1065" s="20">
        <v>9140</v>
      </c>
      <c r="D1065" s="21" t="s">
        <v>19</v>
      </c>
      <c r="E1065" s="26">
        <v>15</v>
      </c>
      <c r="F1065" s="22">
        <v>72</v>
      </c>
      <c r="G1065" s="23" t="s">
        <v>33</v>
      </c>
      <c r="H1065" s="22">
        <v>10</v>
      </c>
      <c r="I1065" s="23" t="s">
        <v>19</v>
      </c>
      <c r="J1065" s="24">
        <v>3700</v>
      </c>
      <c r="K1065" s="21" t="s">
        <v>19</v>
      </c>
      <c r="L1065" s="25">
        <v>0.125</v>
      </c>
      <c r="M1065" s="25">
        <v>0.05</v>
      </c>
      <c r="N1065" s="22"/>
      <c r="O1065" s="23" t="s">
        <v>19</v>
      </c>
      <c r="P1065" s="20">
        <f>(C1065+(E1065*F1065*H1065))-N1065</f>
        <v>19940</v>
      </c>
      <c r="Q1065" s="23" t="s">
        <v>19</v>
      </c>
      <c r="R1065" s="24">
        <f>P1065*(J1065-(J1065*L1065)-((J1065-(J1065*L1065))*M1065))</f>
        <v>61327962.5</v>
      </c>
      <c r="S1065" s="24">
        <f t="shared" ref="S1065:S1154" si="627">R1065/1.11</f>
        <v>55250416.666666664</v>
      </c>
    </row>
    <row r="1066" spans="1:19" s="19" customFormat="1">
      <c r="A1066" s="18" t="s">
        <v>996</v>
      </c>
      <c r="B1066" s="19" t="s">
        <v>18</v>
      </c>
      <c r="C1066" s="20">
        <v>240</v>
      </c>
      <c r="D1066" s="21" t="s">
        <v>19</v>
      </c>
      <c r="E1066" s="26"/>
      <c r="F1066" s="22">
        <v>72</v>
      </c>
      <c r="G1066" s="23" t="s">
        <v>33</v>
      </c>
      <c r="H1066" s="22">
        <v>10</v>
      </c>
      <c r="I1066" s="23" t="s">
        <v>19</v>
      </c>
      <c r="J1066" s="24">
        <v>3700</v>
      </c>
      <c r="K1066" s="21" t="s">
        <v>19</v>
      </c>
      <c r="L1066" s="25">
        <v>0.125</v>
      </c>
      <c r="M1066" s="25">
        <v>0.05</v>
      </c>
      <c r="N1066" s="22"/>
      <c r="O1066" s="23" t="s">
        <v>19</v>
      </c>
      <c r="P1066" s="20">
        <f>(C1066+(E1066*F1066*H1066))-N1066</f>
        <v>240</v>
      </c>
      <c r="Q1066" s="23" t="s">
        <v>19</v>
      </c>
      <c r="R1066" s="24">
        <f>P1066*(J1066-(J1066*L1066)-((J1066-(J1066*L1066))*M1066))</f>
        <v>738150</v>
      </c>
      <c r="S1066" s="24">
        <f t="shared" ref="S1066" si="628">R1066/1.11</f>
        <v>664999.99999999988</v>
      </c>
    </row>
    <row r="1067" spans="1:19" s="76" customFormat="1">
      <c r="A1067" s="75" t="s">
        <v>524</v>
      </c>
      <c r="B1067" s="76" t="s">
        <v>18</v>
      </c>
      <c r="C1067" s="74"/>
      <c r="D1067" s="77" t="s">
        <v>151</v>
      </c>
      <c r="E1067" s="78"/>
      <c r="F1067" s="79">
        <v>12</v>
      </c>
      <c r="G1067" s="80" t="s">
        <v>33</v>
      </c>
      <c r="H1067" s="79">
        <v>24</v>
      </c>
      <c r="I1067" s="80" t="s">
        <v>151</v>
      </c>
      <c r="J1067" s="81">
        <v>16500</v>
      </c>
      <c r="K1067" s="77" t="s">
        <v>151</v>
      </c>
      <c r="L1067" s="82">
        <v>0.125</v>
      </c>
      <c r="M1067" s="82">
        <v>0.05</v>
      </c>
      <c r="N1067" s="79"/>
      <c r="O1067" s="80" t="s">
        <v>151</v>
      </c>
      <c r="P1067" s="74">
        <f>(C1067+(E1067*F1067*H1067))-N1067</f>
        <v>0</v>
      </c>
      <c r="Q1067" s="80" t="s">
        <v>151</v>
      </c>
      <c r="R1067" s="81">
        <f>P1067*(J1067-(J1067*L1067)-((J1067-(J1067*L1067))*M1067))</f>
        <v>0</v>
      </c>
      <c r="S1067" s="16">
        <f t="shared" si="627"/>
        <v>0</v>
      </c>
    </row>
    <row r="1068" spans="1:19" s="76" customFormat="1">
      <c r="A1068" s="75"/>
      <c r="C1068" s="74"/>
      <c r="D1068" s="77"/>
      <c r="E1068" s="78"/>
      <c r="F1068" s="79"/>
      <c r="G1068" s="80"/>
      <c r="H1068" s="79"/>
      <c r="I1068" s="80"/>
      <c r="J1068" s="81"/>
      <c r="K1068" s="77"/>
      <c r="L1068" s="82"/>
      <c r="M1068" s="82"/>
      <c r="N1068" s="79"/>
      <c r="O1068" s="80"/>
      <c r="P1068" s="74"/>
      <c r="Q1068" s="80"/>
      <c r="R1068" s="81"/>
      <c r="S1068" s="16"/>
    </row>
    <row r="1069" spans="1:19" s="19" customFormat="1">
      <c r="A1069" s="18"/>
      <c r="C1069" s="20"/>
      <c r="D1069" s="21"/>
      <c r="E1069" s="26"/>
      <c r="F1069" s="22"/>
      <c r="G1069" s="23"/>
      <c r="H1069" s="22"/>
      <c r="I1069" s="23"/>
      <c r="J1069" s="24"/>
      <c r="K1069" s="21"/>
      <c r="L1069" s="25"/>
      <c r="M1069" s="25"/>
      <c r="N1069" s="22"/>
      <c r="O1069" s="23"/>
      <c r="P1069" s="20"/>
      <c r="Q1069" s="23"/>
      <c r="R1069" s="24"/>
      <c r="S1069" s="8"/>
    </row>
    <row r="1070" spans="1:19">
      <c r="A1070" s="17" t="s">
        <v>525</v>
      </c>
      <c r="B1070" s="2" t="s">
        <v>25</v>
      </c>
      <c r="C1070" s="3">
        <v>210</v>
      </c>
      <c r="D1070" s="4" t="s">
        <v>19</v>
      </c>
      <c r="E1070" s="5">
        <v>5</v>
      </c>
      <c r="F1070" s="6">
        <v>48</v>
      </c>
      <c r="G1070" s="7" t="s">
        <v>33</v>
      </c>
      <c r="H1070" s="6">
        <v>10</v>
      </c>
      <c r="I1070" s="7" t="s">
        <v>19</v>
      </c>
      <c r="J1070" s="8">
        <f>30500/10</f>
        <v>3050</v>
      </c>
      <c r="K1070" s="4" t="s">
        <v>19</v>
      </c>
      <c r="M1070" s="9">
        <v>0.17</v>
      </c>
      <c r="O1070" s="7" t="s">
        <v>19</v>
      </c>
      <c r="P1070" s="3">
        <f>(C1070+(E1070*F1070*H1070))-N1070</f>
        <v>2610</v>
      </c>
      <c r="Q1070" s="7" t="s">
        <v>19</v>
      </c>
      <c r="R1070" s="8">
        <f>P1070*(J1070-(J1070*L1070)-((J1070-(J1070*L1070))*M1070))</f>
        <v>6607215</v>
      </c>
      <c r="S1070" s="8">
        <f t="shared" si="627"/>
        <v>5952445.9459459456</v>
      </c>
    </row>
    <row r="1071" spans="1:19">
      <c r="A1071" s="17" t="s">
        <v>526</v>
      </c>
      <c r="B1071" s="2" t="s">
        <v>25</v>
      </c>
      <c r="D1071" s="4" t="s">
        <v>19</v>
      </c>
      <c r="F1071" s="6">
        <v>48</v>
      </c>
      <c r="G1071" s="7" t="s">
        <v>33</v>
      </c>
      <c r="H1071" s="6">
        <v>10</v>
      </c>
      <c r="I1071" s="7" t="s">
        <v>19</v>
      </c>
      <c r="J1071" s="8">
        <f>30500/10</f>
        <v>3050</v>
      </c>
      <c r="K1071" s="4" t="s">
        <v>19</v>
      </c>
      <c r="M1071" s="9">
        <v>0.17</v>
      </c>
      <c r="O1071" s="7" t="s">
        <v>19</v>
      </c>
      <c r="P1071" s="3">
        <f>(C1071+(E1071*F1071*H1071))-N1071</f>
        <v>0</v>
      </c>
      <c r="Q1071" s="7" t="s">
        <v>19</v>
      </c>
      <c r="R1071" s="8">
        <f>P1071*(J1071-(J1071*L1071)-((J1071-(J1071*L1071))*M1071))</f>
        <v>0</v>
      </c>
      <c r="S1071" s="8">
        <f t="shared" si="627"/>
        <v>0</v>
      </c>
    </row>
    <row r="1072" spans="1:19">
      <c r="A1072" s="17" t="s">
        <v>527</v>
      </c>
      <c r="B1072" s="2" t="s">
        <v>25</v>
      </c>
      <c r="D1072" s="4" t="s">
        <v>40</v>
      </c>
      <c r="F1072" s="6">
        <v>12</v>
      </c>
      <c r="G1072" s="7" t="s">
        <v>33</v>
      </c>
      <c r="H1072" s="6">
        <v>12</v>
      </c>
      <c r="I1072" s="7" t="s">
        <v>40</v>
      </c>
      <c r="J1072" s="8">
        <v>25800</v>
      </c>
      <c r="K1072" s="4" t="s">
        <v>40</v>
      </c>
      <c r="M1072" s="9">
        <v>0.17</v>
      </c>
      <c r="O1072" s="7" t="s">
        <v>40</v>
      </c>
      <c r="P1072" s="3">
        <f>(C1072+(E1072*F1072*H1072))-N1072</f>
        <v>0</v>
      </c>
      <c r="Q1072" s="7" t="s">
        <v>40</v>
      </c>
      <c r="R1072" s="8">
        <f>P1072*(J1072-(J1072*L1072)-((J1072-(J1072*L1072))*M1072))</f>
        <v>0</v>
      </c>
      <c r="S1072" s="8">
        <f t="shared" si="627"/>
        <v>0</v>
      </c>
    </row>
    <row r="1073" spans="1:19">
      <c r="A1073" s="156" t="s">
        <v>960</v>
      </c>
      <c r="B1073" s="2" t="s">
        <v>25</v>
      </c>
      <c r="C1073" s="3">
        <v>140</v>
      </c>
      <c r="D1073" s="4" t="s">
        <v>19</v>
      </c>
      <c r="E1073" s="5">
        <v>2</v>
      </c>
      <c r="F1073" s="6">
        <v>48</v>
      </c>
      <c r="G1073" s="7" t="s">
        <v>33</v>
      </c>
      <c r="H1073" s="6">
        <v>10</v>
      </c>
      <c r="I1073" s="7" t="s">
        <v>19</v>
      </c>
      <c r="J1073" s="8">
        <v>2400</v>
      </c>
      <c r="K1073" s="4" t="s">
        <v>19</v>
      </c>
      <c r="L1073" s="9">
        <v>2.5000000000000001E-2</v>
      </c>
      <c r="M1073" s="9">
        <v>0.17</v>
      </c>
      <c r="O1073" s="7" t="s">
        <v>19</v>
      </c>
      <c r="P1073" s="3">
        <f>(C1073+(E1073*F1073*H1073))-N1073</f>
        <v>1100</v>
      </c>
      <c r="Q1073" s="7" t="s">
        <v>19</v>
      </c>
      <c r="R1073" s="8">
        <f>P1073*(J1073-(J1073*L1073)-((J1073-(J1073*L1073))*M1073))</f>
        <v>2136420</v>
      </c>
      <c r="S1073" s="8">
        <f t="shared" ref="S1073" si="629">R1073/1.11</f>
        <v>1924702.7027027025</v>
      </c>
    </row>
    <row r="1075" spans="1:19" s="19" customFormat="1" ht="13.5" customHeight="1">
      <c r="A1075" s="18" t="s">
        <v>528</v>
      </c>
      <c r="B1075" s="19" t="s">
        <v>260</v>
      </c>
      <c r="C1075" s="20"/>
      <c r="D1075" s="21" t="s">
        <v>98</v>
      </c>
      <c r="E1075" s="26">
        <v>3</v>
      </c>
      <c r="F1075" s="22">
        <v>1</v>
      </c>
      <c r="G1075" s="23" t="s">
        <v>20</v>
      </c>
      <c r="H1075" s="22">
        <v>24</v>
      </c>
      <c r="I1075" s="23" t="s">
        <v>98</v>
      </c>
      <c r="J1075" s="24">
        <v>106000</v>
      </c>
      <c r="K1075" s="21" t="s">
        <v>98</v>
      </c>
      <c r="L1075" s="25"/>
      <c r="M1075" s="25"/>
      <c r="N1075" s="22"/>
      <c r="O1075" s="23" t="s">
        <v>98</v>
      </c>
      <c r="P1075" s="20">
        <f>(C1075+(E1075*F1075*H1075))-N1075</f>
        <v>72</v>
      </c>
      <c r="Q1075" s="23" t="s">
        <v>98</v>
      </c>
      <c r="R1075" s="24">
        <f>P1075*(J1075-(J1075*L1075)-((J1075-(J1075*L1075))*M1075))</f>
        <v>7632000</v>
      </c>
      <c r="S1075" s="24">
        <f t="shared" ref="S1075" si="630">R1075/1.11</f>
        <v>6875675.6756756753</v>
      </c>
    </row>
    <row r="1076" spans="1:19" s="19" customFormat="1">
      <c r="A1076" s="18" t="s">
        <v>874</v>
      </c>
      <c r="B1076" s="19" t="s">
        <v>260</v>
      </c>
      <c r="C1076" s="20"/>
      <c r="D1076" s="21" t="s">
        <v>98</v>
      </c>
      <c r="E1076" s="26">
        <v>2</v>
      </c>
      <c r="F1076" s="22">
        <v>1</v>
      </c>
      <c r="G1076" s="23" t="s">
        <v>20</v>
      </c>
      <c r="H1076" s="22">
        <v>32</v>
      </c>
      <c r="I1076" s="23" t="s">
        <v>98</v>
      </c>
      <c r="J1076" s="24">
        <v>49500</v>
      </c>
      <c r="K1076" s="21" t="s">
        <v>98</v>
      </c>
      <c r="L1076" s="25"/>
      <c r="M1076" s="25"/>
      <c r="N1076" s="22"/>
      <c r="O1076" s="23" t="s">
        <v>98</v>
      </c>
      <c r="P1076" s="20">
        <f>(C1076+(E1076*F1076*H1076))-N1076</f>
        <v>64</v>
      </c>
      <c r="Q1076" s="23" t="s">
        <v>98</v>
      </c>
      <c r="R1076" s="24">
        <f>P1076*(J1076-(J1076*L1076)-((J1076-(J1076*L1076))*M1076))</f>
        <v>3168000</v>
      </c>
      <c r="S1076" s="24">
        <f t="shared" ref="S1076" si="631">R1076/1.11</f>
        <v>2854054.054054054</v>
      </c>
    </row>
    <row r="1077" spans="1:19" s="19" customFormat="1">
      <c r="A1077" s="18"/>
      <c r="C1077" s="20"/>
      <c r="D1077" s="21"/>
      <c r="E1077" s="26"/>
      <c r="F1077" s="22"/>
      <c r="G1077" s="23"/>
      <c r="H1077" s="22"/>
      <c r="I1077" s="23"/>
      <c r="J1077" s="24"/>
      <c r="K1077" s="21"/>
      <c r="L1077" s="25"/>
      <c r="M1077" s="25"/>
      <c r="N1077" s="22"/>
      <c r="O1077" s="23"/>
      <c r="P1077" s="20"/>
      <c r="Q1077" s="23"/>
      <c r="R1077" s="24"/>
      <c r="S1077" s="8"/>
    </row>
    <row r="1078" spans="1:19">
      <c r="A1078" s="17" t="s">
        <v>529</v>
      </c>
      <c r="B1078" s="2" t="s">
        <v>171</v>
      </c>
      <c r="C1078" s="3">
        <v>375</v>
      </c>
      <c r="D1078" s="4" t="s">
        <v>40</v>
      </c>
      <c r="F1078" s="6">
        <v>1</v>
      </c>
      <c r="G1078" s="7" t="s">
        <v>20</v>
      </c>
      <c r="H1078" s="6">
        <v>108</v>
      </c>
      <c r="I1078" s="7" t="s">
        <v>40</v>
      </c>
      <c r="J1078" s="8">
        <v>18000</v>
      </c>
      <c r="K1078" s="4" t="s">
        <v>40</v>
      </c>
      <c r="L1078" s="9">
        <v>0.05</v>
      </c>
      <c r="O1078" s="7" t="s">
        <v>40</v>
      </c>
      <c r="P1078" s="3">
        <f>(C1078+(E1078*F1078*H1078))-N1078</f>
        <v>375</v>
      </c>
      <c r="Q1078" s="7" t="s">
        <v>40</v>
      </c>
      <c r="R1078" s="8">
        <f>P1078*(J1078-(J1078*L1078)-((J1078-(J1078*L1078))*M1078))</f>
        <v>6412500</v>
      </c>
      <c r="S1078" s="8">
        <f t="shared" si="627"/>
        <v>5777027.0270270268</v>
      </c>
    </row>
    <row r="1079" spans="1:19" s="19" customFormat="1">
      <c r="A1079" s="18" t="s">
        <v>830</v>
      </c>
      <c r="B1079" s="19" t="s">
        <v>171</v>
      </c>
      <c r="C1079" s="20"/>
      <c r="D1079" s="21" t="s">
        <v>40</v>
      </c>
      <c r="E1079" s="26">
        <v>15</v>
      </c>
      <c r="F1079" s="22">
        <v>1</v>
      </c>
      <c r="G1079" s="23" t="s">
        <v>20</v>
      </c>
      <c r="H1079" s="22">
        <v>100</v>
      </c>
      <c r="I1079" s="23" t="s">
        <v>40</v>
      </c>
      <c r="J1079" s="24">
        <v>19000</v>
      </c>
      <c r="K1079" s="21" t="s">
        <v>40</v>
      </c>
      <c r="L1079" s="25">
        <v>0.05</v>
      </c>
      <c r="M1079" s="25"/>
      <c r="N1079" s="22"/>
      <c r="O1079" s="23" t="s">
        <v>40</v>
      </c>
      <c r="P1079" s="20">
        <f>(C1079+(E1079*F1079*H1079))-N1079</f>
        <v>1500</v>
      </c>
      <c r="Q1079" s="23" t="s">
        <v>40</v>
      </c>
      <c r="R1079" s="24">
        <f>P1079*(J1079-(J1079*L1079)-((J1079-(J1079*L1079))*M1079))</f>
        <v>27075000</v>
      </c>
      <c r="S1079" s="24">
        <f t="shared" ref="S1079" si="632">R1079/1.11</f>
        <v>24391891.891891889</v>
      </c>
    </row>
    <row r="1080" spans="1:19" s="19" customFormat="1">
      <c r="A1080" s="156" t="s">
        <v>830</v>
      </c>
      <c r="B1080" s="19" t="s">
        <v>171</v>
      </c>
      <c r="C1080" s="20"/>
      <c r="D1080" s="21" t="s">
        <v>40</v>
      </c>
      <c r="E1080" s="26"/>
      <c r="F1080" s="22">
        <v>1</v>
      </c>
      <c r="G1080" s="23" t="s">
        <v>20</v>
      </c>
      <c r="H1080" s="22">
        <v>100</v>
      </c>
      <c r="I1080" s="23" t="s">
        <v>40</v>
      </c>
      <c r="J1080" s="24">
        <v>18000</v>
      </c>
      <c r="K1080" s="21" t="s">
        <v>40</v>
      </c>
      <c r="L1080" s="25">
        <v>7.0000000000000007E-2</v>
      </c>
      <c r="M1080" s="25"/>
      <c r="N1080" s="22"/>
      <c r="O1080" s="23" t="s">
        <v>40</v>
      </c>
      <c r="P1080" s="20">
        <f>(C1080+(E1080*F1080*H1080))-N1080</f>
        <v>0</v>
      </c>
      <c r="Q1080" s="23" t="s">
        <v>40</v>
      </c>
      <c r="R1080" s="24">
        <f>P1080*(J1080-(J1080*L1080)-((J1080-(J1080*L1080))*M1080))</f>
        <v>0</v>
      </c>
      <c r="S1080" s="24">
        <f t="shared" ref="S1080" si="633">R1080/1.11</f>
        <v>0</v>
      </c>
    </row>
    <row r="1081" spans="1:19" s="19" customFormat="1">
      <c r="A1081" s="18" t="s">
        <v>1033</v>
      </c>
      <c r="B1081" s="19" t="s">
        <v>171</v>
      </c>
      <c r="C1081" s="20"/>
      <c r="D1081" s="21" t="s">
        <v>40</v>
      </c>
      <c r="E1081" s="26">
        <v>5</v>
      </c>
      <c r="F1081" s="22">
        <v>1</v>
      </c>
      <c r="G1081" s="23" t="s">
        <v>20</v>
      </c>
      <c r="H1081" s="22">
        <v>100</v>
      </c>
      <c r="I1081" s="23" t="s">
        <v>40</v>
      </c>
      <c r="J1081" s="24">
        <v>18500</v>
      </c>
      <c r="K1081" s="21" t="s">
        <v>40</v>
      </c>
      <c r="L1081" s="25">
        <v>7.0000000000000007E-2</v>
      </c>
      <c r="M1081" s="25"/>
      <c r="N1081" s="22"/>
      <c r="O1081" s="23" t="s">
        <v>40</v>
      </c>
      <c r="P1081" s="20">
        <f>(C1081+(E1081*F1081*H1081))-N1081</f>
        <v>500</v>
      </c>
      <c r="Q1081" s="23" t="s">
        <v>40</v>
      </c>
      <c r="R1081" s="24">
        <f>P1081*(J1081-(J1081*L1081)-((J1081-(J1081*L1081))*M1081))</f>
        <v>8602500</v>
      </c>
      <c r="S1081" s="24">
        <f t="shared" ref="S1081" si="634">R1081/1.11</f>
        <v>7749999.9999999991</v>
      </c>
    </row>
    <row r="1083" spans="1:19" s="19" customFormat="1">
      <c r="A1083" s="128" t="s">
        <v>662</v>
      </c>
      <c r="B1083" s="19" t="s">
        <v>596</v>
      </c>
      <c r="C1083" s="20"/>
      <c r="D1083" s="21" t="s">
        <v>19</v>
      </c>
      <c r="E1083" s="26">
        <v>3</v>
      </c>
      <c r="F1083" s="22">
        <v>1</v>
      </c>
      <c r="G1083" s="23" t="s">
        <v>20</v>
      </c>
      <c r="H1083" s="22">
        <v>600</v>
      </c>
      <c r="I1083" s="23" t="s">
        <v>19</v>
      </c>
      <c r="J1083" s="24">
        <v>2700</v>
      </c>
      <c r="K1083" s="21" t="s">
        <v>19</v>
      </c>
      <c r="L1083" s="127">
        <v>0.3</v>
      </c>
      <c r="M1083" s="25"/>
      <c r="N1083" s="22"/>
      <c r="O1083" s="23" t="s">
        <v>19</v>
      </c>
      <c r="P1083" s="20">
        <f>(C1083+(E1083*F1083*H1083))-N1083</f>
        <v>1800</v>
      </c>
      <c r="Q1083" s="23" t="s">
        <v>19</v>
      </c>
      <c r="R1083" s="24">
        <f>P1083*(J1083-(J1083*L1083)-((J1083-(J1083*L1083))*M1083))</f>
        <v>3402000</v>
      </c>
      <c r="S1083" s="24">
        <f t="shared" ref="S1083" si="635">R1083/1.11</f>
        <v>3064864.8648648644</v>
      </c>
    </row>
    <row r="1084" spans="1:19" s="19" customFormat="1">
      <c r="A1084" s="128" t="s">
        <v>662</v>
      </c>
      <c r="B1084" s="19" t="s">
        <v>596</v>
      </c>
      <c r="C1084" s="20">
        <v>3376</v>
      </c>
      <c r="D1084" s="21" t="s">
        <v>19</v>
      </c>
      <c r="E1084" s="26"/>
      <c r="F1084" s="22">
        <v>1</v>
      </c>
      <c r="G1084" s="23" t="s">
        <v>20</v>
      </c>
      <c r="H1084" s="22">
        <v>600</v>
      </c>
      <c r="I1084" s="23" t="s">
        <v>19</v>
      </c>
      <c r="J1084" s="24">
        <v>2700</v>
      </c>
      <c r="K1084" s="21" t="s">
        <v>19</v>
      </c>
      <c r="L1084" s="127">
        <v>0.35</v>
      </c>
      <c r="M1084" s="25"/>
      <c r="N1084" s="22"/>
      <c r="O1084" s="23" t="s">
        <v>19</v>
      </c>
      <c r="P1084" s="20">
        <f>(C1084+(E1084*F1084*H1084))-N1084</f>
        <v>3376</v>
      </c>
      <c r="Q1084" s="23" t="s">
        <v>19</v>
      </c>
      <c r="R1084" s="24">
        <f>P1084*(J1084-(J1084*L1084)-((J1084-(J1084*L1084))*M1084))</f>
        <v>5924880</v>
      </c>
      <c r="S1084" s="24">
        <f t="shared" si="627"/>
        <v>5337729.7297297297</v>
      </c>
    </row>
    <row r="1086" spans="1:19" ht="15.75">
      <c r="A1086" s="14" t="s">
        <v>530</v>
      </c>
    </row>
    <row r="1087" spans="1:19">
      <c r="A1087" s="15" t="s">
        <v>531</v>
      </c>
    </row>
    <row r="1088" spans="1:19" s="76" customFormat="1">
      <c r="A1088" s="75" t="s">
        <v>532</v>
      </c>
      <c r="B1088" s="76" t="s">
        <v>18</v>
      </c>
      <c r="C1088" s="74"/>
      <c r="D1088" s="77" t="s">
        <v>19</v>
      </c>
      <c r="E1088" s="78"/>
      <c r="F1088" s="79">
        <v>40</v>
      </c>
      <c r="G1088" s="80" t="s">
        <v>98</v>
      </c>
      <c r="H1088" s="79">
        <v>12</v>
      </c>
      <c r="I1088" s="80" t="s">
        <v>19</v>
      </c>
      <c r="J1088" s="81">
        <v>6700</v>
      </c>
      <c r="K1088" s="77" t="s">
        <v>19</v>
      </c>
      <c r="L1088" s="82">
        <v>0.125</v>
      </c>
      <c r="M1088" s="82">
        <v>0.05</v>
      </c>
      <c r="N1088" s="79"/>
      <c r="O1088" s="80" t="s">
        <v>19</v>
      </c>
      <c r="P1088" s="74">
        <f>(C1088+(E1088*F1088*H1088))-N1088</f>
        <v>0</v>
      </c>
      <c r="Q1088" s="80" t="s">
        <v>19</v>
      </c>
      <c r="R1088" s="81">
        <f>P1088*(J1088-(J1088*L1088)-((J1088-(J1088*L1088))*M1088))</f>
        <v>0</v>
      </c>
      <c r="S1088" s="16">
        <f t="shared" si="627"/>
        <v>0</v>
      </c>
    </row>
    <row r="1089" spans="1:19" s="93" customFormat="1">
      <c r="A1089" s="85" t="s">
        <v>873</v>
      </c>
      <c r="B1089" s="93" t="s">
        <v>18</v>
      </c>
      <c r="C1089" s="94"/>
      <c r="D1089" s="95" t="s">
        <v>19</v>
      </c>
      <c r="E1089" s="96">
        <v>1</v>
      </c>
      <c r="F1089" s="97">
        <v>40</v>
      </c>
      <c r="G1089" s="98" t="s">
        <v>98</v>
      </c>
      <c r="H1089" s="97">
        <v>12</v>
      </c>
      <c r="I1089" s="98" t="s">
        <v>19</v>
      </c>
      <c r="J1089" s="99">
        <v>6600</v>
      </c>
      <c r="K1089" s="95" t="s">
        <v>19</v>
      </c>
      <c r="L1089" s="100">
        <v>0.125</v>
      </c>
      <c r="M1089" s="100">
        <v>0.05</v>
      </c>
      <c r="N1089" s="97"/>
      <c r="O1089" s="98" t="s">
        <v>19</v>
      </c>
      <c r="P1089" s="94">
        <f>(C1089+(E1089*F1089*H1089))-N1089</f>
        <v>480</v>
      </c>
      <c r="Q1089" s="98" t="s">
        <v>19</v>
      </c>
      <c r="R1089" s="99">
        <f>P1089*(J1089-(J1089*L1089)-((J1089-(J1089*L1089))*M1089))</f>
        <v>2633400</v>
      </c>
      <c r="S1089" s="99">
        <f t="shared" ref="S1089" si="636">R1089/1.11</f>
        <v>2372432.4324324322</v>
      </c>
    </row>
    <row r="1090" spans="1:19" s="19" customFormat="1">
      <c r="A1090" s="18" t="s">
        <v>533</v>
      </c>
      <c r="B1090" s="19" t="s">
        <v>18</v>
      </c>
      <c r="C1090" s="20"/>
      <c r="D1090" s="21" t="s">
        <v>19</v>
      </c>
      <c r="E1090" s="26">
        <v>2</v>
      </c>
      <c r="F1090" s="22">
        <v>20</v>
      </c>
      <c r="G1090" s="23" t="s">
        <v>98</v>
      </c>
      <c r="H1090" s="22">
        <v>12</v>
      </c>
      <c r="I1090" s="23" t="s">
        <v>19</v>
      </c>
      <c r="J1090" s="24">
        <v>8600</v>
      </c>
      <c r="K1090" s="21" t="s">
        <v>19</v>
      </c>
      <c r="L1090" s="25">
        <v>0.125</v>
      </c>
      <c r="M1090" s="25">
        <v>0.05</v>
      </c>
      <c r="N1090" s="22"/>
      <c r="O1090" s="23" t="s">
        <v>19</v>
      </c>
      <c r="P1090" s="20">
        <f>(C1090+(E1090*F1090*H1090))-N1090</f>
        <v>480</v>
      </c>
      <c r="Q1090" s="23" t="s">
        <v>19</v>
      </c>
      <c r="R1090" s="24">
        <f>P1090*(J1090-(J1090*L1090)-((J1090-(J1090*L1090))*M1090))</f>
        <v>3431400</v>
      </c>
      <c r="S1090" s="24">
        <f t="shared" ref="S1090" si="637">R1090/1.11</f>
        <v>3091351.351351351</v>
      </c>
    </row>
    <row r="1091" spans="1:19" s="19" customFormat="1">
      <c r="A1091" s="18"/>
      <c r="C1091" s="20"/>
      <c r="D1091" s="21"/>
      <c r="E1091" s="26"/>
      <c r="F1091" s="22"/>
      <c r="G1091" s="23"/>
      <c r="H1091" s="22"/>
      <c r="I1091" s="23"/>
      <c r="J1091" s="24"/>
      <c r="K1091" s="21"/>
      <c r="L1091" s="25"/>
      <c r="M1091" s="25"/>
      <c r="N1091" s="22"/>
      <c r="O1091" s="23"/>
      <c r="P1091" s="20"/>
      <c r="Q1091" s="23"/>
      <c r="R1091" s="24"/>
      <c r="S1091" s="8"/>
    </row>
    <row r="1092" spans="1:19" s="83" customFormat="1">
      <c r="A1092" s="122" t="s">
        <v>534</v>
      </c>
      <c r="B1092" s="83" t="s">
        <v>25</v>
      </c>
      <c r="C1092" s="86"/>
      <c r="D1092" s="87" t="s">
        <v>40</v>
      </c>
      <c r="E1092" s="88">
        <v>2</v>
      </c>
      <c r="F1092" s="89">
        <v>1</v>
      </c>
      <c r="G1092" s="90" t="s">
        <v>20</v>
      </c>
      <c r="H1092" s="89">
        <v>40</v>
      </c>
      <c r="I1092" s="90" t="s">
        <v>40</v>
      </c>
      <c r="J1092" s="91">
        <f>3096000/40</f>
        <v>77400</v>
      </c>
      <c r="K1092" s="87" t="s">
        <v>40</v>
      </c>
      <c r="L1092" s="92"/>
      <c r="M1092" s="92">
        <v>0.17</v>
      </c>
      <c r="N1092" s="89"/>
      <c r="O1092" s="90" t="s">
        <v>40</v>
      </c>
      <c r="P1092" s="86">
        <f t="shared" ref="P1092:P1097" si="638">(C1092+(E1092*F1092*H1092))-N1092</f>
        <v>80</v>
      </c>
      <c r="Q1092" s="90" t="s">
        <v>40</v>
      </c>
      <c r="R1092" s="91">
        <f t="shared" ref="R1092:R1097" si="639">P1092*(J1092-(J1092*L1092)-((J1092-(J1092*L1092))*M1092))</f>
        <v>5139360</v>
      </c>
      <c r="S1092" s="91">
        <f t="shared" si="627"/>
        <v>4630054.0540540535</v>
      </c>
    </row>
    <row r="1093" spans="1:19">
      <c r="A1093" s="39" t="s">
        <v>535</v>
      </c>
      <c r="B1093" s="2" t="s">
        <v>25</v>
      </c>
      <c r="C1093" s="3">
        <v>33</v>
      </c>
      <c r="D1093" s="4" t="s">
        <v>40</v>
      </c>
      <c r="E1093" s="5">
        <v>3</v>
      </c>
      <c r="F1093" s="6">
        <v>1</v>
      </c>
      <c r="G1093" s="7" t="s">
        <v>20</v>
      </c>
      <c r="H1093" s="6">
        <v>40</v>
      </c>
      <c r="I1093" s="7" t="s">
        <v>40</v>
      </c>
      <c r="J1093" s="8">
        <f>2976000/40</f>
        <v>74400</v>
      </c>
      <c r="K1093" s="4" t="s">
        <v>40</v>
      </c>
      <c r="M1093" s="9">
        <v>0.17</v>
      </c>
      <c r="O1093" s="7" t="s">
        <v>40</v>
      </c>
      <c r="P1093" s="3">
        <f t="shared" si="638"/>
        <v>153</v>
      </c>
      <c r="Q1093" s="7" t="s">
        <v>40</v>
      </c>
      <c r="R1093" s="8">
        <f t="shared" si="639"/>
        <v>9448056</v>
      </c>
      <c r="S1093" s="8">
        <f t="shared" si="627"/>
        <v>8511762.1621621605</v>
      </c>
    </row>
    <row r="1094" spans="1:19" s="67" customFormat="1">
      <c r="A1094" s="108" t="s">
        <v>536</v>
      </c>
      <c r="B1094" s="67" t="s">
        <v>25</v>
      </c>
      <c r="C1094" s="68"/>
      <c r="D1094" s="69" t="s">
        <v>19</v>
      </c>
      <c r="E1094" s="70"/>
      <c r="F1094" s="71">
        <v>1</v>
      </c>
      <c r="G1094" s="72" t="s">
        <v>20</v>
      </c>
      <c r="H1094" s="71">
        <v>20</v>
      </c>
      <c r="I1094" s="72" t="s">
        <v>19</v>
      </c>
      <c r="J1094" s="16">
        <v>90000</v>
      </c>
      <c r="K1094" s="69" t="s">
        <v>19</v>
      </c>
      <c r="L1094" s="73"/>
      <c r="M1094" s="73">
        <v>0.17</v>
      </c>
      <c r="N1094" s="71"/>
      <c r="O1094" s="72" t="s">
        <v>19</v>
      </c>
      <c r="P1094" s="68">
        <f t="shared" si="638"/>
        <v>0</v>
      </c>
      <c r="Q1094" s="72" t="s">
        <v>19</v>
      </c>
      <c r="R1094" s="16">
        <f t="shared" si="639"/>
        <v>0</v>
      </c>
      <c r="S1094" s="16">
        <f t="shared" si="627"/>
        <v>0</v>
      </c>
    </row>
    <row r="1095" spans="1:19" s="67" customFormat="1">
      <c r="A1095" s="108" t="s">
        <v>537</v>
      </c>
      <c r="B1095" s="67" t="s">
        <v>25</v>
      </c>
      <c r="C1095" s="68"/>
      <c r="D1095" s="69" t="s">
        <v>19</v>
      </c>
      <c r="E1095" s="70"/>
      <c r="F1095" s="71">
        <v>1</v>
      </c>
      <c r="G1095" s="72" t="s">
        <v>20</v>
      </c>
      <c r="H1095" s="71">
        <v>20</v>
      </c>
      <c r="I1095" s="72" t="s">
        <v>19</v>
      </c>
      <c r="J1095" s="16">
        <v>87500</v>
      </c>
      <c r="K1095" s="69" t="s">
        <v>19</v>
      </c>
      <c r="L1095" s="73"/>
      <c r="M1095" s="73">
        <v>0.17</v>
      </c>
      <c r="N1095" s="71"/>
      <c r="O1095" s="72" t="s">
        <v>19</v>
      </c>
      <c r="P1095" s="68">
        <f t="shared" si="638"/>
        <v>0</v>
      </c>
      <c r="Q1095" s="72" t="s">
        <v>19</v>
      </c>
      <c r="R1095" s="16">
        <f t="shared" si="639"/>
        <v>0</v>
      </c>
      <c r="S1095" s="16">
        <f t="shared" si="627"/>
        <v>0</v>
      </c>
    </row>
    <row r="1096" spans="1:19">
      <c r="A1096" s="39" t="s">
        <v>538</v>
      </c>
      <c r="B1096" s="2" t="s">
        <v>25</v>
      </c>
      <c r="C1096" s="3">
        <v>11</v>
      </c>
      <c r="D1096" s="4" t="s">
        <v>40</v>
      </c>
      <c r="F1096" s="6">
        <v>1</v>
      </c>
      <c r="G1096" s="7" t="s">
        <v>20</v>
      </c>
      <c r="H1096" s="6">
        <v>40</v>
      </c>
      <c r="I1096" s="7" t="s">
        <v>40</v>
      </c>
      <c r="J1096" s="8">
        <f>3360000/40</f>
        <v>84000</v>
      </c>
      <c r="K1096" s="4" t="s">
        <v>40</v>
      </c>
      <c r="M1096" s="9">
        <v>0.17</v>
      </c>
      <c r="O1096" s="7" t="s">
        <v>40</v>
      </c>
      <c r="P1096" s="3">
        <f t="shared" si="638"/>
        <v>11</v>
      </c>
      <c r="Q1096" s="7" t="s">
        <v>40</v>
      </c>
      <c r="R1096" s="8">
        <f t="shared" si="639"/>
        <v>766920</v>
      </c>
      <c r="S1096" s="8">
        <f t="shared" si="627"/>
        <v>690918.91891891882</v>
      </c>
    </row>
    <row r="1097" spans="1:19" s="83" customFormat="1">
      <c r="A1097" s="122" t="s">
        <v>539</v>
      </c>
      <c r="B1097" s="83" t="s">
        <v>25</v>
      </c>
      <c r="C1097" s="86"/>
      <c r="D1097" s="87" t="s">
        <v>40</v>
      </c>
      <c r="E1097" s="88">
        <v>3</v>
      </c>
      <c r="F1097" s="89">
        <v>1</v>
      </c>
      <c r="G1097" s="90" t="s">
        <v>20</v>
      </c>
      <c r="H1097" s="89">
        <v>20</v>
      </c>
      <c r="I1097" s="90" t="s">
        <v>40</v>
      </c>
      <c r="J1097" s="91">
        <f>1992000/20</f>
        <v>99600</v>
      </c>
      <c r="K1097" s="87" t="s">
        <v>40</v>
      </c>
      <c r="L1097" s="92"/>
      <c r="M1097" s="92">
        <v>0.17</v>
      </c>
      <c r="N1097" s="89"/>
      <c r="O1097" s="90" t="s">
        <v>40</v>
      </c>
      <c r="P1097" s="86">
        <f t="shared" si="638"/>
        <v>60</v>
      </c>
      <c r="Q1097" s="90" t="s">
        <v>40</v>
      </c>
      <c r="R1097" s="91">
        <f t="shared" si="639"/>
        <v>4960080</v>
      </c>
      <c r="S1097" s="91">
        <f t="shared" si="627"/>
        <v>4468540.5405405406</v>
      </c>
    </row>
    <row r="1098" spans="1:19">
      <c r="A1098" s="39"/>
    </row>
    <row r="1099" spans="1:19">
      <c r="A1099" s="15" t="s">
        <v>540</v>
      </c>
    </row>
    <row r="1100" spans="1:19" s="93" customFormat="1">
      <c r="A1100" s="85" t="s">
        <v>541</v>
      </c>
      <c r="B1100" s="93" t="s">
        <v>18</v>
      </c>
      <c r="C1100" s="94"/>
      <c r="D1100" s="95" t="s">
        <v>40</v>
      </c>
      <c r="E1100" s="96">
        <v>7</v>
      </c>
      <c r="F1100" s="97">
        <v>18</v>
      </c>
      <c r="G1100" s="98" t="s">
        <v>98</v>
      </c>
      <c r="H1100" s="97">
        <v>1</v>
      </c>
      <c r="I1100" s="98" t="s">
        <v>40</v>
      </c>
      <c r="J1100" s="99">
        <f>4900*12</f>
        <v>58800</v>
      </c>
      <c r="K1100" s="95" t="s">
        <v>40</v>
      </c>
      <c r="L1100" s="100">
        <v>0.125</v>
      </c>
      <c r="M1100" s="100">
        <v>0.05</v>
      </c>
      <c r="N1100" s="97"/>
      <c r="O1100" s="98" t="s">
        <v>40</v>
      </c>
      <c r="P1100" s="94">
        <f>(C1100+(E1100*F1100*H1100))-N1100</f>
        <v>126</v>
      </c>
      <c r="Q1100" s="98" t="s">
        <v>40</v>
      </c>
      <c r="R1100" s="99">
        <f>P1100*(J1100-(J1100*L1100)-((J1100-(J1100*L1100))*M1100))</f>
        <v>6158565</v>
      </c>
      <c r="S1100" s="91">
        <f t="shared" si="627"/>
        <v>5548256.7567567565</v>
      </c>
    </row>
    <row r="1101" spans="1:19" s="76" customFormat="1">
      <c r="A1101" s="75" t="s">
        <v>542</v>
      </c>
      <c r="B1101" s="76" t="s">
        <v>18</v>
      </c>
      <c r="C1101" s="74"/>
      <c r="D1101" s="77" t="s">
        <v>40</v>
      </c>
      <c r="E1101" s="78"/>
      <c r="F1101" s="79">
        <v>24</v>
      </c>
      <c r="G1101" s="80" t="s">
        <v>98</v>
      </c>
      <c r="H1101" s="79">
        <v>2</v>
      </c>
      <c r="I1101" s="80" t="s">
        <v>40</v>
      </c>
      <c r="J1101" s="81">
        <f>4900*12</f>
        <v>58800</v>
      </c>
      <c r="K1101" s="77" t="s">
        <v>40</v>
      </c>
      <c r="L1101" s="82">
        <v>0.125</v>
      </c>
      <c r="M1101" s="82">
        <v>0.05</v>
      </c>
      <c r="N1101" s="79"/>
      <c r="O1101" s="80" t="s">
        <v>40</v>
      </c>
      <c r="P1101" s="74">
        <f>(C1101+(E1101*F1101*H1101))-N1101</f>
        <v>0</v>
      </c>
      <c r="Q1101" s="80" t="s">
        <v>40</v>
      </c>
      <c r="R1101" s="81">
        <f>P1101*(J1101-(J1101*L1101)-((J1101-(J1101*L1101))*M1101))</f>
        <v>0</v>
      </c>
      <c r="S1101" s="16">
        <f t="shared" si="627"/>
        <v>0</v>
      </c>
    </row>
    <row r="1102" spans="1:19" s="93" customFormat="1">
      <c r="A1102" s="155" t="s">
        <v>542</v>
      </c>
      <c r="B1102" s="93" t="s">
        <v>18</v>
      </c>
      <c r="C1102" s="94"/>
      <c r="D1102" s="95" t="s">
        <v>40</v>
      </c>
      <c r="E1102" s="96">
        <v>1</v>
      </c>
      <c r="F1102" s="97">
        <v>24</v>
      </c>
      <c r="G1102" s="98" t="s">
        <v>98</v>
      </c>
      <c r="H1102" s="97">
        <v>2</v>
      </c>
      <c r="I1102" s="98" t="s">
        <v>40</v>
      </c>
      <c r="J1102" s="99">
        <v>56400</v>
      </c>
      <c r="K1102" s="95" t="s">
        <v>40</v>
      </c>
      <c r="L1102" s="100">
        <v>0.125</v>
      </c>
      <c r="M1102" s="100">
        <v>0.05</v>
      </c>
      <c r="N1102" s="97"/>
      <c r="O1102" s="98" t="s">
        <v>40</v>
      </c>
      <c r="P1102" s="94">
        <f>(C1102+(E1102*F1102*H1102))-N1102</f>
        <v>48</v>
      </c>
      <c r="Q1102" s="98" t="s">
        <v>40</v>
      </c>
      <c r="R1102" s="99">
        <f>P1102*(J1102-(J1102*L1102)-((J1102-(J1102*L1102))*M1102))</f>
        <v>2250360</v>
      </c>
      <c r="S1102" s="91">
        <f t="shared" ref="S1102" si="640">R1102/1.11</f>
        <v>2027351.3513513512</v>
      </c>
    </row>
    <row r="1103" spans="1:19" s="19" customFormat="1">
      <c r="A1103" s="18" t="s">
        <v>543</v>
      </c>
      <c r="B1103" s="19" t="s">
        <v>18</v>
      </c>
      <c r="C1103" s="20"/>
      <c r="D1103" s="21" t="s">
        <v>40</v>
      </c>
      <c r="E1103" s="26">
        <v>7</v>
      </c>
      <c r="F1103" s="22">
        <v>18</v>
      </c>
      <c r="G1103" s="23" t="s">
        <v>98</v>
      </c>
      <c r="H1103" s="22">
        <v>1</v>
      </c>
      <c r="I1103" s="23" t="s">
        <v>40</v>
      </c>
      <c r="J1103" s="24">
        <v>69600</v>
      </c>
      <c r="K1103" s="21" t="s">
        <v>40</v>
      </c>
      <c r="L1103" s="25">
        <v>0.125</v>
      </c>
      <c r="M1103" s="25">
        <v>0.05</v>
      </c>
      <c r="N1103" s="22"/>
      <c r="O1103" s="23" t="s">
        <v>40</v>
      </c>
      <c r="P1103" s="94">
        <f>(C1103+(E1103*F1103*H1103))-N1103</f>
        <v>126</v>
      </c>
      <c r="Q1103" s="98" t="s">
        <v>40</v>
      </c>
      <c r="R1103" s="24">
        <f>P1103*(J1103-(J1103*L1103)-((J1103-(J1103*L1103))*M1103))</f>
        <v>7289730</v>
      </c>
      <c r="S1103" s="24">
        <f t="shared" ref="S1103" si="641">R1103/1.11</f>
        <v>6567324.3243243238</v>
      </c>
    </row>
    <row r="1104" spans="1:19" s="76" customFormat="1">
      <c r="A1104" s="75" t="s">
        <v>544</v>
      </c>
      <c r="B1104" s="76" t="s">
        <v>18</v>
      </c>
      <c r="C1104" s="74"/>
      <c r="D1104" s="77" t="s">
        <v>40</v>
      </c>
      <c r="E1104" s="78"/>
      <c r="F1104" s="79">
        <v>24</v>
      </c>
      <c r="G1104" s="80" t="s">
        <v>98</v>
      </c>
      <c r="H1104" s="79">
        <v>6</v>
      </c>
      <c r="I1104" s="80" t="s">
        <v>19</v>
      </c>
      <c r="J1104" s="81">
        <v>12600</v>
      </c>
      <c r="K1104" s="77" t="s">
        <v>19</v>
      </c>
      <c r="L1104" s="82">
        <v>0.125</v>
      </c>
      <c r="M1104" s="82">
        <v>0.05</v>
      </c>
      <c r="N1104" s="79"/>
      <c r="O1104" s="80" t="s">
        <v>19</v>
      </c>
      <c r="P1104" s="74">
        <f>(C1104+(E1104*F1104*H1104))-N1104</f>
        <v>0</v>
      </c>
      <c r="Q1104" s="80" t="s">
        <v>19</v>
      </c>
      <c r="R1104" s="81">
        <f>P1104*(J1104-(J1104*L1104)-((J1104-(J1104*L1104))*M1104))</f>
        <v>0</v>
      </c>
      <c r="S1104" s="16">
        <f t="shared" si="627"/>
        <v>0</v>
      </c>
    </row>
    <row r="1105" spans="1:19" s="19" customFormat="1">
      <c r="A1105" s="18"/>
      <c r="C1105" s="20"/>
      <c r="D1105" s="21"/>
      <c r="E1105" s="26"/>
      <c r="F1105" s="22"/>
      <c r="G1105" s="23"/>
      <c r="H1105" s="22"/>
      <c r="I1105" s="23"/>
      <c r="J1105" s="24"/>
      <c r="K1105" s="21"/>
      <c r="L1105" s="25"/>
      <c r="M1105" s="25"/>
      <c r="N1105" s="22"/>
      <c r="O1105" s="23"/>
      <c r="P1105" s="20"/>
      <c r="Q1105" s="23"/>
      <c r="R1105" s="24"/>
      <c r="S1105" s="8"/>
    </row>
    <row r="1106" spans="1:19" s="19" customFormat="1">
      <c r="A1106" s="18" t="s">
        <v>545</v>
      </c>
      <c r="B1106" s="19" t="s">
        <v>25</v>
      </c>
      <c r="C1106" s="20"/>
      <c r="D1106" s="21" t="s">
        <v>40</v>
      </c>
      <c r="E1106" s="26">
        <v>9</v>
      </c>
      <c r="F1106" s="22">
        <v>1</v>
      </c>
      <c r="G1106" s="23" t="s">
        <v>20</v>
      </c>
      <c r="H1106" s="22">
        <v>18</v>
      </c>
      <c r="I1106" s="23" t="s">
        <v>40</v>
      </c>
      <c r="J1106" s="24">
        <f>1069200/18</f>
        <v>59400</v>
      </c>
      <c r="K1106" s="21" t="s">
        <v>40</v>
      </c>
      <c r="L1106" s="25"/>
      <c r="M1106" s="25">
        <v>0.17</v>
      </c>
      <c r="N1106" s="22"/>
      <c r="O1106" s="23" t="s">
        <v>40</v>
      </c>
      <c r="P1106" s="20">
        <f>(C1106+(E1106*F1106*H1106))-N1106</f>
        <v>162</v>
      </c>
      <c r="Q1106" s="23" t="s">
        <v>40</v>
      </c>
      <c r="R1106" s="24">
        <f>P1106*(J1106-(J1106*L1106)-((J1106-(J1106*L1106))*M1106))</f>
        <v>7986924</v>
      </c>
      <c r="S1106" s="24">
        <f t="shared" si="627"/>
        <v>7195427.0270270268</v>
      </c>
    </row>
    <row r="1107" spans="1:19" s="83" customFormat="1">
      <c r="A1107" s="102" t="s">
        <v>546</v>
      </c>
      <c r="B1107" s="83" t="s">
        <v>25</v>
      </c>
      <c r="C1107" s="86"/>
      <c r="D1107" s="87" t="s">
        <v>40</v>
      </c>
      <c r="E1107" s="88">
        <v>2</v>
      </c>
      <c r="F1107" s="89">
        <v>1</v>
      </c>
      <c r="G1107" s="90" t="s">
        <v>20</v>
      </c>
      <c r="H1107" s="89">
        <v>18</v>
      </c>
      <c r="I1107" s="90" t="s">
        <v>40</v>
      </c>
      <c r="J1107" s="91">
        <f>1274400/18</f>
        <v>70800</v>
      </c>
      <c r="K1107" s="87" t="s">
        <v>40</v>
      </c>
      <c r="L1107" s="92"/>
      <c r="M1107" s="92">
        <v>0.17</v>
      </c>
      <c r="N1107" s="89"/>
      <c r="O1107" s="90" t="s">
        <v>40</v>
      </c>
      <c r="P1107" s="86">
        <f>(C1107+(E1107*F1107*H1107))-N1107</f>
        <v>36</v>
      </c>
      <c r="Q1107" s="90" t="s">
        <v>40</v>
      </c>
      <c r="R1107" s="91">
        <f>P1107*(J1107-(J1107*L1107)-((J1107-(J1107*L1107))*M1107))</f>
        <v>2115504</v>
      </c>
      <c r="S1107" s="91">
        <f t="shared" si="627"/>
        <v>1905859.4594594592</v>
      </c>
    </row>
    <row r="1109" spans="1:19" ht="15.75">
      <c r="A1109" s="14" t="s">
        <v>547</v>
      </c>
    </row>
    <row r="1110" spans="1:19">
      <c r="A1110" s="15" t="s">
        <v>548</v>
      </c>
    </row>
    <row r="1111" spans="1:19">
      <c r="A1111" s="17" t="s">
        <v>702</v>
      </c>
      <c r="B1111" s="19" t="s">
        <v>18</v>
      </c>
      <c r="D1111" s="4" t="s">
        <v>19</v>
      </c>
      <c r="E1111" s="5">
        <v>4</v>
      </c>
      <c r="F1111" s="6">
        <v>1</v>
      </c>
      <c r="G1111" s="7" t="s">
        <v>20</v>
      </c>
      <c r="H1111" s="6">
        <v>72</v>
      </c>
      <c r="I1111" s="7" t="s">
        <v>19</v>
      </c>
      <c r="J1111" s="8">
        <v>34500</v>
      </c>
      <c r="K1111" s="4" t="s">
        <v>19</v>
      </c>
      <c r="L1111" s="9">
        <v>0.125</v>
      </c>
      <c r="M1111" s="9">
        <v>0.05</v>
      </c>
      <c r="O1111" s="7" t="s">
        <v>19</v>
      </c>
      <c r="P1111" s="3">
        <f>(C1111+(E1111*F1111*H1111))-N1111</f>
        <v>288</v>
      </c>
      <c r="Q1111" s="7" t="s">
        <v>19</v>
      </c>
      <c r="R1111" s="8">
        <f>P1111*(J1111-(J1111*L1111)-((J1111-(J1111*L1111))*M1111))</f>
        <v>8259300</v>
      </c>
      <c r="S1111" s="8">
        <f t="shared" ref="S1111" si="642">R1111/1.11</f>
        <v>7440810.81081081</v>
      </c>
    </row>
    <row r="1112" spans="1:19" s="83" customFormat="1">
      <c r="A1112" s="102" t="s">
        <v>549</v>
      </c>
      <c r="B1112" s="93" t="s">
        <v>18</v>
      </c>
      <c r="C1112" s="86"/>
      <c r="D1112" s="87" t="s">
        <v>19</v>
      </c>
      <c r="E1112" s="88">
        <v>2</v>
      </c>
      <c r="F1112" s="89">
        <v>1</v>
      </c>
      <c r="G1112" s="90" t="s">
        <v>20</v>
      </c>
      <c r="H1112" s="89">
        <v>24</v>
      </c>
      <c r="I1112" s="90" t="s">
        <v>19</v>
      </c>
      <c r="J1112" s="91">
        <v>97000</v>
      </c>
      <c r="K1112" s="87" t="s">
        <v>19</v>
      </c>
      <c r="L1112" s="92">
        <v>0.125</v>
      </c>
      <c r="M1112" s="92">
        <v>0.05</v>
      </c>
      <c r="N1112" s="89"/>
      <c r="O1112" s="90" t="s">
        <v>19</v>
      </c>
      <c r="P1112" s="86">
        <f>(C1112+(E1112*F1112*H1112))-N1112</f>
        <v>48</v>
      </c>
      <c r="Q1112" s="90" t="s">
        <v>19</v>
      </c>
      <c r="R1112" s="91">
        <f>P1112*(J1112-(J1112*L1112)-((J1112-(J1112*L1112))*M1112))</f>
        <v>3870300</v>
      </c>
      <c r="S1112" s="91">
        <f t="shared" si="627"/>
        <v>3486756.7567567565</v>
      </c>
    </row>
    <row r="1113" spans="1:19">
      <c r="B1113" s="19"/>
    </row>
    <row r="1114" spans="1:19" s="67" customFormat="1">
      <c r="A1114" s="66" t="s">
        <v>550</v>
      </c>
      <c r="B1114" s="67" t="s">
        <v>25</v>
      </c>
      <c r="C1114" s="68"/>
      <c r="D1114" s="69" t="s">
        <v>40</v>
      </c>
      <c r="E1114" s="70"/>
      <c r="F1114" s="71">
        <v>1</v>
      </c>
      <c r="G1114" s="72" t="s">
        <v>20</v>
      </c>
      <c r="H1114" s="71">
        <v>48</v>
      </c>
      <c r="I1114" s="72" t="s">
        <v>19</v>
      </c>
      <c r="J1114" s="16">
        <f>2400000/48</f>
        <v>50000</v>
      </c>
      <c r="K1114" s="69" t="s">
        <v>19</v>
      </c>
      <c r="L1114" s="73"/>
      <c r="M1114" s="73">
        <v>0.17</v>
      </c>
      <c r="N1114" s="71"/>
      <c r="O1114" s="72" t="s">
        <v>19</v>
      </c>
      <c r="P1114" s="68">
        <f>(C1114+(E1114*F1114*H1114))-N1114</f>
        <v>0</v>
      </c>
      <c r="Q1114" s="72" t="s">
        <v>19</v>
      </c>
      <c r="R1114" s="16">
        <f>P1114*(J1114-(J1114*L1114)-((J1114-(J1114*L1114))*M1114))</f>
        <v>0</v>
      </c>
      <c r="S1114" s="16">
        <f t="shared" si="627"/>
        <v>0</v>
      </c>
    </row>
    <row r="1116" spans="1:19">
      <c r="A1116" s="15" t="s">
        <v>551</v>
      </c>
    </row>
    <row r="1117" spans="1:19" s="19" customFormat="1">
      <c r="A1117" s="18" t="s">
        <v>552</v>
      </c>
      <c r="B1117" s="19" t="s">
        <v>18</v>
      </c>
      <c r="C1117" s="20"/>
      <c r="D1117" s="21" t="s">
        <v>40</v>
      </c>
      <c r="E1117" s="26">
        <v>57</v>
      </c>
      <c r="F1117" s="22">
        <v>1</v>
      </c>
      <c r="G1117" s="23" t="s">
        <v>20</v>
      </c>
      <c r="H1117" s="22">
        <v>20</v>
      </c>
      <c r="I1117" s="23" t="s">
        <v>40</v>
      </c>
      <c r="J1117" s="24">
        <v>85200</v>
      </c>
      <c r="K1117" s="21" t="s">
        <v>40</v>
      </c>
      <c r="L1117" s="25">
        <v>0.125</v>
      </c>
      <c r="M1117" s="25">
        <v>0.05</v>
      </c>
      <c r="N1117" s="22"/>
      <c r="O1117" s="23" t="s">
        <v>40</v>
      </c>
      <c r="P1117" s="20">
        <f t="shared" ref="P1117:P1132" si="643">(C1117+(E1117*F1117*H1117))-N1117</f>
        <v>1140</v>
      </c>
      <c r="Q1117" s="23" t="s">
        <v>40</v>
      </c>
      <c r="R1117" s="24">
        <f t="shared" ref="R1117:R1132" si="644">P1117*(J1117-(J1117*L1117)-((J1117-(J1117*L1117))*M1117))</f>
        <v>80737650</v>
      </c>
      <c r="S1117" s="24">
        <f t="shared" si="627"/>
        <v>72736621.621621609</v>
      </c>
    </row>
    <row r="1118" spans="1:19" s="83" customFormat="1">
      <c r="A1118" s="102" t="s">
        <v>553</v>
      </c>
      <c r="B1118" s="83" t="s">
        <v>18</v>
      </c>
      <c r="C1118" s="86"/>
      <c r="D1118" s="87" t="s">
        <v>19</v>
      </c>
      <c r="E1118" s="88">
        <v>4</v>
      </c>
      <c r="F1118" s="89">
        <v>24</v>
      </c>
      <c r="G1118" s="90" t="s">
        <v>33</v>
      </c>
      <c r="H1118" s="89">
        <v>10</v>
      </c>
      <c r="I1118" s="90" t="s">
        <v>19</v>
      </c>
      <c r="J1118" s="91">
        <v>9750</v>
      </c>
      <c r="K1118" s="87" t="s">
        <v>19</v>
      </c>
      <c r="L1118" s="92">
        <v>0.125</v>
      </c>
      <c r="M1118" s="92">
        <v>0.05</v>
      </c>
      <c r="N1118" s="89"/>
      <c r="O1118" s="90" t="s">
        <v>19</v>
      </c>
      <c r="P1118" s="86">
        <f t="shared" si="643"/>
        <v>960</v>
      </c>
      <c r="Q1118" s="90" t="s">
        <v>19</v>
      </c>
      <c r="R1118" s="91">
        <f t="shared" si="644"/>
        <v>7780500</v>
      </c>
      <c r="S1118" s="91">
        <f t="shared" si="627"/>
        <v>7009459.4594594585</v>
      </c>
    </row>
    <row r="1119" spans="1:19">
      <c r="A1119" s="17" t="s">
        <v>554</v>
      </c>
      <c r="B1119" s="2" t="s">
        <v>18</v>
      </c>
      <c r="D1119" s="4" t="s">
        <v>40</v>
      </c>
      <c r="E1119" s="5">
        <v>6</v>
      </c>
      <c r="F1119" s="6">
        <v>1</v>
      </c>
      <c r="G1119" s="7" t="s">
        <v>20</v>
      </c>
      <c r="H1119" s="6">
        <v>25</v>
      </c>
      <c r="I1119" s="7" t="s">
        <v>40</v>
      </c>
      <c r="J1119" s="8">
        <v>70800</v>
      </c>
      <c r="K1119" s="4" t="s">
        <v>40</v>
      </c>
      <c r="L1119" s="9">
        <v>0.125</v>
      </c>
      <c r="M1119" s="9">
        <v>0.05</v>
      </c>
      <c r="O1119" s="7" t="s">
        <v>40</v>
      </c>
      <c r="P1119" s="3">
        <f t="shared" si="643"/>
        <v>150</v>
      </c>
      <c r="Q1119" s="7" t="s">
        <v>40</v>
      </c>
      <c r="R1119" s="8">
        <f t="shared" si="644"/>
        <v>8827875</v>
      </c>
      <c r="S1119" s="8">
        <f t="shared" si="627"/>
        <v>7953040.5405405397</v>
      </c>
    </row>
    <row r="1120" spans="1:19">
      <c r="A1120" s="18" t="s">
        <v>835</v>
      </c>
      <c r="B1120" s="2" t="s">
        <v>18</v>
      </c>
      <c r="D1120" s="4" t="s">
        <v>40</v>
      </c>
      <c r="E1120" s="5">
        <v>3</v>
      </c>
      <c r="F1120" s="6">
        <v>1</v>
      </c>
      <c r="G1120" s="7" t="s">
        <v>20</v>
      </c>
      <c r="H1120" s="6">
        <v>25</v>
      </c>
      <c r="I1120" s="7" t="s">
        <v>40</v>
      </c>
      <c r="J1120" s="8">
        <v>66600</v>
      </c>
      <c r="K1120" s="4" t="s">
        <v>40</v>
      </c>
      <c r="L1120" s="9">
        <v>0.125</v>
      </c>
      <c r="M1120" s="9">
        <v>0.05</v>
      </c>
      <c r="O1120" s="7" t="s">
        <v>40</v>
      </c>
      <c r="P1120" s="3">
        <f t="shared" ref="P1120:P1121" si="645">(C1120+(E1120*F1120*H1120))-N1120</f>
        <v>75</v>
      </c>
      <c r="Q1120" s="7" t="s">
        <v>40</v>
      </c>
      <c r="R1120" s="8">
        <f t="shared" ref="R1120:R1121" si="646">P1120*(J1120-(J1120*L1120)-((J1120-(J1120*L1120))*M1120))</f>
        <v>4152093.75</v>
      </c>
      <c r="S1120" s="8">
        <f t="shared" ref="S1120:S1121" si="647">R1120/1.11</f>
        <v>3740624.9999999995</v>
      </c>
    </row>
    <row r="1121" spans="1:19" s="19" customFormat="1">
      <c r="A1121" s="128" t="s">
        <v>555</v>
      </c>
      <c r="B1121" s="19" t="s">
        <v>18</v>
      </c>
      <c r="C1121" s="20"/>
      <c r="D1121" s="21" t="s">
        <v>40</v>
      </c>
      <c r="E1121" s="26">
        <v>23</v>
      </c>
      <c r="F1121" s="22">
        <v>20</v>
      </c>
      <c r="G1121" s="23" t="s">
        <v>33</v>
      </c>
      <c r="H1121" s="22">
        <v>1</v>
      </c>
      <c r="I1121" s="23" t="s">
        <v>40</v>
      </c>
      <c r="J1121" s="132">
        <v>84000</v>
      </c>
      <c r="K1121" s="21" t="s">
        <v>40</v>
      </c>
      <c r="L1121" s="25">
        <v>0.125</v>
      </c>
      <c r="M1121" s="25">
        <v>0.05</v>
      </c>
      <c r="N1121" s="22"/>
      <c r="O1121" s="23" t="s">
        <v>40</v>
      </c>
      <c r="P1121" s="20">
        <f t="shared" si="645"/>
        <v>460</v>
      </c>
      <c r="Q1121" s="23" t="s">
        <v>40</v>
      </c>
      <c r="R1121" s="24">
        <f t="shared" si="646"/>
        <v>32119500</v>
      </c>
      <c r="S1121" s="24">
        <f t="shared" si="647"/>
        <v>28936486.486486483</v>
      </c>
    </row>
    <row r="1122" spans="1:19" s="19" customFormat="1">
      <c r="A1122" s="128" t="s">
        <v>555</v>
      </c>
      <c r="B1122" s="19" t="s">
        <v>18</v>
      </c>
      <c r="C1122" s="20">
        <v>240</v>
      </c>
      <c r="D1122" s="21" t="s">
        <v>40</v>
      </c>
      <c r="E1122" s="26"/>
      <c r="F1122" s="22">
        <v>20</v>
      </c>
      <c r="G1122" s="23" t="s">
        <v>33</v>
      </c>
      <c r="H1122" s="22">
        <v>1</v>
      </c>
      <c r="I1122" s="23" t="s">
        <v>40</v>
      </c>
      <c r="J1122" s="132">
        <f>6800*12</f>
        <v>81600</v>
      </c>
      <c r="K1122" s="21" t="s">
        <v>40</v>
      </c>
      <c r="L1122" s="25">
        <v>0.125</v>
      </c>
      <c r="M1122" s="25">
        <v>0.05</v>
      </c>
      <c r="N1122" s="22"/>
      <c r="O1122" s="23" t="s">
        <v>40</v>
      </c>
      <c r="P1122" s="20">
        <f t="shared" si="643"/>
        <v>240</v>
      </c>
      <c r="Q1122" s="23" t="s">
        <v>40</v>
      </c>
      <c r="R1122" s="24">
        <f t="shared" si="644"/>
        <v>16279200</v>
      </c>
      <c r="S1122" s="24">
        <f t="shared" si="627"/>
        <v>14665945.945945945</v>
      </c>
    </row>
    <row r="1123" spans="1:19" s="19" customFormat="1">
      <c r="A1123" s="18" t="s">
        <v>977</v>
      </c>
      <c r="B1123" s="19" t="s">
        <v>18</v>
      </c>
      <c r="C1123" s="20"/>
      <c r="D1123" s="21" t="s">
        <v>19</v>
      </c>
      <c r="E1123" s="26">
        <v>1</v>
      </c>
      <c r="F1123" s="22">
        <v>1</v>
      </c>
      <c r="G1123" s="23" t="s">
        <v>20</v>
      </c>
      <c r="H1123" s="22">
        <v>10</v>
      </c>
      <c r="I1123" s="23" t="s">
        <v>40</v>
      </c>
      <c r="J1123" s="24">
        <v>282000</v>
      </c>
      <c r="K1123" s="21" t="s">
        <v>40</v>
      </c>
      <c r="L1123" s="25">
        <v>0.125</v>
      </c>
      <c r="M1123" s="25">
        <v>0.05</v>
      </c>
      <c r="N1123" s="22"/>
      <c r="O1123" s="23" t="s">
        <v>40</v>
      </c>
      <c r="P1123" s="20">
        <f t="shared" ref="P1123" si="648">(C1123+(E1123*F1123*H1123))-N1123</f>
        <v>10</v>
      </c>
      <c r="Q1123" s="23" t="s">
        <v>40</v>
      </c>
      <c r="R1123" s="24">
        <f t="shared" ref="R1123" si="649">P1123*(J1123-(J1123*L1123)-((J1123-(J1123*L1123))*M1123))</f>
        <v>2344125</v>
      </c>
      <c r="S1123" s="24">
        <f t="shared" ref="S1123" si="650">R1123/1.11</f>
        <v>2111824.3243243243</v>
      </c>
    </row>
    <row r="1124" spans="1:19" s="19" customFormat="1">
      <c r="A1124" s="18" t="s">
        <v>556</v>
      </c>
      <c r="B1124" s="19" t="s">
        <v>18</v>
      </c>
      <c r="C1124" s="20">
        <v>450</v>
      </c>
      <c r="D1124" s="21" t="s">
        <v>19</v>
      </c>
      <c r="E1124" s="26">
        <v>9</v>
      </c>
      <c r="F1124" s="22">
        <v>20</v>
      </c>
      <c r="G1124" s="23" t="s">
        <v>33</v>
      </c>
      <c r="H1124" s="22">
        <v>6</v>
      </c>
      <c r="I1124" s="23" t="s">
        <v>19</v>
      </c>
      <c r="J1124" s="24">
        <v>18700</v>
      </c>
      <c r="K1124" s="21" t="s">
        <v>19</v>
      </c>
      <c r="L1124" s="25">
        <v>0.125</v>
      </c>
      <c r="M1124" s="25">
        <v>0.05</v>
      </c>
      <c r="N1124" s="22"/>
      <c r="O1124" s="23" t="s">
        <v>19</v>
      </c>
      <c r="P1124" s="20">
        <f t="shared" si="643"/>
        <v>1530</v>
      </c>
      <c r="Q1124" s="23" t="s">
        <v>19</v>
      </c>
      <c r="R1124" s="24">
        <f t="shared" si="644"/>
        <v>23782893.75</v>
      </c>
      <c r="S1124" s="24">
        <f t="shared" si="627"/>
        <v>21426030.405405402</v>
      </c>
    </row>
    <row r="1125" spans="1:19" s="19" customFormat="1">
      <c r="A1125" s="18" t="s">
        <v>557</v>
      </c>
      <c r="B1125" s="19" t="s">
        <v>18</v>
      </c>
      <c r="C1125" s="20">
        <v>1284</v>
      </c>
      <c r="D1125" s="21" t="s">
        <v>19</v>
      </c>
      <c r="E1125" s="26">
        <v>4</v>
      </c>
      <c r="F1125" s="22">
        <v>20</v>
      </c>
      <c r="G1125" s="23" t="s">
        <v>33</v>
      </c>
      <c r="H1125" s="22">
        <v>6</v>
      </c>
      <c r="I1125" s="23" t="s">
        <v>19</v>
      </c>
      <c r="J1125" s="24">
        <v>18000</v>
      </c>
      <c r="K1125" s="21" t="s">
        <v>19</v>
      </c>
      <c r="L1125" s="25">
        <v>0.125</v>
      </c>
      <c r="M1125" s="25">
        <v>0.05</v>
      </c>
      <c r="N1125" s="22"/>
      <c r="O1125" s="23" t="s">
        <v>19</v>
      </c>
      <c r="P1125" s="20">
        <f t="shared" si="643"/>
        <v>1764</v>
      </c>
      <c r="Q1125" s="23" t="s">
        <v>19</v>
      </c>
      <c r="R1125" s="24">
        <f t="shared" si="644"/>
        <v>26393850</v>
      </c>
      <c r="S1125" s="24">
        <f t="shared" si="627"/>
        <v>23778243.24324324</v>
      </c>
    </row>
    <row r="1126" spans="1:19" s="67" customFormat="1">
      <c r="A1126" s="66" t="s">
        <v>558</v>
      </c>
      <c r="B1126" s="67" t="s">
        <v>18</v>
      </c>
      <c r="C1126" s="68"/>
      <c r="D1126" s="69" t="s">
        <v>19</v>
      </c>
      <c r="E1126" s="70"/>
      <c r="F1126" s="71">
        <v>1</v>
      </c>
      <c r="G1126" s="72" t="s">
        <v>20</v>
      </c>
      <c r="H1126" s="71">
        <v>12</v>
      </c>
      <c r="I1126" s="72" t="s">
        <v>19</v>
      </c>
      <c r="J1126" s="16">
        <v>162000</v>
      </c>
      <c r="K1126" s="69" t="s">
        <v>19</v>
      </c>
      <c r="L1126" s="73">
        <v>0.125</v>
      </c>
      <c r="M1126" s="73">
        <v>0.05</v>
      </c>
      <c r="N1126" s="71"/>
      <c r="O1126" s="72" t="s">
        <v>19</v>
      </c>
      <c r="P1126" s="68">
        <f t="shared" si="643"/>
        <v>0</v>
      </c>
      <c r="Q1126" s="72" t="s">
        <v>19</v>
      </c>
      <c r="R1126" s="16">
        <f t="shared" si="644"/>
        <v>0</v>
      </c>
      <c r="S1126" s="16">
        <f t="shared" si="627"/>
        <v>0</v>
      </c>
    </row>
    <row r="1127" spans="1:19" s="67" customFormat="1">
      <c r="A1127" s="66" t="s">
        <v>754</v>
      </c>
      <c r="B1127" s="67" t="s">
        <v>18</v>
      </c>
      <c r="C1127" s="68"/>
      <c r="D1127" s="69" t="s">
        <v>19</v>
      </c>
      <c r="E1127" s="70"/>
      <c r="F1127" s="71">
        <v>1</v>
      </c>
      <c r="G1127" s="72" t="s">
        <v>20</v>
      </c>
      <c r="H1127" s="71">
        <v>12</v>
      </c>
      <c r="I1127" s="72" t="s">
        <v>19</v>
      </c>
      <c r="J1127" s="16">
        <v>200000</v>
      </c>
      <c r="K1127" s="69" t="s">
        <v>19</v>
      </c>
      <c r="L1127" s="73">
        <v>0.125</v>
      </c>
      <c r="M1127" s="73">
        <v>0.05</v>
      </c>
      <c r="N1127" s="71"/>
      <c r="O1127" s="72" t="s">
        <v>19</v>
      </c>
      <c r="P1127" s="68">
        <f t="shared" si="643"/>
        <v>0</v>
      </c>
      <c r="Q1127" s="72" t="s">
        <v>19</v>
      </c>
      <c r="R1127" s="16">
        <f t="shared" si="644"/>
        <v>0</v>
      </c>
      <c r="S1127" s="16">
        <f t="shared" si="627"/>
        <v>0</v>
      </c>
    </row>
    <row r="1128" spans="1:19">
      <c r="A1128" s="17" t="s">
        <v>559</v>
      </c>
      <c r="B1128" s="2" t="s">
        <v>18</v>
      </c>
      <c r="D1128" s="4" t="s">
        <v>19</v>
      </c>
      <c r="E1128" s="5">
        <v>2</v>
      </c>
      <c r="F1128" s="6">
        <v>1</v>
      </c>
      <c r="G1128" s="7" t="s">
        <v>20</v>
      </c>
      <c r="H1128" s="6">
        <v>36</v>
      </c>
      <c r="I1128" s="7" t="s">
        <v>19</v>
      </c>
      <c r="J1128" s="8">
        <v>58000</v>
      </c>
      <c r="K1128" s="4" t="s">
        <v>19</v>
      </c>
      <c r="L1128" s="9">
        <v>0.125</v>
      </c>
      <c r="M1128" s="9">
        <v>0.05</v>
      </c>
      <c r="O1128" s="7" t="s">
        <v>19</v>
      </c>
      <c r="P1128" s="3">
        <f t="shared" si="643"/>
        <v>72</v>
      </c>
      <c r="Q1128" s="7" t="s">
        <v>19</v>
      </c>
      <c r="R1128" s="8">
        <f t="shared" si="644"/>
        <v>3471300</v>
      </c>
      <c r="S1128" s="8">
        <f t="shared" si="627"/>
        <v>3127297.297297297</v>
      </c>
    </row>
    <row r="1129" spans="1:19">
      <c r="A1129" s="17" t="s">
        <v>560</v>
      </c>
      <c r="B1129" s="2" t="s">
        <v>18</v>
      </c>
      <c r="C1129" s="3">
        <v>36</v>
      </c>
      <c r="D1129" s="4" t="s">
        <v>19</v>
      </c>
      <c r="E1129" s="5">
        <v>2</v>
      </c>
      <c r="F1129" s="6">
        <v>1</v>
      </c>
      <c r="G1129" s="7" t="s">
        <v>20</v>
      </c>
      <c r="H1129" s="6">
        <v>12</v>
      </c>
      <c r="I1129" s="7" t="s">
        <v>19</v>
      </c>
      <c r="J1129" s="8">
        <v>97000</v>
      </c>
      <c r="K1129" s="4" t="s">
        <v>19</v>
      </c>
      <c r="L1129" s="9">
        <v>0.125</v>
      </c>
      <c r="M1129" s="9">
        <v>0.05</v>
      </c>
      <c r="O1129" s="7" t="s">
        <v>19</v>
      </c>
      <c r="P1129" s="3">
        <f t="shared" si="643"/>
        <v>60</v>
      </c>
      <c r="Q1129" s="7" t="s">
        <v>19</v>
      </c>
      <c r="R1129" s="8">
        <f t="shared" si="644"/>
        <v>4837875</v>
      </c>
      <c r="S1129" s="8">
        <f t="shared" si="627"/>
        <v>4358445.9459459456</v>
      </c>
    </row>
    <row r="1130" spans="1:19" s="19" customFormat="1">
      <c r="A1130" s="18" t="s">
        <v>561</v>
      </c>
      <c r="B1130" s="19" t="s">
        <v>18</v>
      </c>
      <c r="C1130" s="20">
        <v>12</v>
      </c>
      <c r="D1130" s="21" t="s">
        <v>19</v>
      </c>
      <c r="E1130" s="26">
        <v>6</v>
      </c>
      <c r="F1130" s="22">
        <v>1</v>
      </c>
      <c r="G1130" s="23" t="s">
        <v>20</v>
      </c>
      <c r="H1130" s="22">
        <v>12</v>
      </c>
      <c r="I1130" s="23" t="s">
        <v>19</v>
      </c>
      <c r="J1130" s="24">
        <v>97000</v>
      </c>
      <c r="K1130" s="21" t="s">
        <v>19</v>
      </c>
      <c r="L1130" s="25">
        <v>0.125</v>
      </c>
      <c r="M1130" s="25">
        <v>0.05</v>
      </c>
      <c r="N1130" s="22"/>
      <c r="O1130" s="23" t="s">
        <v>19</v>
      </c>
      <c r="P1130" s="20">
        <f t="shared" si="643"/>
        <v>84</v>
      </c>
      <c r="Q1130" s="23" t="s">
        <v>19</v>
      </c>
      <c r="R1130" s="24">
        <f t="shared" si="644"/>
        <v>6773025</v>
      </c>
      <c r="S1130" s="24">
        <f t="shared" si="627"/>
        <v>6101824.3243243238</v>
      </c>
    </row>
    <row r="1131" spans="1:19">
      <c r="A1131" s="17" t="s">
        <v>562</v>
      </c>
      <c r="B1131" s="2" t="s">
        <v>18</v>
      </c>
      <c r="C1131" s="3">
        <v>2</v>
      </c>
      <c r="D1131" s="4" t="s">
        <v>19</v>
      </c>
      <c r="E1131" s="5">
        <v>4</v>
      </c>
      <c r="F1131" s="6">
        <v>1</v>
      </c>
      <c r="G1131" s="7" t="s">
        <v>20</v>
      </c>
      <c r="H1131" s="6">
        <v>6</v>
      </c>
      <c r="I1131" s="7" t="s">
        <v>19</v>
      </c>
      <c r="J1131" s="8">
        <v>187000</v>
      </c>
      <c r="K1131" s="4" t="s">
        <v>19</v>
      </c>
      <c r="L1131" s="9">
        <v>0.125</v>
      </c>
      <c r="M1131" s="9">
        <v>0.05</v>
      </c>
      <c r="O1131" s="7" t="s">
        <v>19</v>
      </c>
      <c r="P1131" s="3">
        <f t="shared" si="643"/>
        <v>26</v>
      </c>
      <c r="Q1131" s="7" t="s">
        <v>19</v>
      </c>
      <c r="R1131" s="8">
        <f t="shared" si="644"/>
        <v>4041537.5</v>
      </c>
      <c r="S1131" s="8">
        <f t="shared" si="627"/>
        <v>3641024.7747747744</v>
      </c>
    </row>
    <row r="1132" spans="1:19">
      <c r="A1132" s="17" t="s">
        <v>563</v>
      </c>
      <c r="B1132" s="2" t="s">
        <v>18</v>
      </c>
      <c r="C1132" s="3">
        <v>6</v>
      </c>
      <c r="D1132" s="4" t="s">
        <v>19</v>
      </c>
      <c r="E1132" s="5">
        <v>1</v>
      </c>
      <c r="F1132" s="6">
        <v>1</v>
      </c>
      <c r="G1132" s="7" t="s">
        <v>20</v>
      </c>
      <c r="H1132" s="6">
        <v>6</v>
      </c>
      <c r="I1132" s="7" t="s">
        <v>19</v>
      </c>
      <c r="J1132" s="8">
        <v>420000</v>
      </c>
      <c r="K1132" s="4" t="s">
        <v>19</v>
      </c>
      <c r="L1132" s="9">
        <v>0.125</v>
      </c>
      <c r="M1132" s="9">
        <v>0.05</v>
      </c>
      <c r="O1132" s="7" t="s">
        <v>19</v>
      </c>
      <c r="P1132" s="3">
        <f t="shared" si="643"/>
        <v>12</v>
      </c>
      <c r="Q1132" s="7" t="s">
        <v>19</v>
      </c>
      <c r="R1132" s="8">
        <f t="shared" si="644"/>
        <v>4189500</v>
      </c>
      <c r="S1132" s="8">
        <f t="shared" si="627"/>
        <v>3774324.3243243238</v>
      </c>
    </row>
    <row r="1134" spans="1:19" s="19" customFormat="1">
      <c r="A1134" s="128" t="s">
        <v>564</v>
      </c>
      <c r="B1134" s="19" t="s">
        <v>25</v>
      </c>
      <c r="C1134" s="20"/>
      <c r="D1134" s="21" t="s">
        <v>40</v>
      </c>
      <c r="E1134" s="26">
        <v>100</v>
      </c>
      <c r="F1134" s="22">
        <v>1</v>
      </c>
      <c r="G1134" s="23" t="s">
        <v>20</v>
      </c>
      <c r="H1134" s="22">
        <v>20</v>
      </c>
      <c r="I1134" s="23" t="s">
        <v>40</v>
      </c>
      <c r="J1134" s="24">
        <f>1860000/20</f>
        <v>93000</v>
      </c>
      <c r="K1134" s="21" t="s">
        <v>40</v>
      </c>
      <c r="L1134" s="127">
        <v>0.03</v>
      </c>
      <c r="M1134" s="25">
        <v>0.17</v>
      </c>
      <c r="N1134" s="22"/>
      <c r="O1134" s="23" t="s">
        <v>40</v>
      </c>
      <c r="P1134" s="20">
        <f t="shared" ref="P1134" si="651">(C1134+(E1134*F1134*H1134))-N1134</f>
        <v>2000</v>
      </c>
      <c r="Q1134" s="23" t="s">
        <v>40</v>
      </c>
      <c r="R1134" s="24">
        <f t="shared" ref="R1134" si="652">P1134*(J1134-(J1134*L1134)-((J1134-(J1134*L1134))*M1134))</f>
        <v>149748600</v>
      </c>
      <c r="S1134" s="24">
        <f t="shared" ref="S1134" si="653">R1134/1.11</f>
        <v>134908648.64864865</v>
      </c>
    </row>
    <row r="1135" spans="1:19" s="19" customFormat="1">
      <c r="A1135" s="128" t="s">
        <v>564</v>
      </c>
      <c r="B1135" s="19" t="s">
        <v>25</v>
      </c>
      <c r="C1135" s="20">
        <v>214</v>
      </c>
      <c r="D1135" s="21" t="s">
        <v>40</v>
      </c>
      <c r="E1135" s="26">
        <v>63</v>
      </c>
      <c r="F1135" s="22">
        <v>1</v>
      </c>
      <c r="G1135" s="23" t="s">
        <v>20</v>
      </c>
      <c r="H1135" s="22">
        <v>20</v>
      </c>
      <c r="I1135" s="23" t="s">
        <v>40</v>
      </c>
      <c r="J1135" s="24">
        <f>1860000/20</f>
        <v>93000</v>
      </c>
      <c r="K1135" s="21" t="s">
        <v>40</v>
      </c>
      <c r="L1135" s="127"/>
      <c r="M1135" s="25">
        <v>0.17</v>
      </c>
      <c r="N1135" s="22"/>
      <c r="O1135" s="23" t="s">
        <v>40</v>
      </c>
      <c r="P1135" s="20">
        <f t="shared" ref="P1135:P1156" si="654">(C1135+(E1135*F1135*H1135))-N1135</f>
        <v>1474</v>
      </c>
      <c r="Q1135" s="23" t="s">
        <v>40</v>
      </c>
      <c r="R1135" s="24">
        <f t="shared" ref="R1135:R1156" si="655">P1135*(J1135-(J1135*L1135)-((J1135-(J1135*L1135))*M1135))</f>
        <v>113778060</v>
      </c>
      <c r="S1135" s="24">
        <f t="shared" si="627"/>
        <v>102502756.75675675</v>
      </c>
    </row>
    <row r="1136" spans="1:19" s="19" customFormat="1">
      <c r="A1136" s="18" t="s">
        <v>565</v>
      </c>
      <c r="B1136" s="19" t="s">
        <v>25</v>
      </c>
      <c r="C1136" s="20">
        <v>40</v>
      </c>
      <c r="D1136" s="21" t="s">
        <v>40</v>
      </c>
      <c r="E1136" s="26">
        <v>4</v>
      </c>
      <c r="F1136" s="22">
        <v>1</v>
      </c>
      <c r="G1136" s="23" t="s">
        <v>20</v>
      </c>
      <c r="H1136" s="22">
        <v>20</v>
      </c>
      <c r="I1136" s="23" t="s">
        <v>40</v>
      </c>
      <c r="J1136" s="24">
        <f>1740000/20</f>
        <v>87000</v>
      </c>
      <c r="K1136" s="21" t="s">
        <v>40</v>
      </c>
      <c r="L1136" s="25"/>
      <c r="M1136" s="25">
        <v>0.17</v>
      </c>
      <c r="N1136" s="22"/>
      <c r="O1136" s="23" t="s">
        <v>40</v>
      </c>
      <c r="P1136" s="20">
        <f t="shared" si="654"/>
        <v>120</v>
      </c>
      <c r="Q1136" s="23" t="s">
        <v>40</v>
      </c>
      <c r="R1136" s="24">
        <f t="shared" si="655"/>
        <v>8665200</v>
      </c>
      <c r="S1136" s="24">
        <f t="shared" si="627"/>
        <v>7806486.4864864862</v>
      </c>
    </row>
    <row r="1137" spans="1:19" s="19" customFormat="1">
      <c r="A1137" s="18" t="s">
        <v>566</v>
      </c>
      <c r="B1137" s="19" t="s">
        <v>25</v>
      </c>
      <c r="C1137" s="20">
        <v>100</v>
      </c>
      <c r="D1137" s="21" t="s">
        <v>40</v>
      </c>
      <c r="E1137" s="26"/>
      <c r="F1137" s="22">
        <v>1</v>
      </c>
      <c r="G1137" s="23" t="s">
        <v>20</v>
      </c>
      <c r="H1137" s="22">
        <v>20</v>
      </c>
      <c r="I1137" s="23" t="s">
        <v>40</v>
      </c>
      <c r="J1137" s="24">
        <f>1740000/20</f>
        <v>87000</v>
      </c>
      <c r="K1137" s="21" t="s">
        <v>40</v>
      </c>
      <c r="L1137" s="25"/>
      <c r="M1137" s="25">
        <v>0.17</v>
      </c>
      <c r="N1137" s="22"/>
      <c r="O1137" s="23" t="s">
        <v>40</v>
      </c>
      <c r="P1137" s="20">
        <f t="shared" si="654"/>
        <v>100</v>
      </c>
      <c r="Q1137" s="23" t="s">
        <v>40</v>
      </c>
      <c r="R1137" s="24">
        <f t="shared" si="655"/>
        <v>7221000</v>
      </c>
      <c r="S1137" s="24">
        <f t="shared" si="627"/>
        <v>6505405.405405405</v>
      </c>
    </row>
    <row r="1138" spans="1:19" s="19" customFormat="1">
      <c r="A1138" s="18" t="s">
        <v>567</v>
      </c>
      <c r="B1138" s="19" t="s">
        <v>25</v>
      </c>
      <c r="C1138" s="20">
        <v>5</v>
      </c>
      <c r="D1138" s="21" t="s">
        <v>40</v>
      </c>
      <c r="E1138" s="26">
        <v>16</v>
      </c>
      <c r="F1138" s="22">
        <v>1</v>
      </c>
      <c r="G1138" s="23" t="s">
        <v>20</v>
      </c>
      <c r="H1138" s="22">
        <v>20</v>
      </c>
      <c r="I1138" s="23" t="s">
        <v>40</v>
      </c>
      <c r="J1138" s="24">
        <f>2352000/20</f>
        <v>117600</v>
      </c>
      <c r="K1138" s="21" t="s">
        <v>40</v>
      </c>
      <c r="L1138" s="25"/>
      <c r="M1138" s="25">
        <v>0.17</v>
      </c>
      <c r="N1138" s="22"/>
      <c r="O1138" s="37" t="s">
        <v>40</v>
      </c>
      <c r="P1138" s="20">
        <f t="shared" si="654"/>
        <v>325</v>
      </c>
      <c r="Q1138" s="23" t="s">
        <v>40</v>
      </c>
      <c r="R1138" s="24">
        <f t="shared" si="655"/>
        <v>31722600</v>
      </c>
      <c r="S1138" s="24">
        <f t="shared" si="627"/>
        <v>28578918.918918915</v>
      </c>
    </row>
    <row r="1139" spans="1:19" s="19" customFormat="1">
      <c r="A1139" s="18" t="s">
        <v>651</v>
      </c>
      <c r="B1139" s="19" t="s">
        <v>25</v>
      </c>
      <c r="C1139" s="20">
        <v>40</v>
      </c>
      <c r="D1139" s="21" t="s">
        <v>40</v>
      </c>
      <c r="E1139" s="26">
        <v>14</v>
      </c>
      <c r="F1139" s="22">
        <v>1</v>
      </c>
      <c r="G1139" s="23" t="s">
        <v>20</v>
      </c>
      <c r="H1139" s="22">
        <v>20</v>
      </c>
      <c r="I1139" s="23" t="s">
        <v>40</v>
      </c>
      <c r="J1139" s="24">
        <f>2352000/20</f>
        <v>117600</v>
      </c>
      <c r="K1139" s="21" t="s">
        <v>40</v>
      </c>
      <c r="L1139" s="25"/>
      <c r="M1139" s="25">
        <v>0.17</v>
      </c>
      <c r="N1139" s="22"/>
      <c r="O1139" s="63" t="s">
        <v>40</v>
      </c>
      <c r="P1139" s="20">
        <f t="shared" si="654"/>
        <v>320</v>
      </c>
      <c r="Q1139" s="23" t="s">
        <v>40</v>
      </c>
      <c r="R1139" s="24">
        <f t="shared" si="655"/>
        <v>31234560</v>
      </c>
      <c r="S1139" s="24">
        <f t="shared" si="627"/>
        <v>28139243.24324324</v>
      </c>
    </row>
    <row r="1140" spans="1:19" s="19" customFormat="1">
      <c r="A1140" s="18" t="s">
        <v>568</v>
      </c>
      <c r="B1140" s="19" t="s">
        <v>25</v>
      </c>
      <c r="C1140" s="20">
        <v>100</v>
      </c>
      <c r="D1140" s="21" t="s">
        <v>40</v>
      </c>
      <c r="E1140" s="26">
        <v>2</v>
      </c>
      <c r="F1140" s="22">
        <v>1</v>
      </c>
      <c r="G1140" s="23" t="s">
        <v>20</v>
      </c>
      <c r="H1140" s="22">
        <v>20</v>
      </c>
      <c r="I1140" s="23" t="s">
        <v>40</v>
      </c>
      <c r="J1140" s="24">
        <f>2352000/20</f>
        <v>117600</v>
      </c>
      <c r="K1140" s="21" t="s">
        <v>40</v>
      </c>
      <c r="L1140" s="25"/>
      <c r="M1140" s="25">
        <v>0.17</v>
      </c>
      <c r="N1140" s="22"/>
      <c r="O1140" s="23" t="s">
        <v>40</v>
      </c>
      <c r="P1140" s="20">
        <f t="shared" si="654"/>
        <v>140</v>
      </c>
      <c r="Q1140" s="23" t="s">
        <v>40</v>
      </c>
      <c r="R1140" s="24">
        <f t="shared" si="655"/>
        <v>13665120</v>
      </c>
      <c r="S1140" s="24">
        <f t="shared" si="627"/>
        <v>12310918.918918917</v>
      </c>
    </row>
    <row r="1141" spans="1:19" s="76" customFormat="1">
      <c r="A1141" s="75" t="s">
        <v>778</v>
      </c>
      <c r="B1141" s="76" t="s">
        <v>25</v>
      </c>
      <c r="C1141" s="74"/>
      <c r="D1141" s="77" t="s">
        <v>40</v>
      </c>
      <c r="E1141" s="78"/>
      <c r="F1141" s="79">
        <v>1</v>
      </c>
      <c r="G1141" s="80" t="s">
        <v>20</v>
      </c>
      <c r="H1141" s="79">
        <v>10</v>
      </c>
      <c r="I1141" s="80" t="s">
        <v>40</v>
      </c>
      <c r="J1141" s="81">
        <f>2400000/10</f>
        <v>240000</v>
      </c>
      <c r="K1141" s="77" t="s">
        <v>40</v>
      </c>
      <c r="L1141" s="82"/>
      <c r="M1141" s="82">
        <v>0.17</v>
      </c>
      <c r="N1141" s="79"/>
      <c r="O1141" s="84" t="s">
        <v>40</v>
      </c>
      <c r="P1141" s="74">
        <f t="shared" si="654"/>
        <v>0</v>
      </c>
      <c r="Q1141" s="80" t="s">
        <v>40</v>
      </c>
      <c r="R1141" s="81">
        <f t="shared" si="655"/>
        <v>0</v>
      </c>
      <c r="S1141" s="81">
        <f t="shared" si="627"/>
        <v>0</v>
      </c>
    </row>
    <row r="1142" spans="1:19">
      <c r="A1142" s="17" t="s">
        <v>569</v>
      </c>
      <c r="B1142" s="2" t="s">
        <v>25</v>
      </c>
      <c r="C1142" s="3">
        <v>25</v>
      </c>
      <c r="D1142" s="4" t="s">
        <v>40</v>
      </c>
      <c r="F1142" s="6">
        <v>1</v>
      </c>
      <c r="G1142" s="7" t="s">
        <v>20</v>
      </c>
      <c r="H1142" s="6">
        <v>40</v>
      </c>
      <c r="I1142" s="7" t="s">
        <v>40</v>
      </c>
      <c r="J1142" s="8">
        <f>2688000/40</f>
        <v>67200</v>
      </c>
      <c r="K1142" s="4" t="s">
        <v>40</v>
      </c>
      <c r="M1142" s="9">
        <v>0.17</v>
      </c>
      <c r="O1142" s="7" t="s">
        <v>40</v>
      </c>
      <c r="P1142" s="3">
        <f t="shared" si="654"/>
        <v>25</v>
      </c>
      <c r="Q1142" s="7" t="s">
        <v>40</v>
      </c>
      <c r="R1142" s="8">
        <f t="shared" si="655"/>
        <v>1394400</v>
      </c>
      <c r="S1142" s="8">
        <f t="shared" si="627"/>
        <v>1256216.2162162161</v>
      </c>
    </row>
    <row r="1143" spans="1:19" s="67" customFormat="1">
      <c r="A1143" s="66" t="s">
        <v>570</v>
      </c>
      <c r="B1143" s="67" t="s">
        <v>25</v>
      </c>
      <c r="C1143" s="68"/>
      <c r="D1143" s="69" t="s">
        <v>40</v>
      </c>
      <c r="E1143" s="70"/>
      <c r="F1143" s="71">
        <v>1</v>
      </c>
      <c r="G1143" s="72" t="s">
        <v>20</v>
      </c>
      <c r="H1143" s="71">
        <v>20</v>
      </c>
      <c r="I1143" s="72" t="s">
        <v>40</v>
      </c>
      <c r="J1143" s="16">
        <v>120000</v>
      </c>
      <c r="K1143" s="69" t="s">
        <v>40</v>
      </c>
      <c r="L1143" s="73"/>
      <c r="M1143" s="73">
        <v>0.17</v>
      </c>
      <c r="N1143" s="71"/>
      <c r="O1143" s="72" t="s">
        <v>40</v>
      </c>
      <c r="P1143" s="68">
        <f t="shared" si="654"/>
        <v>0</v>
      </c>
      <c r="Q1143" s="72" t="s">
        <v>40</v>
      </c>
      <c r="R1143" s="16">
        <f t="shared" si="655"/>
        <v>0</v>
      </c>
      <c r="S1143" s="16">
        <f t="shared" si="627"/>
        <v>0</v>
      </c>
    </row>
    <row r="1144" spans="1:19" s="19" customFormat="1">
      <c r="A1144" s="156" t="s">
        <v>571</v>
      </c>
      <c r="B1144" s="19" t="s">
        <v>25</v>
      </c>
      <c r="C1144" s="20"/>
      <c r="D1144" s="21" t="s">
        <v>40</v>
      </c>
      <c r="E1144" s="26">
        <v>8</v>
      </c>
      <c r="F1144" s="22">
        <v>1</v>
      </c>
      <c r="G1144" s="23" t="s">
        <v>20</v>
      </c>
      <c r="H1144" s="22">
        <v>25</v>
      </c>
      <c r="I1144" s="23" t="s">
        <v>40</v>
      </c>
      <c r="J1144" s="24">
        <v>74400</v>
      </c>
      <c r="K1144" s="21" t="s">
        <v>40</v>
      </c>
      <c r="L1144" s="25"/>
      <c r="M1144" s="25">
        <v>0.17</v>
      </c>
      <c r="N1144" s="22"/>
      <c r="O1144" s="23" t="s">
        <v>40</v>
      </c>
      <c r="P1144" s="20">
        <f t="shared" ref="P1144" si="656">(C1144+(E1144*F1144*H1144))-N1144</f>
        <v>200</v>
      </c>
      <c r="Q1144" s="23" t="s">
        <v>40</v>
      </c>
      <c r="R1144" s="24">
        <f t="shared" ref="R1144" si="657">P1144*(J1144-(J1144*L1144)-((J1144-(J1144*L1144))*M1144))</f>
        <v>12350400</v>
      </c>
      <c r="S1144" s="24">
        <f t="shared" ref="S1144" si="658">R1144/1.11</f>
        <v>11126486.486486485</v>
      </c>
    </row>
    <row r="1145" spans="1:19" s="19" customFormat="1">
      <c r="A1145" s="18" t="s">
        <v>571</v>
      </c>
      <c r="B1145" s="19" t="s">
        <v>25</v>
      </c>
      <c r="C1145" s="20">
        <v>23</v>
      </c>
      <c r="D1145" s="21" t="s">
        <v>40</v>
      </c>
      <c r="E1145" s="26">
        <v>3</v>
      </c>
      <c r="F1145" s="22">
        <v>1</v>
      </c>
      <c r="G1145" s="23" t="s">
        <v>20</v>
      </c>
      <c r="H1145" s="22">
        <v>25</v>
      </c>
      <c r="I1145" s="23" t="s">
        <v>40</v>
      </c>
      <c r="J1145" s="24">
        <f>1740000/25</f>
        <v>69600</v>
      </c>
      <c r="K1145" s="21" t="s">
        <v>40</v>
      </c>
      <c r="L1145" s="25"/>
      <c r="M1145" s="25">
        <v>0.17</v>
      </c>
      <c r="N1145" s="22"/>
      <c r="O1145" s="23" t="s">
        <v>40</v>
      </c>
      <c r="P1145" s="20">
        <f t="shared" si="654"/>
        <v>98</v>
      </c>
      <c r="Q1145" s="23" t="s">
        <v>40</v>
      </c>
      <c r="R1145" s="24">
        <f t="shared" si="655"/>
        <v>5661264</v>
      </c>
      <c r="S1145" s="24">
        <f t="shared" si="627"/>
        <v>5100237.8378378376</v>
      </c>
    </row>
    <row r="1146" spans="1:19" s="76" customFormat="1">
      <c r="A1146" s="75" t="s">
        <v>572</v>
      </c>
      <c r="B1146" s="76" t="s">
        <v>25</v>
      </c>
      <c r="C1146" s="74"/>
      <c r="D1146" s="77" t="s">
        <v>40</v>
      </c>
      <c r="E1146" s="78"/>
      <c r="F1146" s="79">
        <v>1</v>
      </c>
      <c r="G1146" s="80" t="s">
        <v>20</v>
      </c>
      <c r="H1146" s="79">
        <v>10</v>
      </c>
      <c r="I1146" s="80" t="s">
        <v>40</v>
      </c>
      <c r="J1146" s="81">
        <f>2280000/10</f>
        <v>228000</v>
      </c>
      <c r="K1146" s="77" t="s">
        <v>40</v>
      </c>
      <c r="L1146" s="82"/>
      <c r="M1146" s="82">
        <v>0.17</v>
      </c>
      <c r="N1146" s="79"/>
      <c r="O1146" s="80" t="s">
        <v>40</v>
      </c>
      <c r="P1146" s="74">
        <f t="shared" si="654"/>
        <v>0</v>
      </c>
      <c r="Q1146" s="80" t="s">
        <v>40</v>
      </c>
      <c r="R1146" s="81">
        <f t="shared" si="655"/>
        <v>0</v>
      </c>
      <c r="S1146" s="16">
        <f t="shared" si="627"/>
        <v>0</v>
      </c>
    </row>
    <row r="1147" spans="1:19" s="19" customFormat="1">
      <c r="A1147" s="18" t="s">
        <v>573</v>
      </c>
      <c r="B1147" s="19" t="s">
        <v>25</v>
      </c>
      <c r="C1147" s="20">
        <v>57</v>
      </c>
      <c r="D1147" s="21" t="s">
        <v>40</v>
      </c>
      <c r="E1147" s="26">
        <v>33</v>
      </c>
      <c r="F1147" s="22">
        <v>1</v>
      </c>
      <c r="G1147" s="23" t="s">
        <v>20</v>
      </c>
      <c r="H1147" s="22">
        <v>10</v>
      </c>
      <c r="I1147" s="23" t="s">
        <v>40</v>
      </c>
      <c r="J1147" s="24">
        <f>2280000/10</f>
        <v>228000</v>
      </c>
      <c r="K1147" s="21" t="s">
        <v>40</v>
      </c>
      <c r="L1147" s="25"/>
      <c r="M1147" s="25">
        <v>0.17</v>
      </c>
      <c r="N1147" s="22"/>
      <c r="O1147" s="64" t="s">
        <v>40</v>
      </c>
      <c r="P1147" s="20">
        <f t="shared" si="654"/>
        <v>387</v>
      </c>
      <c r="Q1147" s="23" t="s">
        <v>40</v>
      </c>
      <c r="R1147" s="24">
        <f t="shared" si="655"/>
        <v>73235880</v>
      </c>
      <c r="S1147" s="24">
        <f t="shared" si="627"/>
        <v>65978270.270270266</v>
      </c>
    </row>
    <row r="1148" spans="1:19" s="19" customFormat="1">
      <c r="A1148" s="156" t="s">
        <v>574</v>
      </c>
      <c r="B1148" s="19" t="s">
        <v>25</v>
      </c>
      <c r="C1148" s="20">
        <v>50</v>
      </c>
      <c r="D1148" s="21" t="s">
        <v>40</v>
      </c>
      <c r="E1148" s="26">
        <v>2</v>
      </c>
      <c r="F1148" s="22">
        <v>1</v>
      </c>
      <c r="G1148" s="23" t="s">
        <v>20</v>
      </c>
      <c r="H1148" s="22">
        <v>10</v>
      </c>
      <c r="I1148" s="23" t="s">
        <v>40</v>
      </c>
      <c r="J1148" s="24">
        <v>228000</v>
      </c>
      <c r="K1148" s="21" t="s">
        <v>40</v>
      </c>
      <c r="L1148" s="25"/>
      <c r="M1148" s="25">
        <v>0.17</v>
      </c>
      <c r="N1148" s="22"/>
      <c r="O1148" s="23" t="s">
        <v>40</v>
      </c>
      <c r="P1148" s="20">
        <f t="shared" ref="P1148" si="659">(C1148+(E1148*F1148*H1148))-N1148</f>
        <v>70</v>
      </c>
      <c r="Q1148" s="23" t="s">
        <v>40</v>
      </c>
      <c r="R1148" s="24">
        <f t="shared" ref="R1148" si="660">P1148*(J1148-(J1148*L1148)-((J1148-(J1148*L1148))*M1148))</f>
        <v>13246800</v>
      </c>
      <c r="S1148" s="24">
        <f t="shared" ref="S1148" si="661">R1148/1.11</f>
        <v>11934054.054054054</v>
      </c>
    </row>
    <row r="1149" spans="1:19" s="19" customFormat="1">
      <c r="A1149" s="18" t="s">
        <v>574</v>
      </c>
      <c r="B1149" s="19" t="s">
        <v>25</v>
      </c>
      <c r="C1149" s="20">
        <v>50</v>
      </c>
      <c r="D1149" s="21" t="s">
        <v>40</v>
      </c>
      <c r="E1149" s="26"/>
      <c r="F1149" s="22">
        <v>1</v>
      </c>
      <c r="G1149" s="23" t="s">
        <v>20</v>
      </c>
      <c r="H1149" s="22">
        <v>10</v>
      </c>
      <c r="I1149" s="23" t="s">
        <v>40</v>
      </c>
      <c r="J1149" s="24">
        <f>2040000/10</f>
        <v>204000</v>
      </c>
      <c r="K1149" s="21" t="s">
        <v>40</v>
      </c>
      <c r="L1149" s="25"/>
      <c r="M1149" s="25">
        <v>0.17</v>
      </c>
      <c r="N1149" s="22"/>
      <c r="O1149" s="23" t="s">
        <v>40</v>
      </c>
      <c r="P1149" s="20">
        <f t="shared" si="654"/>
        <v>50</v>
      </c>
      <c r="Q1149" s="23" t="s">
        <v>40</v>
      </c>
      <c r="R1149" s="24">
        <f t="shared" si="655"/>
        <v>8466000</v>
      </c>
      <c r="S1149" s="24">
        <f t="shared" si="627"/>
        <v>7627027.0270270268</v>
      </c>
    </row>
    <row r="1150" spans="1:19" s="19" customFormat="1">
      <c r="A1150" s="128" t="s">
        <v>575</v>
      </c>
      <c r="B1150" s="19" t="s">
        <v>25</v>
      </c>
      <c r="C1150" s="20"/>
      <c r="D1150" s="21" t="s">
        <v>40</v>
      </c>
      <c r="E1150" s="26">
        <v>5</v>
      </c>
      <c r="F1150" s="22">
        <v>1</v>
      </c>
      <c r="G1150" s="23" t="s">
        <v>20</v>
      </c>
      <c r="H1150" s="22">
        <v>10</v>
      </c>
      <c r="I1150" s="23" t="s">
        <v>40</v>
      </c>
      <c r="J1150" s="132">
        <v>228000</v>
      </c>
      <c r="K1150" s="21" t="s">
        <v>40</v>
      </c>
      <c r="L1150" s="25"/>
      <c r="M1150" s="25">
        <v>0.17</v>
      </c>
      <c r="N1150" s="22"/>
      <c r="O1150" s="23" t="s">
        <v>40</v>
      </c>
      <c r="P1150" s="20">
        <f t="shared" ref="P1150" si="662">(C1150+(E1150*F1150*H1150))-N1150</f>
        <v>50</v>
      </c>
      <c r="Q1150" s="23" t="s">
        <v>40</v>
      </c>
      <c r="R1150" s="24">
        <f t="shared" ref="R1150" si="663">P1150*(J1150-(J1150*L1150)-((J1150-(J1150*L1150))*M1150))</f>
        <v>9462000</v>
      </c>
      <c r="S1150" s="24">
        <f t="shared" ref="S1150" si="664">R1150/1.11</f>
        <v>8524324.3243243229</v>
      </c>
    </row>
    <row r="1151" spans="1:19" s="19" customFormat="1">
      <c r="A1151" s="128" t="s">
        <v>575</v>
      </c>
      <c r="B1151" s="19" t="s">
        <v>25</v>
      </c>
      <c r="C1151" s="20">
        <v>40</v>
      </c>
      <c r="D1151" s="21" t="s">
        <v>40</v>
      </c>
      <c r="E1151" s="26"/>
      <c r="F1151" s="22">
        <v>1</v>
      </c>
      <c r="G1151" s="23" t="s">
        <v>20</v>
      </c>
      <c r="H1151" s="22">
        <v>10</v>
      </c>
      <c r="I1151" s="23" t="s">
        <v>40</v>
      </c>
      <c r="J1151" s="132">
        <f>2040000/10</f>
        <v>204000</v>
      </c>
      <c r="K1151" s="21" t="s">
        <v>40</v>
      </c>
      <c r="L1151" s="25"/>
      <c r="M1151" s="25">
        <v>0.17</v>
      </c>
      <c r="N1151" s="22"/>
      <c r="O1151" s="23" t="s">
        <v>40</v>
      </c>
      <c r="P1151" s="20">
        <f t="shared" si="654"/>
        <v>40</v>
      </c>
      <c r="Q1151" s="23" t="s">
        <v>40</v>
      </c>
      <c r="R1151" s="24">
        <f t="shared" si="655"/>
        <v>6772800</v>
      </c>
      <c r="S1151" s="24">
        <f t="shared" si="627"/>
        <v>6101621.6216216208</v>
      </c>
    </row>
    <row r="1152" spans="1:19" s="67" customFormat="1">
      <c r="A1152" s="66" t="s">
        <v>576</v>
      </c>
      <c r="B1152" s="67" t="s">
        <v>25</v>
      </c>
      <c r="C1152" s="68"/>
      <c r="D1152" s="69" t="s">
        <v>19</v>
      </c>
      <c r="E1152" s="70"/>
      <c r="F1152" s="71">
        <v>20</v>
      </c>
      <c r="G1152" s="72" t="s">
        <v>33</v>
      </c>
      <c r="H1152" s="71">
        <v>6</v>
      </c>
      <c r="I1152" s="72" t="s">
        <v>19</v>
      </c>
      <c r="J1152" s="16">
        <v>14500</v>
      </c>
      <c r="K1152" s="69" t="s">
        <v>19</v>
      </c>
      <c r="L1152" s="73"/>
      <c r="M1152" s="73">
        <v>0.17</v>
      </c>
      <c r="N1152" s="71"/>
      <c r="O1152" s="72" t="s">
        <v>19</v>
      </c>
      <c r="P1152" s="68">
        <f t="shared" si="654"/>
        <v>0</v>
      </c>
      <c r="Q1152" s="72" t="s">
        <v>19</v>
      </c>
      <c r="R1152" s="16">
        <f t="shared" si="655"/>
        <v>0</v>
      </c>
      <c r="S1152" s="16">
        <f t="shared" si="627"/>
        <v>0</v>
      </c>
    </row>
    <row r="1153" spans="1:19" s="19" customFormat="1">
      <c r="A1153" s="18" t="s">
        <v>577</v>
      </c>
      <c r="B1153" s="19" t="s">
        <v>25</v>
      </c>
      <c r="C1153" s="20">
        <f>23+3</f>
        <v>26</v>
      </c>
      <c r="D1153" s="21" t="s">
        <v>19</v>
      </c>
      <c r="E1153" s="26">
        <v>3</v>
      </c>
      <c r="F1153" s="22">
        <v>1</v>
      </c>
      <c r="G1153" s="23" t="s">
        <v>20</v>
      </c>
      <c r="H1153" s="22">
        <v>6</v>
      </c>
      <c r="I1153" s="23" t="s">
        <v>19</v>
      </c>
      <c r="J1153" s="24">
        <f>2160000/6</f>
        <v>360000</v>
      </c>
      <c r="K1153" s="21" t="s">
        <v>19</v>
      </c>
      <c r="L1153" s="25"/>
      <c r="M1153" s="25">
        <v>0.17</v>
      </c>
      <c r="N1153" s="22"/>
      <c r="O1153" s="23" t="s">
        <v>19</v>
      </c>
      <c r="P1153" s="20">
        <f t="shared" si="654"/>
        <v>44</v>
      </c>
      <c r="Q1153" s="23" t="s">
        <v>19</v>
      </c>
      <c r="R1153" s="24">
        <f t="shared" si="655"/>
        <v>13147200</v>
      </c>
      <c r="S1153" s="24">
        <f t="shared" si="627"/>
        <v>11844324.324324323</v>
      </c>
    </row>
    <row r="1154" spans="1:19" s="19" customFormat="1">
      <c r="A1154" s="18" t="s">
        <v>578</v>
      </c>
      <c r="B1154" s="19" t="s">
        <v>25</v>
      </c>
      <c r="C1154" s="20">
        <v>6</v>
      </c>
      <c r="D1154" s="21" t="s">
        <v>19</v>
      </c>
      <c r="E1154" s="26">
        <v>10</v>
      </c>
      <c r="F1154" s="22">
        <v>1</v>
      </c>
      <c r="G1154" s="23" t="s">
        <v>20</v>
      </c>
      <c r="H1154" s="22">
        <v>6</v>
      </c>
      <c r="I1154" s="23" t="s">
        <v>19</v>
      </c>
      <c r="J1154" s="24">
        <f>930000/6</f>
        <v>155000</v>
      </c>
      <c r="K1154" s="21" t="s">
        <v>19</v>
      </c>
      <c r="L1154" s="25"/>
      <c r="M1154" s="25">
        <v>0.17</v>
      </c>
      <c r="N1154" s="22"/>
      <c r="O1154" s="23" t="s">
        <v>19</v>
      </c>
      <c r="P1154" s="20">
        <f t="shared" si="654"/>
        <v>66</v>
      </c>
      <c r="Q1154" s="23" t="s">
        <v>19</v>
      </c>
      <c r="R1154" s="24">
        <f t="shared" si="655"/>
        <v>8490900</v>
      </c>
      <c r="S1154" s="24">
        <f t="shared" si="627"/>
        <v>7649459.4594594585</v>
      </c>
    </row>
    <row r="1155" spans="1:19" s="19" customFormat="1">
      <c r="A1155" s="18" t="s">
        <v>579</v>
      </c>
      <c r="B1155" s="19" t="s">
        <v>25</v>
      </c>
      <c r="C1155" s="20">
        <v>30</v>
      </c>
      <c r="D1155" s="21" t="s">
        <v>19</v>
      </c>
      <c r="E1155" s="26">
        <v>22</v>
      </c>
      <c r="F1155" s="22">
        <v>1</v>
      </c>
      <c r="G1155" s="23" t="s">
        <v>20</v>
      </c>
      <c r="H1155" s="22">
        <v>6</v>
      </c>
      <c r="I1155" s="23" t="s">
        <v>19</v>
      </c>
      <c r="J1155" s="24">
        <f>504000/6</f>
        <v>84000</v>
      </c>
      <c r="K1155" s="21" t="s">
        <v>19</v>
      </c>
      <c r="L1155" s="25"/>
      <c r="M1155" s="25">
        <v>0.17</v>
      </c>
      <c r="N1155" s="22"/>
      <c r="O1155" s="23" t="s">
        <v>19</v>
      </c>
      <c r="P1155" s="20">
        <f t="shared" si="654"/>
        <v>162</v>
      </c>
      <c r="Q1155" s="23" t="s">
        <v>19</v>
      </c>
      <c r="R1155" s="24">
        <f t="shared" si="655"/>
        <v>11294640</v>
      </c>
      <c r="S1155" s="24">
        <f t="shared" ref="S1155:S1166" si="665">R1155/1.11</f>
        <v>10175351.351351351</v>
      </c>
    </row>
    <row r="1156" spans="1:19" s="67" customFormat="1">
      <c r="A1156" s="66" t="s">
        <v>580</v>
      </c>
      <c r="B1156" s="67" t="s">
        <v>25</v>
      </c>
      <c r="C1156" s="68"/>
      <c r="D1156" s="69" t="s">
        <v>19</v>
      </c>
      <c r="E1156" s="70"/>
      <c r="F1156" s="71">
        <v>1</v>
      </c>
      <c r="G1156" s="72" t="s">
        <v>20</v>
      </c>
      <c r="H1156" s="71">
        <v>6</v>
      </c>
      <c r="I1156" s="72" t="s">
        <v>19</v>
      </c>
      <c r="J1156" s="16">
        <f>990000/6</f>
        <v>165000</v>
      </c>
      <c r="K1156" s="69" t="s">
        <v>19</v>
      </c>
      <c r="L1156" s="73"/>
      <c r="M1156" s="73">
        <v>0.17</v>
      </c>
      <c r="N1156" s="71"/>
      <c r="O1156" s="72" t="s">
        <v>19</v>
      </c>
      <c r="P1156" s="68">
        <f t="shared" si="654"/>
        <v>0</v>
      </c>
      <c r="Q1156" s="72" t="s">
        <v>19</v>
      </c>
      <c r="R1156" s="16">
        <f t="shared" si="655"/>
        <v>0</v>
      </c>
      <c r="S1156" s="16">
        <f t="shared" si="665"/>
        <v>0</v>
      </c>
    </row>
    <row r="1158" spans="1:19">
      <c r="A1158" s="160" t="s">
        <v>581</v>
      </c>
      <c r="B1158" s="2" t="s">
        <v>582</v>
      </c>
      <c r="D1158" s="4" t="s">
        <v>40</v>
      </c>
      <c r="E1158" s="5">
        <v>2</v>
      </c>
      <c r="F1158" s="6">
        <v>1</v>
      </c>
      <c r="G1158" s="7" t="s">
        <v>20</v>
      </c>
      <c r="H1158" s="6">
        <v>30</v>
      </c>
      <c r="I1158" s="7" t="s">
        <v>40</v>
      </c>
      <c r="J1158" s="8">
        <f>124342.32*1.11</f>
        <v>138019.97520000002</v>
      </c>
      <c r="K1158" s="4" t="s">
        <v>40</v>
      </c>
      <c r="L1158" s="9">
        <v>0.17499999999999999</v>
      </c>
      <c r="M1158" s="9">
        <v>0.03</v>
      </c>
      <c r="O1158" s="7" t="s">
        <v>40</v>
      </c>
      <c r="P1158" s="3">
        <f t="shared" ref="P1158:P1164" si="666">(C1158+(E1158*F1158*H1158))-N1158</f>
        <v>60</v>
      </c>
      <c r="Q1158" s="7" t="s">
        <v>40</v>
      </c>
      <c r="R1158" s="8">
        <f t="shared" ref="R1158:R1164" si="667">P1158*(J1158-(J1158*L1158)-((J1158-(J1158*L1158))*M1158))</f>
        <v>6627029.109228</v>
      </c>
      <c r="S1158" s="8">
        <f t="shared" ref="S1158" si="668">R1158/1.11</f>
        <v>5970296.4947999995</v>
      </c>
    </row>
    <row r="1159" spans="1:19">
      <c r="A1159" s="49" t="s">
        <v>581</v>
      </c>
      <c r="B1159" s="2" t="s">
        <v>582</v>
      </c>
      <c r="C1159" s="3">
        <v>167</v>
      </c>
      <c r="D1159" s="4" t="s">
        <v>40</v>
      </c>
      <c r="F1159" s="6">
        <v>1</v>
      </c>
      <c r="G1159" s="7" t="s">
        <v>20</v>
      </c>
      <c r="H1159" s="6">
        <v>30</v>
      </c>
      <c r="I1159" s="7" t="s">
        <v>40</v>
      </c>
      <c r="J1159" s="8">
        <v>130000</v>
      </c>
      <c r="K1159" s="4" t="s">
        <v>40</v>
      </c>
      <c r="L1159" s="9">
        <v>0.17499999999999999</v>
      </c>
      <c r="M1159" s="9">
        <v>0.03</v>
      </c>
      <c r="O1159" s="7" t="s">
        <v>40</v>
      </c>
      <c r="P1159" s="3">
        <f t="shared" si="666"/>
        <v>167</v>
      </c>
      <c r="Q1159" s="7" t="s">
        <v>40</v>
      </c>
      <c r="R1159" s="8">
        <f t="shared" si="667"/>
        <v>17373427.5</v>
      </c>
      <c r="S1159" s="8">
        <f t="shared" si="665"/>
        <v>15651736.486486485</v>
      </c>
    </row>
    <row r="1160" spans="1:19">
      <c r="A1160" s="49" t="s">
        <v>583</v>
      </c>
      <c r="B1160" s="2" t="s">
        <v>582</v>
      </c>
      <c r="C1160" s="3">
        <v>90</v>
      </c>
      <c r="D1160" s="4" t="s">
        <v>40</v>
      </c>
      <c r="F1160" s="6">
        <v>1</v>
      </c>
      <c r="G1160" s="7" t="s">
        <v>20</v>
      </c>
      <c r="H1160" s="6">
        <v>30</v>
      </c>
      <c r="I1160" s="7" t="s">
        <v>40</v>
      </c>
      <c r="J1160" s="8">
        <v>216000</v>
      </c>
      <c r="K1160" s="4" t="s">
        <v>40</v>
      </c>
      <c r="M1160" s="9">
        <v>0.15</v>
      </c>
      <c r="O1160" s="7" t="s">
        <v>40</v>
      </c>
      <c r="P1160" s="3">
        <f t="shared" si="666"/>
        <v>90</v>
      </c>
      <c r="Q1160" s="7" t="s">
        <v>40</v>
      </c>
      <c r="R1160" s="8">
        <f t="shared" si="667"/>
        <v>16524000</v>
      </c>
      <c r="S1160" s="8">
        <f t="shared" si="665"/>
        <v>14886486.486486485</v>
      </c>
    </row>
    <row r="1161" spans="1:19" s="67" customFormat="1">
      <c r="A1161" s="113" t="s">
        <v>584</v>
      </c>
      <c r="B1161" s="67" t="s">
        <v>582</v>
      </c>
      <c r="C1161" s="68"/>
      <c r="D1161" s="69" t="s">
        <v>40</v>
      </c>
      <c r="E1161" s="70"/>
      <c r="F1161" s="71">
        <v>1</v>
      </c>
      <c r="G1161" s="72" t="s">
        <v>20</v>
      </c>
      <c r="H1161" s="71">
        <v>30</v>
      </c>
      <c r="I1161" s="72" t="s">
        <v>40</v>
      </c>
      <c r="J1161" s="16">
        <v>216000</v>
      </c>
      <c r="K1161" s="69" t="s">
        <v>40</v>
      </c>
      <c r="L1161" s="73"/>
      <c r="M1161" s="73">
        <v>0.15</v>
      </c>
      <c r="N1161" s="71"/>
      <c r="O1161" s="72" t="s">
        <v>40</v>
      </c>
      <c r="P1161" s="68">
        <f t="shared" si="666"/>
        <v>0</v>
      </c>
      <c r="Q1161" s="72" t="s">
        <v>40</v>
      </c>
      <c r="R1161" s="16">
        <f t="shared" si="667"/>
        <v>0</v>
      </c>
      <c r="S1161" s="16">
        <f t="shared" si="665"/>
        <v>0</v>
      </c>
    </row>
    <row r="1162" spans="1:19" s="67" customFormat="1">
      <c r="A1162" s="113" t="s">
        <v>585</v>
      </c>
      <c r="B1162" s="67" t="s">
        <v>582</v>
      </c>
      <c r="C1162" s="68"/>
      <c r="D1162" s="69" t="s">
        <v>40</v>
      </c>
      <c r="E1162" s="70"/>
      <c r="F1162" s="71">
        <v>1</v>
      </c>
      <c r="G1162" s="72" t="s">
        <v>20</v>
      </c>
      <c r="H1162" s="71">
        <v>30</v>
      </c>
      <c r="I1162" s="72" t="s">
        <v>40</v>
      </c>
      <c r="J1162" s="16">
        <v>220000</v>
      </c>
      <c r="K1162" s="69" t="s">
        <v>40</v>
      </c>
      <c r="L1162" s="73"/>
      <c r="M1162" s="73">
        <v>0.15</v>
      </c>
      <c r="N1162" s="71"/>
      <c r="O1162" s="72" t="s">
        <v>40</v>
      </c>
      <c r="P1162" s="68">
        <f t="shared" si="666"/>
        <v>0</v>
      </c>
      <c r="Q1162" s="72" t="s">
        <v>40</v>
      </c>
      <c r="R1162" s="16">
        <f t="shared" si="667"/>
        <v>0</v>
      </c>
      <c r="S1162" s="16">
        <f t="shared" si="665"/>
        <v>0</v>
      </c>
    </row>
    <row r="1163" spans="1:19">
      <c r="A1163" s="160" t="s">
        <v>586</v>
      </c>
      <c r="B1163" s="2" t="s">
        <v>582</v>
      </c>
      <c r="D1163" s="4" t="s">
        <v>40</v>
      </c>
      <c r="E1163" s="5">
        <v>1</v>
      </c>
      <c r="F1163" s="6">
        <v>1</v>
      </c>
      <c r="G1163" s="7" t="s">
        <v>20</v>
      </c>
      <c r="H1163" s="6">
        <v>20</v>
      </c>
      <c r="I1163" s="7" t="s">
        <v>40</v>
      </c>
      <c r="J1163" s="8">
        <f>216283.78*1.11</f>
        <v>240074.99580000003</v>
      </c>
      <c r="K1163" s="4" t="s">
        <v>40</v>
      </c>
      <c r="L1163" s="9">
        <v>0.17499999999999999</v>
      </c>
      <c r="M1163" s="9">
        <v>0.03</v>
      </c>
      <c r="O1163" s="7" t="s">
        <v>40</v>
      </c>
      <c r="P1163" s="3">
        <f t="shared" si="666"/>
        <v>20</v>
      </c>
      <c r="Q1163" s="7" t="s">
        <v>40</v>
      </c>
      <c r="R1163" s="8">
        <f t="shared" si="667"/>
        <v>3842400.3077790006</v>
      </c>
      <c r="S1163" s="8">
        <f t="shared" ref="S1163" si="669">R1163/1.11</f>
        <v>3461621.8989000004</v>
      </c>
    </row>
    <row r="1164" spans="1:19">
      <c r="A1164" s="49" t="s">
        <v>586</v>
      </c>
      <c r="B1164" s="2" t="s">
        <v>582</v>
      </c>
      <c r="C1164" s="3">
        <v>40</v>
      </c>
      <c r="D1164" s="4" t="s">
        <v>40</v>
      </c>
      <c r="F1164" s="6">
        <v>1</v>
      </c>
      <c r="G1164" s="7" t="s">
        <v>20</v>
      </c>
      <c r="H1164" s="6">
        <v>20</v>
      </c>
      <c r="I1164" s="7" t="s">
        <v>40</v>
      </c>
      <c r="J1164" s="8">
        <v>285600</v>
      </c>
      <c r="K1164" s="4" t="s">
        <v>40</v>
      </c>
      <c r="L1164" s="9">
        <v>0.17499999999999999</v>
      </c>
      <c r="M1164" s="9">
        <v>0.03</v>
      </c>
      <c r="O1164" s="7" t="s">
        <v>40</v>
      </c>
      <c r="P1164" s="3">
        <f t="shared" si="666"/>
        <v>40</v>
      </c>
      <c r="Q1164" s="7" t="s">
        <v>40</v>
      </c>
      <c r="R1164" s="8">
        <f t="shared" si="667"/>
        <v>9142056</v>
      </c>
      <c r="S1164" s="8">
        <f t="shared" si="665"/>
        <v>8236086.4864864862</v>
      </c>
    </row>
    <row r="1165" spans="1:19">
      <c r="A1165" s="49"/>
    </row>
    <row r="1166" spans="1:19">
      <c r="A1166" s="49" t="s">
        <v>587</v>
      </c>
      <c r="B1166" s="19" t="s">
        <v>181</v>
      </c>
      <c r="C1166" s="3">
        <v>72</v>
      </c>
      <c r="D1166" s="4" t="s">
        <v>40</v>
      </c>
      <c r="F1166" s="6">
        <v>1</v>
      </c>
      <c r="G1166" s="7" t="s">
        <v>20</v>
      </c>
      <c r="H1166" s="6">
        <v>5</v>
      </c>
      <c r="I1166" s="7" t="s">
        <v>40</v>
      </c>
      <c r="J1166" s="8">
        <v>250000</v>
      </c>
      <c r="K1166" s="4" t="s">
        <v>40</v>
      </c>
      <c r="O1166" s="57" t="s">
        <v>40</v>
      </c>
      <c r="P1166" s="3">
        <f>(C1166+(E1166*F1166*H1166))-N1166</f>
        <v>72</v>
      </c>
      <c r="Q1166" s="7" t="s">
        <v>40</v>
      </c>
      <c r="R1166" s="8">
        <f>P1166*(J1166-(J1166*L1166)-((J1166-(J1166*L1166))*M1166))</f>
        <v>18000000</v>
      </c>
      <c r="S1166" s="8">
        <f t="shared" si="665"/>
        <v>16216216.216216214</v>
      </c>
    </row>
    <row r="1167" spans="1:19">
      <c r="A1167" s="49"/>
      <c r="B1167" s="19"/>
      <c r="O1167" s="57"/>
    </row>
    <row r="1168" spans="1:19">
      <c r="A1168" s="15" t="s">
        <v>588</v>
      </c>
    </row>
    <row r="1169" spans="1:19" s="19" customFormat="1">
      <c r="A1169" s="18" t="s">
        <v>590</v>
      </c>
      <c r="B1169" s="19" t="s">
        <v>582</v>
      </c>
      <c r="C1169" s="20">
        <v>3324</v>
      </c>
      <c r="D1169" s="21" t="s">
        <v>98</v>
      </c>
      <c r="E1169" s="26">
        <v>270</v>
      </c>
      <c r="F1169" s="22">
        <v>1</v>
      </c>
      <c r="G1169" s="23" t="s">
        <v>20</v>
      </c>
      <c r="H1169" s="22">
        <v>100</v>
      </c>
      <c r="I1169" s="23" t="s">
        <v>98</v>
      </c>
      <c r="J1169" s="24">
        <v>14000</v>
      </c>
      <c r="K1169" s="21" t="s">
        <v>98</v>
      </c>
      <c r="L1169" s="25">
        <v>0.1</v>
      </c>
      <c r="M1169" s="25"/>
      <c r="N1169" s="22"/>
      <c r="O1169" s="23" t="s">
        <v>98</v>
      </c>
      <c r="P1169" s="20">
        <f>(C1169+(E1169*F1169*H1169))-N1169</f>
        <v>30324</v>
      </c>
      <c r="Q1169" s="23" t="s">
        <v>98</v>
      </c>
      <c r="R1169" s="24">
        <f>P1169*(J1169-(J1169*L1169)-((J1169-(J1169*L1169))*M1169))</f>
        <v>382082400</v>
      </c>
      <c r="S1169" s="24">
        <f t="shared" ref="S1169:S1280" si="670">R1169/1.11</f>
        <v>344218378.37837833</v>
      </c>
    </row>
    <row r="1170" spans="1:19" s="19" customFormat="1">
      <c r="A1170" s="18" t="s">
        <v>591</v>
      </c>
      <c r="B1170" s="19" t="s">
        <v>582</v>
      </c>
      <c r="C1170" s="20">
        <v>834</v>
      </c>
      <c r="D1170" s="21" t="s">
        <v>98</v>
      </c>
      <c r="E1170" s="26">
        <v>21</v>
      </c>
      <c r="F1170" s="22">
        <v>1</v>
      </c>
      <c r="G1170" s="23" t="s">
        <v>20</v>
      </c>
      <c r="H1170" s="22">
        <v>50</v>
      </c>
      <c r="I1170" s="23" t="s">
        <v>98</v>
      </c>
      <c r="J1170" s="24">
        <v>24000</v>
      </c>
      <c r="K1170" s="21" t="s">
        <v>98</v>
      </c>
      <c r="L1170" s="25"/>
      <c r="M1170" s="25"/>
      <c r="N1170" s="22"/>
      <c r="O1170" s="23" t="s">
        <v>98</v>
      </c>
      <c r="P1170" s="20">
        <f>(C1170+(E1170*F1170*H1170))-N1170</f>
        <v>1884</v>
      </c>
      <c r="Q1170" s="23" t="s">
        <v>98</v>
      </c>
      <c r="R1170" s="24">
        <f>P1170*(J1170-(J1170*L1170)-((J1170-(J1170*L1170))*M1170))</f>
        <v>45216000</v>
      </c>
      <c r="S1170" s="24">
        <f t="shared" si="670"/>
        <v>40735135.135135129</v>
      </c>
    </row>
    <row r="1171" spans="1:19" s="19" customFormat="1">
      <c r="A1171" s="18"/>
      <c r="C1171" s="20"/>
      <c r="D1171" s="21"/>
      <c r="E1171" s="26"/>
      <c r="F1171" s="22"/>
      <c r="G1171" s="23"/>
      <c r="H1171" s="22"/>
      <c r="I1171" s="23"/>
      <c r="J1171" s="24"/>
      <c r="K1171" s="21"/>
      <c r="L1171" s="25"/>
      <c r="M1171" s="25"/>
      <c r="N1171" s="22"/>
      <c r="O1171" s="23"/>
      <c r="P1171" s="20"/>
      <c r="Q1171" s="23"/>
      <c r="R1171" s="24"/>
      <c r="S1171" s="24"/>
    </row>
    <row r="1172" spans="1:19">
      <c r="A1172" s="17" t="s">
        <v>589</v>
      </c>
      <c r="B1172" s="2" t="s">
        <v>18</v>
      </c>
      <c r="C1172" s="3">
        <v>32</v>
      </c>
      <c r="D1172" s="4" t="s">
        <v>33</v>
      </c>
      <c r="F1172" s="6">
        <v>1</v>
      </c>
      <c r="G1172" s="7" t="s">
        <v>20</v>
      </c>
      <c r="H1172" s="6">
        <v>50</v>
      </c>
      <c r="I1172" s="7" t="s">
        <v>33</v>
      </c>
      <c r="J1172" s="8">
        <v>28000</v>
      </c>
      <c r="K1172" s="4" t="s">
        <v>33</v>
      </c>
      <c r="L1172" s="9">
        <v>0.125</v>
      </c>
      <c r="M1172" s="9">
        <v>0.05</v>
      </c>
      <c r="O1172" s="7" t="s">
        <v>33</v>
      </c>
      <c r="P1172" s="3">
        <f>(C1172+(E1172*F1172*H1172))-N1172</f>
        <v>32</v>
      </c>
      <c r="Q1172" s="7" t="s">
        <v>33</v>
      </c>
      <c r="R1172" s="8">
        <f>P1172*(J1172-(J1172*L1172)-((J1172-(J1172*L1172))*M1172))</f>
        <v>744800</v>
      </c>
      <c r="S1172" s="8">
        <f>R1172/1.11</f>
        <v>670990.99099099089</v>
      </c>
    </row>
    <row r="1174" spans="1:19" s="83" customFormat="1">
      <c r="A1174" s="123" t="s">
        <v>592</v>
      </c>
      <c r="B1174" s="83" t="s">
        <v>25</v>
      </c>
      <c r="C1174" s="86"/>
      <c r="D1174" s="87" t="s">
        <v>33</v>
      </c>
      <c r="E1174" s="88">
        <v>10</v>
      </c>
      <c r="F1174" s="89">
        <v>40</v>
      </c>
      <c r="G1174" s="90" t="s">
        <v>98</v>
      </c>
      <c r="H1174" s="89">
        <v>20</v>
      </c>
      <c r="I1174" s="90" t="s">
        <v>33</v>
      </c>
      <c r="J1174" s="91">
        <f>840000/40/20</f>
        <v>1050</v>
      </c>
      <c r="K1174" s="87" t="s">
        <v>33</v>
      </c>
      <c r="L1174" s="92"/>
      <c r="M1174" s="92">
        <v>0.17</v>
      </c>
      <c r="N1174" s="89"/>
      <c r="O1174" s="90" t="s">
        <v>33</v>
      </c>
      <c r="P1174" s="86">
        <f>(C1174+(E1174*F1174*H1174))-N1174</f>
        <v>8000</v>
      </c>
      <c r="Q1174" s="90" t="s">
        <v>33</v>
      </c>
      <c r="R1174" s="91">
        <f>P1174*(J1174-(J1174*L1174)-((J1174-(J1174*L1174))*M1174))</f>
        <v>6972000</v>
      </c>
      <c r="S1174" s="91">
        <f t="shared" si="670"/>
        <v>6281081.0810810803</v>
      </c>
    </row>
    <row r="1175" spans="1:19" s="19" customFormat="1">
      <c r="A1175" s="46" t="s">
        <v>593</v>
      </c>
      <c r="B1175" s="19" t="s">
        <v>25</v>
      </c>
      <c r="C1175" s="20">
        <v>10</v>
      </c>
      <c r="D1175" s="21" t="s">
        <v>98</v>
      </c>
      <c r="E1175" s="26">
        <v>24</v>
      </c>
      <c r="F1175" s="22">
        <v>1</v>
      </c>
      <c r="G1175" s="23" t="s">
        <v>20</v>
      </c>
      <c r="H1175" s="22">
        <v>20</v>
      </c>
      <c r="I1175" s="23" t="s">
        <v>98</v>
      </c>
      <c r="J1175" s="24">
        <f>840000/20</f>
        <v>42000</v>
      </c>
      <c r="K1175" s="21" t="s">
        <v>98</v>
      </c>
      <c r="L1175" s="25"/>
      <c r="M1175" s="25">
        <v>0.17</v>
      </c>
      <c r="N1175" s="22"/>
      <c r="O1175" s="23" t="s">
        <v>98</v>
      </c>
      <c r="P1175" s="20">
        <f>(C1175+(E1175*F1175*H1175))-N1175</f>
        <v>490</v>
      </c>
      <c r="Q1175" s="23" t="s">
        <v>98</v>
      </c>
      <c r="R1175" s="24">
        <f>P1175*(J1175-(J1175*L1175)-((J1175-(J1175*L1175))*M1175))</f>
        <v>17081400</v>
      </c>
      <c r="S1175" s="24">
        <f t="shared" si="670"/>
        <v>15388648.648648648</v>
      </c>
    </row>
    <row r="1176" spans="1:19" s="17" customFormat="1">
      <c r="A1176" s="18" t="s">
        <v>594</v>
      </c>
      <c r="B1176" s="17" t="s">
        <v>25</v>
      </c>
      <c r="C1176" s="50">
        <v>75</v>
      </c>
      <c r="D1176" s="51" t="s">
        <v>98</v>
      </c>
      <c r="E1176" s="32"/>
      <c r="F1176" s="52">
        <v>1</v>
      </c>
      <c r="G1176" s="53" t="s">
        <v>20</v>
      </c>
      <c r="H1176" s="52">
        <v>15</v>
      </c>
      <c r="I1176" s="53" t="s">
        <v>98</v>
      </c>
      <c r="J1176" s="54">
        <f>525000/15</f>
        <v>35000</v>
      </c>
      <c r="K1176" s="51" t="s">
        <v>98</v>
      </c>
      <c r="L1176" s="55"/>
      <c r="M1176" s="55">
        <v>0.17</v>
      </c>
      <c r="N1176" s="52"/>
      <c r="O1176" s="53" t="s">
        <v>98</v>
      </c>
      <c r="P1176" s="50">
        <f>(C1176+(E1176*F1176*H1176))-N1176</f>
        <v>75</v>
      </c>
      <c r="Q1176" s="53" t="s">
        <v>98</v>
      </c>
      <c r="R1176" s="54">
        <f>P1176*(J1176-(J1176*L1176)-((J1176-(J1176*L1176))*M1176))</f>
        <v>2178750</v>
      </c>
      <c r="S1176" s="54">
        <f t="shared" si="670"/>
        <v>1962837.8378378376</v>
      </c>
    </row>
    <row r="1177" spans="1:19" s="17" customFormat="1">
      <c r="A1177" s="18"/>
      <c r="C1177" s="50"/>
      <c r="D1177" s="51"/>
      <c r="E1177" s="32"/>
      <c r="F1177" s="52"/>
      <c r="G1177" s="53"/>
      <c r="H1177" s="52"/>
      <c r="I1177" s="53"/>
      <c r="J1177" s="54"/>
      <c r="K1177" s="51"/>
      <c r="L1177" s="55"/>
      <c r="M1177" s="55"/>
      <c r="N1177" s="52"/>
      <c r="O1177" s="53"/>
      <c r="P1177" s="50"/>
      <c r="Q1177" s="53"/>
      <c r="R1177" s="54"/>
      <c r="S1177" s="54"/>
    </row>
    <row r="1178" spans="1:19" s="19" customFormat="1">
      <c r="A1178" s="46" t="s">
        <v>800</v>
      </c>
      <c r="B1178" s="19" t="s">
        <v>596</v>
      </c>
      <c r="C1178" s="20">
        <v>900</v>
      </c>
      <c r="D1178" s="21" t="s">
        <v>33</v>
      </c>
      <c r="E1178" s="26">
        <v>3</v>
      </c>
      <c r="F1178" s="22">
        <v>1</v>
      </c>
      <c r="G1178" s="23" t="s">
        <v>20</v>
      </c>
      <c r="H1178" s="22">
        <v>500</v>
      </c>
      <c r="I1178" s="23" t="s">
        <v>33</v>
      </c>
      <c r="J1178" s="24">
        <v>3000</v>
      </c>
      <c r="K1178" s="21" t="s">
        <v>33</v>
      </c>
      <c r="L1178" s="25">
        <v>0.17499999999999999</v>
      </c>
      <c r="M1178" s="25"/>
      <c r="N1178" s="22"/>
      <c r="O1178" s="23" t="s">
        <v>33</v>
      </c>
      <c r="P1178" s="20">
        <f>(C1178+(E1178*F1178*H1178))-N1178</f>
        <v>2400</v>
      </c>
      <c r="Q1178" s="23" t="s">
        <v>33</v>
      </c>
      <c r="R1178" s="24">
        <f>P1178*(J1178-(J1178*L1178)-((J1178-(J1178*L1178))*M1178))</f>
        <v>5940000</v>
      </c>
      <c r="S1178" s="8">
        <f t="shared" ref="S1178" si="671">R1178/1.11</f>
        <v>5351351.3513513505</v>
      </c>
    </row>
    <row r="1179" spans="1:19" s="19" customFormat="1">
      <c r="A1179" s="46" t="s">
        <v>595</v>
      </c>
      <c r="B1179" s="19" t="s">
        <v>596</v>
      </c>
      <c r="C1179" s="20">
        <v>991</v>
      </c>
      <c r="D1179" s="21" t="s">
        <v>33</v>
      </c>
      <c r="E1179" s="26"/>
      <c r="F1179" s="22">
        <v>1</v>
      </c>
      <c r="G1179" s="23" t="s">
        <v>20</v>
      </c>
      <c r="H1179" s="22">
        <v>200</v>
      </c>
      <c r="I1179" s="23" t="s">
        <v>33</v>
      </c>
      <c r="J1179" s="24">
        <v>11500</v>
      </c>
      <c r="K1179" s="21" t="s">
        <v>33</v>
      </c>
      <c r="L1179" s="25">
        <v>0.17499999999999999</v>
      </c>
      <c r="M1179" s="25"/>
      <c r="N1179" s="22"/>
      <c r="O1179" s="23" t="s">
        <v>33</v>
      </c>
      <c r="P1179" s="20">
        <f>(C1179+(E1179*F1179*H1179))-N1179</f>
        <v>991</v>
      </c>
      <c r="Q1179" s="23" t="s">
        <v>33</v>
      </c>
      <c r="R1179" s="24">
        <f>P1179*(J1179-(J1179*L1179)-((J1179-(J1179*L1179))*M1179))</f>
        <v>9402112.5</v>
      </c>
      <c r="S1179" s="8">
        <f t="shared" si="670"/>
        <v>8470371.6216216218</v>
      </c>
    </row>
    <row r="1180" spans="1:19" s="19" customFormat="1">
      <c r="A1180" s="46" t="s">
        <v>660</v>
      </c>
      <c r="B1180" s="19" t="s">
        <v>596</v>
      </c>
      <c r="C1180" s="20">
        <v>340</v>
      </c>
      <c r="D1180" s="21" t="s">
        <v>33</v>
      </c>
      <c r="E1180" s="26"/>
      <c r="F1180" s="22">
        <v>1</v>
      </c>
      <c r="G1180" s="23" t="s">
        <v>20</v>
      </c>
      <c r="H1180" s="22">
        <v>200</v>
      </c>
      <c r="I1180" s="23" t="s">
        <v>33</v>
      </c>
      <c r="J1180" s="24">
        <v>13800</v>
      </c>
      <c r="K1180" s="21" t="s">
        <v>33</v>
      </c>
      <c r="L1180" s="25">
        <v>0.17499999999999999</v>
      </c>
      <c r="M1180" s="25">
        <v>0.03</v>
      </c>
      <c r="N1180" s="22"/>
      <c r="O1180" s="23" t="s">
        <v>33</v>
      </c>
      <c r="P1180" s="20">
        <f>(C1180+(E1180*F1180*H1180))-N1180</f>
        <v>340</v>
      </c>
      <c r="Q1180" s="23" t="s">
        <v>33</v>
      </c>
      <c r="R1180" s="24">
        <f>P1180*(J1180-(J1180*L1180)-((J1180-(J1180*L1180))*M1180))</f>
        <v>3754773.0000000005</v>
      </c>
      <c r="S1180" s="8">
        <f t="shared" si="670"/>
        <v>3382678.3783783787</v>
      </c>
    </row>
    <row r="1181" spans="1:19">
      <c r="A1181" s="49"/>
      <c r="B1181" s="19"/>
      <c r="O1181" s="57"/>
    </row>
    <row r="1182" spans="1:19">
      <c r="A1182" s="15" t="s">
        <v>736</v>
      </c>
    </row>
    <row r="1183" spans="1:19" s="76" customFormat="1">
      <c r="A1183" s="75" t="s">
        <v>737</v>
      </c>
      <c r="B1183" s="76" t="s">
        <v>582</v>
      </c>
      <c r="C1183" s="74"/>
      <c r="D1183" s="77" t="s">
        <v>40</v>
      </c>
      <c r="E1183" s="78"/>
      <c r="F1183" s="79">
        <v>1</v>
      </c>
      <c r="G1183" s="80" t="s">
        <v>20</v>
      </c>
      <c r="H1183" s="79">
        <v>30</v>
      </c>
      <c r="I1183" s="80" t="s">
        <v>40</v>
      </c>
      <c r="J1183" s="81">
        <v>102000</v>
      </c>
      <c r="K1183" s="77" t="s">
        <v>40</v>
      </c>
      <c r="L1183" s="82">
        <v>0.17499999999999999</v>
      </c>
      <c r="M1183" s="82">
        <v>0.03</v>
      </c>
      <c r="N1183" s="79"/>
      <c r="O1183" s="80" t="s">
        <v>40</v>
      </c>
      <c r="P1183" s="74">
        <f>(C1183+(E1183*F1183*H1183))-N1183</f>
        <v>0</v>
      </c>
      <c r="Q1183" s="80" t="s">
        <v>40</v>
      </c>
      <c r="R1183" s="81">
        <f>P1183*(J1183-(J1183*L1183)-((J1183-(J1183*L1183))*M1183))</f>
        <v>0</v>
      </c>
      <c r="S1183" s="81">
        <f t="shared" ref="S1183" si="672">R1183/1.11</f>
        <v>0</v>
      </c>
    </row>
    <row r="1185" spans="1:19" ht="15.75">
      <c r="A1185" s="14" t="s">
        <v>597</v>
      </c>
    </row>
    <row r="1186" spans="1:19">
      <c r="A1186" s="39" t="s">
        <v>598</v>
      </c>
      <c r="B1186" s="2" t="s">
        <v>171</v>
      </c>
      <c r="C1186" s="3">
        <v>383</v>
      </c>
      <c r="D1186" s="4" t="s">
        <v>98</v>
      </c>
      <c r="F1186" s="6">
        <v>1</v>
      </c>
      <c r="G1186" s="7" t="s">
        <v>20</v>
      </c>
      <c r="H1186" s="6">
        <v>60</v>
      </c>
      <c r="I1186" s="7" t="s">
        <v>98</v>
      </c>
      <c r="J1186" s="8">
        <v>8600</v>
      </c>
      <c r="K1186" s="4" t="s">
        <v>98</v>
      </c>
      <c r="L1186" s="9">
        <v>0.05</v>
      </c>
      <c r="O1186" s="7" t="s">
        <v>98</v>
      </c>
      <c r="P1186" s="3">
        <f>(C1186+(E1186*F1186*H1186))-N1186</f>
        <v>383</v>
      </c>
      <c r="Q1186" s="7" t="s">
        <v>98</v>
      </c>
      <c r="R1186" s="8">
        <f>P1186*(J1186-(J1186*L1186)-((J1186-(J1186*L1186))*M1186))</f>
        <v>3129110</v>
      </c>
      <c r="S1186" s="8">
        <f t="shared" si="670"/>
        <v>2819018.018018018</v>
      </c>
    </row>
    <row r="1187" spans="1:19">
      <c r="A1187" s="157" t="s">
        <v>1057</v>
      </c>
      <c r="B1187" s="2" t="s">
        <v>171</v>
      </c>
      <c r="D1187" s="4" t="s">
        <v>98</v>
      </c>
      <c r="F1187" s="6">
        <v>1</v>
      </c>
      <c r="G1187" s="7" t="s">
        <v>20</v>
      </c>
      <c r="H1187" s="6">
        <v>60</v>
      </c>
      <c r="I1187" s="7" t="s">
        <v>98</v>
      </c>
      <c r="J1187" s="8">
        <v>8500</v>
      </c>
      <c r="K1187" s="4" t="s">
        <v>98</v>
      </c>
      <c r="L1187" s="9">
        <v>7.0000000000000007E-2</v>
      </c>
      <c r="O1187" s="7" t="s">
        <v>98</v>
      </c>
      <c r="P1187" s="3">
        <f>(C1187+(E1187*F1187*H1187))-N1187</f>
        <v>0</v>
      </c>
      <c r="Q1187" s="7" t="s">
        <v>98</v>
      </c>
      <c r="R1187" s="8">
        <f>P1187*(J1187-(J1187*L1187)-((J1187-(J1187*L1187))*M1187))</f>
        <v>0</v>
      </c>
      <c r="S1187" s="8">
        <f t="shared" ref="S1187" si="673">R1187/1.11</f>
        <v>0</v>
      </c>
    </row>
    <row r="1188" spans="1:19">
      <c r="A1188" s="39"/>
    </row>
    <row r="1189" spans="1:19" s="93" customFormat="1">
      <c r="A1189" s="122" t="s">
        <v>900</v>
      </c>
      <c r="B1189" s="93" t="s">
        <v>18</v>
      </c>
      <c r="C1189" s="94"/>
      <c r="D1189" s="95" t="s">
        <v>33</v>
      </c>
      <c r="E1189" s="96">
        <v>1</v>
      </c>
      <c r="F1189" s="97">
        <v>1</v>
      </c>
      <c r="G1189" s="98" t="s">
        <v>20</v>
      </c>
      <c r="H1189" s="97">
        <v>50</v>
      </c>
      <c r="I1189" s="98" t="s">
        <v>33</v>
      </c>
      <c r="J1189" s="99">
        <v>44800</v>
      </c>
      <c r="K1189" s="95" t="s">
        <v>33</v>
      </c>
      <c r="L1189" s="100">
        <v>0.125</v>
      </c>
      <c r="M1189" s="100">
        <v>0.05</v>
      </c>
      <c r="N1189" s="97"/>
      <c r="O1189" s="98" t="s">
        <v>33</v>
      </c>
      <c r="P1189" s="94">
        <f t="shared" ref="P1189" si="674">(C1189+(E1189*F1189*H1189))-N1189</f>
        <v>50</v>
      </c>
      <c r="Q1189" s="98" t="s">
        <v>33</v>
      </c>
      <c r="R1189" s="99">
        <f t="shared" ref="R1189" si="675">P1189*(J1189-(J1189*L1189)-((J1189-(J1189*L1189))*M1189))</f>
        <v>1862000</v>
      </c>
      <c r="S1189" s="99">
        <f>R1189/1.11</f>
        <v>1677477.4774774774</v>
      </c>
    </row>
    <row r="1190" spans="1:19" s="83" customFormat="1">
      <c r="A1190" s="122" t="s">
        <v>603</v>
      </c>
      <c r="B1190" s="83" t="s">
        <v>18</v>
      </c>
      <c r="C1190" s="86"/>
      <c r="D1190" s="87" t="s">
        <v>33</v>
      </c>
      <c r="E1190" s="88">
        <v>5</v>
      </c>
      <c r="F1190" s="89">
        <v>1</v>
      </c>
      <c r="G1190" s="90" t="s">
        <v>20</v>
      </c>
      <c r="H1190" s="89">
        <v>50</v>
      </c>
      <c r="I1190" s="90" t="s">
        <v>33</v>
      </c>
      <c r="J1190" s="91">
        <v>32300</v>
      </c>
      <c r="K1190" s="87" t="s">
        <v>33</v>
      </c>
      <c r="L1190" s="92">
        <v>0.125</v>
      </c>
      <c r="M1190" s="92">
        <v>0.05</v>
      </c>
      <c r="N1190" s="89"/>
      <c r="O1190" s="90" t="s">
        <v>33</v>
      </c>
      <c r="P1190" s="86">
        <f t="shared" ref="P1190:P1203" si="676">(C1190+(E1190*F1190*H1190))-N1190</f>
        <v>250</v>
      </c>
      <c r="Q1190" s="90" t="s">
        <v>33</v>
      </c>
      <c r="R1190" s="91">
        <f t="shared" ref="R1190:R1203" si="677">P1190*(J1190-(J1190*L1190)-((J1190-(J1190*L1190))*M1190))</f>
        <v>6712343.75</v>
      </c>
      <c r="S1190" s="91">
        <f>R1190/1.11</f>
        <v>6047156.5315315314</v>
      </c>
    </row>
    <row r="1191" spans="1:19" s="67" customFormat="1">
      <c r="A1191" s="108" t="s">
        <v>604</v>
      </c>
      <c r="B1191" s="67" t="s">
        <v>18</v>
      </c>
      <c r="C1191" s="68"/>
      <c r="D1191" s="69" t="s">
        <v>33</v>
      </c>
      <c r="E1191" s="70"/>
      <c r="F1191" s="71">
        <v>1</v>
      </c>
      <c r="G1191" s="72" t="s">
        <v>20</v>
      </c>
      <c r="H1191" s="71">
        <v>50</v>
      </c>
      <c r="I1191" s="72" t="s">
        <v>33</v>
      </c>
      <c r="J1191" s="16">
        <v>12000</v>
      </c>
      <c r="K1191" s="69" t="s">
        <v>33</v>
      </c>
      <c r="L1191" s="73">
        <v>0.125</v>
      </c>
      <c r="M1191" s="73">
        <v>0.05</v>
      </c>
      <c r="N1191" s="71"/>
      <c r="O1191" s="72" t="s">
        <v>33</v>
      </c>
      <c r="P1191" s="68">
        <f t="shared" si="676"/>
        <v>0</v>
      </c>
      <c r="Q1191" s="72" t="s">
        <v>33</v>
      </c>
      <c r="R1191" s="16">
        <f t="shared" si="677"/>
        <v>0</v>
      </c>
      <c r="S1191" s="16">
        <f>R1191/1.11</f>
        <v>0</v>
      </c>
    </row>
    <row r="1192" spans="1:19">
      <c r="A1192" s="39" t="s">
        <v>722</v>
      </c>
      <c r="B1192" s="2" t="s">
        <v>18</v>
      </c>
      <c r="C1192" s="3">
        <v>100</v>
      </c>
      <c r="D1192" s="4" t="s">
        <v>33</v>
      </c>
      <c r="F1192" s="6">
        <v>1</v>
      </c>
      <c r="G1192" s="7" t="s">
        <v>20</v>
      </c>
      <c r="H1192" s="6">
        <v>50</v>
      </c>
      <c r="I1192" s="7" t="s">
        <v>33</v>
      </c>
      <c r="J1192" s="8">
        <v>29100</v>
      </c>
      <c r="K1192" s="4" t="s">
        <v>33</v>
      </c>
      <c r="L1192" s="9">
        <v>0.125</v>
      </c>
      <c r="M1192" s="9">
        <v>0.05</v>
      </c>
      <c r="O1192" s="7" t="s">
        <v>33</v>
      </c>
      <c r="P1192" s="3">
        <f t="shared" si="676"/>
        <v>100</v>
      </c>
      <c r="Q1192" s="7" t="s">
        <v>33</v>
      </c>
      <c r="R1192" s="8">
        <f t="shared" si="677"/>
        <v>2418937.5</v>
      </c>
      <c r="S1192" s="8">
        <f>R1192/1.11</f>
        <v>2179222.9729729728</v>
      </c>
    </row>
    <row r="1193" spans="1:19" s="67" customFormat="1">
      <c r="A1193" s="108" t="s">
        <v>605</v>
      </c>
      <c r="B1193" s="67" t="s">
        <v>18</v>
      </c>
      <c r="C1193" s="68"/>
      <c r="D1193" s="69" t="s">
        <v>33</v>
      </c>
      <c r="E1193" s="70"/>
      <c r="F1193" s="71">
        <v>1</v>
      </c>
      <c r="G1193" s="72" t="s">
        <v>20</v>
      </c>
      <c r="H1193" s="71">
        <v>50</v>
      </c>
      <c r="I1193" s="72" t="s">
        <v>33</v>
      </c>
      <c r="J1193" s="16">
        <v>36200</v>
      </c>
      <c r="K1193" s="69" t="s">
        <v>33</v>
      </c>
      <c r="L1193" s="73">
        <v>0.125</v>
      </c>
      <c r="M1193" s="73">
        <v>0.05</v>
      </c>
      <c r="N1193" s="71"/>
      <c r="O1193" s="72" t="s">
        <v>33</v>
      </c>
      <c r="P1193" s="68">
        <f t="shared" si="676"/>
        <v>0</v>
      </c>
      <c r="Q1193" s="72" t="s">
        <v>33</v>
      </c>
      <c r="R1193" s="16">
        <f t="shared" si="677"/>
        <v>0</v>
      </c>
      <c r="S1193" s="16">
        <f>R1193/1.11</f>
        <v>0</v>
      </c>
    </row>
    <row r="1194" spans="1:19" s="19" customFormat="1">
      <c r="A1194" s="39" t="s">
        <v>599</v>
      </c>
      <c r="B1194" s="19" t="s">
        <v>18</v>
      </c>
      <c r="C1194" s="20">
        <v>93</v>
      </c>
      <c r="D1194" s="21" t="s">
        <v>33</v>
      </c>
      <c r="E1194" s="26">
        <v>138</v>
      </c>
      <c r="F1194" s="22">
        <v>1</v>
      </c>
      <c r="G1194" s="23" t="s">
        <v>20</v>
      </c>
      <c r="H1194" s="22">
        <v>50</v>
      </c>
      <c r="I1194" s="23" t="s">
        <v>33</v>
      </c>
      <c r="J1194" s="24">
        <v>34100</v>
      </c>
      <c r="K1194" s="21" t="s">
        <v>33</v>
      </c>
      <c r="L1194" s="25">
        <v>0.125</v>
      </c>
      <c r="M1194" s="25">
        <v>0.05</v>
      </c>
      <c r="N1194" s="22"/>
      <c r="O1194" s="23" t="s">
        <v>33</v>
      </c>
      <c r="P1194" s="20">
        <f t="shared" si="676"/>
        <v>6993</v>
      </c>
      <c r="Q1194" s="23" t="s">
        <v>33</v>
      </c>
      <c r="R1194" s="24">
        <f t="shared" si="677"/>
        <v>198220955.625</v>
      </c>
      <c r="S1194" s="8">
        <f t="shared" si="670"/>
        <v>178577437.49999997</v>
      </c>
    </row>
    <row r="1195" spans="1:19" s="19" customFormat="1">
      <c r="A1195" s="18" t="s">
        <v>600</v>
      </c>
      <c r="B1195" s="19" t="s">
        <v>18</v>
      </c>
      <c r="C1195" s="20">
        <v>100</v>
      </c>
      <c r="D1195" s="21" t="s">
        <v>33</v>
      </c>
      <c r="E1195" s="26">
        <v>47</v>
      </c>
      <c r="F1195" s="22">
        <v>1</v>
      </c>
      <c r="G1195" s="23" t="s">
        <v>20</v>
      </c>
      <c r="H1195" s="22">
        <v>50</v>
      </c>
      <c r="I1195" s="23" t="s">
        <v>33</v>
      </c>
      <c r="J1195" s="24">
        <v>34100</v>
      </c>
      <c r="K1195" s="21" t="s">
        <v>33</v>
      </c>
      <c r="L1195" s="25">
        <v>0.125</v>
      </c>
      <c r="M1195" s="25">
        <v>0.05</v>
      </c>
      <c r="N1195" s="22"/>
      <c r="O1195" s="23" t="s">
        <v>33</v>
      </c>
      <c r="P1195" s="20">
        <f t="shared" si="676"/>
        <v>2450</v>
      </c>
      <c r="Q1195" s="23" t="s">
        <v>33</v>
      </c>
      <c r="R1195" s="24">
        <f t="shared" si="677"/>
        <v>69446781.25</v>
      </c>
      <c r="S1195" s="24">
        <f t="shared" si="670"/>
        <v>62564667.79279279</v>
      </c>
    </row>
    <row r="1196" spans="1:19" s="19" customFormat="1">
      <c r="A1196" s="18" t="s">
        <v>601</v>
      </c>
      <c r="B1196" s="19" t="s">
        <v>18</v>
      </c>
      <c r="C1196" s="20">
        <v>13</v>
      </c>
      <c r="D1196" s="21" t="s">
        <v>33</v>
      </c>
      <c r="E1196" s="26">
        <v>25</v>
      </c>
      <c r="F1196" s="22">
        <v>1</v>
      </c>
      <c r="G1196" s="23" t="s">
        <v>20</v>
      </c>
      <c r="H1196" s="22">
        <v>50</v>
      </c>
      <c r="I1196" s="23" t="s">
        <v>33</v>
      </c>
      <c r="J1196" s="24">
        <v>32000</v>
      </c>
      <c r="K1196" s="21" t="s">
        <v>33</v>
      </c>
      <c r="L1196" s="25">
        <v>0.125</v>
      </c>
      <c r="M1196" s="25">
        <v>0.05</v>
      </c>
      <c r="N1196" s="22"/>
      <c r="O1196" s="23" t="s">
        <v>33</v>
      </c>
      <c r="P1196" s="20">
        <f t="shared" si="676"/>
        <v>1263</v>
      </c>
      <c r="Q1196" s="23" t="s">
        <v>33</v>
      </c>
      <c r="R1196" s="24">
        <f t="shared" si="677"/>
        <v>33595800</v>
      </c>
      <c r="S1196" s="24">
        <f t="shared" si="670"/>
        <v>30266486.486486483</v>
      </c>
    </row>
    <row r="1197" spans="1:19" s="93" customFormat="1">
      <c r="A1197" s="122" t="s">
        <v>602</v>
      </c>
      <c r="B1197" s="93" t="s">
        <v>18</v>
      </c>
      <c r="C1197" s="94"/>
      <c r="D1197" s="95" t="s">
        <v>33</v>
      </c>
      <c r="E1197" s="96">
        <v>58</v>
      </c>
      <c r="F1197" s="97">
        <v>1</v>
      </c>
      <c r="G1197" s="98" t="s">
        <v>20</v>
      </c>
      <c r="H1197" s="97">
        <v>50</v>
      </c>
      <c r="I1197" s="98" t="s">
        <v>33</v>
      </c>
      <c r="J1197" s="99">
        <v>32000</v>
      </c>
      <c r="K1197" s="95" t="s">
        <v>33</v>
      </c>
      <c r="L1197" s="100">
        <v>0.125</v>
      </c>
      <c r="M1197" s="100">
        <v>0.05</v>
      </c>
      <c r="N1197" s="97"/>
      <c r="O1197" s="98" t="s">
        <v>33</v>
      </c>
      <c r="P1197" s="94">
        <f t="shared" si="676"/>
        <v>2900</v>
      </c>
      <c r="Q1197" s="98" t="s">
        <v>33</v>
      </c>
      <c r="R1197" s="99">
        <f t="shared" si="677"/>
        <v>77140000</v>
      </c>
      <c r="S1197" s="91">
        <f t="shared" si="670"/>
        <v>69495495.495495483</v>
      </c>
    </row>
    <row r="1198" spans="1:19">
      <c r="A1198" s="157" t="s">
        <v>978</v>
      </c>
      <c r="B1198" s="2" t="s">
        <v>18</v>
      </c>
      <c r="D1198" s="4" t="s">
        <v>33</v>
      </c>
      <c r="E1198" s="5">
        <v>3</v>
      </c>
      <c r="F1198" s="6">
        <v>1</v>
      </c>
      <c r="G1198" s="7" t="s">
        <v>20</v>
      </c>
      <c r="H1198" s="6">
        <v>32</v>
      </c>
      <c r="I1198" s="7" t="s">
        <v>33</v>
      </c>
      <c r="J1198" s="8">
        <v>74800</v>
      </c>
      <c r="K1198" s="4" t="s">
        <v>33</v>
      </c>
      <c r="L1198" s="9">
        <v>0.125</v>
      </c>
      <c r="M1198" s="9">
        <v>0.05</v>
      </c>
      <c r="O1198" s="7" t="s">
        <v>33</v>
      </c>
      <c r="P1198" s="3">
        <f t="shared" ref="P1198:P1199" si="678">(C1198+(E1198*F1198*H1198))-N1198</f>
        <v>96</v>
      </c>
      <c r="Q1198" s="7" t="s">
        <v>33</v>
      </c>
      <c r="R1198" s="8">
        <f t="shared" ref="R1198:R1199" si="679">P1198*(J1198-(J1198*L1198)-((J1198-(J1198*L1198))*M1198))</f>
        <v>5969040</v>
      </c>
      <c r="S1198" s="8">
        <f>R1198/1.11</f>
        <v>5377513.5135135129</v>
      </c>
    </row>
    <row r="1199" spans="1:19">
      <c r="A1199" s="157" t="s">
        <v>979</v>
      </c>
      <c r="B1199" s="2" t="s">
        <v>18</v>
      </c>
      <c r="D1199" s="4" t="s">
        <v>33</v>
      </c>
      <c r="E1199" s="5">
        <v>3</v>
      </c>
      <c r="F1199" s="6">
        <v>1</v>
      </c>
      <c r="G1199" s="7" t="s">
        <v>20</v>
      </c>
      <c r="H1199" s="6">
        <v>32</v>
      </c>
      <c r="I1199" s="7" t="s">
        <v>33</v>
      </c>
      <c r="J1199" s="8">
        <v>70000</v>
      </c>
      <c r="K1199" s="4" t="s">
        <v>33</v>
      </c>
      <c r="L1199" s="9">
        <v>0.125</v>
      </c>
      <c r="M1199" s="9">
        <v>0.05</v>
      </c>
      <c r="O1199" s="7" t="s">
        <v>33</v>
      </c>
      <c r="P1199" s="3">
        <f t="shared" si="678"/>
        <v>96</v>
      </c>
      <c r="Q1199" s="7" t="s">
        <v>33</v>
      </c>
      <c r="R1199" s="8">
        <f t="shared" si="679"/>
        <v>5586000</v>
      </c>
      <c r="S1199" s="8">
        <f>R1199/1.11</f>
        <v>5032432.4324324317</v>
      </c>
    </row>
    <row r="1200" spans="1:19" s="19" customFormat="1">
      <c r="A1200" s="39" t="s">
        <v>606</v>
      </c>
      <c r="B1200" s="19" t="s">
        <v>18</v>
      </c>
      <c r="C1200" s="20">
        <v>617</v>
      </c>
      <c r="D1200" s="21" t="s">
        <v>33</v>
      </c>
      <c r="E1200" s="26">
        <v>175</v>
      </c>
      <c r="F1200" s="22">
        <v>1</v>
      </c>
      <c r="G1200" s="23" t="s">
        <v>20</v>
      </c>
      <c r="H1200" s="22">
        <v>50</v>
      </c>
      <c r="I1200" s="23" t="s">
        <v>33</v>
      </c>
      <c r="J1200" s="24">
        <v>28300</v>
      </c>
      <c r="K1200" s="21" t="s">
        <v>33</v>
      </c>
      <c r="L1200" s="25">
        <v>0.125</v>
      </c>
      <c r="M1200" s="25">
        <v>0.05</v>
      </c>
      <c r="N1200" s="22"/>
      <c r="O1200" s="23" t="s">
        <v>33</v>
      </c>
      <c r="P1200" s="20">
        <f t="shared" si="676"/>
        <v>9367</v>
      </c>
      <c r="Q1200" s="23" t="s">
        <v>33</v>
      </c>
      <c r="R1200" s="24">
        <f t="shared" si="677"/>
        <v>220352820.625</v>
      </c>
      <c r="S1200" s="24">
        <f t="shared" si="670"/>
        <v>198516054.61711711</v>
      </c>
    </row>
    <row r="1201" spans="1:19" s="19" customFormat="1">
      <c r="A1201" s="39" t="s">
        <v>607</v>
      </c>
      <c r="B1201" s="19" t="s">
        <v>18</v>
      </c>
      <c r="C1201" s="20">
        <v>50</v>
      </c>
      <c r="D1201" s="21" t="s">
        <v>33</v>
      </c>
      <c r="E1201" s="26">
        <v>53</v>
      </c>
      <c r="F1201" s="22">
        <v>1</v>
      </c>
      <c r="G1201" s="23" t="s">
        <v>20</v>
      </c>
      <c r="H1201" s="22">
        <v>50</v>
      </c>
      <c r="I1201" s="23" t="s">
        <v>33</v>
      </c>
      <c r="J1201" s="24">
        <v>28300</v>
      </c>
      <c r="K1201" s="21" t="s">
        <v>33</v>
      </c>
      <c r="L1201" s="25">
        <v>0.125</v>
      </c>
      <c r="M1201" s="25">
        <v>0.05</v>
      </c>
      <c r="N1201" s="22"/>
      <c r="O1201" s="23" t="s">
        <v>33</v>
      </c>
      <c r="P1201" s="20">
        <f t="shared" si="676"/>
        <v>2700</v>
      </c>
      <c r="Q1201" s="23" t="s">
        <v>33</v>
      </c>
      <c r="R1201" s="24">
        <f t="shared" si="677"/>
        <v>63515812.5</v>
      </c>
      <c r="S1201" s="24">
        <f t="shared" si="670"/>
        <v>57221452.702702701</v>
      </c>
    </row>
    <row r="1202" spans="1:19" s="83" customFormat="1">
      <c r="A1202" s="122" t="s">
        <v>608</v>
      </c>
      <c r="B1202" s="83" t="s">
        <v>18</v>
      </c>
      <c r="C1202" s="86"/>
      <c r="D1202" s="87" t="s">
        <v>33</v>
      </c>
      <c r="E1202" s="88">
        <v>6</v>
      </c>
      <c r="F1202" s="89">
        <v>1</v>
      </c>
      <c r="G1202" s="90" t="s">
        <v>20</v>
      </c>
      <c r="H1202" s="89">
        <v>50</v>
      </c>
      <c r="I1202" s="90" t="s">
        <v>33</v>
      </c>
      <c r="J1202" s="91">
        <v>28600</v>
      </c>
      <c r="K1202" s="87" t="s">
        <v>33</v>
      </c>
      <c r="L1202" s="92">
        <v>0.125</v>
      </c>
      <c r="M1202" s="92">
        <v>0.05</v>
      </c>
      <c r="N1202" s="89"/>
      <c r="O1202" s="90" t="s">
        <v>33</v>
      </c>
      <c r="P1202" s="86">
        <f t="shared" ref="P1202" si="680">(C1202+(E1202*F1202*H1202))-N1202</f>
        <v>300</v>
      </c>
      <c r="Q1202" s="90" t="s">
        <v>33</v>
      </c>
      <c r="R1202" s="91">
        <f t="shared" ref="R1202" si="681">P1202*(J1202-(J1202*L1202)-((J1202-(J1202*L1202))*M1202))</f>
        <v>7132125</v>
      </c>
      <c r="S1202" s="91">
        <f t="shared" ref="S1202" si="682">R1202/1.11</f>
        <v>6425337.8378378376</v>
      </c>
    </row>
    <row r="1203" spans="1:19" s="67" customFormat="1">
      <c r="A1203" s="108" t="s">
        <v>608</v>
      </c>
      <c r="B1203" s="67" t="s">
        <v>18</v>
      </c>
      <c r="C1203" s="68"/>
      <c r="D1203" s="69" t="s">
        <v>33</v>
      </c>
      <c r="E1203" s="70"/>
      <c r="F1203" s="71">
        <v>1</v>
      </c>
      <c r="G1203" s="72" t="s">
        <v>20</v>
      </c>
      <c r="H1203" s="71">
        <v>50</v>
      </c>
      <c r="I1203" s="72" t="s">
        <v>33</v>
      </c>
      <c r="J1203" s="16">
        <v>26500</v>
      </c>
      <c r="K1203" s="69" t="s">
        <v>33</v>
      </c>
      <c r="L1203" s="73">
        <v>0.125</v>
      </c>
      <c r="M1203" s="73">
        <v>0.05</v>
      </c>
      <c r="N1203" s="71"/>
      <c r="O1203" s="72" t="s">
        <v>33</v>
      </c>
      <c r="P1203" s="68">
        <f t="shared" si="676"/>
        <v>0</v>
      </c>
      <c r="Q1203" s="72" t="s">
        <v>33</v>
      </c>
      <c r="R1203" s="16">
        <f t="shared" si="677"/>
        <v>0</v>
      </c>
      <c r="S1203" s="16">
        <f t="shared" si="670"/>
        <v>0</v>
      </c>
    </row>
    <row r="1204" spans="1:19">
      <c r="A1204" s="39"/>
    </row>
    <row r="1205" spans="1:19" s="19" customFormat="1">
      <c r="A1205" s="45" t="s">
        <v>609</v>
      </c>
      <c r="B1205" s="19" t="s">
        <v>25</v>
      </c>
      <c r="C1205" s="20">
        <v>101</v>
      </c>
      <c r="D1205" s="21" t="s">
        <v>33</v>
      </c>
      <c r="E1205" s="26">
        <v>22</v>
      </c>
      <c r="F1205" s="22">
        <v>1</v>
      </c>
      <c r="G1205" s="23" t="s">
        <v>20</v>
      </c>
      <c r="H1205" s="22">
        <v>50</v>
      </c>
      <c r="I1205" s="23" t="s">
        <v>33</v>
      </c>
      <c r="J1205" s="24">
        <f>1500000/50</f>
        <v>30000</v>
      </c>
      <c r="K1205" s="21" t="s">
        <v>33</v>
      </c>
      <c r="L1205" s="25"/>
      <c r="M1205" s="25">
        <v>0.17</v>
      </c>
      <c r="N1205" s="22"/>
      <c r="O1205" s="23" t="s">
        <v>33</v>
      </c>
      <c r="P1205" s="20">
        <f t="shared" ref="P1205:P1210" si="683">(C1205+(E1205*F1205*H1205))-N1205</f>
        <v>1201</v>
      </c>
      <c r="Q1205" s="23" t="s">
        <v>33</v>
      </c>
      <c r="R1205" s="24">
        <f t="shared" ref="R1205:R1210" si="684">P1205*(J1205-(J1205*L1205)-((J1205-(J1205*L1205))*M1205))</f>
        <v>29904900</v>
      </c>
      <c r="S1205" s="24">
        <f t="shared" si="670"/>
        <v>26941351.351351351</v>
      </c>
    </row>
    <row r="1206" spans="1:19" s="19" customFormat="1">
      <c r="A1206" s="45" t="s">
        <v>610</v>
      </c>
      <c r="B1206" s="19" t="s">
        <v>25</v>
      </c>
      <c r="C1206" s="20">
        <v>110</v>
      </c>
      <c r="D1206" s="21" t="s">
        <v>33</v>
      </c>
      <c r="E1206" s="26">
        <v>13</v>
      </c>
      <c r="F1206" s="22">
        <v>1</v>
      </c>
      <c r="G1206" s="23" t="s">
        <v>20</v>
      </c>
      <c r="H1206" s="22">
        <v>50</v>
      </c>
      <c r="I1206" s="23" t="s">
        <v>33</v>
      </c>
      <c r="J1206" s="24">
        <f>1500000/50</f>
        <v>30000</v>
      </c>
      <c r="K1206" s="21" t="s">
        <v>33</v>
      </c>
      <c r="L1206" s="25"/>
      <c r="M1206" s="25">
        <v>0.17</v>
      </c>
      <c r="N1206" s="22"/>
      <c r="O1206" s="23" t="s">
        <v>33</v>
      </c>
      <c r="P1206" s="20">
        <f t="shared" si="683"/>
        <v>760</v>
      </c>
      <c r="Q1206" s="23" t="s">
        <v>33</v>
      </c>
      <c r="R1206" s="24">
        <f t="shared" si="684"/>
        <v>18924000</v>
      </c>
      <c r="S1206" s="24">
        <f t="shared" si="670"/>
        <v>17048648.648648646</v>
      </c>
    </row>
    <row r="1207" spans="1:19" s="67" customFormat="1">
      <c r="A1207" s="108" t="s">
        <v>725</v>
      </c>
      <c r="B1207" s="67" t="s">
        <v>25</v>
      </c>
      <c r="C1207" s="74"/>
      <c r="D1207" s="69" t="s">
        <v>33</v>
      </c>
      <c r="E1207" s="70"/>
      <c r="F1207" s="71">
        <v>1</v>
      </c>
      <c r="G1207" s="72" t="s">
        <v>20</v>
      </c>
      <c r="H1207" s="71">
        <v>50</v>
      </c>
      <c r="I1207" s="72" t="s">
        <v>33</v>
      </c>
      <c r="J1207" s="16">
        <v>32400</v>
      </c>
      <c r="K1207" s="69" t="s">
        <v>33</v>
      </c>
      <c r="L1207" s="73"/>
      <c r="M1207" s="73">
        <v>0.17</v>
      </c>
      <c r="N1207" s="71"/>
      <c r="O1207" s="72" t="s">
        <v>33</v>
      </c>
      <c r="P1207" s="68">
        <f t="shared" si="683"/>
        <v>0</v>
      </c>
      <c r="Q1207" s="72" t="s">
        <v>33</v>
      </c>
      <c r="R1207" s="16">
        <f t="shared" si="684"/>
        <v>0</v>
      </c>
      <c r="S1207" s="16">
        <f t="shared" si="670"/>
        <v>0</v>
      </c>
    </row>
    <row r="1208" spans="1:19" s="67" customFormat="1">
      <c r="A1208" s="108" t="s">
        <v>611</v>
      </c>
      <c r="B1208" s="67" t="s">
        <v>25</v>
      </c>
      <c r="C1208" s="74"/>
      <c r="D1208" s="69" t="s">
        <v>33</v>
      </c>
      <c r="E1208" s="70"/>
      <c r="F1208" s="71">
        <v>1</v>
      </c>
      <c r="G1208" s="72" t="s">
        <v>20</v>
      </c>
      <c r="H1208" s="71">
        <v>50</v>
      </c>
      <c r="I1208" s="72" t="s">
        <v>33</v>
      </c>
      <c r="J1208" s="16">
        <v>28500</v>
      </c>
      <c r="K1208" s="69" t="s">
        <v>33</v>
      </c>
      <c r="L1208" s="73"/>
      <c r="M1208" s="73">
        <v>0.17</v>
      </c>
      <c r="N1208" s="71"/>
      <c r="O1208" s="72" t="s">
        <v>33</v>
      </c>
      <c r="P1208" s="68">
        <f t="shared" si="683"/>
        <v>0</v>
      </c>
      <c r="Q1208" s="72" t="s">
        <v>33</v>
      </c>
      <c r="R1208" s="16">
        <f t="shared" si="684"/>
        <v>0</v>
      </c>
      <c r="S1208" s="16">
        <f t="shared" si="670"/>
        <v>0</v>
      </c>
    </row>
    <row r="1209" spans="1:19" s="19" customFormat="1">
      <c r="A1209" s="45" t="s">
        <v>612</v>
      </c>
      <c r="B1209" s="19" t="s">
        <v>25</v>
      </c>
      <c r="C1209" s="20">
        <v>346</v>
      </c>
      <c r="D1209" s="21" t="s">
        <v>33</v>
      </c>
      <c r="E1209" s="26">
        <v>26</v>
      </c>
      <c r="F1209" s="22">
        <v>1</v>
      </c>
      <c r="G1209" s="23" t="s">
        <v>20</v>
      </c>
      <c r="H1209" s="22">
        <v>50</v>
      </c>
      <c r="I1209" s="23" t="s">
        <v>33</v>
      </c>
      <c r="J1209" s="24">
        <f>1375000/50</f>
        <v>27500</v>
      </c>
      <c r="K1209" s="21" t="s">
        <v>33</v>
      </c>
      <c r="L1209" s="25"/>
      <c r="M1209" s="25">
        <v>0.17</v>
      </c>
      <c r="N1209" s="22"/>
      <c r="O1209" s="23" t="s">
        <v>33</v>
      </c>
      <c r="P1209" s="20">
        <f t="shared" si="683"/>
        <v>1646</v>
      </c>
      <c r="Q1209" s="23" t="s">
        <v>33</v>
      </c>
      <c r="R1209" s="24">
        <f t="shared" si="684"/>
        <v>37569950</v>
      </c>
      <c r="S1209" s="24">
        <f t="shared" si="670"/>
        <v>33846801.801801801</v>
      </c>
    </row>
    <row r="1210" spans="1:19" s="19" customFormat="1">
      <c r="A1210" s="45" t="s">
        <v>613</v>
      </c>
      <c r="B1210" s="19" t="s">
        <v>25</v>
      </c>
      <c r="C1210" s="20">
        <v>165</v>
      </c>
      <c r="D1210" s="21" t="s">
        <v>33</v>
      </c>
      <c r="E1210" s="26">
        <v>7</v>
      </c>
      <c r="F1210" s="22">
        <v>1</v>
      </c>
      <c r="G1210" s="23" t="s">
        <v>20</v>
      </c>
      <c r="H1210" s="22">
        <v>50</v>
      </c>
      <c r="I1210" s="23" t="s">
        <v>33</v>
      </c>
      <c r="J1210" s="24">
        <f>1375000/50</f>
        <v>27500</v>
      </c>
      <c r="K1210" s="21" t="s">
        <v>33</v>
      </c>
      <c r="L1210" s="25"/>
      <c r="M1210" s="25">
        <v>0.17</v>
      </c>
      <c r="N1210" s="22"/>
      <c r="O1210" s="23" t="s">
        <v>33</v>
      </c>
      <c r="P1210" s="20">
        <f t="shared" si="683"/>
        <v>515</v>
      </c>
      <c r="Q1210" s="23" t="s">
        <v>33</v>
      </c>
      <c r="R1210" s="24">
        <f t="shared" si="684"/>
        <v>11754875</v>
      </c>
      <c r="S1210" s="24">
        <f t="shared" si="670"/>
        <v>10589977.477477476</v>
      </c>
    </row>
    <row r="1212" spans="1:19" ht="15.75">
      <c r="A1212" s="14" t="s">
        <v>755</v>
      </c>
    </row>
    <row r="1213" spans="1:19" s="67" customFormat="1">
      <c r="A1213" s="66" t="s">
        <v>757</v>
      </c>
      <c r="B1213" s="67" t="s">
        <v>171</v>
      </c>
      <c r="C1213" s="68"/>
      <c r="D1213" s="69" t="s">
        <v>19</v>
      </c>
      <c r="E1213" s="70"/>
      <c r="F1213" s="71">
        <v>50</v>
      </c>
      <c r="G1213" s="72" t="s">
        <v>98</v>
      </c>
      <c r="H1213" s="71">
        <v>100</v>
      </c>
      <c r="I1213" s="72" t="s">
        <v>19</v>
      </c>
      <c r="J1213" s="16">
        <f>39500/100</f>
        <v>395</v>
      </c>
      <c r="K1213" s="69" t="s">
        <v>19</v>
      </c>
      <c r="L1213" s="73">
        <v>0.05</v>
      </c>
      <c r="M1213" s="73"/>
      <c r="N1213" s="71"/>
      <c r="O1213" s="72" t="s">
        <v>19</v>
      </c>
      <c r="P1213" s="68">
        <f>(C1213+(E1213*F1213*H1213))-N1213</f>
        <v>0</v>
      </c>
      <c r="Q1213" s="72" t="s">
        <v>19</v>
      </c>
      <c r="R1213" s="16">
        <f>P1213*(J1213-(J1213*L1213)-((J1213-(J1213*L1213))*M1213))</f>
        <v>0</v>
      </c>
      <c r="S1213" s="16">
        <f t="shared" ref="S1213" si="685">R1213/1.11</f>
        <v>0</v>
      </c>
    </row>
    <row r="1215" spans="1:19" ht="15.75">
      <c r="A1215" s="14" t="s">
        <v>614</v>
      </c>
    </row>
    <row r="1216" spans="1:19">
      <c r="A1216" s="15" t="s">
        <v>615</v>
      </c>
    </row>
    <row r="1217" spans="1:19" s="76" customFormat="1">
      <c r="A1217" s="110" t="s">
        <v>616</v>
      </c>
      <c r="B1217" s="76" t="s">
        <v>181</v>
      </c>
      <c r="C1217" s="74"/>
      <c r="D1217" s="77" t="s">
        <v>277</v>
      </c>
      <c r="E1217" s="78"/>
      <c r="F1217" s="79">
        <v>1</v>
      </c>
      <c r="G1217" s="80" t="s">
        <v>20</v>
      </c>
      <c r="H1217" s="79">
        <v>720</v>
      </c>
      <c r="I1217" s="80" t="s">
        <v>277</v>
      </c>
      <c r="J1217" s="81">
        <v>3100</v>
      </c>
      <c r="K1217" s="77" t="s">
        <v>277</v>
      </c>
      <c r="L1217" s="82"/>
      <c r="M1217" s="82">
        <v>0.15</v>
      </c>
      <c r="N1217" s="79"/>
      <c r="O1217" s="80" t="s">
        <v>277</v>
      </c>
      <c r="P1217" s="74">
        <f>(C1217+(E1217*F1217*H1217))-N1217</f>
        <v>0</v>
      </c>
      <c r="Q1217" s="80" t="s">
        <v>277</v>
      </c>
      <c r="R1217" s="81">
        <f>P1217*(J1217-(J1217*L1217)-((J1217-(J1217*L1217))*M1217))</f>
        <v>0</v>
      </c>
      <c r="S1217" s="16">
        <f t="shared" si="670"/>
        <v>0</v>
      </c>
    </row>
    <row r="1218" spans="1:19" s="76" customFormat="1">
      <c r="A1218" s="110" t="s">
        <v>617</v>
      </c>
      <c r="B1218" s="76" t="s">
        <v>181</v>
      </c>
      <c r="C1218" s="74"/>
      <c r="D1218" s="77" t="s">
        <v>277</v>
      </c>
      <c r="E1218" s="78"/>
      <c r="F1218" s="79">
        <v>1</v>
      </c>
      <c r="G1218" s="80" t="s">
        <v>20</v>
      </c>
      <c r="H1218" s="79">
        <v>480</v>
      </c>
      <c r="I1218" s="80" t="s">
        <v>277</v>
      </c>
      <c r="J1218" s="81">
        <v>4750</v>
      </c>
      <c r="K1218" s="77" t="s">
        <v>277</v>
      </c>
      <c r="L1218" s="82"/>
      <c r="M1218" s="82">
        <v>0.15</v>
      </c>
      <c r="N1218" s="79"/>
      <c r="O1218" s="80" t="s">
        <v>277</v>
      </c>
      <c r="P1218" s="74">
        <f>(C1218+(E1218*F1218*H1218))-N1218</f>
        <v>0</v>
      </c>
      <c r="Q1218" s="80" t="s">
        <v>277</v>
      </c>
      <c r="R1218" s="81">
        <f>P1218*(J1218-(J1218*L1218)-((J1218-(J1218*L1218))*M1218))</f>
        <v>0</v>
      </c>
      <c r="S1218" s="16">
        <f t="shared" si="670"/>
        <v>0</v>
      </c>
    </row>
    <row r="1219" spans="1:19" s="67" customFormat="1">
      <c r="A1219" s="110" t="s">
        <v>618</v>
      </c>
      <c r="B1219" s="76" t="s">
        <v>181</v>
      </c>
      <c r="C1219" s="74"/>
      <c r="D1219" s="69" t="s">
        <v>277</v>
      </c>
      <c r="E1219" s="70"/>
      <c r="F1219" s="71">
        <v>1</v>
      </c>
      <c r="G1219" s="72" t="s">
        <v>20</v>
      </c>
      <c r="H1219" s="71">
        <v>360</v>
      </c>
      <c r="I1219" s="72" t="s">
        <v>277</v>
      </c>
      <c r="J1219" s="16">
        <v>6000</v>
      </c>
      <c r="K1219" s="69" t="s">
        <v>277</v>
      </c>
      <c r="L1219" s="73"/>
      <c r="M1219" s="73">
        <v>0.15</v>
      </c>
      <c r="N1219" s="79"/>
      <c r="O1219" s="72" t="s">
        <v>277</v>
      </c>
      <c r="P1219" s="68">
        <f>(C1219+(E1219*F1219*H1219))-N1219</f>
        <v>0</v>
      </c>
      <c r="Q1219" s="72" t="s">
        <v>277</v>
      </c>
      <c r="R1219" s="16">
        <f>P1219*(J1219-(J1219*L1219)-((J1219-(J1219*L1219))*M1219))</f>
        <v>0</v>
      </c>
      <c r="S1219" s="16">
        <f t="shared" si="670"/>
        <v>0</v>
      </c>
    </row>
    <row r="1220" spans="1:19">
      <c r="A1220" s="39"/>
      <c r="B1220" s="19"/>
      <c r="C1220" s="20"/>
      <c r="N1220" s="22"/>
    </row>
    <row r="1221" spans="1:19" s="67" customFormat="1">
      <c r="A1221" s="108" t="s">
        <v>619</v>
      </c>
      <c r="B1221" s="67" t="s">
        <v>18</v>
      </c>
      <c r="C1221" s="74"/>
      <c r="D1221" s="69" t="s">
        <v>277</v>
      </c>
      <c r="E1221" s="70"/>
      <c r="F1221" s="71">
        <v>10</v>
      </c>
      <c r="G1221" s="72" t="s">
        <v>98</v>
      </c>
      <c r="H1221" s="71">
        <v>24</v>
      </c>
      <c r="I1221" s="72" t="s">
        <v>277</v>
      </c>
      <c r="J1221" s="16">
        <v>2300</v>
      </c>
      <c r="K1221" s="69" t="s">
        <v>277</v>
      </c>
      <c r="L1221" s="73">
        <v>0.125</v>
      </c>
      <c r="M1221" s="73">
        <v>0.05</v>
      </c>
      <c r="N1221" s="71"/>
      <c r="O1221" s="72" t="s">
        <v>277</v>
      </c>
      <c r="P1221" s="68">
        <f>(C1221+(E1221*F1221*H1221))-N1221</f>
        <v>0</v>
      </c>
      <c r="Q1221" s="72" t="s">
        <v>277</v>
      </c>
      <c r="R1221" s="16">
        <f>P1221*(J1221-(J1221*L1221)-((J1221-(J1221*L1221))*M1221))</f>
        <v>0</v>
      </c>
      <c r="S1221" s="16">
        <f t="shared" si="670"/>
        <v>0</v>
      </c>
    </row>
    <row r="1222" spans="1:19" s="67" customFormat="1">
      <c r="A1222" s="108" t="s">
        <v>620</v>
      </c>
      <c r="B1222" s="67" t="s">
        <v>18</v>
      </c>
      <c r="C1222" s="74"/>
      <c r="D1222" s="69" t="s">
        <v>277</v>
      </c>
      <c r="E1222" s="70"/>
      <c r="F1222" s="71">
        <v>10</v>
      </c>
      <c r="G1222" s="72" t="s">
        <v>98</v>
      </c>
      <c r="H1222" s="71">
        <v>12</v>
      </c>
      <c r="I1222" s="72" t="s">
        <v>277</v>
      </c>
      <c r="J1222" s="16">
        <v>4600</v>
      </c>
      <c r="K1222" s="69" t="s">
        <v>277</v>
      </c>
      <c r="L1222" s="73">
        <v>0.125</v>
      </c>
      <c r="M1222" s="73">
        <v>0.05</v>
      </c>
      <c r="N1222" s="71"/>
      <c r="O1222" s="72" t="s">
        <v>277</v>
      </c>
      <c r="P1222" s="68">
        <f>(C1222+(E1222*F1222*H1222))-N1222</f>
        <v>0</v>
      </c>
      <c r="Q1222" s="72" t="s">
        <v>277</v>
      </c>
      <c r="R1222" s="16">
        <f>P1222*(J1222-(J1222*L1222)-((J1222-(J1222*L1222))*M1222))</f>
        <v>0</v>
      </c>
      <c r="S1222" s="16">
        <f t="shared" si="670"/>
        <v>0</v>
      </c>
    </row>
    <row r="1223" spans="1:19">
      <c r="A1223" s="39"/>
      <c r="C1223" s="20"/>
    </row>
    <row r="1224" spans="1:19" s="83" customFormat="1">
      <c r="A1224" s="123" t="s">
        <v>621</v>
      </c>
      <c r="B1224" s="83" t="s">
        <v>25</v>
      </c>
      <c r="C1224" s="94"/>
      <c r="D1224" s="87" t="s">
        <v>277</v>
      </c>
      <c r="E1224" s="88">
        <v>1</v>
      </c>
      <c r="F1224" s="89">
        <v>1</v>
      </c>
      <c r="G1224" s="90" t="s">
        <v>20</v>
      </c>
      <c r="H1224" s="89">
        <v>480</v>
      </c>
      <c r="I1224" s="90" t="s">
        <v>277</v>
      </c>
      <c r="J1224" s="91">
        <f>588000/480</f>
        <v>1225</v>
      </c>
      <c r="K1224" s="87" t="s">
        <v>277</v>
      </c>
      <c r="L1224" s="92"/>
      <c r="M1224" s="92">
        <v>0.17</v>
      </c>
      <c r="N1224" s="89"/>
      <c r="O1224" s="90" t="s">
        <v>277</v>
      </c>
      <c r="P1224" s="86">
        <f>(C1224+(E1224*F1224*H1224))-N1224</f>
        <v>480</v>
      </c>
      <c r="Q1224" s="90" t="s">
        <v>277</v>
      </c>
      <c r="R1224" s="91">
        <f>P1224*(J1224-(J1224*L1224)-((J1224-(J1224*L1224))*M1224))</f>
        <v>488040</v>
      </c>
      <c r="S1224" s="91">
        <f t="shared" si="670"/>
        <v>439675.67567567562</v>
      </c>
    </row>
    <row r="1225" spans="1:19" s="67" customFormat="1">
      <c r="A1225" s="109" t="s">
        <v>622</v>
      </c>
      <c r="B1225" s="67" t="s">
        <v>25</v>
      </c>
      <c r="C1225" s="74"/>
      <c r="D1225" s="69" t="s">
        <v>277</v>
      </c>
      <c r="E1225" s="70">
        <v>2</v>
      </c>
      <c r="F1225" s="71">
        <v>1</v>
      </c>
      <c r="G1225" s="72" t="s">
        <v>20</v>
      </c>
      <c r="H1225" s="71">
        <v>240</v>
      </c>
      <c r="I1225" s="72" t="s">
        <v>277</v>
      </c>
      <c r="J1225" s="16">
        <f>588000/240</f>
        <v>2450</v>
      </c>
      <c r="K1225" s="69" t="s">
        <v>277</v>
      </c>
      <c r="L1225" s="73"/>
      <c r="M1225" s="73">
        <v>0.17</v>
      </c>
      <c r="N1225" s="71"/>
      <c r="O1225" s="72" t="s">
        <v>277</v>
      </c>
      <c r="P1225" s="68">
        <f>(C1225+(E1225*F1225*H1225))-N1225</f>
        <v>480</v>
      </c>
      <c r="Q1225" s="72" t="s">
        <v>277</v>
      </c>
      <c r="R1225" s="16">
        <f>P1225*(J1225-(J1225*L1225)-((J1225-(J1225*L1225))*M1225))</f>
        <v>976080</v>
      </c>
      <c r="S1225" s="16">
        <f t="shared" si="670"/>
        <v>879351.35135135124</v>
      </c>
    </row>
    <row r="1226" spans="1:19" s="67" customFormat="1">
      <c r="A1226" s="109" t="s">
        <v>623</v>
      </c>
      <c r="B1226" s="67" t="s">
        <v>25</v>
      </c>
      <c r="C1226" s="74"/>
      <c r="D1226" s="69" t="s">
        <v>277</v>
      </c>
      <c r="E1226" s="70">
        <v>2</v>
      </c>
      <c r="F1226" s="71">
        <v>1</v>
      </c>
      <c r="G1226" s="72" t="s">
        <v>20</v>
      </c>
      <c r="H1226" s="71">
        <v>120</v>
      </c>
      <c r="I1226" s="72" t="s">
        <v>277</v>
      </c>
      <c r="J1226" s="16">
        <v>4800</v>
      </c>
      <c r="K1226" s="69" t="s">
        <v>277</v>
      </c>
      <c r="L1226" s="73"/>
      <c r="M1226" s="73">
        <v>0.17</v>
      </c>
      <c r="N1226" s="71"/>
      <c r="O1226" s="72" t="s">
        <v>277</v>
      </c>
      <c r="P1226" s="68">
        <f>(C1226+(E1226*F1226*H1226))-N1226</f>
        <v>240</v>
      </c>
      <c r="Q1226" s="72" t="s">
        <v>277</v>
      </c>
      <c r="R1226" s="16">
        <f>P1226*(J1226-(J1226*L1226)-((J1226-(J1226*L1226))*M1226))</f>
        <v>956160</v>
      </c>
      <c r="S1226" s="16">
        <f t="shared" si="670"/>
        <v>861405.40540540533</v>
      </c>
    </row>
    <row r="1227" spans="1:19" s="83" customFormat="1">
      <c r="A1227" s="123" t="s">
        <v>624</v>
      </c>
      <c r="B1227" s="83" t="s">
        <v>25</v>
      </c>
      <c r="C1227" s="94"/>
      <c r="D1227" s="87" t="s">
        <v>277</v>
      </c>
      <c r="E1227" s="88">
        <v>1</v>
      </c>
      <c r="F1227" s="89">
        <v>1</v>
      </c>
      <c r="G1227" s="90" t="s">
        <v>20</v>
      </c>
      <c r="H1227" s="89">
        <v>60</v>
      </c>
      <c r="I1227" s="90" t="s">
        <v>277</v>
      </c>
      <c r="J1227" s="91">
        <v>9500</v>
      </c>
      <c r="K1227" s="87" t="s">
        <v>277</v>
      </c>
      <c r="L1227" s="92"/>
      <c r="M1227" s="92">
        <v>0.17</v>
      </c>
      <c r="N1227" s="89"/>
      <c r="O1227" s="90" t="s">
        <v>277</v>
      </c>
      <c r="P1227" s="86">
        <f>(C1227+(E1227*F1227*H1227))-N1227</f>
        <v>60</v>
      </c>
      <c r="Q1227" s="90" t="s">
        <v>277</v>
      </c>
      <c r="R1227" s="91">
        <f>P1227*(J1227-(J1227*L1227)-((J1227-(J1227*L1227))*M1227))</f>
        <v>473100</v>
      </c>
      <c r="S1227" s="91">
        <f t="shared" si="670"/>
        <v>426216.21621621615</v>
      </c>
    </row>
    <row r="1229" spans="1:19">
      <c r="A1229" s="15" t="s">
        <v>786</v>
      </c>
      <c r="S1229" s="8">
        <f t="shared" ref="S1229:S1230" si="686">R1229/1.11</f>
        <v>0</v>
      </c>
    </row>
    <row r="1230" spans="1:19" s="76" customFormat="1">
      <c r="A1230" s="66" t="s">
        <v>787</v>
      </c>
      <c r="B1230" s="76" t="s">
        <v>18</v>
      </c>
      <c r="C1230" s="74"/>
      <c r="D1230" s="77" t="s">
        <v>277</v>
      </c>
      <c r="E1230" s="78"/>
      <c r="F1230" s="79">
        <v>1</v>
      </c>
      <c r="G1230" s="80" t="s">
        <v>20</v>
      </c>
      <c r="H1230" s="79">
        <v>120</v>
      </c>
      <c r="I1230" s="80" t="s">
        <v>277</v>
      </c>
      <c r="J1230" s="81">
        <v>5500</v>
      </c>
      <c r="K1230" s="77" t="s">
        <v>277</v>
      </c>
      <c r="L1230" s="82">
        <v>0.125</v>
      </c>
      <c r="M1230" s="82">
        <v>0.05</v>
      </c>
      <c r="N1230" s="79"/>
      <c r="O1230" s="80" t="s">
        <v>277</v>
      </c>
      <c r="P1230" s="74">
        <f t="shared" ref="P1230" si="687">(C1230+(E1230*F1230*H1230))-N1230</f>
        <v>0</v>
      </c>
      <c r="Q1230" s="80" t="s">
        <v>277</v>
      </c>
      <c r="R1230" s="81">
        <f t="shared" ref="R1230" si="688">P1230*(J1230-(J1230*L1230)-((J1230-(J1230*L1230))*M1230))</f>
        <v>0</v>
      </c>
      <c r="S1230" s="81">
        <f t="shared" si="686"/>
        <v>0</v>
      </c>
    </row>
    <row r="1231" spans="1:19">
      <c r="A1231" s="38"/>
    </row>
    <row r="1232" spans="1:19">
      <c r="A1232" s="15" t="s">
        <v>625</v>
      </c>
    </row>
    <row r="1233" spans="1:19" s="19" customFormat="1">
      <c r="A1233" s="128" t="s">
        <v>704</v>
      </c>
      <c r="B1233" s="19" t="s">
        <v>25</v>
      </c>
      <c r="C1233" s="20"/>
      <c r="D1233" s="21" t="s">
        <v>277</v>
      </c>
      <c r="E1233" s="26">
        <v>60</v>
      </c>
      <c r="F1233" s="22">
        <v>1</v>
      </c>
      <c r="G1233" s="23" t="s">
        <v>20</v>
      </c>
      <c r="H1233" s="22">
        <v>72</v>
      </c>
      <c r="I1233" s="23" t="s">
        <v>277</v>
      </c>
      <c r="J1233" s="132">
        <v>10000</v>
      </c>
      <c r="K1233" s="21" t="s">
        <v>277</v>
      </c>
      <c r="L1233" s="127">
        <v>0.12</v>
      </c>
      <c r="M1233" s="25">
        <v>0.17</v>
      </c>
      <c r="N1233" s="22"/>
      <c r="O1233" s="23" t="s">
        <v>277</v>
      </c>
      <c r="P1233" s="20">
        <f t="shared" ref="P1233:P1238" si="689">(C1233+(E1233*F1233*H1233))-N1233</f>
        <v>4320</v>
      </c>
      <c r="Q1233" s="23" t="s">
        <v>277</v>
      </c>
      <c r="R1233" s="24">
        <f t="shared" ref="R1233:R1238" si="690">P1233*(J1233-(J1233*L1233)-((J1233-(J1233*L1233))*M1233))</f>
        <v>31553280</v>
      </c>
      <c r="S1233" s="24">
        <f t="shared" ref="S1233" si="691">R1233/1.11</f>
        <v>28426378.378378376</v>
      </c>
    </row>
    <row r="1234" spans="1:19" s="19" customFormat="1">
      <c r="A1234" s="128" t="s">
        <v>704</v>
      </c>
      <c r="B1234" s="19" t="s">
        <v>25</v>
      </c>
      <c r="C1234" s="20">
        <v>144</v>
      </c>
      <c r="D1234" s="21" t="s">
        <v>277</v>
      </c>
      <c r="E1234" s="26"/>
      <c r="F1234" s="22">
        <v>1</v>
      </c>
      <c r="G1234" s="23" t="s">
        <v>20</v>
      </c>
      <c r="H1234" s="22">
        <v>72</v>
      </c>
      <c r="I1234" s="23" t="s">
        <v>277</v>
      </c>
      <c r="J1234" s="132">
        <f>900000/72</f>
        <v>12500</v>
      </c>
      <c r="K1234" s="21" t="s">
        <v>277</v>
      </c>
      <c r="L1234" s="127"/>
      <c r="M1234" s="25">
        <v>0.17</v>
      </c>
      <c r="N1234" s="22"/>
      <c r="O1234" s="23" t="s">
        <v>277</v>
      </c>
      <c r="P1234" s="20">
        <f t="shared" si="689"/>
        <v>144</v>
      </c>
      <c r="Q1234" s="23" t="s">
        <v>277</v>
      </c>
      <c r="R1234" s="24">
        <f t="shared" si="690"/>
        <v>1494000</v>
      </c>
      <c r="S1234" s="24">
        <f t="shared" si="670"/>
        <v>1345945.9459459458</v>
      </c>
    </row>
    <row r="1235" spans="1:19" s="93" customFormat="1">
      <c r="A1235" s="103" t="s">
        <v>626</v>
      </c>
      <c r="B1235" s="93" t="s">
        <v>25</v>
      </c>
      <c r="C1235" s="94"/>
      <c r="D1235" s="95" t="s">
        <v>277</v>
      </c>
      <c r="E1235" s="96">
        <v>40</v>
      </c>
      <c r="F1235" s="97">
        <v>1</v>
      </c>
      <c r="G1235" s="98" t="s">
        <v>20</v>
      </c>
      <c r="H1235" s="97">
        <v>72</v>
      </c>
      <c r="I1235" s="98" t="s">
        <v>277</v>
      </c>
      <c r="J1235" s="99">
        <v>10000</v>
      </c>
      <c r="K1235" s="95" t="s">
        <v>277</v>
      </c>
      <c r="L1235" s="105">
        <v>0.12</v>
      </c>
      <c r="M1235" s="100">
        <v>0.17</v>
      </c>
      <c r="N1235" s="97"/>
      <c r="O1235" s="98" t="s">
        <v>277</v>
      </c>
      <c r="P1235" s="94">
        <f t="shared" si="689"/>
        <v>2880</v>
      </c>
      <c r="Q1235" s="98" t="s">
        <v>277</v>
      </c>
      <c r="R1235" s="99">
        <f t="shared" si="690"/>
        <v>21035520</v>
      </c>
      <c r="S1235" s="99">
        <f t="shared" si="670"/>
        <v>18950918.918918919</v>
      </c>
    </row>
    <row r="1236" spans="1:19" s="93" customFormat="1">
      <c r="A1236" s="103" t="s">
        <v>626</v>
      </c>
      <c r="B1236" s="93" t="s">
        <v>25</v>
      </c>
      <c r="C1236" s="94"/>
      <c r="D1236" s="95" t="s">
        <v>277</v>
      </c>
      <c r="E1236" s="96">
        <v>6</v>
      </c>
      <c r="F1236" s="97">
        <v>1</v>
      </c>
      <c r="G1236" s="98" t="s">
        <v>20</v>
      </c>
      <c r="H1236" s="97">
        <v>72</v>
      </c>
      <c r="I1236" s="98" t="s">
        <v>277</v>
      </c>
      <c r="J1236" s="99">
        <v>10000</v>
      </c>
      <c r="K1236" s="95" t="s">
        <v>277</v>
      </c>
      <c r="L1236" s="105">
        <v>0.05</v>
      </c>
      <c r="M1236" s="100">
        <v>0.17</v>
      </c>
      <c r="N1236" s="97"/>
      <c r="O1236" s="98" t="s">
        <v>277</v>
      </c>
      <c r="P1236" s="94">
        <f t="shared" si="689"/>
        <v>432</v>
      </c>
      <c r="Q1236" s="98" t="s">
        <v>277</v>
      </c>
      <c r="R1236" s="99">
        <f t="shared" si="690"/>
        <v>3406320</v>
      </c>
      <c r="S1236" s="99">
        <f t="shared" ref="S1236" si="692">R1236/1.11</f>
        <v>3068756.7567567565</v>
      </c>
    </row>
    <row r="1237" spans="1:19">
      <c r="A1237" s="17" t="s">
        <v>803</v>
      </c>
      <c r="B1237" s="2" t="s">
        <v>25</v>
      </c>
      <c r="C1237" s="3">
        <v>210</v>
      </c>
      <c r="D1237" s="4" t="s">
        <v>277</v>
      </c>
      <c r="F1237" s="6">
        <v>1</v>
      </c>
      <c r="G1237" s="7" t="s">
        <v>20</v>
      </c>
      <c r="H1237" s="6">
        <v>72</v>
      </c>
      <c r="I1237" s="7" t="s">
        <v>277</v>
      </c>
      <c r="J1237" s="8">
        <f>705600/72</f>
        <v>9800</v>
      </c>
      <c r="K1237" s="4" t="s">
        <v>277</v>
      </c>
      <c r="M1237" s="9">
        <v>0.17</v>
      </c>
      <c r="O1237" s="7" t="s">
        <v>277</v>
      </c>
      <c r="P1237" s="3">
        <f t="shared" si="689"/>
        <v>210</v>
      </c>
      <c r="Q1237" s="7" t="s">
        <v>277</v>
      </c>
      <c r="R1237" s="8">
        <f t="shared" si="690"/>
        <v>1708140</v>
      </c>
      <c r="S1237" s="8">
        <f t="shared" si="670"/>
        <v>1538864.8648648646</v>
      </c>
    </row>
    <row r="1238" spans="1:19">
      <c r="A1238" s="17" t="s">
        <v>804</v>
      </c>
      <c r="B1238" s="2" t="s">
        <v>25</v>
      </c>
      <c r="C1238" s="3">
        <v>36</v>
      </c>
      <c r="D1238" s="4" t="s">
        <v>277</v>
      </c>
      <c r="F1238" s="6">
        <v>1</v>
      </c>
      <c r="G1238" s="7" t="s">
        <v>20</v>
      </c>
      <c r="H1238" s="6">
        <v>72</v>
      </c>
      <c r="I1238" s="7" t="s">
        <v>277</v>
      </c>
      <c r="J1238" s="8">
        <f>705600/72</f>
        <v>9800</v>
      </c>
      <c r="K1238" s="4" t="s">
        <v>277</v>
      </c>
      <c r="M1238" s="9">
        <v>0.17</v>
      </c>
      <c r="O1238" s="7" t="s">
        <v>277</v>
      </c>
      <c r="P1238" s="3">
        <f t="shared" si="689"/>
        <v>36</v>
      </c>
      <c r="Q1238" s="7" t="s">
        <v>277</v>
      </c>
      <c r="R1238" s="8">
        <f t="shared" si="690"/>
        <v>292824</v>
      </c>
      <c r="S1238" s="8">
        <f t="shared" si="670"/>
        <v>263805.40540540538</v>
      </c>
    </row>
    <row r="1240" spans="1:19">
      <c r="A1240" s="15" t="s">
        <v>627</v>
      </c>
      <c r="S1240" s="8">
        <f t="shared" si="670"/>
        <v>0</v>
      </c>
    </row>
    <row r="1241" spans="1:19" s="19" customFormat="1">
      <c r="A1241" s="17" t="s">
        <v>784</v>
      </c>
      <c r="B1241" s="19" t="s">
        <v>18</v>
      </c>
      <c r="C1241" s="20">
        <v>120</v>
      </c>
      <c r="D1241" s="21" t="s">
        <v>277</v>
      </c>
      <c r="E1241" s="26"/>
      <c r="F1241" s="22">
        <v>1</v>
      </c>
      <c r="G1241" s="23" t="s">
        <v>20</v>
      </c>
      <c r="H1241" s="22">
        <v>120</v>
      </c>
      <c r="I1241" s="23" t="s">
        <v>277</v>
      </c>
      <c r="J1241" s="24">
        <v>13800</v>
      </c>
      <c r="K1241" s="21" t="s">
        <v>277</v>
      </c>
      <c r="L1241" s="25">
        <v>0.125</v>
      </c>
      <c r="M1241" s="25">
        <v>0.05</v>
      </c>
      <c r="N1241" s="22"/>
      <c r="O1241" s="23" t="s">
        <v>277</v>
      </c>
      <c r="P1241" s="20">
        <f t="shared" ref="P1241" si="693">(C1241+(E1241*F1241*H1241))-N1241</f>
        <v>120</v>
      </c>
      <c r="Q1241" s="23" t="s">
        <v>277</v>
      </c>
      <c r="R1241" s="24">
        <f t="shared" ref="R1241" si="694">P1241*(J1241-(J1241*L1241)-((J1241-(J1241*L1241))*M1241))</f>
        <v>1376550</v>
      </c>
      <c r="S1241" s="24">
        <f t="shared" si="670"/>
        <v>1240135.1351351349</v>
      </c>
    </row>
    <row r="1242" spans="1:19" s="19" customFormat="1">
      <c r="A1242" s="18"/>
      <c r="C1242" s="20"/>
      <c r="D1242" s="21"/>
      <c r="E1242" s="26"/>
      <c r="F1242" s="22"/>
      <c r="G1242" s="23"/>
      <c r="H1242" s="22"/>
      <c r="I1242" s="23"/>
      <c r="J1242" s="24"/>
      <c r="K1242" s="21"/>
      <c r="L1242" s="25"/>
      <c r="M1242" s="25"/>
      <c r="N1242" s="22"/>
      <c r="O1242" s="23"/>
      <c r="P1242" s="20"/>
      <c r="Q1242" s="23"/>
      <c r="R1242" s="24"/>
      <c r="S1242" s="24"/>
    </row>
    <row r="1243" spans="1:19">
      <c r="A1243" s="17" t="s">
        <v>805</v>
      </c>
      <c r="B1243" s="2" t="s">
        <v>25</v>
      </c>
      <c r="D1243" s="4" t="s">
        <v>277</v>
      </c>
      <c r="E1243" s="5">
        <v>1</v>
      </c>
      <c r="F1243" s="6">
        <v>1</v>
      </c>
      <c r="G1243" s="7" t="s">
        <v>20</v>
      </c>
      <c r="H1243" s="6">
        <v>120</v>
      </c>
      <c r="I1243" s="7" t="s">
        <v>277</v>
      </c>
      <c r="J1243" s="8">
        <f>762000/120</f>
        <v>6350</v>
      </c>
      <c r="K1243" s="4" t="s">
        <v>277</v>
      </c>
      <c r="M1243" s="9">
        <v>0.17</v>
      </c>
      <c r="O1243" s="7" t="s">
        <v>277</v>
      </c>
      <c r="P1243" s="3">
        <f t="shared" ref="P1243:P1248" si="695">(C1243+(E1243*F1243*H1243))-N1243</f>
        <v>120</v>
      </c>
      <c r="Q1243" s="7" t="s">
        <v>277</v>
      </c>
      <c r="R1243" s="8">
        <f t="shared" ref="R1243:R1248" si="696">P1243*(J1243-(J1243*L1243)-((J1243-(J1243*L1243))*M1243))</f>
        <v>632460</v>
      </c>
      <c r="S1243" s="8">
        <f t="shared" si="670"/>
        <v>569783.78378378379</v>
      </c>
    </row>
    <row r="1244" spans="1:19">
      <c r="A1244" s="17" t="s">
        <v>628</v>
      </c>
      <c r="B1244" s="2" t="s">
        <v>25</v>
      </c>
      <c r="D1244" s="4" t="s">
        <v>277</v>
      </c>
      <c r="E1244" s="5">
        <v>3</v>
      </c>
      <c r="F1244" s="6">
        <v>1</v>
      </c>
      <c r="G1244" s="7" t="s">
        <v>20</v>
      </c>
      <c r="H1244" s="6">
        <v>80</v>
      </c>
      <c r="I1244" s="7" t="s">
        <v>277</v>
      </c>
      <c r="J1244" s="8">
        <f>732000/80</f>
        <v>9150</v>
      </c>
      <c r="K1244" s="4" t="s">
        <v>277</v>
      </c>
      <c r="M1244" s="9">
        <v>0.17</v>
      </c>
      <c r="O1244" s="7" t="s">
        <v>277</v>
      </c>
      <c r="P1244" s="3">
        <f t="shared" si="695"/>
        <v>240</v>
      </c>
      <c r="Q1244" s="7" t="s">
        <v>277</v>
      </c>
      <c r="R1244" s="8">
        <f t="shared" si="696"/>
        <v>1822680</v>
      </c>
      <c r="S1244" s="8">
        <f t="shared" si="670"/>
        <v>1642054.054054054</v>
      </c>
    </row>
    <row r="1245" spans="1:19">
      <c r="A1245" s="17" t="s">
        <v>806</v>
      </c>
      <c r="B1245" s="2" t="s">
        <v>25</v>
      </c>
      <c r="D1245" s="4" t="s">
        <v>277</v>
      </c>
      <c r="E1245" s="5">
        <v>12</v>
      </c>
      <c r="F1245" s="6">
        <v>1</v>
      </c>
      <c r="G1245" s="7" t="s">
        <v>20</v>
      </c>
      <c r="H1245" s="6">
        <v>60</v>
      </c>
      <c r="I1245" s="7" t="s">
        <v>277</v>
      </c>
      <c r="J1245" s="8">
        <f>732000/60</f>
        <v>12200</v>
      </c>
      <c r="K1245" s="4" t="s">
        <v>277</v>
      </c>
      <c r="M1245" s="9">
        <v>0.17</v>
      </c>
      <c r="O1245" s="7" t="s">
        <v>277</v>
      </c>
      <c r="P1245" s="3">
        <f t="shared" si="695"/>
        <v>720</v>
      </c>
      <c r="Q1245" s="7" t="s">
        <v>277</v>
      </c>
      <c r="R1245" s="8">
        <f t="shared" si="696"/>
        <v>7290720</v>
      </c>
      <c r="S1245" s="8">
        <f t="shared" si="670"/>
        <v>6568216.2162162159</v>
      </c>
    </row>
    <row r="1246" spans="1:19" s="83" customFormat="1">
      <c r="A1246" s="155" t="s">
        <v>652</v>
      </c>
      <c r="B1246" s="83" t="s">
        <v>25</v>
      </c>
      <c r="C1246" s="86"/>
      <c r="D1246" s="87" t="s">
        <v>277</v>
      </c>
      <c r="E1246" s="88">
        <v>1</v>
      </c>
      <c r="F1246" s="89">
        <v>1</v>
      </c>
      <c r="G1246" s="90" t="s">
        <v>20</v>
      </c>
      <c r="H1246" s="89">
        <v>80</v>
      </c>
      <c r="I1246" s="90" t="s">
        <v>277</v>
      </c>
      <c r="J1246" s="91">
        <v>10650</v>
      </c>
      <c r="K1246" s="87" t="s">
        <v>277</v>
      </c>
      <c r="L1246" s="92"/>
      <c r="M1246" s="92">
        <v>0.17</v>
      </c>
      <c r="N1246" s="89"/>
      <c r="O1246" s="90" t="s">
        <v>277</v>
      </c>
      <c r="P1246" s="86">
        <f t="shared" si="695"/>
        <v>80</v>
      </c>
      <c r="Q1246" s="90" t="s">
        <v>277</v>
      </c>
      <c r="R1246" s="91">
        <f t="shared" si="696"/>
        <v>707160</v>
      </c>
      <c r="S1246" s="91">
        <f t="shared" ref="S1246" si="697">R1246/1.11</f>
        <v>637081.08108108107</v>
      </c>
    </row>
    <row r="1247" spans="1:19" s="67" customFormat="1">
      <c r="A1247" s="66" t="s">
        <v>652</v>
      </c>
      <c r="B1247" s="67" t="s">
        <v>25</v>
      </c>
      <c r="C1247" s="68"/>
      <c r="D1247" s="69" t="s">
        <v>277</v>
      </c>
      <c r="E1247" s="70"/>
      <c r="F1247" s="71">
        <v>1</v>
      </c>
      <c r="G1247" s="72" t="s">
        <v>20</v>
      </c>
      <c r="H1247" s="71">
        <v>80</v>
      </c>
      <c r="I1247" s="72" t="s">
        <v>277</v>
      </c>
      <c r="J1247" s="16">
        <f>848000/80</f>
        <v>10600</v>
      </c>
      <c r="K1247" s="69" t="s">
        <v>277</v>
      </c>
      <c r="L1247" s="73"/>
      <c r="M1247" s="73">
        <v>0.17</v>
      </c>
      <c r="N1247" s="71"/>
      <c r="O1247" s="72" t="s">
        <v>277</v>
      </c>
      <c r="P1247" s="68">
        <f t="shared" si="695"/>
        <v>0</v>
      </c>
      <c r="Q1247" s="72" t="s">
        <v>277</v>
      </c>
      <c r="R1247" s="16">
        <f t="shared" si="696"/>
        <v>0</v>
      </c>
      <c r="S1247" s="16">
        <f t="shared" si="670"/>
        <v>0</v>
      </c>
    </row>
    <row r="1248" spans="1:19" s="67" customFormat="1">
      <c r="A1248" s="66" t="s">
        <v>629</v>
      </c>
      <c r="B1248" s="67" t="s">
        <v>25</v>
      </c>
      <c r="C1248" s="68"/>
      <c r="D1248" s="69" t="s">
        <v>277</v>
      </c>
      <c r="E1248" s="70"/>
      <c r="F1248" s="71">
        <v>1</v>
      </c>
      <c r="G1248" s="72" t="s">
        <v>20</v>
      </c>
      <c r="H1248" s="71">
        <v>60</v>
      </c>
      <c r="I1248" s="72" t="s">
        <v>277</v>
      </c>
      <c r="J1248" s="16">
        <f>852000/60</f>
        <v>14200</v>
      </c>
      <c r="K1248" s="69" t="s">
        <v>277</v>
      </c>
      <c r="L1248" s="73"/>
      <c r="M1248" s="73">
        <v>0.17</v>
      </c>
      <c r="N1248" s="71"/>
      <c r="O1248" s="72" t="s">
        <v>277</v>
      </c>
      <c r="P1248" s="68">
        <f t="shared" si="695"/>
        <v>0</v>
      </c>
      <c r="Q1248" s="72" t="s">
        <v>277</v>
      </c>
      <c r="R1248" s="16">
        <f t="shared" si="696"/>
        <v>0</v>
      </c>
      <c r="S1248" s="16">
        <f t="shared" si="670"/>
        <v>0</v>
      </c>
    </row>
    <row r="1249" spans="1:19" s="67" customFormat="1">
      <c r="A1249" s="66"/>
      <c r="C1249" s="68"/>
      <c r="D1249" s="69"/>
      <c r="E1249" s="70"/>
      <c r="F1249" s="71"/>
      <c r="G1249" s="72"/>
      <c r="H1249" s="71"/>
      <c r="I1249" s="72"/>
      <c r="J1249" s="16"/>
      <c r="K1249" s="69"/>
      <c r="L1249" s="73"/>
      <c r="M1249" s="73"/>
      <c r="N1249" s="71"/>
      <c r="O1249" s="72"/>
      <c r="P1249" s="68"/>
      <c r="Q1249" s="72"/>
      <c r="R1249" s="16"/>
      <c r="S1249" s="16"/>
    </row>
    <row r="1251" spans="1:19" ht="15.75">
      <c r="A1251" s="14" t="s">
        <v>630</v>
      </c>
    </row>
    <row r="1252" spans="1:19" s="19" customFormat="1">
      <c r="A1252" s="18" t="s">
        <v>632</v>
      </c>
      <c r="B1252" s="19" t="s">
        <v>18</v>
      </c>
      <c r="C1252" s="20"/>
      <c r="D1252" s="21" t="s">
        <v>19</v>
      </c>
      <c r="E1252" s="26">
        <v>5</v>
      </c>
      <c r="F1252" s="22">
        <v>1</v>
      </c>
      <c r="G1252" s="23" t="s">
        <v>20</v>
      </c>
      <c r="H1252" s="22">
        <v>24</v>
      </c>
      <c r="I1252" s="23" t="s">
        <v>19</v>
      </c>
      <c r="J1252" s="24">
        <v>22500</v>
      </c>
      <c r="K1252" s="21" t="s">
        <v>19</v>
      </c>
      <c r="L1252" s="25">
        <v>0.125</v>
      </c>
      <c r="M1252" s="25">
        <v>0.05</v>
      </c>
      <c r="N1252" s="22"/>
      <c r="O1252" s="23" t="s">
        <v>19</v>
      </c>
      <c r="P1252" s="20">
        <f t="shared" ref="P1252" si="698">(C1252+(E1252*F1252*H1252))-N1252</f>
        <v>120</v>
      </c>
      <c r="Q1252" s="23" t="s">
        <v>19</v>
      </c>
      <c r="R1252" s="24">
        <f t="shared" ref="R1252" si="699">P1252*(J1252-(J1252*L1252)-((J1252-(J1252*L1252))*M1252))</f>
        <v>2244375</v>
      </c>
      <c r="S1252" s="24">
        <f>R1252/1.11</f>
        <v>2021959.4594594592</v>
      </c>
    </row>
    <row r="1253" spans="1:19" s="19" customFormat="1">
      <c r="A1253" s="18" t="s">
        <v>633</v>
      </c>
      <c r="B1253" s="19" t="s">
        <v>18</v>
      </c>
      <c r="C1253" s="20"/>
      <c r="D1253" s="21" t="s">
        <v>19</v>
      </c>
      <c r="E1253" s="26">
        <v>4</v>
      </c>
      <c r="F1253" s="22">
        <v>1</v>
      </c>
      <c r="G1253" s="23" t="s">
        <v>20</v>
      </c>
      <c r="H1253" s="22">
        <v>24</v>
      </c>
      <c r="I1253" s="23" t="s">
        <v>19</v>
      </c>
      <c r="J1253" s="24">
        <v>24300</v>
      </c>
      <c r="K1253" s="21" t="s">
        <v>19</v>
      </c>
      <c r="L1253" s="25">
        <v>0.125</v>
      </c>
      <c r="M1253" s="25">
        <v>0.05</v>
      </c>
      <c r="N1253" s="22"/>
      <c r="O1253" s="23" t="s">
        <v>19</v>
      </c>
      <c r="P1253" s="20">
        <f t="shared" ref="P1253:P1254" si="700">(C1253+(E1253*F1253*H1253))-N1253</f>
        <v>96</v>
      </c>
      <c r="Q1253" s="23" t="s">
        <v>19</v>
      </c>
      <c r="R1253" s="24">
        <f t="shared" ref="R1253:R1254" si="701">P1253*(J1253-(J1253*L1253)-((J1253-(J1253*L1253))*M1253))</f>
        <v>1939140</v>
      </c>
      <c r="S1253" s="24">
        <f t="shared" ref="S1253:S1254" si="702">R1253/1.11</f>
        <v>1746972.9729729728</v>
      </c>
    </row>
    <row r="1254" spans="1:19" s="19" customFormat="1">
      <c r="A1254" s="18" t="s">
        <v>634</v>
      </c>
      <c r="B1254" s="19" t="s">
        <v>18</v>
      </c>
      <c r="C1254" s="20"/>
      <c r="D1254" s="21" t="s">
        <v>19</v>
      </c>
      <c r="E1254" s="26">
        <v>38</v>
      </c>
      <c r="F1254" s="22">
        <v>1</v>
      </c>
      <c r="G1254" s="23" t="s">
        <v>20</v>
      </c>
      <c r="H1254" s="22">
        <v>24</v>
      </c>
      <c r="I1254" s="23" t="s">
        <v>19</v>
      </c>
      <c r="J1254" s="24">
        <v>11100</v>
      </c>
      <c r="K1254" s="21" t="s">
        <v>19</v>
      </c>
      <c r="L1254" s="25">
        <v>0.125</v>
      </c>
      <c r="M1254" s="25">
        <v>0.05</v>
      </c>
      <c r="N1254" s="22"/>
      <c r="O1254" s="23" t="s">
        <v>19</v>
      </c>
      <c r="P1254" s="20">
        <f t="shared" si="700"/>
        <v>912</v>
      </c>
      <c r="Q1254" s="23" t="s">
        <v>19</v>
      </c>
      <c r="R1254" s="24">
        <f t="shared" si="701"/>
        <v>8414910</v>
      </c>
      <c r="S1254" s="24">
        <f t="shared" si="702"/>
        <v>7580999.9999999991</v>
      </c>
    </row>
    <row r="1255" spans="1:19" s="19" customFormat="1">
      <c r="A1255" s="18" t="s">
        <v>635</v>
      </c>
      <c r="B1255" s="19" t="s">
        <v>18</v>
      </c>
      <c r="C1255" s="20"/>
      <c r="D1255" s="21" t="s">
        <v>19</v>
      </c>
      <c r="E1255" s="26">
        <v>83</v>
      </c>
      <c r="F1255" s="22">
        <v>1</v>
      </c>
      <c r="G1255" s="23" t="s">
        <v>20</v>
      </c>
      <c r="H1255" s="22">
        <v>24</v>
      </c>
      <c r="I1255" s="23" t="s">
        <v>19</v>
      </c>
      <c r="J1255" s="24">
        <v>19000</v>
      </c>
      <c r="K1255" s="21" t="s">
        <v>19</v>
      </c>
      <c r="L1255" s="25">
        <v>0.125</v>
      </c>
      <c r="M1255" s="25">
        <v>0.05</v>
      </c>
      <c r="N1255" s="22"/>
      <c r="O1255" s="23" t="s">
        <v>19</v>
      </c>
      <c r="P1255" s="20">
        <f t="shared" ref="P1255:P1268" si="703">(C1255+(E1255*F1255*H1255))-N1255</f>
        <v>1992</v>
      </c>
      <c r="Q1255" s="23" t="s">
        <v>19</v>
      </c>
      <c r="R1255" s="24">
        <f t="shared" ref="R1255:R1268" si="704">P1255*(J1255-(J1255*L1255)-((J1255-(J1255*L1255))*M1255))</f>
        <v>31461150</v>
      </c>
      <c r="S1255" s="24">
        <f t="shared" si="670"/>
        <v>28343378.378378376</v>
      </c>
    </row>
    <row r="1256" spans="1:19" s="19" customFormat="1">
      <c r="A1256" s="18" t="s">
        <v>727</v>
      </c>
      <c r="B1256" s="19" t="s">
        <v>18</v>
      </c>
      <c r="C1256" s="20"/>
      <c r="D1256" s="21" t="s">
        <v>19</v>
      </c>
      <c r="E1256" s="26">
        <v>2</v>
      </c>
      <c r="F1256" s="22">
        <v>1</v>
      </c>
      <c r="G1256" s="23" t="s">
        <v>20</v>
      </c>
      <c r="H1256" s="22">
        <v>12</v>
      </c>
      <c r="I1256" s="23" t="s">
        <v>19</v>
      </c>
      <c r="J1256" s="24">
        <v>31000</v>
      </c>
      <c r="K1256" s="21" t="s">
        <v>19</v>
      </c>
      <c r="L1256" s="25">
        <v>0.125</v>
      </c>
      <c r="M1256" s="25">
        <v>0.05</v>
      </c>
      <c r="N1256" s="22"/>
      <c r="O1256" s="23" t="s">
        <v>19</v>
      </c>
      <c r="P1256" s="20">
        <f t="shared" si="703"/>
        <v>24</v>
      </c>
      <c r="Q1256" s="23" t="s">
        <v>19</v>
      </c>
      <c r="R1256" s="24">
        <f t="shared" si="704"/>
        <v>618450</v>
      </c>
      <c r="S1256" s="24">
        <f t="shared" si="670"/>
        <v>557162.16216216213</v>
      </c>
    </row>
    <row r="1257" spans="1:19" s="19" customFormat="1">
      <c r="A1257" s="156" t="s">
        <v>980</v>
      </c>
      <c r="B1257" s="19" t="s">
        <v>18</v>
      </c>
      <c r="C1257" s="20"/>
      <c r="D1257" s="21" t="s">
        <v>19</v>
      </c>
      <c r="E1257" s="26">
        <v>1</v>
      </c>
      <c r="F1257" s="22">
        <v>1</v>
      </c>
      <c r="G1257" s="23" t="s">
        <v>20</v>
      </c>
      <c r="H1257" s="22">
        <v>12</v>
      </c>
      <c r="I1257" s="23" t="s">
        <v>19</v>
      </c>
      <c r="J1257" s="24">
        <v>28500</v>
      </c>
      <c r="K1257" s="21" t="s">
        <v>19</v>
      </c>
      <c r="L1257" s="25">
        <v>0.125</v>
      </c>
      <c r="M1257" s="25">
        <v>0.05</v>
      </c>
      <c r="N1257" s="22"/>
      <c r="O1257" s="23" t="s">
        <v>19</v>
      </c>
      <c r="P1257" s="20">
        <f t="shared" ref="P1257" si="705">(C1257+(E1257*F1257*H1257))-N1257</f>
        <v>12</v>
      </c>
      <c r="Q1257" s="23" t="s">
        <v>19</v>
      </c>
      <c r="R1257" s="24">
        <f t="shared" ref="R1257" si="706">P1257*(J1257-(J1257*L1257)-((J1257-(J1257*L1257))*M1257))</f>
        <v>284287.5</v>
      </c>
      <c r="S1257" s="24">
        <f t="shared" ref="S1257" si="707">R1257/1.11</f>
        <v>256114.86486486485</v>
      </c>
    </row>
    <row r="1258" spans="1:19" s="93" customFormat="1">
      <c r="A1258" s="85" t="s">
        <v>928</v>
      </c>
      <c r="B1258" s="93" t="s">
        <v>18</v>
      </c>
      <c r="C1258" s="94"/>
      <c r="D1258" s="95" t="s">
        <v>19</v>
      </c>
      <c r="E1258" s="96">
        <v>1</v>
      </c>
      <c r="F1258" s="97">
        <v>1</v>
      </c>
      <c r="G1258" s="98" t="s">
        <v>20</v>
      </c>
      <c r="H1258" s="97">
        <v>24</v>
      </c>
      <c r="I1258" s="98" t="s">
        <v>19</v>
      </c>
      <c r="J1258" s="99">
        <v>20400</v>
      </c>
      <c r="K1258" s="95" t="s">
        <v>19</v>
      </c>
      <c r="L1258" s="100">
        <v>0.125</v>
      </c>
      <c r="M1258" s="100">
        <v>0.05</v>
      </c>
      <c r="N1258" s="97"/>
      <c r="O1258" s="98" t="s">
        <v>19</v>
      </c>
      <c r="P1258" s="94">
        <f t="shared" ref="P1258" si="708">(C1258+(E1258*F1258*H1258))-N1258</f>
        <v>24</v>
      </c>
      <c r="Q1258" s="98" t="s">
        <v>19</v>
      </c>
      <c r="R1258" s="99">
        <f t="shared" ref="R1258" si="709">P1258*(J1258-(J1258*L1258)-((J1258-(J1258*L1258))*M1258))</f>
        <v>406980</v>
      </c>
      <c r="S1258" s="99">
        <f t="shared" ref="S1258" si="710">R1258/1.11</f>
        <v>366648.64864864864</v>
      </c>
    </row>
    <row r="1259" spans="1:19" s="93" customFormat="1">
      <c r="A1259" s="85" t="s">
        <v>726</v>
      </c>
      <c r="B1259" s="93" t="s">
        <v>18</v>
      </c>
      <c r="C1259" s="94"/>
      <c r="D1259" s="95" t="s">
        <v>19</v>
      </c>
      <c r="E1259" s="96">
        <v>4</v>
      </c>
      <c r="F1259" s="97">
        <v>1</v>
      </c>
      <c r="G1259" s="98" t="s">
        <v>20</v>
      </c>
      <c r="H1259" s="97">
        <v>24</v>
      </c>
      <c r="I1259" s="98" t="s">
        <v>19</v>
      </c>
      <c r="J1259" s="99">
        <v>12300</v>
      </c>
      <c r="K1259" s="95" t="s">
        <v>19</v>
      </c>
      <c r="L1259" s="100">
        <v>0.125</v>
      </c>
      <c r="M1259" s="100">
        <v>0.05</v>
      </c>
      <c r="N1259" s="97"/>
      <c r="O1259" s="98" t="s">
        <v>19</v>
      </c>
      <c r="P1259" s="94">
        <f t="shared" si="703"/>
        <v>96</v>
      </c>
      <c r="Q1259" s="98" t="s">
        <v>19</v>
      </c>
      <c r="R1259" s="99">
        <f t="shared" si="704"/>
        <v>981540</v>
      </c>
      <c r="S1259" s="91">
        <f t="shared" si="670"/>
        <v>884270.27027027018</v>
      </c>
    </row>
    <row r="1260" spans="1:19" s="19" customFormat="1">
      <c r="A1260" s="18" t="s">
        <v>823</v>
      </c>
      <c r="B1260" s="19" t="s">
        <v>18</v>
      </c>
      <c r="C1260" s="20"/>
      <c r="D1260" s="21" t="s">
        <v>19</v>
      </c>
      <c r="E1260" s="26">
        <v>3</v>
      </c>
      <c r="F1260" s="22">
        <v>1</v>
      </c>
      <c r="G1260" s="23" t="s">
        <v>20</v>
      </c>
      <c r="H1260" s="22">
        <v>24</v>
      </c>
      <c r="I1260" s="23" t="s">
        <v>19</v>
      </c>
      <c r="J1260" s="24">
        <v>16500</v>
      </c>
      <c r="K1260" s="21" t="s">
        <v>19</v>
      </c>
      <c r="L1260" s="25">
        <v>0.125</v>
      </c>
      <c r="M1260" s="25">
        <v>0.05</v>
      </c>
      <c r="N1260" s="22"/>
      <c r="O1260" s="23" t="s">
        <v>19</v>
      </c>
      <c r="P1260" s="20">
        <f t="shared" si="703"/>
        <v>72</v>
      </c>
      <c r="Q1260" s="23" t="s">
        <v>19</v>
      </c>
      <c r="R1260" s="24">
        <f t="shared" si="704"/>
        <v>987525</v>
      </c>
      <c r="S1260" s="8">
        <f t="shared" si="670"/>
        <v>889662.16216216213</v>
      </c>
    </row>
    <row r="1261" spans="1:19" s="83" customFormat="1">
      <c r="A1261" s="102" t="s">
        <v>631</v>
      </c>
      <c r="B1261" s="83" t="s">
        <v>18</v>
      </c>
      <c r="C1261" s="86"/>
      <c r="D1261" s="87" t="s">
        <v>19</v>
      </c>
      <c r="E1261" s="88">
        <v>2</v>
      </c>
      <c r="F1261" s="89">
        <v>1</v>
      </c>
      <c r="G1261" s="90" t="s">
        <v>20</v>
      </c>
      <c r="H1261" s="89">
        <v>24</v>
      </c>
      <c r="I1261" s="90" t="s">
        <v>19</v>
      </c>
      <c r="J1261" s="91">
        <v>17200</v>
      </c>
      <c r="K1261" s="87" t="s">
        <v>19</v>
      </c>
      <c r="L1261" s="92">
        <v>0.125</v>
      </c>
      <c r="M1261" s="92">
        <v>0.05</v>
      </c>
      <c r="N1261" s="89"/>
      <c r="O1261" s="90" t="s">
        <v>19</v>
      </c>
      <c r="P1261" s="86">
        <f t="shared" si="703"/>
        <v>48</v>
      </c>
      <c r="Q1261" s="90" t="s">
        <v>19</v>
      </c>
      <c r="R1261" s="91">
        <f t="shared" si="704"/>
        <v>686280</v>
      </c>
      <c r="S1261" s="91">
        <f>R1261/1.11</f>
        <v>618270.27027027018</v>
      </c>
    </row>
    <row r="1262" spans="1:19" s="83" customFormat="1">
      <c r="A1262" s="102" t="s">
        <v>876</v>
      </c>
      <c r="B1262" s="83" t="s">
        <v>18</v>
      </c>
      <c r="C1262" s="86"/>
      <c r="D1262" s="87" t="s">
        <v>19</v>
      </c>
      <c r="E1262" s="88">
        <v>2</v>
      </c>
      <c r="F1262" s="89">
        <v>1</v>
      </c>
      <c r="G1262" s="90" t="s">
        <v>20</v>
      </c>
      <c r="H1262" s="89">
        <v>12</v>
      </c>
      <c r="I1262" s="90" t="s">
        <v>19</v>
      </c>
      <c r="J1262" s="91">
        <v>30500</v>
      </c>
      <c r="K1262" s="87" t="s">
        <v>19</v>
      </c>
      <c r="L1262" s="92">
        <v>0.125</v>
      </c>
      <c r="M1262" s="92">
        <v>0.05</v>
      </c>
      <c r="N1262" s="89"/>
      <c r="O1262" s="90" t="s">
        <v>19</v>
      </c>
      <c r="P1262" s="86">
        <f>(C1262+(E1262*F1262*H1262))-N1262</f>
        <v>24</v>
      </c>
      <c r="Q1262" s="90" t="s">
        <v>19</v>
      </c>
      <c r="R1262" s="91">
        <f t="shared" ref="R1262:R1263" si="711">P1262*(J1262-(J1262*L1262)-((J1262-(J1262*L1262))*M1262))</f>
        <v>608475</v>
      </c>
      <c r="S1262" s="91">
        <f>R1262/1.11</f>
        <v>548175.67567567562</v>
      </c>
    </row>
    <row r="1263" spans="1:19" s="93" customFormat="1">
      <c r="A1263" s="155" t="s">
        <v>646</v>
      </c>
      <c r="B1263" s="93" t="s">
        <v>18</v>
      </c>
      <c r="C1263" s="94"/>
      <c r="D1263" s="95" t="s">
        <v>19</v>
      </c>
      <c r="E1263" s="96">
        <v>1</v>
      </c>
      <c r="F1263" s="97">
        <v>12</v>
      </c>
      <c r="G1263" s="98" t="s">
        <v>33</v>
      </c>
      <c r="H1263" s="97">
        <v>20</v>
      </c>
      <c r="I1263" s="98" t="s">
        <v>19</v>
      </c>
      <c r="J1263" s="99">
        <v>5350</v>
      </c>
      <c r="K1263" s="95" t="s">
        <v>19</v>
      </c>
      <c r="L1263" s="100">
        <v>0.125</v>
      </c>
      <c r="M1263" s="100">
        <v>0.05</v>
      </c>
      <c r="N1263" s="97"/>
      <c r="O1263" s="98" t="s">
        <v>19</v>
      </c>
      <c r="P1263" s="94">
        <f t="shared" ref="P1263" si="712">(C1263+(E1263*F1263*H1263))-N1263</f>
        <v>240</v>
      </c>
      <c r="Q1263" s="98" t="s">
        <v>19</v>
      </c>
      <c r="R1263" s="99">
        <f t="shared" si="711"/>
        <v>1067325</v>
      </c>
      <c r="S1263" s="99">
        <f t="shared" ref="S1263" si="713">R1263/1.11</f>
        <v>961554.05405405397</v>
      </c>
    </row>
    <row r="1264" spans="1:19" s="76" customFormat="1">
      <c r="A1264" s="75" t="s">
        <v>646</v>
      </c>
      <c r="B1264" s="76" t="s">
        <v>18</v>
      </c>
      <c r="C1264" s="74"/>
      <c r="D1264" s="77" t="s">
        <v>19</v>
      </c>
      <c r="E1264" s="78"/>
      <c r="F1264" s="79">
        <v>12</v>
      </c>
      <c r="G1264" s="80" t="s">
        <v>33</v>
      </c>
      <c r="H1264" s="79">
        <v>20</v>
      </c>
      <c r="I1264" s="80" t="s">
        <v>19</v>
      </c>
      <c r="J1264" s="81">
        <v>5150</v>
      </c>
      <c r="K1264" s="77" t="s">
        <v>19</v>
      </c>
      <c r="L1264" s="82">
        <v>0.125</v>
      </c>
      <c r="M1264" s="82">
        <v>0.05</v>
      </c>
      <c r="N1264" s="79"/>
      <c r="O1264" s="80" t="s">
        <v>19</v>
      </c>
      <c r="P1264" s="74">
        <f t="shared" si="703"/>
        <v>0</v>
      </c>
      <c r="Q1264" s="80" t="s">
        <v>19</v>
      </c>
      <c r="R1264" s="81">
        <f t="shared" si="704"/>
        <v>0</v>
      </c>
      <c r="S1264" s="81">
        <f t="shared" ref="S1264" si="714">R1264/1.11</f>
        <v>0</v>
      </c>
    </row>
    <row r="1265" spans="1:19" s="93" customFormat="1">
      <c r="A1265" s="155" t="s">
        <v>1058</v>
      </c>
      <c r="B1265" s="93" t="s">
        <v>18</v>
      </c>
      <c r="C1265" s="94"/>
      <c r="D1265" s="95" t="s">
        <v>19</v>
      </c>
      <c r="E1265" s="96"/>
      <c r="F1265" s="97">
        <v>12</v>
      </c>
      <c r="G1265" s="98" t="s">
        <v>33</v>
      </c>
      <c r="H1265" s="97">
        <v>20</v>
      </c>
      <c r="I1265" s="98" t="s">
        <v>19</v>
      </c>
      <c r="J1265" s="99">
        <v>18400</v>
      </c>
      <c r="K1265" s="95" t="s">
        <v>19</v>
      </c>
      <c r="L1265" s="100">
        <v>0.125</v>
      </c>
      <c r="M1265" s="100">
        <v>0.05</v>
      </c>
      <c r="N1265" s="97"/>
      <c r="O1265" s="98" t="s">
        <v>19</v>
      </c>
      <c r="P1265" s="94">
        <f t="shared" ref="P1265" si="715">(C1265+(E1265*F1265*H1265))-N1265</f>
        <v>0</v>
      </c>
      <c r="Q1265" s="98" t="s">
        <v>19</v>
      </c>
      <c r="R1265" s="99">
        <f t="shared" ref="R1265" si="716">P1265*(J1265-(J1265*L1265)-((J1265-(J1265*L1265))*M1265))</f>
        <v>0</v>
      </c>
      <c r="S1265" s="99">
        <f t="shared" ref="S1265" si="717">R1265/1.11</f>
        <v>0</v>
      </c>
    </row>
    <row r="1266" spans="1:19" s="19" customFormat="1">
      <c r="A1266" s="18" t="s">
        <v>636</v>
      </c>
      <c r="B1266" s="19" t="s">
        <v>18</v>
      </c>
      <c r="C1266" s="20">
        <v>73</v>
      </c>
      <c r="D1266" s="21" t="s">
        <v>19</v>
      </c>
      <c r="E1266" s="26">
        <v>4</v>
      </c>
      <c r="F1266" s="22">
        <v>1</v>
      </c>
      <c r="G1266" s="23" t="s">
        <v>20</v>
      </c>
      <c r="H1266" s="22">
        <v>96</v>
      </c>
      <c r="I1266" s="23" t="s">
        <v>19</v>
      </c>
      <c r="J1266" s="24">
        <v>14200</v>
      </c>
      <c r="K1266" s="21" t="s">
        <v>19</v>
      </c>
      <c r="L1266" s="25">
        <v>0.125</v>
      </c>
      <c r="M1266" s="25">
        <v>0.05</v>
      </c>
      <c r="N1266" s="22"/>
      <c r="O1266" s="23" t="s">
        <v>19</v>
      </c>
      <c r="P1266" s="20">
        <f t="shared" si="703"/>
        <v>457</v>
      </c>
      <c r="Q1266" s="23" t="s">
        <v>19</v>
      </c>
      <c r="R1266" s="24">
        <f t="shared" si="704"/>
        <v>5394313.75</v>
      </c>
      <c r="S1266" s="24">
        <f t="shared" si="670"/>
        <v>4859742.1171171162</v>
      </c>
    </row>
    <row r="1267" spans="1:19" s="67" customFormat="1">
      <c r="A1267" s="66" t="s">
        <v>637</v>
      </c>
      <c r="B1267" s="67" t="s">
        <v>18</v>
      </c>
      <c r="C1267" s="68"/>
      <c r="D1267" s="69" t="s">
        <v>19</v>
      </c>
      <c r="E1267" s="70">
        <v>4</v>
      </c>
      <c r="F1267" s="71">
        <v>1</v>
      </c>
      <c r="G1267" s="72" t="s">
        <v>20</v>
      </c>
      <c r="H1267" s="71">
        <v>24</v>
      </c>
      <c r="I1267" s="72" t="s">
        <v>19</v>
      </c>
      <c r="J1267" s="16">
        <v>41000</v>
      </c>
      <c r="K1267" s="69" t="s">
        <v>19</v>
      </c>
      <c r="L1267" s="73">
        <v>0.125</v>
      </c>
      <c r="M1267" s="73">
        <v>0.05</v>
      </c>
      <c r="N1267" s="71"/>
      <c r="O1267" s="72" t="s">
        <v>19</v>
      </c>
      <c r="P1267" s="68">
        <f t="shared" si="703"/>
        <v>96</v>
      </c>
      <c r="Q1267" s="72" t="s">
        <v>19</v>
      </c>
      <c r="R1267" s="16">
        <f t="shared" si="704"/>
        <v>3271800</v>
      </c>
      <c r="S1267" s="16">
        <f t="shared" si="670"/>
        <v>2947567.5675675673</v>
      </c>
    </row>
    <row r="1268" spans="1:19">
      <c r="A1268" s="17" t="s">
        <v>638</v>
      </c>
      <c r="B1268" s="2" t="s">
        <v>18</v>
      </c>
      <c r="C1268" s="3">
        <v>146</v>
      </c>
      <c r="D1268" s="4" t="s">
        <v>19</v>
      </c>
      <c r="F1268" s="6">
        <v>1</v>
      </c>
      <c r="G1268" s="7" t="s">
        <v>20</v>
      </c>
      <c r="H1268" s="6">
        <v>100</v>
      </c>
      <c r="I1268" s="7" t="s">
        <v>19</v>
      </c>
      <c r="J1268" s="8">
        <v>15500</v>
      </c>
      <c r="K1268" s="4" t="s">
        <v>19</v>
      </c>
      <c r="L1268" s="9">
        <v>0.125</v>
      </c>
      <c r="M1268" s="9">
        <v>0.05</v>
      </c>
      <c r="O1268" s="7" t="s">
        <v>19</v>
      </c>
      <c r="P1268" s="3">
        <f t="shared" si="703"/>
        <v>146</v>
      </c>
      <c r="Q1268" s="7" t="s">
        <v>19</v>
      </c>
      <c r="R1268" s="8">
        <f t="shared" si="704"/>
        <v>1881118.75</v>
      </c>
      <c r="S1268" s="8">
        <f t="shared" si="670"/>
        <v>1694701.5765765763</v>
      </c>
    </row>
    <row r="1269" spans="1:19">
      <c r="A1269" s="156" t="s">
        <v>638</v>
      </c>
      <c r="B1269" s="2" t="s">
        <v>18</v>
      </c>
      <c r="D1269" s="4" t="s">
        <v>19</v>
      </c>
      <c r="E1269" s="5">
        <v>1</v>
      </c>
      <c r="F1269" s="6">
        <v>1</v>
      </c>
      <c r="G1269" s="7" t="s">
        <v>20</v>
      </c>
      <c r="H1269" s="6">
        <v>100</v>
      </c>
      <c r="I1269" s="7" t="s">
        <v>19</v>
      </c>
      <c r="J1269" s="8">
        <v>16400</v>
      </c>
      <c r="K1269" s="4" t="s">
        <v>19</v>
      </c>
      <c r="L1269" s="9">
        <v>0.125</v>
      </c>
      <c r="M1269" s="9">
        <v>0.05</v>
      </c>
      <c r="O1269" s="7" t="s">
        <v>19</v>
      </c>
      <c r="P1269" s="3">
        <f t="shared" ref="P1269" si="718">(C1269+(E1269*F1269*H1269))-N1269</f>
        <v>100</v>
      </c>
      <c r="Q1269" s="7" t="s">
        <v>19</v>
      </c>
      <c r="R1269" s="8">
        <f t="shared" ref="R1269" si="719">P1269*(J1269-(J1269*L1269)-((J1269-(J1269*L1269))*M1269))</f>
        <v>1363250</v>
      </c>
      <c r="S1269" s="8">
        <f t="shared" ref="S1269" si="720">R1269/1.11</f>
        <v>1228153.1531531531</v>
      </c>
    </row>
    <row r="1270" spans="1:19">
      <c r="A1270" s="156" t="s">
        <v>638</v>
      </c>
      <c r="B1270" s="2" t="s">
        <v>18</v>
      </c>
      <c r="D1270" s="4" t="s">
        <v>19</v>
      </c>
      <c r="F1270" s="6">
        <v>1</v>
      </c>
      <c r="G1270" s="7" t="s">
        <v>20</v>
      </c>
      <c r="H1270" s="6">
        <v>100</v>
      </c>
      <c r="I1270" s="7" t="s">
        <v>19</v>
      </c>
      <c r="J1270" s="8">
        <v>17000</v>
      </c>
      <c r="K1270" s="4" t="s">
        <v>19</v>
      </c>
      <c r="L1270" s="9">
        <v>0.125</v>
      </c>
      <c r="M1270" s="9">
        <v>0.05</v>
      </c>
      <c r="O1270" s="7" t="s">
        <v>19</v>
      </c>
      <c r="P1270" s="3">
        <f t="shared" ref="P1270" si="721">(C1270+(E1270*F1270*H1270))-N1270</f>
        <v>0</v>
      </c>
      <c r="Q1270" s="7" t="s">
        <v>19</v>
      </c>
      <c r="R1270" s="8">
        <f t="shared" ref="R1270" si="722">P1270*(J1270-(J1270*L1270)-((J1270-(J1270*L1270))*M1270))</f>
        <v>0</v>
      </c>
      <c r="S1270" s="8">
        <f t="shared" ref="S1270" si="723">R1270/1.11</f>
        <v>0</v>
      </c>
    </row>
    <row r="1272" spans="1:19" s="93" customFormat="1">
      <c r="A1272" s="125" t="s">
        <v>675</v>
      </c>
      <c r="B1272" s="93" t="s">
        <v>25</v>
      </c>
      <c r="C1272" s="94"/>
      <c r="D1272" s="95" t="s">
        <v>19</v>
      </c>
      <c r="E1272" s="96">
        <v>5</v>
      </c>
      <c r="F1272" s="97">
        <v>1</v>
      </c>
      <c r="G1272" s="98" t="s">
        <v>20</v>
      </c>
      <c r="H1272" s="97">
        <v>24</v>
      </c>
      <c r="I1272" s="98" t="s">
        <v>19</v>
      </c>
      <c r="J1272" s="99">
        <f>372000/24</f>
        <v>15500</v>
      </c>
      <c r="K1272" s="95" t="s">
        <v>19</v>
      </c>
      <c r="L1272" s="100"/>
      <c r="M1272" s="100">
        <v>0.17</v>
      </c>
      <c r="N1272" s="97"/>
      <c r="O1272" s="98" t="s">
        <v>19</v>
      </c>
      <c r="P1272" s="94">
        <f t="shared" ref="P1272:P1280" si="724">(C1272+(E1272*F1272*H1272))-N1272</f>
        <v>120</v>
      </c>
      <c r="Q1272" s="98" t="s">
        <v>19</v>
      </c>
      <c r="R1272" s="99">
        <f t="shared" ref="R1272:R1280" si="725">P1272*(J1272-(J1272*L1272)-((J1272-(J1272*L1272))*M1272))</f>
        <v>1543800</v>
      </c>
      <c r="S1272" s="99">
        <f t="shared" si="670"/>
        <v>1390810.8108108107</v>
      </c>
    </row>
    <row r="1273" spans="1:19" s="83" customFormat="1">
      <c r="A1273" s="125" t="s">
        <v>639</v>
      </c>
      <c r="B1273" s="83" t="s">
        <v>25</v>
      </c>
      <c r="C1273" s="86"/>
      <c r="D1273" s="87" t="s">
        <v>19</v>
      </c>
      <c r="E1273" s="88">
        <v>4</v>
      </c>
      <c r="F1273" s="89">
        <v>1</v>
      </c>
      <c r="G1273" s="90" t="s">
        <v>20</v>
      </c>
      <c r="H1273" s="89">
        <v>24</v>
      </c>
      <c r="I1273" s="90" t="s">
        <v>19</v>
      </c>
      <c r="J1273" s="91">
        <f>444000/24</f>
        <v>18500</v>
      </c>
      <c r="K1273" s="87" t="s">
        <v>19</v>
      </c>
      <c r="L1273" s="92"/>
      <c r="M1273" s="92">
        <v>0.17</v>
      </c>
      <c r="N1273" s="89"/>
      <c r="O1273" s="90" t="s">
        <v>19</v>
      </c>
      <c r="P1273" s="86">
        <f t="shared" si="724"/>
        <v>96</v>
      </c>
      <c r="Q1273" s="90" t="s">
        <v>19</v>
      </c>
      <c r="R1273" s="91">
        <f t="shared" si="725"/>
        <v>1474080</v>
      </c>
      <c r="S1273" s="91">
        <f t="shared" si="670"/>
        <v>1327999.9999999998</v>
      </c>
    </row>
    <row r="1274" spans="1:19" s="19" customFormat="1">
      <c r="A1274" s="45" t="s">
        <v>640</v>
      </c>
      <c r="B1274" s="19" t="s">
        <v>25</v>
      </c>
      <c r="C1274" s="20">
        <v>19</v>
      </c>
      <c r="D1274" s="21" t="s">
        <v>19</v>
      </c>
      <c r="E1274" s="26">
        <v>111</v>
      </c>
      <c r="F1274" s="22">
        <v>1</v>
      </c>
      <c r="G1274" s="23" t="s">
        <v>20</v>
      </c>
      <c r="H1274" s="22">
        <v>24</v>
      </c>
      <c r="I1274" s="23" t="s">
        <v>19</v>
      </c>
      <c r="J1274" s="24">
        <f>462000/24</f>
        <v>19250</v>
      </c>
      <c r="K1274" s="21" t="s">
        <v>19</v>
      </c>
      <c r="L1274" s="25"/>
      <c r="M1274" s="25">
        <v>0.17</v>
      </c>
      <c r="N1274" s="22"/>
      <c r="O1274" s="23" t="s">
        <v>19</v>
      </c>
      <c r="P1274" s="20">
        <f t="shared" si="724"/>
        <v>2683</v>
      </c>
      <c r="Q1274" s="23" t="s">
        <v>19</v>
      </c>
      <c r="R1274" s="24">
        <f t="shared" si="725"/>
        <v>42867632.5</v>
      </c>
      <c r="S1274" s="8">
        <f t="shared" si="670"/>
        <v>38619488.738738738</v>
      </c>
    </row>
    <row r="1275" spans="1:19" s="19" customFormat="1">
      <c r="A1275" s="45" t="s">
        <v>707</v>
      </c>
      <c r="B1275" s="19" t="s">
        <v>25</v>
      </c>
      <c r="C1275" s="20">
        <v>30</v>
      </c>
      <c r="D1275" s="21" t="s">
        <v>19</v>
      </c>
      <c r="E1275" s="26">
        <v>3</v>
      </c>
      <c r="F1275" s="22">
        <v>1</v>
      </c>
      <c r="G1275" s="23" t="s">
        <v>20</v>
      </c>
      <c r="H1275" s="22">
        <v>24</v>
      </c>
      <c r="I1275" s="23" t="s">
        <v>19</v>
      </c>
      <c r="J1275" s="24">
        <f>462000/24</f>
        <v>19250</v>
      </c>
      <c r="K1275" s="21" t="s">
        <v>19</v>
      </c>
      <c r="L1275" s="25"/>
      <c r="M1275" s="25">
        <v>0.17</v>
      </c>
      <c r="N1275" s="22"/>
      <c r="O1275" s="23" t="s">
        <v>19</v>
      </c>
      <c r="P1275" s="20">
        <f t="shared" si="724"/>
        <v>102</v>
      </c>
      <c r="Q1275" s="23" t="s">
        <v>19</v>
      </c>
      <c r="R1275" s="24">
        <f t="shared" si="725"/>
        <v>1629705</v>
      </c>
      <c r="S1275" s="8">
        <f t="shared" si="670"/>
        <v>1468202.7027027025</v>
      </c>
    </row>
    <row r="1276" spans="1:19" s="67" customFormat="1">
      <c r="A1276" s="110" t="s">
        <v>641</v>
      </c>
      <c r="B1276" s="67" t="s">
        <v>25</v>
      </c>
      <c r="C1276" s="68"/>
      <c r="D1276" s="69" t="s">
        <v>19</v>
      </c>
      <c r="E1276" s="70"/>
      <c r="F1276" s="71">
        <v>1</v>
      </c>
      <c r="G1276" s="72" t="s">
        <v>20</v>
      </c>
      <c r="H1276" s="71">
        <v>24</v>
      </c>
      <c r="I1276" s="72" t="s">
        <v>19</v>
      </c>
      <c r="J1276" s="16">
        <v>17250</v>
      </c>
      <c r="K1276" s="69" t="s">
        <v>19</v>
      </c>
      <c r="L1276" s="73"/>
      <c r="M1276" s="73">
        <v>0.17</v>
      </c>
      <c r="N1276" s="71"/>
      <c r="O1276" s="72" t="s">
        <v>19</v>
      </c>
      <c r="P1276" s="68">
        <f t="shared" si="724"/>
        <v>0</v>
      </c>
      <c r="Q1276" s="72" t="s">
        <v>19</v>
      </c>
      <c r="R1276" s="16">
        <f t="shared" si="725"/>
        <v>0</v>
      </c>
      <c r="S1276" s="16">
        <f t="shared" si="670"/>
        <v>0</v>
      </c>
    </row>
    <row r="1277" spans="1:19" s="67" customFormat="1">
      <c r="A1277" s="110" t="s">
        <v>710</v>
      </c>
      <c r="B1277" s="67" t="s">
        <v>25</v>
      </c>
      <c r="C1277" s="68"/>
      <c r="D1277" s="69" t="s">
        <v>19</v>
      </c>
      <c r="E1277" s="70">
        <v>2</v>
      </c>
      <c r="F1277" s="71">
        <v>1</v>
      </c>
      <c r="G1277" s="72" t="s">
        <v>20</v>
      </c>
      <c r="H1277" s="71">
        <v>24</v>
      </c>
      <c r="I1277" s="72" t="s">
        <v>19</v>
      </c>
      <c r="J1277" s="16">
        <f>420000/24</f>
        <v>17500</v>
      </c>
      <c r="K1277" s="69" t="s">
        <v>19</v>
      </c>
      <c r="L1277" s="73"/>
      <c r="M1277" s="73">
        <v>0.17</v>
      </c>
      <c r="N1277" s="71"/>
      <c r="O1277" s="72" t="s">
        <v>19</v>
      </c>
      <c r="P1277" s="68">
        <f t="shared" si="724"/>
        <v>48</v>
      </c>
      <c r="Q1277" s="72" t="s">
        <v>19</v>
      </c>
      <c r="R1277" s="16">
        <f t="shared" si="725"/>
        <v>697200</v>
      </c>
      <c r="S1277" s="16">
        <f t="shared" si="670"/>
        <v>628108.10810810805</v>
      </c>
    </row>
    <row r="1278" spans="1:19">
      <c r="A1278" s="45" t="s">
        <v>642</v>
      </c>
      <c r="B1278" s="2" t="s">
        <v>25</v>
      </c>
      <c r="C1278" s="3">
        <v>12</v>
      </c>
      <c r="D1278" s="4" t="s">
        <v>19</v>
      </c>
      <c r="E1278" s="5">
        <v>2</v>
      </c>
      <c r="F1278" s="6">
        <v>1</v>
      </c>
      <c r="G1278" s="7" t="s">
        <v>20</v>
      </c>
      <c r="H1278" s="6">
        <v>12</v>
      </c>
      <c r="I1278" s="7" t="s">
        <v>19</v>
      </c>
      <c r="J1278" s="8">
        <f>342000/12</f>
        <v>28500</v>
      </c>
      <c r="K1278" s="4" t="s">
        <v>19</v>
      </c>
      <c r="M1278" s="9">
        <v>0.17</v>
      </c>
      <c r="O1278" s="7" t="s">
        <v>19</v>
      </c>
      <c r="P1278" s="3">
        <f t="shared" si="724"/>
        <v>36</v>
      </c>
      <c r="Q1278" s="7" t="s">
        <v>19</v>
      </c>
      <c r="R1278" s="8">
        <f t="shared" si="725"/>
        <v>851580</v>
      </c>
      <c r="S1278" s="8">
        <f t="shared" si="670"/>
        <v>767189.18918918911</v>
      </c>
    </row>
    <row r="1279" spans="1:19" s="83" customFormat="1">
      <c r="A1279" s="125" t="s">
        <v>643</v>
      </c>
      <c r="B1279" s="83" t="s">
        <v>25</v>
      </c>
      <c r="C1279" s="94"/>
      <c r="D1279" s="87" t="s">
        <v>19</v>
      </c>
      <c r="E1279" s="88">
        <v>2</v>
      </c>
      <c r="F1279" s="89">
        <v>1</v>
      </c>
      <c r="G1279" s="90" t="s">
        <v>20</v>
      </c>
      <c r="H1279" s="89">
        <v>12</v>
      </c>
      <c r="I1279" s="90" t="s">
        <v>19</v>
      </c>
      <c r="J1279" s="91">
        <f>348000/12</f>
        <v>29000</v>
      </c>
      <c r="K1279" s="87" t="s">
        <v>19</v>
      </c>
      <c r="L1279" s="92"/>
      <c r="M1279" s="92">
        <v>0.17</v>
      </c>
      <c r="N1279" s="89"/>
      <c r="O1279" s="90" t="s">
        <v>19</v>
      </c>
      <c r="P1279" s="86">
        <f t="shared" si="724"/>
        <v>24</v>
      </c>
      <c r="Q1279" s="90" t="s">
        <v>19</v>
      </c>
      <c r="R1279" s="91">
        <f t="shared" si="725"/>
        <v>577680</v>
      </c>
      <c r="S1279" s="91">
        <f t="shared" si="670"/>
        <v>520432.43243243237</v>
      </c>
    </row>
    <row r="1280" spans="1:19" s="67" customFormat="1">
      <c r="A1280" s="110" t="s">
        <v>655</v>
      </c>
      <c r="B1280" s="67" t="s">
        <v>25</v>
      </c>
      <c r="C1280" s="74"/>
      <c r="D1280" s="69" t="s">
        <v>19</v>
      </c>
      <c r="E1280" s="70">
        <v>1</v>
      </c>
      <c r="F1280" s="71">
        <v>8</v>
      </c>
      <c r="G1280" s="72" t="s">
        <v>40</v>
      </c>
      <c r="H1280" s="71">
        <v>12</v>
      </c>
      <c r="I1280" s="72" t="s">
        <v>19</v>
      </c>
      <c r="J1280" s="16">
        <f>2112000/8/12</f>
        <v>22000</v>
      </c>
      <c r="K1280" s="69" t="s">
        <v>19</v>
      </c>
      <c r="L1280" s="73"/>
      <c r="M1280" s="73">
        <v>0.17</v>
      </c>
      <c r="N1280" s="71"/>
      <c r="O1280" s="72" t="s">
        <v>19</v>
      </c>
      <c r="P1280" s="68">
        <f t="shared" si="724"/>
        <v>96</v>
      </c>
      <c r="Q1280" s="72" t="s">
        <v>19</v>
      </c>
      <c r="R1280" s="16">
        <f t="shared" si="725"/>
        <v>1752960</v>
      </c>
      <c r="S1280" s="16">
        <f t="shared" si="670"/>
        <v>1579243.2432432431</v>
      </c>
    </row>
    <row r="1281" spans="1:19">
      <c r="A1281" s="45"/>
      <c r="C1281" s="20"/>
    </row>
    <row r="1282" spans="1:19" s="19" customFormat="1">
      <c r="A1282" s="45" t="s">
        <v>644</v>
      </c>
      <c r="B1282" s="19" t="s">
        <v>181</v>
      </c>
      <c r="C1282" s="20"/>
      <c r="D1282" s="21" t="s">
        <v>40</v>
      </c>
      <c r="E1282" s="26">
        <v>10</v>
      </c>
      <c r="F1282" s="22">
        <v>48</v>
      </c>
      <c r="G1282" s="23" t="s">
        <v>33</v>
      </c>
      <c r="H1282" s="22">
        <v>1</v>
      </c>
      <c r="I1282" s="23" t="s">
        <v>40</v>
      </c>
      <c r="J1282" s="24">
        <v>92000</v>
      </c>
      <c r="K1282" s="21" t="s">
        <v>40</v>
      </c>
      <c r="L1282" s="65">
        <v>0.27927000000000002</v>
      </c>
      <c r="M1282" s="25"/>
      <c r="N1282" s="22"/>
      <c r="O1282" s="23" t="s">
        <v>40</v>
      </c>
      <c r="P1282" s="20">
        <f>(C1282+(E1282*F1282*H1282))-N1282</f>
        <v>480</v>
      </c>
      <c r="Q1282" s="23" t="s">
        <v>40</v>
      </c>
      <c r="R1282" s="24">
        <f>P1282*(J1282-(J1282*L1282)-((J1282-(J1282*L1282))*M1282))</f>
        <v>31827436.800000001</v>
      </c>
      <c r="S1282" s="24">
        <f t="shared" ref="S1282" si="726">R1282/1.11</f>
        <v>28673366.486486483</v>
      </c>
    </row>
    <row r="1283" spans="1:19" s="19" customFormat="1">
      <c r="A1283" s="45"/>
      <c r="C1283" s="20"/>
      <c r="D1283" s="21"/>
      <c r="E1283" s="26"/>
      <c r="F1283" s="22"/>
      <c r="G1283" s="23"/>
      <c r="H1283" s="22"/>
      <c r="I1283" s="23"/>
      <c r="J1283" s="24"/>
      <c r="K1283" s="21"/>
      <c r="L1283" s="25"/>
      <c r="M1283" s="25"/>
      <c r="N1283" s="22"/>
      <c r="O1283" s="23"/>
      <c r="P1283" s="20"/>
      <c r="Q1283" s="23"/>
      <c r="R1283" s="24"/>
      <c r="S1283" s="8"/>
    </row>
    <row r="1284" spans="1:19" s="67" customFormat="1">
      <c r="A1284" s="110" t="s">
        <v>645</v>
      </c>
      <c r="B1284" s="67" t="s">
        <v>596</v>
      </c>
      <c r="C1284" s="74"/>
      <c r="D1284" s="69" t="s">
        <v>19</v>
      </c>
      <c r="E1284" s="70"/>
      <c r="F1284" s="71">
        <v>1</v>
      </c>
      <c r="G1284" s="72" t="s">
        <v>20</v>
      </c>
      <c r="H1284" s="71">
        <v>24</v>
      </c>
      <c r="I1284" s="72" t="s">
        <v>19</v>
      </c>
      <c r="J1284" s="16">
        <v>18200</v>
      </c>
      <c r="K1284" s="69" t="s">
        <v>19</v>
      </c>
      <c r="L1284" s="73">
        <v>0.15</v>
      </c>
      <c r="M1284" s="73">
        <v>0.03</v>
      </c>
      <c r="N1284" s="71"/>
      <c r="O1284" s="72" t="s">
        <v>19</v>
      </c>
      <c r="P1284" s="68">
        <f>(C1284+(E1284*F1284*H1284))-N1284</f>
        <v>0</v>
      </c>
      <c r="Q1284" s="72" t="s">
        <v>19</v>
      </c>
      <c r="R1284" s="16">
        <f>P1284*(J1284-(J1284*L1284)-((J1284-(J1284*L1284))*M1284))</f>
        <v>0</v>
      </c>
      <c r="S1284" s="16">
        <f t="shared" ref="S1284" si="727">R1284/1.11</f>
        <v>0</v>
      </c>
    </row>
    <row r="1285" spans="1:19">
      <c r="C1285" s="20"/>
    </row>
    <row r="1286" spans="1:19" ht="15.75">
      <c r="A1286" s="14" t="s">
        <v>649</v>
      </c>
      <c r="C1286" s="20"/>
    </row>
    <row r="1287" spans="1:19" s="76" customFormat="1">
      <c r="A1287" s="75" t="s">
        <v>650</v>
      </c>
      <c r="B1287" s="76" t="s">
        <v>18</v>
      </c>
      <c r="C1287" s="74"/>
      <c r="D1287" s="77" t="s">
        <v>19</v>
      </c>
      <c r="E1287" s="78"/>
      <c r="F1287" s="79">
        <v>1</v>
      </c>
      <c r="G1287" s="80" t="s">
        <v>20</v>
      </c>
      <c r="H1287" s="79">
        <v>100</v>
      </c>
      <c r="I1287" s="80" t="s">
        <v>19</v>
      </c>
      <c r="J1287" s="81">
        <v>8400</v>
      </c>
      <c r="K1287" s="77" t="s">
        <v>19</v>
      </c>
      <c r="L1287" s="82">
        <v>0.125</v>
      </c>
      <c r="M1287" s="82">
        <v>0.05</v>
      </c>
      <c r="N1287" s="79"/>
      <c r="O1287" s="80" t="s">
        <v>19</v>
      </c>
      <c r="P1287" s="74">
        <f>(C1287+(E1287*F1287*H1287))-N1287</f>
        <v>0</v>
      </c>
      <c r="Q1287" s="80" t="s">
        <v>19</v>
      </c>
      <c r="R1287" s="81">
        <f>P1287*(J1287-(J1287*L1287)-((J1287-(J1287*L1287))*M1287))</f>
        <v>0</v>
      </c>
      <c r="S1287" s="81">
        <f t="shared" ref="S1287" si="728">R1287/1.11</f>
        <v>0</v>
      </c>
    </row>
    <row r="1288" spans="1:19">
      <c r="C1288" s="20"/>
    </row>
    <row r="1289" spans="1:19" ht="15.75">
      <c r="A1289" s="14" t="s">
        <v>1059</v>
      </c>
      <c r="C1289" s="20"/>
    </row>
    <row r="1290" spans="1:19" s="93" customFormat="1">
      <c r="A1290" s="85" t="s">
        <v>1060</v>
      </c>
      <c r="B1290" s="93" t="s">
        <v>171</v>
      </c>
      <c r="C1290" s="94"/>
      <c r="D1290" s="95" t="s">
        <v>19</v>
      </c>
      <c r="E1290" s="96"/>
      <c r="F1290" s="97">
        <v>1</v>
      </c>
      <c r="G1290" s="98" t="s">
        <v>20</v>
      </c>
      <c r="H1290" s="97">
        <v>1200</v>
      </c>
      <c r="I1290" s="98" t="s">
        <v>19</v>
      </c>
      <c r="J1290" s="99">
        <v>10000</v>
      </c>
      <c r="K1290" s="95" t="s">
        <v>19</v>
      </c>
      <c r="L1290" s="100">
        <v>7.0000000000000007E-2</v>
      </c>
      <c r="M1290" s="100"/>
      <c r="N1290" s="97"/>
      <c r="O1290" s="98" t="s">
        <v>19</v>
      </c>
      <c r="P1290" s="94">
        <f>(C1290+(E1290*F1290*H1290))-N1290</f>
        <v>0</v>
      </c>
      <c r="Q1290" s="98" t="s">
        <v>19</v>
      </c>
      <c r="R1290" s="99">
        <f>P1290*(J1290-(J1290*L1290)-((J1290-(J1290*L1290))*M1290))</f>
        <v>0</v>
      </c>
      <c r="S1290" s="99">
        <f t="shared" ref="S1290" si="729">R1290/1.11</f>
        <v>0</v>
      </c>
    </row>
    <row r="1291" spans="1:19" s="93" customFormat="1">
      <c r="A1291" s="85"/>
      <c r="C1291" s="94"/>
      <c r="D1291" s="95"/>
      <c r="E1291" s="96"/>
      <c r="F1291" s="97"/>
      <c r="G1291" s="98"/>
      <c r="H1291" s="97"/>
      <c r="I1291" s="98"/>
      <c r="J1291" s="99"/>
      <c r="K1291" s="95"/>
      <c r="L1291" s="100"/>
      <c r="M1291" s="100"/>
      <c r="N1291" s="97"/>
      <c r="O1291" s="98"/>
      <c r="P1291" s="94"/>
      <c r="Q1291" s="98"/>
      <c r="R1291" s="99"/>
      <c r="S1291" s="99"/>
    </row>
    <row r="1292" spans="1:19" s="93" customFormat="1">
      <c r="A1292" s="85"/>
      <c r="C1292" s="94"/>
      <c r="D1292" s="95"/>
      <c r="E1292" s="96"/>
      <c r="F1292" s="97"/>
      <c r="G1292" s="98"/>
      <c r="H1292" s="97"/>
      <c r="I1292" s="98"/>
      <c r="J1292" s="99"/>
      <c r="K1292" s="95"/>
      <c r="L1292" s="100"/>
      <c r="M1292" s="100"/>
      <c r="N1292" s="97"/>
      <c r="O1292" s="98"/>
      <c r="P1292" s="94"/>
      <c r="Q1292" s="98"/>
      <c r="R1292" s="99"/>
      <c r="S1292" s="99"/>
    </row>
    <row r="1293" spans="1:19" s="76" customFormat="1">
      <c r="A1293" s="75"/>
      <c r="C1293" s="74"/>
      <c r="D1293" s="77"/>
      <c r="E1293" s="78"/>
      <c r="F1293" s="79"/>
      <c r="G1293" s="80"/>
      <c r="H1293" s="79"/>
      <c r="I1293" s="80"/>
      <c r="J1293" s="81"/>
      <c r="K1293" s="77"/>
      <c r="L1293" s="82"/>
      <c r="M1293" s="82"/>
      <c r="N1293" s="79"/>
      <c r="O1293" s="80"/>
      <c r="P1293" s="74"/>
      <c r="Q1293" s="80"/>
      <c r="R1293" s="81"/>
      <c r="S1293" s="81"/>
    </row>
    <row r="1294" spans="1:19" ht="15.75">
      <c r="A1294" s="14" t="s">
        <v>799</v>
      </c>
      <c r="C1294" s="20"/>
    </row>
    <row r="1295" spans="1:19" s="19" customFormat="1">
      <c r="A1295" s="18" t="s">
        <v>868</v>
      </c>
      <c r="B1295" s="19" t="s">
        <v>45</v>
      </c>
      <c r="C1295" s="20">
        <v>14</v>
      </c>
      <c r="D1295" s="21" t="s">
        <v>19</v>
      </c>
      <c r="E1295" s="26"/>
      <c r="F1295" s="22">
        <v>4</v>
      </c>
      <c r="G1295" s="23" t="s">
        <v>33</v>
      </c>
      <c r="H1295" s="22">
        <v>12</v>
      </c>
      <c r="I1295" s="23" t="s">
        <v>19</v>
      </c>
      <c r="J1295" s="24"/>
      <c r="K1295" s="21" t="s">
        <v>19</v>
      </c>
      <c r="L1295" s="25">
        <v>0.1</v>
      </c>
      <c r="M1295" s="25">
        <v>0.05</v>
      </c>
      <c r="N1295" s="22"/>
      <c r="O1295" s="23" t="s">
        <v>19</v>
      </c>
      <c r="P1295" s="20">
        <f>(C1295+(E1295*F1295*H1295))-N1295</f>
        <v>14</v>
      </c>
      <c r="Q1295" s="23" t="s">
        <v>19</v>
      </c>
      <c r="R1295" s="24">
        <f>P1295*(J1295-(J1295*L1295)-((J1295-(J1295*L1295))*M1295))</f>
        <v>0</v>
      </c>
      <c r="S1295" s="24">
        <f t="shared" ref="S1295" si="730">R1295/1.11</f>
        <v>0</v>
      </c>
    </row>
    <row r="1296" spans="1:19">
      <c r="A1296" s="2"/>
      <c r="R1296" s="16"/>
      <c r="S1296" s="16"/>
    </row>
    <row r="1297" spans="1:21" ht="15.75">
      <c r="A1297" s="14" t="s">
        <v>938</v>
      </c>
      <c r="R1297" s="16"/>
      <c r="S1297" s="16"/>
    </row>
    <row r="1298" spans="1:21">
      <c r="A1298" s="17" t="s">
        <v>939</v>
      </c>
      <c r="B1298" s="19" t="s">
        <v>181</v>
      </c>
      <c r="D1298" s="4" t="s">
        <v>40</v>
      </c>
      <c r="E1298" s="5">
        <v>10</v>
      </c>
      <c r="F1298" s="6">
        <v>1</v>
      </c>
      <c r="G1298" s="7" t="s">
        <v>20</v>
      </c>
      <c r="H1298" s="6">
        <v>12</v>
      </c>
      <c r="I1298" s="7" t="s">
        <v>40</v>
      </c>
      <c r="J1298" s="24">
        <v>52552.583333333336</v>
      </c>
      <c r="K1298" s="21" t="s">
        <v>40</v>
      </c>
      <c r="L1298" s="25"/>
      <c r="M1298" s="25"/>
      <c r="N1298" s="22"/>
      <c r="O1298" s="23" t="s">
        <v>40</v>
      </c>
      <c r="P1298" s="20">
        <f>(C1298+(E1298*F1298*H1298))-N1298</f>
        <v>120</v>
      </c>
      <c r="Q1298" s="23" t="s">
        <v>40</v>
      </c>
      <c r="R1298" s="24">
        <f>P1298*(J1298-(J1298*L1298)-((J1298-(J1298*L1298))*M1298))</f>
        <v>6306310</v>
      </c>
      <c r="S1298" s="24">
        <f t="shared" ref="S1298" si="731">R1298/1.11</f>
        <v>5681360.3603603598</v>
      </c>
    </row>
    <row r="1299" spans="1:21">
      <c r="B1299" s="19"/>
      <c r="J1299" s="24"/>
      <c r="K1299" s="21"/>
      <c r="L1299" s="25"/>
      <c r="M1299" s="25"/>
      <c r="N1299" s="22"/>
      <c r="O1299" s="23"/>
      <c r="P1299" s="20"/>
      <c r="Q1299" s="23"/>
      <c r="R1299" s="24"/>
      <c r="S1299" s="24"/>
    </row>
    <row r="1300" spans="1:21">
      <c r="A1300" s="156" t="s">
        <v>1016</v>
      </c>
      <c r="B1300" s="19" t="s">
        <v>18</v>
      </c>
      <c r="D1300" s="4" t="s">
        <v>40</v>
      </c>
      <c r="E1300" s="5">
        <v>1</v>
      </c>
      <c r="F1300" s="6">
        <v>1</v>
      </c>
      <c r="G1300" s="7" t="s">
        <v>20</v>
      </c>
      <c r="H1300" s="6">
        <v>12</v>
      </c>
      <c r="I1300" s="7" t="s">
        <v>40</v>
      </c>
      <c r="J1300" s="24">
        <v>60600</v>
      </c>
      <c r="K1300" s="21" t="s">
        <v>40</v>
      </c>
      <c r="L1300" s="25">
        <v>0.125</v>
      </c>
      <c r="M1300" s="25">
        <v>0.05</v>
      </c>
      <c r="N1300" s="22"/>
      <c r="O1300" s="23" t="s">
        <v>40</v>
      </c>
      <c r="P1300" s="20">
        <f>(C1300+(E1300*F1300*H1300))-N1300</f>
        <v>12</v>
      </c>
      <c r="Q1300" s="23" t="s">
        <v>40</v>
      </c>
      <c r="R1300" s="24">
        <f>P1300*(J1300-(J1300*L1300)-((J1300-(J1300*L1300))*M1300))</f>
        <v>604485</v>
      </c>
      <c r="S1300" s="24">
        <f t="shared" ref="S1300" si="732">R1300/1.11</f>
        <v>544581.08108108107</v>
      </c>
    </row>
    <row r="1301" spans="1:21">
      <c r="J1301" s="24"/>
      <c r="K1301" s="21"/>
      <c r="L1301" s="25"/>
      <c r="M1301" s="25"/>
      <c r="N1301" s="22"/>
      <c r="O1301" s="23"/>
      <c r="P1301" s="20"/>
      <c r="Q1301" s="23"/>
      <c r="R1301" s="24"/>
      <c r="S1301" s="24"/>
    </row>
    <row r="1302" spans="1:21" ht="15.75">
      <c r="A1302" s="14" t="s">
        <v>936</v>
      </c>
      <c r="R1302" s="16"/>
      <c r="S1302" s="16"/>
    </row>
    <row r="1303" spans="1:21">
      <c r="A1303" s="17" t="s">
        <v>937</v>
      </c>
      <c r="B1303" s="2" t="s">
        <v>18</v>
      </c>
      <c r="C1303" s="3">
        <v>114</v>
      </c>
      <c r="D1303" s="4" t="s">
        <v>19</v>
      </c>
      <c r="F1303" s="6">
        <v>1</v>
      </c>
      <c r="G1303" s="7" t="s">
        <v>20</v>
      </c>
      <c r="H1303" s="6">
        <v>50</v>
      </c>
      <c r="I1303" s="7" t="s">
        <v>831</v>
      </c>
      <c r="J1303" s="24">
        <v>40000</v>
      </c>
      <c r="K1303" s="21" t="s">
        <v>19</v>
      </c>
      <c r="L1303" s="25"/>
      <c r="M1303" s="25"/>
      <c r="N1303" s="22"/>
      <c r="O1303" s="23" t="s">
        <v>19</v>
      </c>
      <c r="P1303" s="20">
        <f>(C1303+(E1303*F1303*H1303))-N1303</f>
        <v>114</v>
      </c>
      <c r="Q1303" s="23" t="s">
        <v>19</v>
      </c>
      <c r="R1303" s="24">
        <f>P1303*(J1303-(J1303*L1303)-((J1303-(J1303*L1303))*M1303))</f>
        <v>4560000</v>
      </c>
      <c r="S1303" s="24">
        <f t="shared" ref="S1303" si="733">R1303/1.11</f>
        <v>4108108.1081081079</v>
      </c>
    </row>
    <row r="1304" spans="1:21">
      <c r="J1304" s="24"/>
      <c r="K1304" s="21"/>
      <c r="L1304" s="25"/>
      <c r="M1304" s="25"/>
      <c r="N1304" s="22"/>
      <c r="O1304" s="23"/>
      <c r="P1304" s="20"/>
      <c r="Q1304" s="23"/>
      <c r="R1304" s="24"/>
      <c r="S1304" s="24"/>
    </row>
    <row r="1305" spans="1:21" ht="15.75">
      <c r="A1305" s="14" t="s">
        <v>983</v>
      </c>
      <c r="R1305" s="16"/>
      <c r="S1305" s="16"/>
    </row>
    <row r="1306" spans="1:21">
      <c r="A1306" s="17" t="s">
        <v>984</v>
      </c>
      <c r="B1306" s="2" t="s">
        <v>18</v>
      </c>
      <c r="D1306" s="4" t="s">
        <v>33</v>
      </c>
      <c r="E1306" s="5">
        <v>1</v>
      </c>
      <c r="F1306" s="6">
        <v>1</v>
      </c>
      <c r="G1306" s="7" t="s">
        <v>1013</v>
      </c>
      <c r="H1306" s="6">
        <v>4</v>
      </c>
      <c r="I1306" s="7" t="s">
        <v>33</v>
      </c>
      <c r="J1306" s="24">
        <v>216000</v>
      </c>
      <c r="K1306" s="21" t="s">
        <v>33</v>
      </c>
      <c r="L1306" s="25">
        <v>0.125</v>
      </c>
      <c r="M1306" s="25">
        <v>0.05</v>
      </c>
      <c r="N1306" s="22"/>
      <c r="O1306" s="23" t="s">
        <v>33</v>
      </c>
      <c r="P1306" s="20">
        <f>(C1306+(E1306*F1306*H1306))-N1306</f>
        <v>4</v>
      </c>
      <c r="Q1306" s="23" t="s">
        <v>33</v>
      </c>
      <c r="R1306" s="24">
        <f>P1306*(J1306-(J1306*L1306)-((J1306-(J1306*L1306))*M1306))</f>
        <v>718200</v>
      </c>
      <c r="S1306" s="24">
        <f t="shared" ref="S1306" si="734">R1306/1.11</f>
        <v>647027.02702702698</v>
      </c>
    </row>
    <row r="1307" spans="1:21">
      <c r="A1307" s="17" t="s">
        <v>985</v>
      </c>
      <c r="B1307" s="2" t="s">
        <v>18</v>
      </c>
      <c r="D1307" s="4" t="s">
        <v>33</v>
      </c>
      <c r="E1307" s="5">
        <v>1</v>
      </c>
      <c r="F1307" s="6">
        <v>1</v>
      </c>
      <c r="G1307" s="7" t="s">
        <v>1013</v>
      </c>
      <c r="H1307" s="6">
        <v>4</v>
      </c>
      <c r="I1307" s="7" t="s">
        <v>33</v>
      </c>
      <c r="J1307" s="24">
        <v>184000</v>
      </c>
      <c r="K1307" s="21" t="s">
        <v>33</v>
      </c>
      <c r="L1307" s="25">
        <v>0.125</v>
      </c>
      <c r="M1307" s="25">
        <v>0.05</v>
      </c>
      <c r="N1307" s="22"/>
      <c r="O1307" s="23" t="s">
        <v>33</v>
      </c>
      <c r="P1307" s="20">
        <f>(C1307+(E1307*F1307*H1307))-N1307</f>
        <v>4</v>
      </c>
      <c r="Q1307" s="23" t="s">
        <v>33</v>
      </c>
      <c r="R1307" s="24">
        <f>P1307*(J1307-(J1307*L1307)-((J1307-(J1307*L1307))*M1307))</f>
        <v>611800</v>
      </c>
      <c r="S1307" s="24">
        <f t="shared" ref="S1307" si="735">R1307/1.11</f>
        <v>551171.17117117113</v>
      </c>
    </row>
    <row r="1308" spans="1:21">
      <c r="J1308" s="24"/>
      <c r="K1308" s="21"/>
      <c r="L1308" s="25"/>
      <c r="M1308" s="25"/>
      <c r="N1308" s="22"/>
      <c r="O1308" s="23"/>
      <c r="P1308" s="20"/>
      <c r="Q1308" s="23"/>
      <c r="R1308" s="24"/>
      <c r="S1308" s="24"/>
    </row>
    <row r="1309" spans="1:21" ht="15.75">
      <c r="A1309" s="14" t="s">
        <v>1008</v>
      </c>
      <c r="R1309" s="16"/>
      <c r="S1309" s="16"/>
    </row>
    <row r="1310" spans="1:21">
      <c r="A1310" s="17" t="s">
        <v>1010</v>
      </c>
      <c r="B1310" s="2" t="s">
        <v>1009</v>
      </c>
      <c r="D1310" s="4" t="s">
        <v>831</v>
      </c>
      <c r="E1310" s="5">
        <v>25</v>
      </c>
      <c r="F1310" s="6">
        <v>1</v>
      </c>
      <c r="G1310" s="7" t="s">
        <v>20</v>
      </c>
      <c r="H1310" s="6">
        <v>180</v>
      </c>
      <c r="I1310" s="7" t="s">
        <v>831</v>
      </c>
      <c r="J1310" s="24">
        <v>7555</v>
      </c>
      <c r="K1310" s="21" t="s">
        <v>831</v>
      </c>
      <c r="L1310" s="25">
        <v>0.1</v>
      </c>
      <c r="M1310" s="25">
        <v>0.1</v>
      </c>
      <c r="N1310" s="22"/>
      <c r="O1310" s="23" t="s">
        <v>831</v>
      </c>
      <c r="P1310" s="20">
        <f>(C1310+(E1310*F1310*H1310))-N1310</f>
        <v>4500</v>
      </c>
      <c r="Q1310" s="23" t="s">
        <v>831</v>
      </c>
      <c r="R1310" s="24">
        <f>P1310*(J1310-(J1310*L1310)-((J1310-(J1310*L1310))*M1310))</f>
        <v>27537975</v>
      </c>
      <c r="S1310" s="24">
        <f t="shared" ref="S1310:S1311" si="736">R1310/1.11</f>
        <v>24808986.486486483</v>
      </c>
    </row>
    <row r="1311" spans="1:21">
      <c r="A1311" s="17" t="s">
        <v>1011</v>
      </c>
      <c r="B1311" s="2" t="s">
        <v>1009</v>
      </c>
      <c r="D1311" s="4" t="s">
        <v>831</v>
      </c>
      <c r="E1311" s="5">
        <v>10</v>
      </c>
      <c r="F1311" s="6">
        <v>1</v>
      </c>
      <c r="G1311" s="7" t="s">
        <v>20</v>
      </c>
      <c r="H1311" s="6">
        <v>240</v>
      </c>
      <c r="I1311" s="7" t="s">
        <v>831</v>
      </c>
      <c r="J1311" s="24">
        <v>5485</v>
      </c>
      <c r="K1311" s="21" t="s">
        <v>831</v>
      </c>
      <c r="L1311" s="25">
        <v>0.1</v>
      </c>
      <c r="M1311" s="25">
        <v>0.1</v>
      </c>
      <c r="N1311" s="22"/>
      <c r="O1311" s="23" t="s">
        <v>831</v>
      </c>
      <c r="P1311" s="20">
        <f>(C1311+(E1311*F1311*H1311))-N1311</f>
        <v>2400</v>
      </c>
      <c r="Q1311" s="23" t="s">
        <v>831</v>
      </c>
      <c r="R1311" s="24">
        <f>P1311*(J1311-(J1311*L1311)-((J1311-(J1311*L1311))*M1311))</f>
        <v>10662840</v>
      </c>
      <c r="S1311" s="24">
        <f t="shared" si="736"/>
        <v>9606162.1621621605</v>
      </c>
    </row>
    <row r="1312" spans="1:21">
      <c r="R1312" s="59"/>
      <c r="S1312" s="58"/>
      <c r="U1312" s="34"/>
    </row>
    <row r="1313" spans="1:19" ht="15.75">
      <c r="A1313" s="14" t="s">
        <v>1034</v>
      </c>
      <c r="R1313" s="16"/>
      <c r="S1313" s="16"/>
    </row>
    <row r="1314" spans="1:19">
      <c r="A1314" s="156" t="s">
        <v>1035</v>
      </c>
      <c r="B1314" s="2" t="s">
        <v>1036</v>
      </c>
      <c r="D1314" s="4" t="s">
        <v>1037</v>
      </c>
      <c r="E1314" s="5">
        <v>1</v>
      </c>
      <c r="F1314" s="6">
        <v>1</v>
      </c>
      <c r="G1314" s="7" t="s">
        <v>20</v>
      </c>
      <c r="H1314" s="6">
        <v>60</v>
      </c>
      <c r="I1314" s="7" t="s">
        <v>1037</v>
      </c>
      <c r="J1314" s="24">
        <v>60811</v>
      </c>
      <c r="K1314" s="21" t="s">
        <v>831</v>
      </c>
      <c r="L1314" s="25">
        <v>0.2</v>
      </c>
      <c r="M1314" s="25"/>
      <c r="N1314" s="22"/>
      <c r="O1314" s="23" t="s">
        <v>1037</v>
      </c>
      <c r="P1314" s="20">
        <f>(C1314+(E1314*F1314*H1314))-N1314</f>
        <v>60</v>
      </c>
      <c r="Q1314" s="23" t="s">
        <v>831</v>
      </c>
      <c r="R1314" s="24">
        <f>P1314*(J1314-(J1314*L1314)-((J1314-(J1314*L1314))*M1314))</f>
        <v>2918928</v>
      </c>
      <c r="S1314" s="24">
        <f t="shared" ref="S1314" si="737">R1314/1.11</f>
        <v>2629664.8648648649</v>
      </c>
    </row>
    <row r="1315" spans="1:19">
      <c r="S1315" s="36"/>
    </row>
    <row r="1316" spans="1:19" ht="15.75">
      <c r="A1316" s="14" t="s">
        <v>1040</v>
      </c>
      <c r="R1316" s="16"/>
      <c r="S1316" s="16"/>
    </row>
    <row r="1317" spans="1:19">
      <c r="A1317" s="156" t="s">
        <v>1041</v>
      </c>
      <c r="B1317" s="2" t="s">
        <v>1009</v>
      </c>
      <c r="D1317" s="4" t="s">
        <v>831</v>
      </c>
      <c r="E1317" s="5">
        <v>5</v>
      </c>
      <c r="F1317" s="6">
        <v>1</v>
      </c>
      <c r="G1317" s="7" t="s">
        <v>20</v>
      </c>
      <c r="H1317" s="6">
        <v>900</v>
      </c>
      <c r="I1317" s="7" t="s">
        <v>831</v>
      </c>
      <c r="J1317" s="24">
        <v>2200</v>
      </c>
      <c r="K1317" s="21" t="s">
        <v>831</v>
      </c>
      <c r="L1317" s="25">
        <v>0.1</v>
      </c>
      <c r="M1317" s="25">
        <v>0.1</v>
      </c>
      <c r="N1317" s="22"/>
      <c r="O1317" s="23" t="s">
        <v>831</v>
      </c>
      <c r="P1317" s="20">
        <f>(C1317+(E1317*F1317*H1317))-N1317</f>
        <v>4500</v>
      </c>
      <c r="Q1317" s="23" t="s">
        <v>831</v>
      </c>
      <c r="R1317" s="24">
        <f>P1317*(J1317-(J1317*L1317)-((J1317-(J1317*L1317))*M1317))</f>
        <v>8019000</v>
      </c>
      <c r="S1317" s="24">
        <f t="shared" ref="S1317" si="738">R1317/1.11</f>
        <v>7224324.3243243238</v>
      </c>
    </row>
    <row r="1318" spans="1:19">
      <c r="A1318" s="156" t="s">
        <v>1042</v>
      </c>
      <c r="B1318" s="2" t="s">
        <v>1009</v>
      </c>
      <c r="D1318" s="4" t="s">
        <v>831</v>
      </c>
      <c r="E1318" s="5">
        <v>5</v>
      </c>
      <c r="F1318" s="6">
        <v>1</v>
      </c>
      <c r="G1318" s="7" t="s">
        <v>20</v>
      </c>
      <c r="H1318" s="6">
        <v>750</v>
      </c>
      <c r="I1318" s="7" t="s">
        <v>831</v>
      </c>
      <c r="J1318" s="24">
        <v>2600</v>
      </c>
      <c r="K1318" s="21" t="s">
        <v>831</v>
      </c>
      <c r="L1318" s="25">
        <v>0.1</v>
      </c>
      <c r="M1318" s="25">
        <v>0.1</v>
      </c>
      <c r="N1318" s="22"/>
      <c r="O1318" s="23" t="s">
        <v>831</v>
      </c>
      <c r="P1318" s="20">
        <f>(C1318+(E1318*F1318*H1318))-N1318</f>
        <v>3750</v>
      </c>
      <c r="Q1318" s="23" t="s">
        <v>831</v>
      </c>
      <c r="R1318" s="24">
        <f>P1318*(J1318-(J1318*L1318)-((J1318-(J1318*L1318))*M1318))</f>
        <v>7897500</v>
      </c>
      <c r="S1318" s="24">
        <f t="shared" ref="S1318" si="739">R1318/1.11</f>
        <v>7114864.8648648644</v>
      </c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2023-12-04T04:14:56Z</dcterms:modified>
</cp:coreProperties>
</file>