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5" i="1" l="1"/>
  <c r="R845" i="1" s="1"/>
  <c r="S845" i="1" s="1"/>
  <c r="P413" i="1"/>
  <c r="R413" i="1" s="1"/>
  <c r="S413" i="1" s="1"/>
  <c r="P778" i="1"/>
  <c r="R778" i="1"/>
  <c r="S778" i="1" s="1"/>
  <c r="P779" i="1"/>
  <c r="R779" i="1" s="1"/>
  <c r="S779" i="1" s="1"/>
  <c r="R777" i="1"/>
  <c r="S777" i="1" s="1"/>
  <c r="P777" i="1"/>
  <c r="P811" i="1"/>
  <c r="R811" i="1" s="1"/>
  <c r="S811" i="1" s="1"/>
  <c r="P986" i="1"/>
  <c r="R986" i="1" s="1"/>
  <c r="S986" i="1" s="1"/>
  <c r="P984" i="1"/>
  <c r="R984" i="1"/>
  <c r="S984" i="1" s="1"/>
  <c r="P1010" i="1" l="1"/>
  <c r="R1010" i="1" s="1"/>
  <c r="S1010" i="1" s="1"/>
  <c r="P643" i="1"/>
  <c r="R643" i="1"/>
  <c r="S643" i="1" s="1"/>
  <c r="P840" i="1" l="1"/>
  <c r="R840" i="1"/>
  <c r="S840" i="1" s="1"/>
  <c r="P287" i="1" l="1"/>
  <c r="R287" i="1"/>
  <c r="S287" i="1" s="1"/>
  <c r="P838" i="1"/>
  <c r="R838" i="1" s="1"/>
  <c r="S838" i="1" s="1"/>
  <c r="C580" i="1"/>
  <c r="C651" i="1" l="1"/>
  <c r="C652" i="1" l="1"/>
  <c r="P953" i="1" l="1"/>
  <c r="R953" i="1" s="1"/>
  <c r="S953" i="1" s="1"/>
  <c r="P894" i="1"/>
  <c r="J894" i="1"/>
  <c r="P882" i="1"/>
  <c r="R882" i="1" s="1"/>
  <c r="S882" i="1" s="1"/>
  <c r="R894" i="1" l="1"/>
  <c r="S894" i="1" s="1"/>
  <c r="P851" i="1"/>
  <c r="R851" i="1" s="1"/>
  <c r="S851" i="1" s="1"/>
  <c r="P85" i="1"/>
  <c r="R85" i="1" s="1"/>
  <c r="S85" i="1" s="1"/>
  <c r="P531" i="1"/>
  <c r="R531" i="1" s="1"/>
  <c r="S531" i="1" s="1"/>
  <c r="J184" i="1" l="1"/>
  <c r="H184" i="1"/>
  <c r="P184" i="1" s="1"/>
  <c r="R184" i="1" s="1"/>
  <c r="S184" i="1" s="1"/>
  <c r="P670" i="1" l="1"/>
  <c r="R670" i="1" s="1"/>
  <c r="S670" i="1" s="1"/>
  <c r="P864" i="1" l="1"/>
  <c r="P987" i="1"/>
  <c r="R987" i="1" s="1"/>
  <c r="S987" i="1" s="1"/>
  <c r="P764" i="1"/>
  <c r="J764" i="1"/>
  <c r="P435" i="1"/>
  <c r="R435" i="1" s="1"/>
  <c r="S435" i="1" s="1"/>
  <c r="R764" i="1" l="1"/>
  <c r="S764" i="1" s="1"/>
  <c r="P371" i="1"/>
  <c r="R371" i="1" s="1"/>
  <c r="S371" i="1" s="1"/>
  <c r="P588" i="1"/>
  <c r="R588" i="1" s="1"/>
  <c r="S588" i="1" s="1"/>
  <c r="P584" i="1"/>
  <c r="J584" i="1"/>
  <c r="P586" i="1"/>
  <c r="R586" i="1" s="1"/>
  <c r="S586" i="1" s="1"/>
  <c r="R584" i="1" l="1"/>
  <c r="S584" i="1" s="1"/>
  <c r="P41" i="1" l="1"/>
  <c r="R41" i="1"/>
  <c r="S41" i="1" s="1"/>
  <c r="C910" i="1" l="1"/>
  <c r="C824" i="1"/>
  <c r="P661" i="1"/>
  <c r="R661" i="1" s="1"/>
  <c r="S661" i="1" s="1"/>
  <c r="C609" i="1"/>
  <c r="J583" i="1"/>
  <c r="P583" i="1"/>
  <c r="P566" i="1"/>
  <c r="R566" i="1" s="1"/>
  <c r="S566" i="1" s="1"/>
  <c r="R583" i="1" l="1"/>
  <c r="S583" i="1" s="1"/>
  <c r="P427" i="1"/>
  <c r="R427" i="1" s="1"/>
  <c r="S427" i="1" s="1"/>
  <c r="P407" i="1"/>
  <c r="R407" i="1" s="1"/>
  <c r="S407" i="1" s="1"/>
  <c r="P406" i="1"/>
  <c r="R406" i="1" s="1"/>
  <c r="S406" i="1" s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C239" i="1"/>
  <c r="J196" i="1"/>
  <c r="P196" i="1"/>
  <c r="P181" i="1"/>
  <c r="J181" i="1"/>
  <c r="P179" i="1"/>
  <c r="J179" i="1"/>
  <c r="P178" i="1"/>
  <c r="J178" i="1"/>
  <c r="P175" i="1"/>
  <c r="R175" i="1" s="1"/>
  <c r="S175" i="1" s="1"/>
  <c r="P143" i="1"/>
  <c r="R143" i="1" s="1"/>
  <c r="S143" i="1" s="1"/>
  <c r="P88" i="1"/>
  <c r="R88" i="1" s="1"/>
  <c r="S88" i="1" s="1"/>
  <c r="P80" i="1"/>
  <c r="R80" i="1" s="1"/>
  <c r="S80" i="1" s="1"/>
  <c r="P76" i="1"/>
  <c r="R76" i="1" s="1"/>
  <c r="S76" i="1" s="1"/>
  <c r="P74" i="1"/>
  <c r="R74" i="1" s="1"/>
  <c r="S74" i="1" s="1"/>
  <c r="P72" i="1"/>
  <c r="R72" i="1" s="1"/>
  <c r="S72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78" i="1" l="1"/>
  <c r="S178" i="1" s="1"/>
  <c r="R181" i="1"/>
  <c r="S181" i="1" s="1"/>
  <c r="R32" i="1"/>
  <c r="S32" i="1" s="1"/>
  <c r="R196" i="1"/>
  <c r="S196" i="1" s="1"/>
  <c r="R179" i="1"/>
  <c r="S179" i="1" s="1"/>
  <c r="R31" i="1"/>
  <c r="S31" i="1" s="1"/>
  <c r="R33" i="1"/>
  <c r="S33" i="1" s="1"/>
  <c r="P30" i="1"/>
  <c r="R30" i="1" s="1"/>
  <c r="S30" i="1" s="1"/>
  <c r="P652" i="1"/>
  <c r="R652" i="1" s="1"/>
  <c r="S652" i="1" s="1"/>
  <c r="P881" i="1" l="1"/>
  <c r="R881" i="1" s="1"/>
  <c r="S881" i="1" s="1"/>
  <c r="P520" i="1"/>
  <c r="R520" i="1" s="1"/>
  <c r="S520" i="1" s="1"/>
  <c r="P519" i="1"/>
  <c r="R519" i="1" s="1"/>
  <c r="S519" i="1" s="1"/>
  <c r="P335" i="1"/>
  <c r="R335" i="1" s="1"/>
  <c r="S335" i="1" s="1"/>
  <c r="P298" i="1"/>
  <c r="R298" i="1" s="1"/>
  <c r="S298" i="1" s="1"/>
  <c r="P534" i="1"/>
  <c r="R534" i="1" s="1"/>
  <c r="S534" i="1" s="1"/>
  <c r="P25" i="1"/>
  <c r="R25" i="1" s="1"/>
  <c r="S25" i="1" s="1"/>
  <c r="P1026" i="1" l="1"/>
  <c r="R1026" i="1" s="1"/>
  <c r="S1026" i="1" s="1"/>
  <c r="P795" i="1"/>
  <c r="R795" i="1" s="1"/>
  <c r="S795" i="1" s="1"/>
  <c r="P453" i="1"/>
  <c r="R453" i="1" s="1"/>
  <c r="S453" i="1" s="1"/>
  <c r="P843" i="1"/>
  <c r="R843" i="1" s="1"/>
  <c r="S843" i="1" s="1"/>
  <c r="P1004" i="1" l="1"/>
  <c r="R1004" i="1" s="1"/>
  <c r="S1004" i="1" s="1"/>
  <c r="P796" i="1" l="1"/>
  <c r="R796" i="1" s="1"/>
  <c r="S796" i="1" s="1"/>
  <c r="P1003" i="1" l="1"/>
  <c r="R1003" i="1" s="1"/>
  <c r="S1003" i="1" s="1"/>
  <c r="P738" i="1"/>
  <c r="R738" i="1" s="1"/>
  <c r="S738" i="1" s="1"/>
  <c r="P97" i="1"/>
  <c r="R97" i="1" s="1"/>
  <c r="S97" i="1" s="1"/>
  <c r="P98" i="1"/>
  <c r="R98" i="1" s="1"/>
  <c r="S98" i="1" s="1"/>
  <c r="P756" i="1" l="1"/>
  <c r="R756" i="1" s="1"/>
  <c r="S756" i="1" s="1"/>
  <c r="P783" i="1"/>
  <c r="R783" i="1" s="1"/>
  <c r="S783" i="1" s="1"/>
  <c r="P720" i="1"/>
  <c r="R720" i="1" s="1"/>
  <c r="S720" i="1" s="1"/>
  <c r="P446" i="1"/>
  <c r="R446" i="1" s="1"/>
  <c r="S446" i="1" s="1"/>
  <c r="P328" i="1"/>
  <c r="R328" i="1" s="1"/>
  <c r="S328" i="1" s="1"/>
  <c r="P241" i="1"/>
  <c r="R241" i="1" s="1"/>
  <c r="S241" i="1" s="1"/>
  <c r="P119" i="1" l="1"/>
  <c r="R119" i="1" s="1"/>
  <c r="S119" i="1" s="1"/>
  <c r="P89" i="1"/>
  <c r="R89" i="1" s="1"/>
  <c r="S89" i="1" s="1"/>
  <c r="P81" i="1"/>
  <c r="R81" i="1" s="1"/>
  <c r="S81" i="1" s="1"/>
  <c r="P77" i="1"/>
  <c r="R77" i="1" s="1"/>
  <c r="S77" i="1" s="1"/>
  <c r="C274" i="1" l="1"/>
  <c r="P274" i="1" s="1"/>
  <c r="R274" i="1" s="1"/>
  <c r="S274" i="1" s="1"/>
  <c r="R864" i="1" l="1"/>
  <c r="S864" i="1" s="1"/>
  <c r="P565" i="1" l="1"/>
  <c r="R565" i="1" s="1"/>
  <c r="S565" i="1" s="1"/>
  <c r="P205" i="1" l="1"/>
  <c r="R205" i="1" s="1"/>
  <c r="S205" i="1" s="1"/>
  <c r="P206" i="1"/>
  <c r="R206" i="1" s="1"/>
  <c r="S206" i="1" s="1"/>
  <c r="P611" i="1" l="1"/>
  <c r="R611" i="1" s="1"/>
  <c r="S611" i="1" s="1"/>
  <c r="P612" i="1"/>
  <c r="R612" i="1" s="1"/>
  <c r="S612" i="1" s="1"/>
  <c r="P613" i="1"/>
  <c r="R613" i="1" s="1"/>
  <c r="S613" i="1" s="1"/>
  <c r="P610" i="1"/>
  <c r="R610" i="1" s="1"/>
  <c r="S610" i="1" s="1"/>
  <c r="P763" i="1" l="1"/>
  <c r="J763" i="1"/>
  <c r="P682" i="1"/>
  <c r="R682" i="1" s="1"/>
  <c r="S682" i="1" s="1"/>
  <c r="J737" i="1"/>
  <c r="P737" i="1"/>
  <c r="P736" i="1"/>
  <c r="R736" i="1" s="1"/>
  <c r="S736" i="1" s="1"/>
  <c r="P852" i="1"/>
  <c r="R852" i="1" s="1"/>
  <c r="S852" i="1" s="1"/>
  <c r="P343" i="1"/>
  <c r="R343" i="1" s="1"/>
  <c r="S343" i="1" s="1"/>
  <c r="P342" i="1"/>
  <c r="R342" i="1" s="1"/>
  <c r="S342" i="1" s="1"/>
  <c r="P341" i="1"/>
  <c r="R341" i="1" s="1"/>
  <c r="S341" i="1" s="1"/>
  <c r="J173" i="1"/>
  <c r="P173" i="1"/>
  <c r="P172" i="1"/>
  <c r="R172" i="1" s="1"/>
  <c r="S172" i="1" s="1"/>
  <c r="P87" i="1"/>
  <c r="R87" i="1" s="1"/>
  <c r="S87" i="1" s="1"/>
  <c r="P78" i="1"/>
  <c r="R78" i="1" s="1"/>
  <c r="S78" i="1" s="1"/>
  <c r="P75" i="1"/>
  <c r="R75" i="1" s="1"/>
  <c r="S75" i="1" s="1"/>
  <c r="P73" i="1"/>
  <c r="R73" i="1" s="1"/>
  <c r="S73" i="1" s="1"/>
  <c r="P61" i="1"/>
  <c r="R61" i="1" s="1"/>
  <c r="S61" i="1" s="1"/>
  <c r="P37" i="1"/>
  <c r="R37" i="1" s="1"/>
  <c r="S37" i="1" s="1"/>
  <c r="P537" i="1"/>
  <c r="R537" i="1" s="1"/>
  <c r="S537" i="1" s="1"/>
  <c r="P224" i="1"/>
  <c r="R224" i="1" s="1"/>
  <c r="S224" i="1" s="1"/>
  <c r="P225" i="1"/>
  <c r="R225" i="1" s="1"/>
  <c r="S225" i="1" s="1"/>
  <c r="J183" i="1"/>
  <c r="P183" i="1"/>
  <c r="P84" i="1"/>
  <c r="R84" i="1" s="1"/>
  <c r="S84" i="1" s="1"/>
  <c r="P83" i="1"/>
  <c r="R83" i="1" s="1"/>
  <c r="S83" i="1" s="1"/>
  <c r="P63" i="1"/>
  <c r="R63" i="1" s="1"/>
  <c r="S63" i="1" s="1"/>
  <c r="R737" i="1" l="1"/>
  <c r="S737" i="1" s="1"/>
  <c r="R763" i="1"/>
  <c r="S763" i="1" s="1"/>
  <c r="R173" i="1"/>
  <c r="S173" i="1" s="1"/>
  <c r="R183" i="1"/>
  <c r="S183" i="1" s="1"/>
  <c r="P502" i="1"/>
  <c r="J988" i="1"/>
  <c r="J985" i="1"/>
  <c r="P985" i="1"/>
  <c r="P1034" i="1"/>
  <c r="R1034" i="1" s="1"/>
  <c r="S1034" i="1" s="1"/>
  <c r="P1031" i="1"/>
  <c r="R1031" i="1" s="1"/>
  <c r="S1031" i="1" s="1"/>
  <c r="P1028" i="1"/>
  <c r="R1028" i="1" s="1"/>
  <c r="S1028" i="1" s="1"/>
  <c r="P1024" i="1"/>
  <c r="J1024" i="1"/>
  <c r="P1023" i="1"/>
  <c r="J1023" i="1"/>
  <c r="P1022" i="1"/>
  <c r="J1022" i="1"/>
  <c r="P1021" i="1"/>
  <c r="J1021" i="1"/>
  <c r="P1020" i="1"/>
  <c r="R1020" i="1" s="1"/>
  <c r="S1020" i="1" s="1"/>
  <c r="P1019" i="1"/>
  <c r="J1019" i="1"/>
  <c r="P1018" i="1"/>
  <c r="J1018" i="1"/>
  <c r="P1017" i="1"/>
  <c r="J1017" i="1"/>
  <c r="P1016" i="1"/>
  <c r="J1016" i="1"/>
  <c r="P1014" i="1"/>
  <c r="R1014" i="1" s="1"/>
  <c r="S1014" i="1" s="1"/>
  <c r="P1013" i="1"/>
  <c r="R1013" i="1" s="1"/>
  <c r="S1013" i="1" s="1"/>
  <c r="P1012" i="1"/>
  <c r="R1012" i="1" s="1"/>
  <c r="S1012" i="1" s="1"/>
  <c r="P1011" i="1"/>
  <c r="R1011" i="1" s="1"/>
  <c r="S1011" i="1" s="1"/>
  <c r="P1009" i="1"/>
  <c r="R1009" i="1" s="1"/>
  <c r="S1009" i="1" s="1"/>
  <c r="P1008" i="1"/>
  <c r="R1008" i="1" s="1"/>
  <c r="S1008" i="1" s="1"/>
  <c r="P1007" i="1"/>
  <c r="R1007" i="1" s="1"/>
  <c r="S1007" i="1" s="1"/>
  <c r="P1006" i="1"/>
  <c r="R1006" i="1" s="1"/>
  <c r="S1006" i="1" s="1"/>
  <c r="P1005" i="1"/>
  <c r="R1005" i="1" s="1"/>
  <c r="S1005" i="1" s="1"/>
  <c r="P1002" i="1"/>
  <c r="R1002" i="1" s="1"/>
  <c r="S1002" i="1" s="1"/>
  <c r="P999" i="1"/>
  <c r="J999" i="1"/>
  <c r="P998" i="1"/>
  <c r="J998" i="1"/>
  <c r="P997" i="1"/>
  <c r="J997" i="1"/>
  <c r="P996" i="1"/>
  <c r="J996" i="1"/>
  <c r="P995" i="1"/>
  <c r="J995" i="1"/>
  <c r="P993" i="1"/>
  <c r="R993" i="1" s="1"/>
  <c r="S993" i="1" s="1"/>
  <c r="S992" i="1"/>
  <c r="P990" i="1"/>
  <c r="J990" i="1"/>
  <c r="P989" i="1"/>
  <c r="J989" i="1"/>
  <c r="P988" i="1"/>
  <c r="P981" i="1"/>
  <c r="R981" i="1" s="1"/>
  <c r="S981" i="1" s="1"/>
  <c r="S980" i="1"/>
  <c r="P978" i="1"/>
  <c r="R978" i="1" s="1"/>
  <c r="S978" i="1" s="1"/>
  <c r="P977" i="1"/>
  <c r="R977" i="1" s="1"/>
  <c r="S977" i="1" s="1"/>
  <c r="P976" i="1"/>
  <c r="J976" i="1"/>
  <c r="P975" i="1"/>
  <c r="J975" i="1"/>
  <c r="P973" i="1"/>
  <c r="R973" i="1" s="1"/>
  <c r="S973" i="1" s="1"/>
  <c r="P972" i="1"/>
  <c r="R972" i="1" s="1"/>
  <c r="S972" i="1" s="1"/>
  <c r="P970" i="1"/>
  <c r="R970" i="1" s="1"/>
  <c r="S970" i="1" s="1"/>
  <c r="P969" i="1"/>
  <c r="R969" i="1" s="1"/>
  <c r="S969" i="1" s="1"/>
  <c r="P968" i="1"/>
  <c r="R968" i="1" s="1"/>
  <c r="S968" i="1" s="1"/>
  <c r="P964" i="1"/>
  <c r="J964" i="1"/>
  <c r="P961" i="1"/>
  <c r="J961" i="1"/>
  <c r="P960" i="1"/>
  <c r="J960" i="1"/>
  <c r="P959" i="1"/>
  <c r="R959" i="1" s="1"/>
  <c r="S959" i="1" s="1"/>
  <c r="P958" i="1"/>
  <c r="R958" i="1" s="1"/>
  <c r="S958" i="1" s="1"/>
  <c r="J957" i="1"/>
  <c r="P957" i="1"/>
  <c r="J956" i="1"/>
  <c r="P956" i="1"/>
  <c r="P954" i="1"/>
  <c r="R954" i="1" s="1"/>
  <c r="S954" i="1" s="1"/>
  <c r="P952" i="1"/>
  <c r="R952" i="1" s="1"/>
  <c r="S952" i="1" s="1"/>
  <c r="P951" i="1"/>
  <c r="R951" i="1" s="1"/>
  <c r="S951" i="1" s="1"/>
  <c r="P950" i="1"/>
  <c r="R950" i="1" s="1"/>
  <c r="S950" i="1" s="1"/>
  <c r="P949" i="1"/>
  <c r="R949" i="1" s="1"/>
  <c r="S949" i="1" s="1"/>
  <c r="P947" i="1"/>
  <c r="R947" i="1" s="1"/>
  <c r="S947" i="1" s="1"/>
  <c r="P946" i="1"/>
  <c r="R946" i="1" s="1"/>
  <c r="S946" i="1" s="1"/>
  <c r="P945" i="1"/>
  <c r="R945" i="1" s="1"/>
  <c r="S945" i="1" s="1"/>
  <c r="P944" i="1"/>
  <c r="R944" i="1" s="1"/>
  <c r="S944" i="1" s="1"/>
  <c r="P943" i="1"/>
  <c r="R943" i="1" s="1"/>
  <c r="S943" i="1" s="1"/>
  <c r="P941" i="1"/>
  <c r="R941" i="1" s="1"/>
  <c r="S941" i="1" s="1"/>
  <c r="P938" i="1"/>
  <c r="R938" i="1" s="1"/>
  <c r="S938" i="1" s="1"/>
  <c r="P935" i="1"/>
  <c r="R935" i="1" s="1"/>
  <c r="S935" i="1" s="1"/>
  <c r="P934" i="1"/>
  <c r="R934" i="1" s="1"/>
  <c r="S934" i="1" s="1"/>
  <c r="P933" i="1"/>
  <c r="R933" i="1" s="1"/>
  <c r="S933" i="1" s="1"/>
  <c r="P931" i="1"/>
  <c r="J931" i="1"/>
  <c r="P930" i="1"/>
  <c r="J930" i="1"/>
  <c r="P929" i="1"/>
  <c r="J929" i="1"/>
  <c r="P927" i="1"/>
  <c r="R927" i="1" s="1"/>
  <c r="S927" i="1" s="1"/>
  <c r="P925" i="1"/>
  <c r="R925" i="1" s="1"/>
  <c r="S925" i="1" s="1"/>
  <c r="P924" i="1"/>
  <c r="R924" i="1" s="1"/>
  <c r="S924" i="1" s="1"/>
  <c r="P921" i="1"/>
  <c r="R921" i="1" s="1"/>
  <c r="S921" i="1" s="1"/>
  <c r="P919" i="1"/>
  <c r="R919" i="1" s="1"/>
  <c r="S919" i="1" s="1"/>
  <c r="P918" i="1"/>
  <c r="R918" i="1" s="1"/>
  <c r="S918" i="1" s="1"/>
  <c r="P917" i="1"/>
  <c r="R917" i="1" s="1"/>
  <c r="S917" i="1" s="1"/>
  <c r="P916" i="1"/>
  <c r="R916" i="1" s="1"/>
  <c r="S916" i="1" s="1"/>
  <c r="P915" i="1"/>
  <c r="R915" i="1" s="1"/>
  <c r="S915" i="1" s="1"/>
  <c r="P913" i="1"/>
  <c r="J913" i="1"/>
  <c r="P912" i="1"/>
  <c r="J912" i="1"/>
  <c r="J911" i="1"/>
  <c r="P911" i="1"/>
  <c r="P910" i="1"/>
  <c r="J910" i="1"/>
  <c r="P909" i="1"/>
  <c r="R909" i="1" s="1"/>
  <c r="S909" i="1" s="1"/>
  <c r="P908" i="1"/>
  <c r="J908" i="1"/>
  <c r="P907" i="1"/>
  <c r="J907" i="1"/>
  <c r="J906" i="1"/>
  <c r="P906" i="1"/>
  <c r="P905" i="1"/>
  <c r="J905" i="1"/>
  <c r="P904" i="1"/>
  <c r="J904" i="1"/>
  <c r="P903" i="1"/>
  <c r="R903" i="1" s="1"/>
  <c r="S903" i="1" s="1"/>
  <c r="P902" i="1"/>
  <c r="J902" i="1"/>
  <c r="P901" i="1"/>
  <c r="J901" i="1"/>
  <c r="P900" i="1"/>
  <c r="J900" i="1"/>
  <c r="P899" i="1"/>
  <c r="J899" i="1"/>
  <c r="P898" i="1"/>
  <c r="J898" i="1"/>
  <c r="P897" i="1"/>
  <c r="J897" i="1"/>
  <c r="P896" i="1"/>
  <c r="J896" i="1"/>
  <c r="P895" i="1"/>
  <c r="J895" i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4" i="1"/>
  <c r="R884" i="1" s="1"/>
  <c r="S884" i="1" s="1"/>
  <c r="P883" i="1"/>
  <c r="J883" i="1"/>
  <c r="P880" i="1"/>
  <c r="R880" i="1" s="1"/>
  <c r="S880" i="1" s="1"/>
  <c r="P879" i="1"/>
  <c r="R879" i="1" s="1"/>
  <c r="S879" i="1" s="1"/>
  <c r="P878" i="1"/>
  <c r="R878" i="1" s="1"/>
  <c r="S878" i="1" s="1"/>
  <c r="P875" i="1"/>
  <c r="J875" i="1"/>
  <c r="P873" i="1"/>
  <c r="R873" i="1" s="1"/>
  <c r="S873" i="1" s="1"/>
  <c r="P872" i="1"/>
  <c r="R872" i="1" s="1"/>
  <c r="S872" i="1" s="1"/>
  <c r="P868" i="1"/>
  <c r="J868" i="1"/>
  <c r="P867" i="1"/>
  <c r="J867" i="1"/>
  <c r="P865" i="1"/>
  <c r="R865" i="1" s="1"/>
  <c r="S865" i="1" s="1"/>
  <c r="P863" i="1"/>
  <c r="J863" i="1"/>
  <c r="P862" i="1"/>
  <c r="J862" i="1"/>
  <c r="P859" i="1"/>
  <c r="J859" i="1"/>
  <c r="P858" i="1"/>
  <c r="J858" i="1"/>
  <c r="P857" i="1"/>
  <c r="R857" i="1" s="1"/>
  <c r="S857" i="1" s="1"/>
  <c r="P856" i="1"/>
  <c r="R856" i="1" s="1"/>
  <c r="S856" i="1" s="1"/>
  <c r="P855" i="1"/>
  <c r="J855" i="1"/>
  <c r="P854" i="1"/>
  <c r="J854" i="1"/>
  <c r="P850" i="1"/>
  <c r="R850" i="1" s="1"/>
  <c r="S850" i="1" s="1"/>
  <c r="P846" i="1"/>
  <c r="R846" i="1" s="1"/>
  <c r="S846" i="1" s="1"/>
  <c r="P842" i="1"/>
  <c r="R842" i="1" s="1"/>
  <c r="S842" i="1" s="1"/>
  <c r="P839" i="1"/>
  <c r="R839" i="1" s="1"/>
  <c r="S839" i="1" s="1"/>
  <c r="P836" i="1"/>
  <c r="R836" i="1" s="1"/>
  <c r="S836" i="1" s="1"/>
  <c r="P835" i="1"/>
  <c r="J835" i="1"/>
  <c r="P834" i="1"/>
  <c r="J834" i="1"/>
  <c r="P832" i="1"/>
  <c r="R832" i="1" s="1"/>
  <c r="S832" i="1" s="1"/>
  <c r="P831" i="1"/>
  <c r="R831" i="1" s="1"/>
  <c r="S831" i="1" s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J820" i="1"/>
  <c r="P820" i="1"/>
  <c r="P819" i="1"/>
  <c r="J819" i="1"/>
  <c r="P817" i="1"/>
  <c r="R817" i="1" s="1"/>
  <c r="S817" i="1" s="1"/>
  <c r="P816" i="1"/>
  <c r="R816" i="1" s="1"/>
  <c r="S816" i="1" s="1"/>
  <c r="P815" i="1"/>
  <c r="R815" i="1" s="1"/>
  <c r="S815" i="1" s="1"/>
  <c r="P814" i="1"/>
  <c r="R814" i="1" s="1"/>
  <c r="S814" i="1" s="1"/>
  <c r="P813" i="1"/>
  <c r="R813" i="1" s="1"/>
  <c r="S813" i="1" s="1"/>
  <c r="P812" i="1"/>
  <c r="R812" i="1" s="1"/>
  <c r="S812" i="1" s="1"/>
  <c r="P808" i="1"/>
  <c r="J808" i="1"/>
  <c r="P806" i="1"/>
  <c r="R806" i="1" s="1"/>
  <c r="S806" i="1" s="1"/>
  <c r="P802" i="1"/>
  <c r="R802" i="1" s="1"/>
  <c r="S802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7" i="1"/>
  <c r="J787" i="1"/>
  <c r="P785" i="1"/>
  <c r="R785" i="1" s="1"/>
  <c r="S785" i="1" s="1"/>
  <c r="P784" i="1"/>
  <c r="R784" i="1" s="1"/>
  <c r="S784" i="1" s="1"/>
  <c r="P782" i="1"/>
  <c r="R782" i="1" s="1"/>
  <c r="S782" i="1" s="1"/>
  <c r="P775" i="1"/>
  <c r="R775" i="1" s="1"/>
  <c r="S775" i="1" s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J766" i="1"/>
  <c r="P766" i="1"/>
  <c r="J765" i="1"/>
  <c r="P765" i="1"/>
  <c r="P761" i="1"/>
  <c r="R761" i="1" s="1"/>
  <c r="S761" i="1" s="1"/>
  <c r="P760" i="1"/>
  <c r="R760" i="1" s="1"/>
  <c r="S760" i="1" s="1"/>
  <c r="P759" i="1"/>
  <c r="R759" i="1" s="1"/>
  <c r="S759" i="1" s="1"/>
  <c r="P758" i="1"/>
  <c r="R758" i="1" s="1"/>
  <c r="S758" i="1" s="1"/>
  <c r="P757" i="1"/>
  <c r="R757" i="1" s="1"/>
  <c r="S757" i="1" s="1"/>
  <c r="P755" i="1"/>
  <c r="R755" i="1" s="1"/>
  <c r="S755" i="1" s="1"/>
  <c r="P754" i="1"/>
  <c r="R754" i="1" s="1"/>
  <c r="S754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8" i="1"/>
  <c r="R748" i="1" s="1"/>
  <c r="S748" i="1" s="1"/>
  <c r="H745" i="1"/>
  <c r="P745" i="1" s="1"/>
  <c r="R745" i="1" s="1"/>
  <c r="S745" i="1" s="1"/>
  <c r="P743" i="1"/>
  <c r="J743" i="1"/>
  <c r="P742" i="1"/>
  <c r="R742" i="1" s="1"/>
  <c r="S742" i="1" s="1"/>
  <c r="P741" i="1"/>
  <c r="J741" i="1"/>
  <c r="P739" i="1"/>
  <c r="R739" i="1" s="1"/>
  <c r="S739" i="1" s="1"/>
  <c r="P735" i="1"/>
  <c r="R735" i="1" s="1"/>
  <c r="S735" i="1" s="1"/>
  <c r="P734" i="1"/>
  <c r="R734" i="1" s="1"/>
  <c r="S734" i="1" s="1"/>
  <c r="P731" i="1"/>
  <c r="R731" i="1" s="1"/>
  <c r="S731" i="1" s="1"/>
  <c r="P730" i="1"/>
  <c r="R730" i="1" s="1"/>
  <c r="S730" i="1" s="1"/>
  <c r="P729" i="1"/>
  <c r="R729" i="1" s="1"/>
  <c r="S729" i="1" s="1"/>
  <c r="P727" i="1"/>
  <c r="J727" i="1"/>
  <c r="P726" i="1"/>
  <c r="J726" i="1"/>
  <c r="P725" i="1"/>
  <c r="R725" i="1" s="1"/>
  <c r="S725" i="1" s="1"/>
  <c r="P724" i="1"/>
  <c r="J724" i="1"/>
  <c r="P723" i="1"/>
  <c r="J723" i="1"/>
  <c r="P721" i="1"/>
  <c r="R721" i="1" s="1"/>
  <c r="S721" i="1" s="1"/>
  <c r="P719" i="1"/>
  <c r="R719" i="1" s="1"/>
  <c r="S719" i="1" s="1"/>
  <c r="P718" i="1"/>
  <c r="R718" i="1" s="1"/>
  <c r="S718" i="1" s="1"/>
  <c r="P717" i="1"/>
  <c r="R717" i="1" s="1"/>
  <c r="S717" i="1" s="1"/>
  <c r="P716" i="1"/>
  <c r="R716" i="1" s="1"/>
  <c r="S716" i="1" s="1"/>
  <c r="P715" i="1"/>
  <c r="R715" i="1" s="1"/>
  <c r="S715" i="1" s="1"/>
  <c r="P712" i="1"/>
  <c r="R712" i="1" s="1"/>
  <c r="S712" i="1" s="1"/>
  <c r="P711" i="1"/>
  <c r="R711" i="1" s="1"/>
  <c r="S711" i="1" s="1"/>
  <c r="P708" i="1"/>
  <c r="R708" i="1" s="1"/>
  <c r="S708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1" i="1"/>
  <c r="R701" i="1" s="1"/>
  <c r="S701" i="1" s="1"/>
  <c r="P699" i="1"/>
  <c r="J699" i="1"/>
  <c r="P698" i="1"/>
  <c r="J698" i="1"/>
  <c r="P697" i="1"/>
  <c r="J697" i="1"/>
  <c r="P696" i="1"/>
  <c r="J696" i="1"/>
  <c r="P695" i="1"/>
  <c r="J695" i="1"/>
  <c r="P694" i="1"/>
  <c r="J694" i="1"/>
  <c r="P693" i="1"/>
  <c r="J693" i="1"/>
  <c r="P692" i="1"/>
  <c r="J692" i="1"/>
  <c r="J691" i="1"/>
  <c r="P691" i="1"/>
  <c r="P690" i="1"/>
  <c r="J690" i="1"/>
  <c r="P689" i="1"/>
  <c r="R689" i="1" s="1"/>
  <c r="S689" i="1" s="1"/>
  <c r="P688" i="1"/>
  <c r="J688" i="1"/>
  <c r="P687" i="1"/>
  <c r="J687" i="1"/>
  <c r="J686" i="1"/>
  <c r="P686" i="1"/>
  <c r="J685" i="1"/>
  <c r="P685" i="1"/>
  <c r="P684" i="1"/>
  <c r="J684" i="1"/>
  <c r="P683" i="1"/>
  <c r="J683" i="1"/>
  <c r="P681" i="1"/>
  <c r="J681" i="1"/>
  <c r="P679" i="1"/>
  <c r="R679" i="1" s="1"/>
  <c r="S679" i="1" s="1"/>
  <c r="P678" i="1"/>
  <c r="R678" i="1" s="1"/>
  <c r="S678" i="1" s="1"/>
  <c r="P677" i="1"/>
  <c r="R677" i="1" s="1"/>
  <c r="S677" i="1" s="1"/>
  <c r="P676" i="1"/>
  <c r="R676" i="1" s="1"/>
  <c r="S676" i="1" s="1"/>
  <c r="P675" i="1"/>
  <c r="R675" i="1" s="1"/>
  <c r="S675" i="1" s="1"/>
  <c r="P674" i="1"/>
  <c r="R674" i="1" s="1"/>
  <c r="S674" i="1" s="1"/>
  <c r="P668" i="1"/>
  <c r="R668" i="1" s="1"/>
  <c r="S668" i="1" s="1"/>
  <c r="P667" i="1"/>
  <c r="R667" i="1" s="1"/>
  <c r="S667" i="1" s="1"/>
  <c r="P666" i="1"/>
  <c r="R666" i="1" s="1"/>
  <c r="S666" i="1" s="1"/>
  <c r="P665" i="1"/>
  <c r="R665" i="1" s="1"/>
  <c r="S665" i="1" s="1"/>
  <c r="P664" i="1"/>
  <c r="R664" i="1" s="1"/>
  <c r="S664" i="1" s="1"/>
  <c r="P660" i="1"/>
  <c r="R660" i="1" s="1"/>
  <c r="S660" i="1" s="1"/>
  <c r="P658" i="1"/>
  <c r="J658" i="1"/>
  <c r="P655" i="1"/>
  <c r="J655" i="1"/>
  <c r="P654" i="1"/>
  <c r="J654" i="1"/>
  <c r="P651" i="1"/>
  <c r="R651" i="1" s="1"/>
  <c r="S651" i="1" s="1"/>
  <c r="P648" i="1"/>
  <c r="R648" i="1" s="1"/>
  <c r="S648" i="1" s="1"/>
  <c r="P646" i="1"/>
  <c r="J646" i="1"/>
  <c r="P645" i="1"/>
  <c r="J645" i="1"/>
  <c r="P642" i="1"/>
  <c r="R642" i="1" s="1"/>
  <c r="S642" i="1" s="1"/>
  <c r="P640" i="1"/>
  <c r="R640" i="1" s="1"/>
  <c r="S640" i="1" s="1"/>
  <c r="P639" i="1"/>
  <c r="J639" i="1"/>
  <c r="P636" i="1"/>
  <c r="J636" i="1"/>
  <c r="P635" i="1"/>
  <c r="J635" i="1"/>
  <c r="P634" i="1"/>
  <c r="J634" i="1"/>
  <c r="P632" i="1"/>
  <c r="R632" i="1" s="1"/>
  <c r="S632" i="1" s="1"/>
  <c r="P629" i="1"/>
  <c r="J629" i="1"/>
  <c r="P628" i="1"/>
  <c r="J628" i="1"/>
  <c r="P626" i="1"/>
  <c r="R626" i="1" s="1"/>
  <c r="S626" i="1" s="1"/>
  <c r="P625" i="1"/>
  <c r="R625" i="1" s="1"/>
  <c r="S625" i="1" s="1"/>
  <c r="P624" i="1"/>
  <c r="R624" i="1" s="1"/>
  <c r="S624" i="1" s="1"/>
  <c r="P623" i="1"/>
  <c r="R623" i="1" s="1"/>
  <c r="S623" i="1" s="1"/>
  <c r="P622" i="1"/>
  <c r="R622" i="1" s="1"/>
  <c r="S622" i="1" s="1"/>
  <c r="P621" i="1"/>
  <c r="R621" i="1" s="1"/>
  <c r="S621" i="1" s="1"/>
  <c r="P618" i="1"/>
  <c r="R618" i="1" s="1"/>
  <c r="S618" i="1" s="1"/>
  <c r="P617" i="1"/>
  <c r="R617" i="1" s="1"/>
  <c r="S617" i="1" s="1"/>
  <c r="P615" i="1"/>
  <c r="R615" i="1" s="1"/>
  <c r="S615" i="1" s="1"/>
  <c r="P609" i="1"/>
  <c r="R609" i="1" s="1"/>
  <c r="S609" i="1" s="1"/>
  <c r="P608" i="1"/>
  <c r="J608" i="1"/>
  <c r="P607" i="1"/>
  <c r="R607" i="1" s="1"/>
  <c r="S607" i="1" s="1"/>
  <c r="P606" i="1"/>
  <c r="R606" i="1" s="1"/>
  <c r="S606" i="1" s="1"/>
  <c r="P605" i="1"/>
  <c r="R605" i="1" s="1"/>
  <c r="S605" i="1" s="1"/>
  <c r="P603" i="1"/>
  <c r="J603" i="1"/>
  <c r="P602" i="1"/>
  <c r="J602" i="1"/>
  <c r="P601" i="1"/>
  <c r="J601" i="1"/>
  <c r="P600" i="1"/>
  <c r="J600" i="1"/>
  <c r="J599" i="1"/>
  <c r="P599" i="1"/>
  <c r="P598" i="1"/>
  <c r="J598" i="1"/>
  <c r="P597" i="1"/>
  <c r="J597" i="1"/>
  <c r="P596" i="1"/>
  <c r="J596" i="1"/>
  <c r="P595" i="1"/>
  <c r="R595" i="1" s="1"/>
  <c r="S595" i="1" s="1"/>
  <c r="P594" i="1"/>
  <c r="J594" i="1"/>
  <c r="J593" i="1"/>
  <c r="P593" i="1"/>
  <c r="P592" i="1"/>
  <c r="J592" i="1"/>
  <c r="P591" i="1"/>
  <c r="J591" i="1"/>
  <c r="P590" i="1"/>
  <c r="J590" i="1"/>
  <c r="P589" i="1"/>
  <c r="J589" i="1"/>
  <c r="P587" i="1"/>
  <c r="J587" i="1"/>
  <c r="P585" i="1"/>
  <c r="J585" i="1"/>
  <c r="P582" i="1"/>
  <c r="J582" i="1"/>
  <c r="P581" i="1"/>
  <c r="J581" i="1"/>
  <c r="P580" i="1"/>
  <c r="J580" i="1"/>
  <c r="P579" i="1"/>
  <c r="J579" i="1"/>
  <c r="P578" i="1"/>
  <c r="R578" i="1" s="1"/>
  <c r="S578" i="1" s="1"/>
  <c r="P577" i="1"/>
  <c r="J577" i="1"/>
  <c r="P576" i="1"/>
  <c r="J576" i="1"/>
  <c r="P575" i="1"/>
  <c r="R575" i="1" s="1"/>
  <c r="S575" i="1" s="1"/>
  <c r="P573" i="1"/>
  <c r="R573" i="1" s="1"/>
  <c r="S573" i="1" s="1"/>
  <c r="P572" i="1"/>
  <c r="R572" i="1" s="1"/>
  <c r="S572" i="1" s="1"/>
  <c r="P571" i="1"/>
  <c r="R571" i="1" s="1"/>
  <c r="S571" i="1" s="1"/>
  <c r="P570" i="1"/>
  <c r="R570" i="1" s="1"/>
  <c r="S570" i="1" s="1"/>
  <c r="P569" i="1"/>
  <c r="R569" i="1" s="1"/>
  <c r="S569" i="1" s="1"/>
  <c r="P568" i="1"/>
  <c r="R568" i="1" s="1"/>
  <c r="S568" i="1" s="1"/>
  <c r="P567" i="1"/>
  <c r="R567" i="1" s="1"/>
  <c r="S567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5" i="1"/>
  <c r="R555" i="1" s="1"/>
  <c r="S555" i="1" s="1"/>
  <c r="P554" i="1"/>
  <c r="R554" i="1" s="1"/>
  <c r="S554" i="1" s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6" i="1"/>
  <c r="J546" i="1"/>
  <c r="P545" i="1"/>
  <c r="J545" i="1"/>
  <c r="P544" i="1"/>
  <c r="R544" i="1" s="1"/>
  <c r="S544" i="1" s="1"/>
  <c r="P543" i="1"/>
  <c r="R543" i="1" s="1"/>
  <c r="S543" i="1" s="1"/>
  <c r="P542" i="1"/>
  <c r="R542" i="1" s="1"/>
  <c r="S542" i="1" s="1"/>
  <c r="P541" i="1"/>
  <c r="J541" i="1"/>
  <c r="P540" i="1"/>
  <c r="R540" i="1" s="1"/>
  <c r="S540" i="1" s="1"/>
  <c r="P538" i="1"/>
  <c r="R538" i="1" s="1"/>
  <c r="S538" i="1" s="1"/>
  <c r="P536" i="1"/>
  <c r="R536" i="1" s="1"/>
  <c r="S536" i="1" s="1"/>
  <c r="P535" i="1"/>
  <c r="R535" i="1" s="1"/>
  <c r="S535" i="1" s="1"/>
  <c r="P533" i="1"/>
  <c r="R533" i="1" s="1"/>
  <c r="S533" i="1" s="1"/>
  <c r="P532" i="1"/>
  <c r="R532" i="1" s="1"/>
  <c r="S532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3" i="1"/>
  <c r="J523" i="1"/>
  <c r="P522" i="1"/>
  <c r="J522" i="1"/>
  <c r="P516" i="1"/>
  <c r="R516" i="1" s="1"/>
  <c r="S516" i="1" s="1"/>
  <c r="P515" i="1"/>
  <c r="R515" i="1" s="1"/>
  <c r="S515" i="1" s="1"/>
  <c r="J512" i="1"/>
  <c r="P512" i="1"/>
  <c r="J511" i="1"/>
  <c r="P511" i="1"/>
  <c r="P510" i="1"/>
  <c r="J510" i="1"/>
  <c r="P508" i="1"/>
  <c r="R508" i="1" s="1"/>
  <c r="S508" i="1" s="1"/>
  <c r="P507" i="1"/>
  <c r="R507" i="1" s="1"/>
  <c r="S507" i="1" s="1"/>
  <c r="P504" i="1"/>
  <c r="R504" i="1" s="1"/>
  <c r="S504" i="1" s="1"/>
  <c r="J503" i="1"/>
  <c r="P503" i="1"/>
  <c r="J502" i="1"/>
  <c r="J501" i="1"/>
  <c r="P501" i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1" i="1"/>
  <c r="R491" i="1" s="1"/>
  <c r="S491" i="1" s="1"/>
  <c r="J488" i="1"/>
  <c r="P488" i="1"/>
  <c r="P487" i="1"/>
  <c r="J487" i="1"/>
  <c r="P486" i="1"/>
  <c r="J486" i="1"/>
  <c r="P485" i="1"/>
  <c r="J485" i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9" i="1"/>
  <c r="R479" i="1" s="1"/>
  <c r="S479" i="1" s="1"/>
  <c r="P478" i="1"/>
  <c r="R478" i="1" s="1"/>
  <c r="S478" i="1" s="1"/>
  <c r="P475" i="1"/>
  <c r="R475" i="1" s="1"/>
  <c r="S475" i="1" s="1"/>
  <c r="P472" i="1"/>
  <c r="R472" i="1" s="1"/>
  <c r="S472" i="1" s="1"/>
  <c r="P470" i="1"/>
  <c r="R470" i="1" s="1"/>
  <c r="S470" i="1" s="1"/>
  <c r="J467" i="1"/>
  <c r="P467" i="1"/>
  <c r="J466" i="1"/>
  <c r="P466" i="1"/>
  <c r="P465" i="1"/>
  <c r="J465" i="1"/>
  <c r="P463" i="1"/>
  <c r="J463" i="1"/>
  <c r="J462" i="1"/>
  <c r="P462" i="1"/>
  <c r="P461" i="1"/>
  <c r="J461" i="1"/>
  <c r="P460" i="1"/>
  <c r="J460" i="1"/>
  <c r="P459" i="1"/>
  <c r="J459" i="1"/>
  <c r="P458" i="1"/>
  <c r="J458" i="1"/>
  <c r="J457" i="1"/>
  <c r="P457" i="1"/>
  <c r="P456" i="1"/>
  <c r="J456" i="1"/>
  <c r="S455" i="1"/>
  <c r="P451" i="1"/>
  <c r="J451" i="1"/>
  <c r="P450" i="1"/>
  <c r="J450" i="1"/>
  <c r="J449" i="1"/>
  <c r="P449" i="1"/>
  <c r="P447" i="1"/>
  <c r="J447" i="1"/>
  <c r="P445" i="1"/>
  <c r="J445" i="1"/>
  <c r="P444" i="1"/>
  <c r="J444" i="1"/>
  <c r="P443" i="1"/>
  <c r="J443" i="1"/>
  <c r="P442" i="1"/>
  <c r="J442" i="1"/>
  <c r="P438" i="1"/>
  <c r="J438" i="1"/>
  <c r="P436" i="1"/>
  <c r="R436" i="1" s="1"/>
  <c r="S436" i="1" s="1"/>
  <c r="P434" i="1"/>
  <c r="R434" i="1" s="1"/>
  <c r="S434" i="1" s="1"/>
  <c r="P431" i="1"/>
  <c r="J431" i="1"/>
  <c r="P430" i="1"/>
  <c r="J430" i="1"/>
  <c r="P429" i="1"/>
  <c r="J429" i="1"/>
  <c r="P423" i="1"/>
  <c r="J423" i="1"/>
  <c r="P422" i="1"/>
  <c r="J422" i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2" i="1"/>
  <c r="R412" i="1" s="1"/>
  <c r="S412" i="1" s="1"/>
  <c r="P411" i="1"/>
  <c r="R411" i="1" s="1"/>
  <c r="S411" i="1" s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5" i="1"/>
  <c r="R385" i="1" s="1"/>
  <c r="S385" i="1" s="1"/>
  <c r="P384" i="1"/>
  <c r="R384" i="1" s="1"/>
  <c r="S384" i="1" s="1"/>
  <c r="P382" i="1"/>
  <c r="R382" i="1" s="1"/>
  <c r="S382" i="1" s="1"/>
  <c r="P381" i="1"/>
  <c r="R381" i="1" s="1"/>
  <c r="S381" i="1" s="1"/>
  <c r="P380" i="1"/>
  <c r="R380" i="1" s="1"/>
  <c r="S380" i="1" s="1"/>
  <c r="P377" i="1"/>
  <c r="R377" i="1" s="1"/>
  <c r="S377" i="1" s="1"/>
  <c r="P375" i="1"/>
  <c r="J375" i="1"/>
  <c r="P370" i="1"/>
  <c r="J370" i="1"/>
  <c r="P369" i="1"/>
  <c r="J369" i="1"/>
  <c r="P366" i="1"/>
  <c r="J366" i="1"/>
  <c r="P365" i="1"/>
  <c r="J365" i="1"/>
  <c r="P364" i="1"/>
  <c r="J364" i="1"/>
  <c r="P363" i="1"/>
  <c r="J363" i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49" i="1"/>
  <c r="J349" i="1"/>
  <c r="P348" i="1"/>
  <c r="J348" i="1"/>
  <c r="P345" i="1"/>
  <c r="J345" i="1"/>
  <c r="P344" i="1"/>
  <c r="J344" i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30" i="1"/>
  <c r="R330" i="1" s="1"/>
  <c r="S330" i="1" s="1"/>
  <c r="P329" i="1"/>
  <c r="R329" i="1" s="1"/>
  <c r="S329" i="1" s="1"/>
  <c r="P327" i="1"/>
  <c r="J327" i="1"/>
  <c r="P324" i="1"/>
  <c r="J324" i="1"/>
  <c r="P321" i="1"/>
  <c r="J321" i="1"/>
  <c r="P320" i="1"/>
  <c r="J320" i="1"/>
  <c r="P319" i="1"/>
  <c r="J319" i="1"/>
  <c r="P318" i="1"/>
  <c r="J318" i="1"/>
  <c r="P317" i="1"/>
  <c r="J317" i="1"/>
  <c r="P316" i="1"/>
  <c r="J316" i="1"/>
  <c r="P315" i="1"/>
  <c r="J315" i="1"/>
  <c r="P311" i="1"/>
  <c r="R311" i="1" s="1"/>
  <c r="S311" i="1" s="1"/>
  <c r="P308" i="1"/>
  <c r="R308" i="1" s="1"/>
  <c r="S308" i="1" s="1"/>
  <c r="P305" i="1"/>
  <c r="R305" i="1" s="1"/>
  <c r="S305" i="1" s="1"/>
  <c r="P301" i="1"/>
  <c r="J301" i="1"/>
  <c r="P300" i="1"/>
  <c r="J300" i="1"/>
  <c r="P297" i="1"/>
  <c r="R297" i="1" s="1"/>
  <c r="S297" i="1" s="1"/>
  <c r="P296" i="1"/>
  <c r="R296" i="1" s="1"/>
  <c r="S296" i="1" s="1"/>
  <c r="P295" i="1"/>
  <c r="R295" i="1" s="1"/>
  <c r="S295" i="1" s="1"/>
  <c r="P292" i="1"/>
  <c r="R292" i="1" s="1"/>
  <c r="S292" i="1" s="1"/>
  <c r="P289" i="1"/>
  <c r="J289" i="1"/>
  <c r="P288" i="1"/>
  <c r="J288" i="1"/>
  <c r="P286" i="1"/>
  <c r="J286" i="1"/>
  <c r="P284" i="1"/>
  <c r="R284" i="1" s="1"/>
  <c r="S284" i="1" s="1"/>
  <c r="P283" i="1"/>
  <c r="R283" i="1" s="1"/>
  <c r="S283" i="1" s="1"/>
  <c r="P282" i="1"/>
  <c r="R282" i="1" s="1"/>
  <c r="S282" i="1" s="1"/>
  <c r="P281" i="1"/>
  <c r="R281" i="1" s="1"/>
  <c r="S281" i="1" s="1"/>
  <c r="P278" i="1"/>
  <c r="J278" i="1"/>
  <c r="P277" i="1"/>
  <c r="J277" i="1"/>
  <c r="P275" i="1"/>
  <c r="R275" i="1" s="1"/>
  <c r="S275" i="1" s="1"/>
  <c r="P273" i="1"/>
  <c r="R273" i="1" s="1"/>
  <c r="S273" i="1" s="1"/>
  <c r="P270" i="1"/>
  <c r="J270" i="1"/>
  <c r="P269" i="1"/>
  <c r="R269" i="1" s="1"/>
  <c r="S269" i="1" s="1"/>
  <c r="P267" i="1"/>
  <c r="R267" i="1" s="1"/>
  <c r="S267" i="1" s="1"/>
  <c r="J265" i="1"/>
  <c r="P265" i="1"/>
  <c r="J264" i="1"/>
  <c r="J263" i="1"/>
  <c r="P263" i="1"/>
  <c r="P261" i="1"/>
  <c r="R261" i="1" s="1"/>
  <c r="S261" i="1" s="1"/>
  <c r="J260" i="1"/>
  <c r="H260" i="1"/>
  <c r="P260" i="1" s="1"/>
  <c r="P259" i="1"/>
  <c r="R259" i="1" s="1"/>
  <c r="S259" i="1" s="1"/>
  <c r="P258" i="1"/>
  <c r="R258" i="1" s="1"/>
  <c r="S258" i="1" s="1"/>
  <c r="P257" i="1"/>
  <c r="R257" i="1" s="1"/>
  <c r="S257" i="1" s="1"/>
  <c r="P256" i="1"/>
  <c r="R256" i="1" s="1"/>
  <c r="S256" i="1" s="1"/>
  <c r="P252" i="1"/>
  <c r="R252" i="1" s="1"/>
  <c r="S252" i="1" s="1"/>
  <c r="P251" i="1"/>
  <c r="R251" i="1" s="1"/>
  <c r="S251" i="1" s="1"/>
  <c r="P249" i="1"/>
  <c r="R249" i="1" s="1"/>
  <c r="S249" i="1" s="1"/>
  <c r="P246" i="1"/>
  <c r="R246" i="1" s="1"/>
  <c r="S246" i="1" s="1"/>
  <c r="P245" i="1"/>
  <c r="J245" i="1"/>
  <c r="P244" i="1"/>
  <c r="R244" i="1" s="1"/>
  <c r="S244" i="1" s="1"/>
  <c r="P243" i="1"/>
  <c r="J243" i="1"/>
  <c r="P240" i="1"/>
  <c r="R240" i="1" s="1"/>
  <c r="S240" i="1" s="1"/>
  <c r="P239" i="1"/>
  <c r="R239" i="1" s="1"/>
  <c r="S239" i="1" s="1"/>
  <c r="P237" i="1"/>
  <c r="R237" i="1" s="1"/>
  <c r="S237" i="1" s="1"/>
  <c r="P234" i="1"/>
  <c r="J234" i="1"/>
  <c r="P233" i="1"/>
  <c r="J233" i="1"/>
  <c r="J232" i="1"/>
  <c r="P232" i="1"/>
  <c r="J231" i="1"/>
  <c r="P231" i="1"/>
  <c r="P230" i="1"/>
  <c r="J230" i="1"/>
  <c r="P229" i="1"/>
  <c r="J229" i="1"/>
  <c r="P228" i="1"/>
  <c r="R228" i="1" s="1"/>
  <c r="S228" i="1" s="1"/>
  <c r="P227" i="1"/>
  <c r="R227" i="1" s="1"/>
  <c r="S227" i="1" s="1"/>
  <c r="P223" i="1"/>
  <c r="J223" i="1"/>
  <c r="P222" i="1"/>
  <c r="J222" i="1"/>
  <c r="P220" i="1"/>
  <c r="R220" i="1" s="1"/>
  <c r="S220" i="1" s="1"/>
  <c r="P219" i="1"/>
  <c r="R219" i="1" s="1"/>
  <c r="S219" i="1" s="1"/>
  <c r="P218" i="1"/>
  <c r="R218" i="1" s="1"/>
  <c r="S218" i="1" s="1"/>
  <c r="P217" i="1"/>
  <c r="R217" i="1" s="1"/>
  <c r="S217" i="1" s="1"/>
  <c r="P216" i="1"/>
  <c r="R216" i="1" s="1"/>
  <c r="S216" i="1" s="1"/>
  <c r="P215" i="1"/>
  <c r="R215" i="1" s="1"/>
  <c r="S215" i="1" s="1"/>
  <c r="P214" i="1"/>
  <c r="R214" i="1" s="1"/>
  <c r="S214" i="1" s="1"/>
  <c r="P213" i="1"/>
  <c r="R213" i="1" s="1"/>
  <c r="S213" i="1" s="1"/>
  <c r="P212" i="1"/>
  <c r="R212" i="1" s="1"/>
  <c r="S212" i="1" s="1"/>
  <c r="P211" i="1"/>
  <c r="R211" i="1" s="1"/>
  <c r="S211" i="1" s="1"/>
  <c r="J208" i="1"/>
  <c r="P208" i="1"/>
  <c r="P207" i="1"/>
  <c r="J207" i="1"/>
  <c r="P204" i="1"/>
  <c r="J204" i="1"/>
  <c r="P203" i="1"/>
  <c r="J203" i="1"/>
  <c r="P202" i="1"/>
  <c r="J202" i="1"/>
  <c r="P201" i="1"/>
  <c r="J201" i="1"/>
  <c r="J200" i="1"/>
  <c r="P200" i="1"/>
  <c r="P199" i="1"/>
  <c r="J199" i="1"/>
  <c r="P198" i="1"/>
  <c r="J198" i="1"/>
  <c r="P197" i="1"/>
  <c r="J197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J186" i="1"/>
  <c r="H186" i="1"/>
  <c r="P186" i="1" s="1"/>
  <c r="J185" i="1"/>
  <c r="H185" i="1"/>
  <c r="P185" i="1" s="1"/>
  <c r="P182" i="1"/>
  <c r="J182" i="1"/>
  <c r="P180" i="1"/>
  <c r="J180" i="1"/>
  <c r="P177" i="1"/>
  <c r="J177" i="1"/>
  <c r="P176" i="1"/>
  <c r="J176" i="1"/>
  <c r="J174" i="1"/>
  <c r="P174" i="1"/>
  <c r="P171" i="1"/>
  <c r="J171" i="1"/>
  <c r="J170" i="1"/>
  <c r="P170" i="1"/>
  <c r="P169" i="1"/>
  <c r="J169" i="1"/>
  <c r="P166" i="1"/>
  <c r="J166" i="1"/>
  <c r="J165" i="1"/>
  <c r="P165" i="1"/>
  <c r="P164" i="1"/>
  <c r="J164" i="1"/>
  <c r="P163" i="1"/>
  <c r="J163" i="1"/>
  <c r="J162" i="1"/>
  <c r="P162" i="1"/>
  <c r="J161" i="1"/>
  <c r="P160" i="1"/>
  <c r="J160" i="1"/>
  <c r="P159" i="1"/>
  <c r="J159" i="1"/>
  <c r="P157" i="1"/>
  <c r="R157" i="1" s="1"/>
  <c r="S157" i="1" s="1"/>
  <c r="P156" i="1"/>
  <c r="R156" i="1" s="1"/>
  <c r="S156" i="1" s="1"/>
  <c r="P155" i="1"/>
  <c r="J155" i="1"/>
  <c r="P154" i="1"/>
  <c r="R154" i="1" s="1"/>
  <c r="S154" i="1" s="1"/>
  <c r="P153" i="1"/>
  <c r="J153" i="1"/>
  <c r="P152" i="1"/>
  <c r="J152" i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7" i="1"/>
  <c r="R147" i="1" s="1"/>
  <c r="S147" i="1" s="1"/>
  <c r="P146" i="1"/>
  <c r="R146" i="1" s="1"/>
  <c r="S146" i="1" s="1"/>
  <c r="P145" i="1"/>
  <c r="R145" i="1" s="1"/>
  <c r="S145" i="1" s="1"/>
  <c r="P144" i="1"/>
  <c r="R144" i="1" s="1"/>
  <c r="S144" i="1" s="1"/>
  <c r="P142" i="1"/>
  <c r="R142" i="1" s="1"/>
  <c r="S142" i="1" s="1"/>
  <c r="P138" i="1"/>
  <c r="J138" i="1"/>
  <c r="J137" i="1"/>
  <c r="P137" i="1"/>
  <c r="P136" i="1"/>
  <c r="J136" i="1"/>
  <c r="P135" i="1"/>
  <c r="J135" i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7" i="1"/>
  <c r="J127" i="1"/>
  <c r="J126" i="1"/>
  <c r="P125" i="1"/>
  <c r="J125" i="1"/>
  <c r="J124" i="1"/>
  <c r="P124" i="1"/>
  <c r="J123" i="1"/>
  <c r="J122" i="1"/>
  <c r="P122" i="1"/>
  <c r="J121" i="1"/>
  <c r="P118" i="1"/>
  <c r="J118" i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3" i="1"/>
  <c r="R113" i="1" s="1"/>
  <c r="S113" i="1" s="1"/>
  <c r="P112" i="1"/>
  <c r="R112" i="1" s="1"/>
  <c r="S112" i="1" s="1"/>
  <c r="P111" i="1"/>
  <c r="R111" i="1" s="1"/>
  <c r="S111" i="1" s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0" i="1"/>
  <c r="R100" i="1" s="1"/>
  <c r="S100" i="1" s="1"/>
  <c r="P99" i="1"/>
  <c r="R99" i="1" s="1"/>
  <c r="S99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6" i="1"/>
  <c r="R86" i="1" s="1"/>
  <c r="S86" i="1" s="1"/>
  <c r="P82" i="1"/>
  <c r="R82" i="1" s="1"/>
  <c r="S82" i="1" s="1"/>
  <c r="P79" i="1"/>
  <c r="R79" i="1" s="1"/>
  <c r="S79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2" i="1"/>
  <c r="R62" i="1" s="1"/>
  <c r="S62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P44" i="1"/>
  <c r="J44" i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18" i="1" l="1"/>
  <c r="S118" i="1" s="1"/>
  <c r="R985" i="1"/>
  <c r="S985" i="1" s="1"/>
  <c r="R502" i="1"/>
  <c r="S502" i="1" s="1"/>
  <c r="R1016" i="1"/>
  <c r="S1016" i="1" s="1"/>
  <c r="R1018" i="1"/>
  <c r="S1018" i="1" s="1"/>
  <c r="R989" i="1"/>
  <c r="S989" i="1" s="1"/>
  <c r="R996" i="1"/>
  <c r="S996" i="1" s="1"/>
  <c r="R998" i="1"/>
  <c r="S998" i="1" s="1"/>
  <c r="R1022" i="1"/>
  <c r="S1022" i="1" s="1"/>
  <c r="R1024" i="1"/>
  <c r="S1024" i="1" s="1"/>
  <c r="R976" i="1"/>
  <c r="S976" i="1" s="1"/>
  <c r="R913" i="1"/>
  <c r="S913" i="1" s="1"/>
  <c r="R961" i="1"/>
  <c r="S961" i="1" s="1"/>
  <c r="R834" i="1"/>
  <c r="S834" i="1" s="1"/>
  <c r="R858" i="1"/>
  <c r="S858" i="1" s="1"/>
  <c r="R862" i="1"/>
  <c r="S862" i="1" s="1"/>
  <c r="R523" i="1"/>
  <c r="S523" i="1" s="1"/>
  <c r="R545" i="1"/>
  <c r="S545" i="1" s="1"/>
  <c r="R628" i="1"/>
  <c r="S628" i="1" s="1"/>
  <c r="R727" i="1"/>
  <c r="S727" i="1" s="1"/>
  <c r="R765" i="1"/>
  <c r="S765" i="1" s="1"/>
  <c r="R457" i="1"/>
  <c r="S457" i="1" s="1"/>
  <c r="R466" i="1"/>
  <c r="S466" i="1" s="1"/>
  <c r="R503" i="1"/>
  <c r="S503" i="1" s="1"/>
  <c r="R510" i="1"/>
  <c r="S510" i="1" s="1"/>
  <c r="R522" i="1"/>
  <c r="S522" i="1" s="1"/>
  <c r="R546" i="1"/>
  <c r="S546" i="1" s="1"/>
  <c r="R835" i="1"/>
  <c r="S835" i="1" s="1"/>
  <c r="R859" i="1"/>
  <c r="S859" i="1" s="1"/>
  <c r="R576" i="1"/>
  <c r="S576" i="1" s="1"/>
  <c r="R770" i="1"/>
  <c r="S770" i="1" s="1"/>
  <c r="R182" i="1"/>
  <c r="S182" i="1" s="1"/>
  <c r="R265" i="1"/>
  <c r="S265" i="1" s="1"/>
  <c r="R591" i="1"/>
  <c r="S591" i="1" s="1"/>
  <c r="R363" i="1"/>
  <c r="S363" i="1" s="1"/>
  <c r="R364" i="1"/>
  <c r="S364" i="1" s="1"/>
  <c r="R366" i="1"/>
  <c r="S366" i="1" s="1"/>
  <c r="R370" i="1"/>
  <c r="S370" i="1" s="1"/>
  <c r="R592" i="1"/>
  <c r="S592" i="1" s="1"/>
  <c r="R260" i="1"/>
  <c r="S260" i="1" s="1"/>
  <c r="R300" i="1"/>
  <c r="S300" i="1" s="1"/>
  <c r="R688" i="1"/>
  <c r="S688" i="1" s="1"/>
  <c r="R124" i="1"/>
  <c r="S124" i="1" s="1"/>
  <c r="R200" i="1"/>
  <c r="S200" i="1" s="1"/>
  <c r="R203" i="1"/>
  <c r="S203" i="1" s="1"/>
  <c r="R207" i="1"/>
  <c r="S207" i="1" s="1"/>
  <c r="R315" i="1"/>
  <c r="S315" i="1" s="1"/>
  <c r="R443" i="1"/>
  <c r="S443" i="1" s="1"/>
  <c r="R445" i="1"/>
  <c r="S445" i="1" s="1"/>
  <c r="R180" i="1"/>
  <c r="S180" i="1" s="1"/>
  <c r="R365" i="1"/>
  <c r="S365" i="1" s="1"/>
  <c r="R369" i="1"/>
  <c r="S369" i="1" s="1"/>
  <c r="R375" i="1"/>
  <c r="S375" i="1" s="1"/>
  <c r="R639" i="1"/>
  <c r="S639" i="1" s="1"/>
  <c r="R645" i="1"/>
  <c r="S645" i="1" s="1"/>
  <c r="R655" i="1"/>
  <c r="S655" i="1" s="1"/>
  <c r="R685" i="1"/>
  <c r="S685" i="1" s="1"/>
  <c r="R691" i="1"/>
  <c r="S691" i="1" s="1"/>
  <c r="R726" i="1"/>
  <c r="S726" i="1" s="1"/>
  <c r="R135" i="1"/>
  <c r="S135" i="1" s="1"/>
  <c r="R127" i="1"/>
  <c r="S127" i="1" s="1"/>
  <c r="R136" i="1"/>
  <c r="S136" i="1" s="1"/>
  <c r="R177" i="1"/>
  <c r="S177" i="1" s="1"/>
  <c r="R186" i="1"/>
  <c r="S186" i="1" s="1"/>
  <c r="R208" i="1"/>
  <c r="S208" i="1" s="1"/>
  <c r="R317" i="1"/>
  <c r="S317" i="1" s="1"/>
  <c r="R442" i="1"/>
  <c r="S442" i="1" s="1"/>
  <c r="R444" i="1"/>
  <c r="S444" i="1" s="1"/>
  <c r="R447" i="1"/>
  <c r="S447" i="1" s="1"/>
  <c r="R462" i="1"/>
  <c r="S462" i="1" s="1"/>
  <c r="R467" i="1"/>
  <c r="S467" i="1" s="1"/>
  <c r="R686" i="1"/>
  <c r="S686" i="1" s="1"/>
  <c r="R907" i="1"/>
  <c r="S907" i="1" s="1"/>
  <c r="R13" i="1"/>
  <c r="S13" i="1" s="1"/>
  <c r="R164" i="1"/>
  <c r="S164" i="1" s="1"/>
  <c r="R166" i="1"/>
  <c r="S166" i="1" s="1"/>
  <c r="R188" i="1"/>
  <c r="S188" i="1" s="1"/>
  <c r="R190" i="1"/>
  <c r="S190" i="1" s="1"/>
  <c r="R501" i="1"/>
  <c r="S501" i="1" s="1"/>
  <c r="R636" i="1"/>
  <c r="S636" i="1" s="1"/>
  <c r="R654" i="1"/>
  <c r="S654" i="1" s="1"/>
  <c r="R658" i="1"/>
  <c r="S658" i="1" s="1"/>
  <c r="R693" i="1"/>
  <c r="S693" i="1" s="1"/>
  <c r="R697" i="1"/>
  <c r="S697" i="1" s="1"/>
  <c r="R769" i="1"/>
  <c r="S769" i="1" s="1"/>
  <c r="R771" i="1"/>
  <c r="S771" i="1" s="1"/>
  <c r="R773" i="1"/>
  <c r="S773" i="1" s="1"/>
  <c r="R808" i="1"/>
  <c r="S808" i="1" s="1"/>
  <c r="R821" i="1"/>
  <c r="S821" i="1" s="1"/>
  <c r="R824" i="1"/>
  <c r="S824" i="1" s="1"/>
  <c r="R868" i="1"/>
  <c r="S868" i="1" s="1"/>
  <c r="R875" i="1"/>
  <c r="S875" i="1" s="1"/>
  <c r="R975" i="1"/>
  <c r="S975" i="1" s="1"/>
  <c r="R988" i="1"/>
  <c r="S988" i="1" s="1"/>
  <c r="R990" i="1"/>
  <c r="S990" i="1" s="1"/>
  <c r="R995" i="1"/>
  <c r="S995" i="1" s="1"/>
  <c r="R997" i="1"/>
  <c r="S997" i="1" s="1"/>
  <c r="R999" i="1"/>
  <c r="S999" i="1" s="1"/>
  <c r="R577" i="1"/>
  <c r="S577" i="1" s="1"/>
  <c r="R629" i="1"/>
  <c r="S629" i="1" s="1"/>
  <c r="R635" i="1"/>
  <c r="S635" i="1" s="1"/>
  <c r="R766" i="1"/>
  <c r="S766" i="1" s="1"/>
  <c r="R910" i="1"/>
  <c r="S910" i="1" s="1"/>
  <c r="R912" i="1"/>
  <c r="S912" i="1" s="1"/>
  <c r="R960" i="1"/>
  <c r="S960" i="1" s="1"/>
  <c r="R163" i="1"/>
  <c r="S163" i="1" s="1"/>
  <c r="R169" i="1"/>
  <c r="S169" i="1" s="1"/>
  <c r="R185" i="1"/>
  <c r="S185" i="1" s="1"/>
  <c r="R189" i="1"/>
  <c r="S189" i="1" s="1"/>
  <c r="R191" i="1"/>
  <c r="S191" i="1" s="1"/>
  <c r="R232" i="1"/>
  <c r="S232" i="1" s="1"/>
  <c r="R243" i="1"/>
  <c r="S243" i="1" s="1"/>
  <c r="R438" i="1"/>
  <c r="S438" i="1" s="1"/>
  <c r="R599" i="1"/>
  <c r="S599" i="1" s="1"/>
  <c r="R694" i="1"/>
  <c r="S694" i="1" s="1"/>
  <c r="R772" i="1"/>
  <c r="S772" i="1" s="1"/>
  <c r="R774" i="1"/>
  <c r="S774" i="1" s="1"/>
  <c r="R822" i="1"/>
  <c r="S822" i="1" s="1"/>
  <c r="R825" i="1"/>
  <c r="S825" i="1" s="1"/>
  <c r="R867" i="1"/>
  <c r="S867" i="1" s="1"/>
  <c r="R15" i="1"/>
  <c r="S15" i="1" s="1"/>
  <c r="R42" i="1"/>
  <c r="S42" i="1" s="1"/>
  <c r="R125" i="1"/>
  <c r="S125" i="1" s="1"/>
  <c r="R137" i="1"/>
  <c r="S137" i="1" s="1"/>
  <c r="R153" i="1"/>
  <c r="S153" i="1" s="1"/>
  <c r="R159" i="1"/>
  <c r="S159" i="1" s="1"/>
  <c r="R162" i="1"/>
  <c r="S162" i="1" s="1"/>
  <c r="R170" i="1"/>
  <c r="S170" i="1" s="1"/>
  <c r="R174" i="1"/>
  <c r="S174" i="1" s="1"/>
  <c r="R176" i="1"/>
  <c r="S176" i="1" s="1"/>
  <c r="R192" i="1"/>
  <c r="S192" i="1" s="1"/>
  <c r="R195" i="1"/>
  <c r="S195" i="1" s="1"/>
  <c r="R198" i="1"/>
  <c r="S198" i="1" s="1"/>
  <c r="R230" i="1"/>
  <c r="S230" i="1" s="1"/>
  <c r="R234" i="1"/>
  <c r="S234" i="1" s="1"/>
  <c r="R263" i="1"/>
  <c r="S263" i="1" s="1"/>
  <c r="R286" i="1"/>
  <c r="S286" i="1" s="1"/>
  <c r="R289" i="1"/>
  <c r="S289" i="1" s="1"/>
  <c r="R318" i="1"/>
  <c r="S318" i="1" s="1"/>
  <c r="R321" i="1"/>
  <c r="S321" i="1" s="1"/>
  <c r="R327" i="1"/>
  <c r="S327" i="1" s="1"/>
  <c r="R344" i="1"/>
  <c r="S344" i="1" s="1"/>
  <c r="R348" i="1"/>
  <c r="S348" i="1" s="1"/>
  <c r="R449" i="1"/>
  <c r="S449" i="1" s="1"/>
  <c r="R451" i="1"/>
  <c r="S451" i="1" s="1"/>
  <c r="R456" i="1"/>
  <c r="S456" i="1" s="1"/>
  <c r="R465" i="1"/>
  <c r="S465" i="1" s="1"/>
  <c r="R486" i="1"/>
  <c r="S486" i="1" s="1"/>
  <c r="R512" i="1"/>
  <c r="S512" i="1" s="1"/>
  <c r="R581" i="1"/>
  <c r="S581" i="1" s="1"/>
  <c r="R585" i="1"/>
  <c r="S585" i="1" s="1"/>
  <c r="R589" i="1"/>
  <c r="S589" i="1" s="1"/>
  <c r="R593" i="1"/>
  <c r="S593" i="1" s="1"/>
  <c r="R597" i="1"/>
  <c r="S597" i="1" s="1"/>
  <c r="R601" i="1"/>
  <c r="S601" i="1" s="1"/>
  <c r="R603" i="1"/>
  <c r="S603" i="1" s="1"/>
  <c r="R683" i="1"/>
  <c r="S683" i="1" s="1"/>
  <c r="R698" i="1"/>
  <c r="S698" i="1" s="1"/>
  <c r="R723" i="1"/>
  <c r="S723" i="1" s="1"/>
  <c r="R768" i="1"/>
  <c r="S768" i="1" s="1"/>
  <c r="R820" i="1"/>
  <c r="S820" i="1" s="1"/>
  <c r="R826" i="1"/>
  <c r="S826" i="1" s="1"/>
  <c r="R883" i="1"/>
  <c r="S883" i="1" s="1"/>
  <c r="R897" i="1"/>
  <c r="S897" i="1" s="1"/>
  <c r="R899" i="1"/>
  <c r="S899" i="1" s="1"/>
  <c r="R901" i="1"/>
  <c r="S901" i="1" s="1"/>
  <c r="R906" i="1"/>
  <c r="S906" i="1" s="1"/>
  <c r="R911" i="1"/>
  <c r="S911" i="1" s="1"/>
  <c r="R929" i="1"/>
  <c r="S929" i="1" s="1"/>
  <c r="R931" i="1"/>
  <c r="S931" i="1" s="1"/>
  <c r="R964" i="1"/>
  <c r="S964" i="1" s="1"/>
  <c r="R1021" i="1"/>
  <c r="S1021" i="1" s="1"/>
  <c r="R1023" i="1"/>
  <c r="S1023" i="1" s="1"/>
  <c r="R1017" i="1"/>
  <c r="S1017" i="1" s="1"/>
  <c r="R1019" i="1"/>
  <c r="S1019" i="1" s="1"/>
  <c r="R43" i="1"/>
  <c r="S43" i="1" s="1"/>
  <c r="R44" i="1"/>
  <c r="S44" i="1" s="1"/>
  <c r="R122" i="1"/>
  <c r="S122" i="1" s="1"/>
  <c r="R152" i="1"/>
  <c r="S152" i="1" s="1"/>
  <c r="R160" i="1"/>
  <c r="S160" i="1" s="1"/>
  <c r="R165" i="1"/>
  <c r="S165" i="1" s="1"/>
  <c r="R193" i="1"/>
  <c r="S193" i="1" s="1"/>
  <c r="R194" i="1"/>
  <c r="S194" i="1" s="1"/>
  <c r="R197" i="1"/>
  <c r="S197" i="1" s="1"/>
  <c r="R199" i="1"/>
  <c r="S199" i="1" s="1"/>
  <c r="R229" i="1"/>
  <c r="S229" i="1" s="1"/>
  <c r="R233" i="1"/>
  <c r="S233" i="1" s="1"/>
  <c r="R288" i="1"/>
  <c r="S288" i="1" s="1"/>
  <c r="R324" i="1"/>
  <c r="S324" i="1" s="1"/>
  <c r="R345" i="1"/>
  <c r="S345" i="1" s="1"/>
  <c r="R349" i="1"/>
  <c r="S349" i="1" s="1"/>
  <c r="R422" i="1"/>
  <c r="S422" i="1" s="1"/>
  <c r="R423" i="1"/>
  <c r="S423" i="1" s="1"/>
  <c r="R463" i="1"/>
  <c r="S463" i="1" s="1"/>
  <c r="R485" i="1"/>
  <c r="S485" i="1" s="1"/>
  <c r="R487" i="1"/>
  <c r="S487" i="1" s="1"/>
  <c r="R582" i="1"/>
  <c r="S582" i="1" s="1"/>
  <c r="R590" i="1"/>
  <c r="S590" i="1" s="1"/>
  <c r="R596" i="1"/>
  <c r="S596" i="1" s="1"/>
  <c r="R598" i="1"/>
  <c r="S598" i="1" s="1"/>
  <c r="R600" i="1"/>
  <c r="S600" i="1" s="1"/>
  <c r="R634" i="1"/>
  <c r="S634" i="1" s="1"/>
  <c r="R684" i="1"/>
  <c r="S684" i="1" s="1"/>
  <c r="R690" i="1"/>
  <c r="S690" i="1" s="1"/>
  <c r="R692" i="1"/>
  <c r="S692" i="1" s="1"/>
  <c r="R767" i="1"/>
  <c r="S767" i="1" s="1"/>
  <c r="R827" i="1"/>
  <c r="S827" i="1" s="1"/>
  <c r="R895" i="1"/>
  <c r="S895" i="1" s="1"/>
  <c r="R896" i="1"/>
  <c r="S896" i="1" s="1"/>
  <c r="R900" i="1"/>
  <c r="S900" i="1" s="1"/>
  <c r="R902" i="1"/>
  <c r="S902" i="1" s="1"/>
  <c r="R908" i="1"/>
  <c r="S908" i="1" s="1"/>
  <c r="R930" i="1"/>
  <c r="S930" i="1" s="1"/>
  <c r="R957" i="1"/>
  <c r="S957" i="1" s="1"/>
  <c r="R787" i="1"/>
  <c r="S787" i="1" s="1"/>
  <c r="R138" i="1"/>
  <c r="S138" i="1" s="1"/>
  <c r="R458" i="1"/>
  <c r="S458" i="1" s="1"/>
  <c r="R460" i="1"/>
  <c r="S460" i="1" s="1"/>
  <c r="R594" i="1"/>
  <c r="S594" i="1" s="1"/>
  <c r="R222" i="1"/>
  <c r="S222" i="1" s="1"/>
  <c r="R854" i="1"/>
  <c r="S854" i="1" s="1"/>
  <c r="R905" i="1"/>
  <c r="S905" i="1" s="1"/>
  <c r="R316" i="1"/>
  <c r="S316" i="1" s="1"/>
  <c r="R450" i="1"/>
  <c r="S450" i="1" s="1"/>
  <c r="R29" i="1"/>
  <c r="S29" i="1" s="1"/>
  <c r="R155" i="1"/>
  <c r="S155" i="1" s="1"/>
  <c r="R171" i="1"/>
  <c r="S171" i="1" s="1"/>
  <c r="R319" i="1"/>
  <c r="S319" i="1" s="1"/>
  <c r="R459" i="1"/>
  <c r="S459" i="1" s="1"/>
  <c r="R461" i="1"/>
  <c r="S461" i="1" s="1"/>
  <c r="R201" i="1"/>
  <c r="S201" i="1" s="1"/>
  <c r="R202" i="1"/>
  <c r="S202" i="1" s="1"/>
  <c r="R204" i="1"/>
  <c r="S204" i="1" s="1"/>
  <c r="R223" i="1"/>
  <c r="S223" i="1" s="1"/>
  <c r="R245" i="1"/>
  <c r="S245" i="1" s="1"/>
  <c r="R301" i="1"/>
  <c r="S301" i="1" s="1"/>
  <c r="R429" i="1"/>
  <c r="S429" i="1" s="1"/>
  <c r="R431" i="1"/>
  <c r="S431" i="1" s="1"/>
  <c r="R681" i="1"/>
  <c r="S681" i="1" s="1"/>
  <c r="R695" i="1"/>
  <c r="S695" i="1" s="1"/>
  <c r="R819" i="1"/>
  <c r="S819" i="1" s="1"/>
  <c r="R743" i="1"/>
  <c r="S743" i="1" s="1"/>
  <c r="R855" i="1"/>
  <c r="S855" i="1" s="1"/>
  <c r="R904" i="1"/>
  <c r="S904" i="1" s="1"/>
  <c r="R270" i="1"/>
  <c r="S270" i="1" s="1"/>
  <c r="R430" i="1"/>
  <c r="S430" i="1" s="1"/>
  <c r="R541" i="1"/>
  <c r="S541" i="1" s="1"/>
  <c r="R602" i="1"/>
  <c r="S602" i="1" s="1"/>
  <c r="R687" i="1"/>
  <c r="S687" i="1" s="1"/>
  <c r="R696" i="1"/>
  <c r="S696" i="1" s="1"/>
  <c r="R699" i="1"/>
  <c r="S699" i="1" s="1"/>
  <c r="R724" i="1"/>
  <c r="S724" i="1" s="1"/>
  <c r="R863" i="1"/>
  <c r="S863" i="1" s="1"/>
  <c r="P161" i="1"/>
  <c r="R161" i="1" s="1"/>
  <c r="S161" i="1" s="1"/>
  <c r="R231" i="1"/>
  <c r="S231" i="1" s="1"/>
  <c r="P121" i="1"/>
  <c r="R121" i="1" s="1"/>
  <c r="S121" i="1" s="1"/>
  <c r="P264" i="1"/>
  <c r="R264" i="1" s="1"/>
  <c r="S264" i="1" s="1"/>
  <c r="R40" i="1"/>
  <c r="S40" i="1" s="1"/>
  <c r="P123" i="1"/>
  <c r="R123" i="1" s="1"/>
  <c r="S123" i="1" s="1"/>
  <c r="P126" i="1"/>
  <c r="R126" i="1" s="1"/>
  <c r="S126" i="1" s="1"/>
  <c r="R277" i="1"/>
  <c r="S277" i="1" s="1"/>
  <c r="R320" i="1"/>
  <c r="S320" i="1" s="1"/>
  <c r="P426" i="1"/>
  <c r="R426" i="1" s="1"/>
  <c r="S426" i="1" s="1"/>
  <c r="R511" i="1"/>
  <c r="S511" i="1" s="1"/>
  <c r="R278" i="1"/>
  <c r="S278" i="1" s="1"/>
  <c r="R488" i="1"/>
  <c r="S488" i="1" s="1"/>
  <c r="R580" i="1"/>
  <c r="S580" i="1" s="1"/>
  <c r="R579" i="1"/>
  <c r="S579" i="1" s="1"/>
  <c r="P673" i="1"/>
  <c r="R673" i="1" s="1"/>
  <c r="S673" i="1" s="1"/>
  <c r="R741" i="1"/>
  <c r="S741" i="1" s="1"/>
  <c r="R823" i="1"/>
  <c r="S823" i="1" s="1"/>
  <c r="R587" i="1"/>
  <c r="S587" i="1" s="1"/>
  <c r="R608" i="1"/>
  <c r="S608" i="1" s="1"/>
  <c r="R646" i="1"/>
  <c r="S646" i="1" s="1"/>
  <c r="R956" i="1"/>
  <c r="S956" i="1" s="1"/>
  <c r="R898" i="1"/>
  <c r="S898" i="1" s="1"/>
  <c r="P948" i="1"/>
  <c r="R948" i="1" s="1"/>
  <c r="S948" i="1" s="1"/>
  <c r="S1037" i="1" l="1"/>
  <c r="R1037" i="1"/>
</calcChain>
</file>

<file path=xl/sharedStrings.xml><?xml version="1.0" encoding="utf-8"?>
<sst xmlns="http://schemas.openxmlformats.org/spreadsheetml/2006/main" count="6342" uniqueCount="889">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</sst>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7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10" fillId="5" borderId="0" xfId="0" applyFont="1" applyFill="1" applyBorder="1"/>
    <xf numFmtId="0" fontId="19" fillId="5" borderId="0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3"/>
  <sheetViews>
    <sheetView tabSelected="1" zoomScaleNormal="100" workbookViewId="0">
      <pane xSplit="1" ySplit="3" topLeftCell="B972" activePane="bottomRight" state="frozen"/>
      <selection pane="topRight" activeCell="B1" sqref="B1"/>
      <selection pane="bottomLeft" activeCell="A4" sqref="A4"/>
      <selection pane="bottomRight" activeCell="D1002" sqref="D1002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77" t="s">
        <v>0</v>
      </c>
      <c r="B2" s="176" t="s">
        <v>1</v>
      </c>
      <c r="C2" s="171" t="s">
        <v>2</v>
      </c>
      <c r="D2" s="171"/>
      <c r="E2" s="178" t="s">
        <v>649</v>
      </c>
      <c r="F2" s="173" t="s">
        <v>3</v>
      </c>
      <c r="G2" s="173"/>
      <c r="H2" s="173"/>
      <c r="I2" s="173"/>
      <c r="J2" s="174" t="s">
        <v>4</v>
      </c>
      <c r="K2" s="175"/>
      <c r="L2" s="175"/>
      <c r="M2" s="176"/>
      <c r="N2" s="167" t="s">
        <v>5</v>
      </c>
      <c r="O2" s="168"/>
      <c r="P2" s="171" t="s">
        <v>6</v>
      </c>
      <c r="Q2" s="171"/>
      <c r="R2" s="172" t="s">
        <v>7</v>
      </c>
      <c r="S2" s="172" t="s">
        <v>8</v>
      </c>
    </row>
    <row r="3" spans="1:19" s="10" customFormat="1">
      <c r="A3" s="177"/>
      <c r="B3" s="176"/>
      <c r="C3" s="171"/>
      <c r="D3" s="171"/>
      <c r="E3" s="178"/>
      <c r="F3" s="173" t="s">
        <v>9</v>
      </c>
      <c r="G3" s="173"/>
      <c r="H3" s="173" t="s">
        <v>10</v>
      </c>
      <c r="I3" s="173"/>
      <c r="J3" s="11" t="s">
        <v>11</v>
      </c>
      <c r="K3" s="12" t="s">
        <v>12</v>
      </c>
      <c r="L3" s="13" t="s">
        <v>13</v>
      </c>
      <c r="M3" s="13" t="s">
        <v>14</v>
      </c>
      <c r="N3" s="169"/>
      <c r="O3" s="170"/>
      <c r="P3" s="171"/>
      <c r="Q3" s="171"/>
      <c r="R3" s="172"/>
      <c r="S3" s="172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10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/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4" si="10">(C40+(E40*F40*H40))-N40</f>
        <v>0</v>
      </c>
      <c r="Q40" s="93" t="s">
        <v>40</v>
      </c>
      <c r="R40" s="94">
        <f t="shared" ref="R40:R44" si="11">P40*(J40-(J40*L40)-((J40-(J40*L40))*M40))</f>
        <v>0</v>
      </c>
      <c r="S40" s="94">
        <f t="shared" si="0"/>
        <v>0</v>
      </c>
    </row>
    <row r="41" spans="1:19" s="89" customFormat="1">
      <c r="A41" s="164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89" customFormat="1">
      <c r="A44" s="88" t="s">
        <v>43</v>
      </c>
      <c r="B44" s="89" t="s">
        <v>25</v>
      </c>
      <c r="C44" s="87"/>
      <c r="D44" s="90" t="s">
        <v>40</v>
      </c>
      <c r="E44" s="91"/>
      <c r="F44" s="92">
        <v>1</v>
      </c>
      <c r="G44" s="93" t="s">
        <v>20</v>
      </c>
      <c r="H44" s="92">
        <v>5</v>
      </c>
      <c r="I44" s="93" t="s">
        <v>40</v>
      </c>
      <c r="J44" s="94">
        <f>975000/5</f>
        <v>195000</v>
      </c>
      <c r="K44" s="90" t="s">
        <v>40</v>
      </c>
      <c r="L44" s="95"/>
      <c r="M44" s="95">
        <v>0.17</v>
      </c>
      <c r="N44" s="92"/>
      <c r="O44" s="97" t="s">
        <v>40</v>
      </c>
      <c r="P44" s="87">
        <f t="shared" si="10"/>
        <v>0</v>
      </c>
      <c r="Q44" s="93" t="s">
        <v>40</v>
      </c>
      <c r="R44" s="94">
        <f t="shared" si="11"/>
        <v>0</v>
      </c>
      <c r="S44" s="94">
        <f t="shared" si="0"/>
        <v>0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7"/>
      <c r="P45" s="20"/>
      <c r="Q45" s="23"/>
      <c r="R45" s="24"/>
      <c r="S45" s="24"/>
    </row>
    <row r="46" spans="1:19" s="19" customFormat="1">
      <c r="A46" s="71" t="s">
        <v>698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96" customFormat="1">
      <c r="A47" s="98" t="s">
        <v>848</v>
      </c>
      <c r="B47" s="96" t="s">
        <v>701</v>
      </c>
      <c r="C47" s="99">
        <v>520</v>
      </c>
      <c r="D47" s="100" t="s">
        <v>19</v>
      </c>
      <c r="E47" s="101"/>
      <c r="F47" s="102">
        <v>1</v>
      </c>
      <c r="G47" s="103" t="s">
        <v>20</v>
      </c>
      <c r="H47" s="102">
        <v>100</v>
      </c>
      <c r="I47" s="103" t="s">
        <v>19</v>
      </c>
      <c r="J47" s="104">
        <v>6610</v>
      </c>
      <c r="K47" s="100" t="s">
        <v>19</v>
      </c>
      <c r="L47" s="105"/>
      <c r="M47" s="105"/>
      <c r="N47" s="102"/>
      <c r="O47" s="103" t="s">
        <v>19</v>
      </c>
      <c r="P47" s="99">
        <f>(C47+(E47*F47*H47))-N47</f>
        <v>520</v>
      </c>
      <c r="Q47" s="103" t="s">
        <v>19</v>
      </c>
      <c r="R47" s="104">
        <f>P47*(J47-(J47*L47)-((J47-(J47*L47))*M47))</f>
        <v>3437200</v>
      </c>
      <c r="S47" s="104">
        <f t="shared" ref="S47" si="15">R47/1.11</f>
        <v>3096576.5765765761</v>
      </c>
    </row>
    <row r="48" spans="1:19" s="19" customFormat="1">
      <c r="A48" s="18" t="s">
        <v>758</v>
      </c>
      <c r="B48" s="19" t="s">
        <v>701</v>
      </c>
      <c r="C48" s="20">
        <v>75</v>
      </c>
      <c r="D48" s="21" t="s">
        <v>19</v>
      </c>
      <c r="E48" s="26">
        <v>6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375</v>
      </c>
      <c r="Q48" s="23" t="s">
        <v>19</v>
      </c>
      <c r="R48" s="24">
        <f>P48*(J48-(J48*L48)-((J48-(J48*L48))*M48))</f>
        <v>4826250</v>
      </c>
      <c r="S48" s="24">
        <f t="shared" ref="S48:S50" si="16">R48/1.11</f>
        <v>4347972.9729729723</v>
      </c>
    </row>
    <row r="49" spans="1:19" s="89" customFormat="1">
      <c r="A49" s="88" t="s">
        <v>699</v>
      </c>
      <c r="B49" s="89" t="s">
        <v>701</v>
      </c>
      <c r="C49" s="87"/>
      <c r="D49" s="90" t="s">
        <v>19</v>
      </c>
      <c r="E49" s="91"/>
      <c r="F49" s="92">
        <v>1</v>
      </c>
      <c r="G49" s="93" t="s">
        <v>20</v>
      </c>
      <c r="H49" s="92">
        <v>50</v>
      </c>
      <c r="I49" s="93" t="s">
        <v>19</v>
      </c>
      <c r="J49" s="94">
        <v>12870</v>
      </c>
      <c r="K49" s="90" t="s">
        <v>19</v>
      </c>
      <c r="L49" s="95"/>
      <c r="M49" s="95"/>
      <c r="N49" s="92"/>
      <c r="O49" s="93" t="s">
        <v>19</v>
      </c>
      <c r="P49" s="87">
        <f>(C49+(E49*F49*H49))-N49</f>
        <v>0</v>
      </c>
      <c r="Q49" s="93" t="s">
        <v>19</v>
      </c>
      <c r="R49" s="94">
        <f>P49*(J49-(J49*L49)-((J49-(J49*L49))*M49))</f>
        <v>0</v>
      </c>
      <c r="S49" s="94">
        <f t="shared" si="16"/>
        <v>0</v>
      </c>
    </row>
    <row r="50" spans="1:19" s="19" customFormat="1">
      <c r="A50" s="18" t="s">
        <v>700</v>
      </c>
      <c r="B50" s="19" t="s">
        <v>701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16"/>
        <v>57972.972972972966</v>
      </c>
    </row>
    <row r="51" spans="1:19" s="106" customFormat="1">
      <c r="A51" s="98"/>
      <c r="C51" s="107"/>
      <c r="D51" s="108"/>
      <c r="E51" s="109"/>
      <c r="F51" s="110"/>
      <c r="G51" s="111"/>
      <c r="H51" s="110"/>
      <c r="I51" s="111"/>
      <c r="J51" s="112"/>
      <c r="K51" s="108"/>
      <c r="L51" s="113"/>
      <c r="M51" s="113"/>
      <c r="N51" s="110"/>
      <c r="O51" s="114"/>
      <c r="P51" s="107"/>
      <c r="Q51" s="111"/>
      <c r="R51" s="112"/>
      <c r="S51" s="112"/>
    </row>
    <row r="52" spans="1:19">
      <c r="A52" s="15" t="s">
        <v>849</v>
      </c>
      <c r="S52" s="16"/>
    </row>
    <row r="53" spans="1:19" s="96" customFormat="1">
      <c r="A53" s="98" t="s">
        <v>850</v>
      </c>
      <c r="B53" s="96" t="s">
        <v>701</v>
      </c>
      <c r="C53" s="99">
        <v>80</v>
      </c>
      <c r="D53" s="100" t="s">
        <v>99</v>
      </c>
      <c r="E53" s="101">
        <v>6</v>
      </c>
      <c r="F53" s="102">
        <v>1</v>
      </c>
      <c r="G53" s="103" t="s">
        <v>20</v>
      </c>
      <c r="H53" s="102">
        <v>20</v>
      </c>
      <c r="I53" s="103" t="s">
        <v>99</v>
      </c>
      <c r="J53" s="104">
        <v>14900</v>
      </c>
      <c r="K53" s="100" t="s">
        <v>99</v>
      </c>
      <c r="L53" s="105"/>
      <c r="M53" s="105"/>
      <c r="N53" s="102"/>
      <c r="O53" s="103" t="s">
        <v>99</v>
      </c>
      <c r="P53" s="99">
        <f>(C53+(E53*F53*H53))-N53</f>
        <v>200</v>
      </c>
      <c r="Q53" s="103" t="s">
        <v>99</v>
      </c>
      <c r="R53" s="104">
        <f>P53*(J53-(J53*L53)-((J53-(J53*L53))*M53))</f>
        <v>2980000</v>
      </c>
      <c r="S53" s="104">
        <f t="shared" ref="S53:S54" si="17">R53/1.11</f>
        <v>2684684.6846846845</v>
      </c>
    </row>
    <row r="54" spans="1:19" s="96" customFormat="1">
      <c r="A54" s="98" t="s">
        <v>851</v>
      </c>
      <c r="B54" s="96" t="s">
        <v>701</v>
      </c>
      <c r="C54" s="99">
        <v>20</v>
      </c>
      <c r="D54" s="100" t="s">
        <v>99</v>
      </c>
      <c r="E54" s="101"/>
      <c r="F54" s="102">
        <v>1</v>
      </c>
      <c r="G54" s="103" t="s">
        <v>20</v>
      </c>
      <c r="H54" s="102">
        <v>10</v>
      </c>
      <c r="I54" s="103" t="s">
        <v>99</v>
      </c>
      <c r="J54" s="104">
        <v>29900</v>
      </c>
      <c r="K54" s="100" t="s">
        <v>99</v>
      </c>
      <c r="L54" s="105"/>
      <c r="M54" s="105"/>
      <c r="N54" s="102"/>
      <c r="O54" s="103" t="s">
        <v>99</v>
      </c>
      <c r="P54" s="99">
        <f>(C54+(E54*F54*H54))-N54</f>
        <v>20</v>
      </c>
      <c r="Q54" s="103" t="s">
        <v>99</v>
      </c>
      <c r="R54" s="104">
        <f>P54*(J54-(J54*L54)-((J54-(J54*L54))*M54))</f>
        <v>598000</v>
      </c>
      <c r="S54" s="104">
        <f t="shared" si="17"/>
        <v>538738.7387387387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19" s="19" customFormat="1" ht="15.75">
      <c r="A56" s="44" t="s">
        <v>44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9" customFormat="1">
      <c r="A57" s="88" t="s">
        <v>45</v>
      </c>
      <c r="B57" s="89" t="s">
        <v>46</v>
      </c>
      <c r="C57" s="87"/>
      <c r="D57" s="90" t="s">
        <v>19</v>
      </c>
      <c r="E57" s="91"/>
      <c r="F57" s="92">
        <v>2</v>
      </c>
      <c r="G57" s="93" t="s">
        <v>33</v>
      </c>
      <c r="H57" s="92">
        <v>20</v>
      </c>
      <c r="I57" s="93" t="s">
        <v>19</v>
      </c>
      <c r="J57" s="94">
        <v>64000</v>
      </c>
      <c r="K57" s="90" t="s">
        <v>19</v>
      </c>
      <c r="L57" s="95">
        <v>0.125</v>
      </c>
      <c r="M57" s="95">
        <v>0.05</v>
      </c>
      <c r="N57" s="92"/>
      <c r="O57" s="93" t="s">
        <v>19</v>
      </c>
      <c r="P57" s="87">
        <f t="shared" ref="P57:P94" si="18">(C57+(E57*F57*H57))-N57</f>
        <v>0</v>
      </c>
      <c r="Q57" s="93" t="s">
        <v>19</v>
      </c>
      <c r="R57" s="94">
        <f t="shared" ref="R57:R94" si="19">P57*(J57-(J57*L57)-((J57-(J57*L57))*M57))</f>
        <v>0</v>
      </c>
      <c r="S57" s="94">
        <f t="shared" si="0"/>
        <v>0</v>
      </c>
    </row>
    <row r="58" spans="1:19" s="19" customFormat="1">
      <c r="A58" s="18" t="s">
        <v>47</v>
      </c>
      <c r="B58" s="19" t="s">
        <v>46</v>
      </c>
      <c r="C58" s="20">
        <v>35</v>
      </c>
      <c r="D58" s="21" t="s">
        <v>19</v>
      </c>
      <c r="E58" s="26">
        <v>1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8"/>
        <v>155</v>
      </c>
      <c r="Q58" s="23" t="s">
        <v>19</v>
      </c>
      <c r="R58" s="24">
        <f t="shared" si="19"/>
        <v>6055656.25</v>
      </c>
      <c r="S58" s="24">
        <f t="shared" si="0"/>
        <v>5455546.1711711707</v>
      </c>
    </row>
    <row r="59" spans="1:19" s="19" customFormat="1">
      <c r="A59" s="18" t="s">
        <v>48</v>
      </c>
      <c r="B59" s="19" t="s">
        <v>46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8"/>
        <v>480</v>
      </c>
      <c r="Q59" s="23" t="s">
        <v>19</v>
      </c>
      <c r="R59" s="24">
        <f t="shared" si="19"/>
        <v>18753000</v>
      </c>
      <c r="S59" s="24">
        <f t="shared" si="0"/>
        <v>16894594.594594594</v>
      </c>
    </row>
    <row r="60" spans="1:19" s="89" customFormat="1">
      <c r="A60" s="88" t="s">
        <v>49</v>
      </c>
      <c r="B60" s="89" t="s">
        <v>46</v>
      </c>
      <c r="C60" s="87"/>
      <c r="D60" s="90" t="s">
        <v>19</v>
      </c>
      <c r="E60" s="91">
        <v>1</v>
      </c>
      <c r="F60" s="92">
        <v>6</v>
      </c>
      <c r="G60" s="93" t="s">
        <v>33</v>
      </c>
      <c r="H60" s="92">
        <v>20</v>
      </c>
      <c r="I60" s="93" t="s">
        <v>19</v>
      </c>
      <c r="J60" s="94">
        <v>49000</v>
      </c>
      <c r="K60" s="90" t="s">
        <v>19</v>
      </c>
      <c r="L60" s="95">
        <v>0.125</v>
      </c>
      <c r="M60" s="95">
        <v>0.05</v>
      </c>
      <c r="N60" s="92"/>
      <c r="O60" s="93" t="s">
        <v>19</v>
      </c>
      <c r="P60" s="87">
        <f t="shared" si="18"/>
        <v>120</v>
      </c>
      <c r="Q60" s="93" t="s">
        <v>19</v>
      </c>
      <c r="R60" s="94">
        <f t="shared" si="19"/>
        <v>4887750</v>
      </c>
      <c r="S60" s="94">
        <f t="shared" si="0"/>
        <v>4403378.3783783782</v>
      </c>
    </row>
    <row r="61" spans="1:19" s="19" customFormat="1">
      <c r="A61" s="18" t="s">
        <v>50</v>
      </c>
      <c r="B61" s="19" t="s">
        <v>46</v>
      </c>
      <c r="C61" s="20"/>
      <c r="D61" s="21" t="s">
        <v>19</v>
      </c>
      <c r="E61" s="26">
        <v>1</v>
      </c>
      <c r="F61" s="22">
        <v>4</v>
      </c>
      <c r="G61" s="23" t="s">
        <v>33</v>
      </c>
      <c r="H61" s="22">
        <v>20</v>
      </c>
      <c r="I61" s="23" t="s">
        <v>19</v>
      </c>
      <c r="J61" s="24">
        <v>56000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ref="P61" si="20">(C61+(E61*F61*H61))-N61</f>
        <v>80</v>
      </c>
      <c r="Q61" s="23" t="s">
        <v>19</v>
      </c>
      <c r="R61" s="24">
        <f t="shared" ref="R61" si="21">P61*(J61-(J61*L61)-((J61-(J61*L61))*M61))</f>
        <v>3724000</v>
      </c>
      <c r="S61" s="24">
        <f t="shared" ref="S61" si="22">R61/1.11</f>
        <v>3354954.9549549548</v>
      </c>
    </row>
    <row r="62" spans="1:19" s="19" customFormat="1">
      <c r="A62" s="18" t="s">
        <v>51</v>
      </c>
      <c r="B62" s="19" t="s">
        <v>46</v>
      </c>
      <c r="C62" s="20">
        <v>55</v>
      </c>
      <c r="D62" s="21" t="s">
        <v>19</v>
      </c>
      <c r="E62" s="26">
        <v>1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8"/>
        <v>175</v>
      </c>
      <c r="Q62" s="23" t="s">
        <v>19</v>
      </c>
      <c r="R62" s="24">
        <f t="shared" si="19"/>
        <v>6837031.25</v>
      </c>
      <c r="S62" s="24">
        <f t="shared" si="0"/>
        <v>6159487.6126126116</v>
      </c>
    </row>
    <row r="63" spans="1:19" s="19" customFormat="1">
      <c r="A63" s="18" t="s">
        <v>813</v>
      </c>
      <c r="B63" s="19" t="s">
        <v>46</v>
      </c>
      <c r="C63" s="20"/>
      <c r="D63" s="21" t="s">
        <v>19</v>
      </c>
      <c r="E63" s="26">
        <v>2</v>
      </c>
      <c r="F63" s="22">
        <v>4</v>
      </c>
      <c r="G63" s="23" t="s">
        <v>33</v>
      </c>
      <c r="H63" s="22">
        <v>20</v>
      </c>
      <c r="I63" s="23" t="s">
        <v>19</v>
      </c>
      <c r="J63" s="24">
        <v>60000</v>
      </c>
      <c r="K63" s="21" t="s">
        <v>19</v>
      </c>
      <c r="L63" s="25">
        <v>0.125</v>
      </c>
      <c r="M63" s="25">
        <v>0.1</v>
      </c>
      <c r="N63" s="22"/>
      <c r="O63" s="23" t="s">
        <v>19</v>
      </c>
      <c r="P63" s="20">
        <f t="shared" si="18"/>
        <v>160</v>
      </c>
      <c r="Q63" s="23" t="s">
        <v>19</v>
      </c>
      <c r="R63" s="24">
        <f t="shared" si="19"/>
        <v>7560000</v>
      </c>
      <c r="S63" s="24">
        <f t="shared" si="0"/>
        <v>6810810.81081081</v>
      </c>
    </row>
    <row r="64" spans="1:19" s="89" customFormat="1">
      <c r="A64" s="88" t="s">
        <v>52</v>
      </c>
      <c r="B64" s="89" t="s">
        <v>46</v>
      </c>
      <c r="C64" s="87"/>
      <c r="D64" s="90" t="s">
        <v>19</v>
      </c>
      <c r="E64" s="91"/>
      <c r="F64" s="92">
        <v>4</v>
      </c>
      <c r="G64" s="93" t="s">
        <v>33</v>
      </c>
      <c r="H64" s="92">
        <v>40</v>
      </c>
      <c r="I64" s="93" t="s">
        <v>19</v>
      </c>
      <c r="J64" s="94">
        <v>37000</v>
      </c>
      <c r="K64" s="90" t="s">
        <v>19</v>
      </c>
      <c r="L64" s="95">
        <v>0.125</v>
      </c>
      <c r="M64" s="95">
        <v>0.05</v>
      </c>
      <c r="N64" s="92"/>
      <c r="O64" s="93" t="s">
        <v>19</v>
      </c>
      <c r="P64" s="87">
        <f t="shared" si="18"/>
        <v>0</v>
      </c>
      <c r="Q64" s="93" t="s">
        <v>19</v>
      </c>
      <c r="R64" s="94">
        <f t="shared" si="19"/>
        <v>0</v>
      </c>
      <c r="S64" s="94">
        <f t="shared" si="0"/>
        <v>0</v>
      </c>
    </row>
    <row r="65" spans="1:19" s="89" customFormat="1">
      <c r="A65" s="88" t="s">
        <v>53</v>
      </c>
      <c r="B65" s="89" t="s">
        <v>46</v>
      </c>
      <c r="C65" s="87"/>
      <c r="D65" s="90" t="s">
        <v>19</v>
      </c>
      <c r="E65" s="91">
        <v>2</v>
      </c>
      <c r="F65" s="92">
        <v>4</v>
      </c>
      <c r="G65" s="93" t="s">
        <v>33</v>
      </c>
      <c r="H65" s="92">
        <v>20</v>
      </c>
      <c r="I65" s="93" t="s">
        <v>19</v>
      </c>
      <c r="J65" s="94">
        <v>50000</v>
      </c>
      <c r="K65" s="90" t="s">
        <v>19</v>
      </c>
      <c r="L65" s="95">
        <v>0.125</v>
      </c>
      <c r="M65" s="95">
        <v>0.05</v>
      </c>
      <c r="N65" s="92"/>
      <c r="O65" s="93" t="s">
        <v>19</v>
      </c>
      <c r="P65" s="87">
        <f t="shared" si="18"/>
        <v>160</v>
      </c>
      <c r="Q65" s="93" t="s">
        <v>19</v>
      </c>
      <c r="R65" s="94">
        <f t="shared" si="19"/>
        <v>6650000</v>
      </c>
      <c r="S65" s="94">
        <f t="shared" si="0"/>
        <v>5990990.9909909908</v>
      </c>
    </row>
    <row r="66" spans="1:19" s="89" customFormat="1">
      <c r="A66" s="88" t="s">
        <v>768</v>
      </c>
      <c r="B66" s="89" t="s">
        <v>46</v>
      </c>
      <c r="C66" s="87"/>
      <c r="D66" s="90" t="s">
        <v>19</v>
      </c>
      <c r="E66" s="91"/>
      <c r="F66" s="92">
        <v>4</v>
      </c>
      <c r="G66" s="93" t="s">
        <v>33</v>
      </c>
      <c r="H66" s="92">
        <v>20</v>
      </c>
      <c r="I66" s="93" t="s">
        <v>19</v>
      </c>
      <c r="J66" s="94">
        <v>50000</v>
      </c>
      <c r="K66" s="90" t="s">
        <v>19</v>
      </c>
      <c r="L66" s="95">
        <v>0.125</v>
      </c>
      <c r="M66" s="95">
        <v>0.05</v>
      </c>
      <c r="N66" s="92"/>
      <c r="O66" s="93" t="s">
        <v>19</v>
      </c>
      <c r="P66" s="87">
        <f t="shared" si="18"/>
        <v>0</v>
      </c>
      <c r="Q66" s="93" t="s">
        <v>19</v>
      </c>
      <c r="R66" s="94">
        <f t="shared" si="19"/>
        <v>0</v>
      </c>
      <c r="S66" s="94">
        <f t="shared" si="0"/>
        <v>0</v>
      </c>
    </row>
    <row r="67" spans="1:19" s="89" customFormat="1">
      <c r="A67" s="88" t="s">
        <v>54</v>
      </c>
      <c r="B67" s="89" t="s">
        <v>46</v>
      </c>
      <c r="C67" s="87"/>
      <c r="D67" s="90" t="s">
        <v>19</v>
      </c>
      <c r="E67" s="91"/>
      <c r="F67" s="92">
        <v>4</v>
      </c>
      <c r="G67" s="93" t="s">
        <v>33</v>
      </c>
      <c r="H67" s="92">
        <v>20</v>
      </c>
      <c r="I67" s="93" t="s">
        <v>19</v>
      </c>
      <c r="J67" s="94">
        <v>67000</v>
      </c>
      <c r="K67" s="90" t="s">
        <v>19</v>
      </c>
      <c r="L67" s="95">
        <v>0.125</v>
      </c>
      <c r="M67" s="95">
        <v>0.05</v>
      </c>
      <c r="N67" s="92"/>
      <c r="O67" s="93" t="s">
        <v>19</v>
      </c>
      <c r="P67" s="87">
        <f t="shared" si="18"/>
        <v>0</v>
      </c>
      <c r="Q67" s="93" t="s">
        <v>19</v>
      </c>
      <c r="R67" s="94">
        <f t="shared" si="19"/>
        <v>0</v>
      </c>
      <c r="S67" s="94">
        <f t="shared" si="0"/>
        <v>0</v>
      </c>
    </row>
    <row r="68" spans="1:19" s="89" customFormat="1">
      <c r="A68" s="88" t="s">
        <v>767</v>
      </c>
      <c r="B68" s="89" t="s">
        <v>46</v>
      </c>
      <c r="C68" s="87"/>
      <c r="D68" s="90" t="s">
        <v>19</v>
      </c>
      <c r="E68" s="91"/>
      <c r="F68" s="92">
        <v>6</v>
      </c>
      <c r="G68" s="93" t="s">
        <v>33</v>
      </c>
      <c r="H68" s="92">
        <v>10</v>
      </c>
      <c r="I68" s="93" t="s">
        <v>19</v>
      </c>
      <c r="J68" s="94">
        <v>77000</v>
      </c>
      <c r="K68" s="90" t="s">
        <v>19</v>
      </c>
      <c r="L68" s="95">
        <v>0.125</v>
      </c>
      <c r="M68" s="95">
        <v>0.05</v>
      </c>
      <c r="N68" s="92"/>
      <c r="O68" s="93" t="s">
        <v>19</v>
      </c>
      <c r="P68" s="87">
        <f t="shared" si="18"/>
        <v>0</v>
      </c>
      <c r="Q68" s="93" t="s">
        <v>19</v>
      </c>
      <c r="R68" s="94">
        <f t="shared" si="19"/>
        <v>0</v>
      </c>
      <c r="S68" s="94">
        <f t="shared" si="0"/>
        <v>0</v>
      </c>
    </row>
    <row r="69" spans="1:19" s="89" customFormat="1">
      <c r="A69" s="88" t="s">
        <v>55</v>
      </c>
      <c r="B69" s="89" t="s">
        <v>46</v>
      </c>
      <c r="C69" s="87"/>
      <c r="D69" s="90" t="s">
        <v>19</v>
      </c>
      <c r="E69" s="91"/>
      <c r="F69" s="92">
        <v>6</v>
      </c>
      <c r="G69" s="93" t="s">
        <v>33</v>
      </c>
      <c r="H69" s="92">
        <v>10</v>
      </c>
      <c r="I69" s="93" t="s">
        <v>19</v>
      </c>
      <c r="J69" s="94">
        <v>73000</v>
      </c>
      <c r="K69" s="90" t="s">
        <v>19</v>
      </c>
      <c r="L69" s="95">
        <v>0.125</v>
      </c>
      <c r="M69" s="95">
        <v>0.05</v>
      </c>
      <c r="N69" s="92"/>
      <c r="O69" s="93" t="s">
        <v>19</v>
      </c>
      <c r="P69" s="87">
        <f t="shared" si="18"/>
        <v>0</v>
      </c>
      <c r="Q69" s="93" t="s">
        <v>19</v>
      </c>
      <c r="R69" s="94">
        <f t="shared" si="19"/>
        <v>0</v>
      </c>
      <c r="S69" s="94">
        <f t="shared" si="0"/>
        <v>0</v>
      </c>
    </row>
    <row r="70" spans="1:19" s="89" customFormat="1">
      <c r="A70" s="88" t="s">
        <v>56</v>
      </c>
      <c r="B70" s="89" t="s">
        <v>46</v>
      </c>
      <c r="C70" s="87"/>
      <c r="D70" s="90" t="s">
        <v>19</v>
      </c>
      <c r="E70" s="91"/>
      <c r="F70" s="92">
        <v>8</v>
      </c>
      <c r="G70" s="93" t="s">
        <v>33</v>
      </c>
      <c r="H70" s="92">
        <v>10</v>
      </c>
      <c r="I70" s="93" t="s">
        <v>19</v>
      </c>
      <c r="J70" s="94">
        <v>56000</v>
      </c>
      <c r="K70" s="90" t="s">
        <v>19</v>
      </c>
      <c r="L70" s="95">
        <v>0.125</v>
      </c>
      <c r="M70" s="95">
        <v>0.05</v>
      </c>
      <c r="N70" s="92"/>
      <c r="O70" s="93" t="s">
        <v>19</v>
      </c>
      <c r="P70" s="87">
        <f t="shared" si="18"/>
        <v>0</v>
      </c>
      <c r="Q70" s="93" t="s">
        <v>19</v>
      </c>
      <c r="R70" s="94">
        <f t="shared" si="19"/>
        <v>0</v>
      </c>
      <c r="S70" s="94">
        <f t="shared" si="0"/>
        <v>0</v>
      </c>
    </row>
    <row r="71" spans="1:19" s="19" customFormat="1">
      <c r="A71" s="18" t="s">
        <v>57</v>
      </c>
      <c r="B71" s="19" t="s">
        <v>46</v>
      </c>
      <c r="C71" s="20">
        <v>112</v>
      </c>
      <c r="D71" s="21" t="s">
        <v>19</v>
      </c>
      <c r="E71" s="26">
        <v>1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18"/>
        <v>232</v>
      </c>
      <c r="Q71" s="23" t="s">
        <v>19</v>
      </c>
      <c r="R71" s="24">
        <f t="shared" si="19"/>
        <v>9063950</v>
      </c>
      <c r="S71" s="24">
        <f t="shared" si="0"/>
        <v>8165720.7207207195</v>
      </c>
    </row>
    <row r="72" spans="1:19" s="96" customFormat="1">
      <c r="A72" s="116" t="s">
        <v>58</v>
      </c>
      <c r="B72" s="117" t="s">
        <v>46</v>
      </c>
      <c r="C72" s="118">
        <v>82</v>
      </c>
      <c r="D72" s="119" t="s">
        <v>19</v>
      </c>
      <c r="E72" s="120">
        <v>1</v>
      </c>
      <c r="F72" s="121">
        <v>8</v>
      </c>
      <c r="G72" s="122" t="s">
        <v>33</v>
      </c>
      <c r="H72" s="121">
        <v>20</v>
      </c>
      <c r="I72" s="122" t="s">
        <v>19</v>
      </c>
      <c r="J72" s="123">
        <v>32000</v>
      </c>
      <c r="K72" s="119" t="s">
        <v>19</v>
      </c>
      <c r="L72" s="124">
        <v>0.125</v>
      </c>
      <c r="M72" s="124">
        <v>0.05</v>
      </c>
      <c r="N72" s="121"/>
      <c r="O72" s="122" t="s">
        <v>19</v>
      </c>
      <c r="P72" s="118">
        <f t="shared" si="18"/>
        <v>242</v>
      </c>
      <c r="Q72" s="122" t="s">
        <v>19</v>
      </c>
      <c r="R72" s="123">
        <f t="shared" si="19"/>
        <v>6437200</v>
      </c>
      <c r="S72" s="123">
        <f t="shared" si="0"/>
        <v>5799279.2792792786</v>
      </c>
    </row>
    <row r="73" spans="1:19" s="19" customFormat="1">
      <c r="A73" s="31" t="s">
        <v>58</v>
      </c>
      <c r="B73" s="32" t="s">
        <v>46</v>
      </c>
      <c r="C73" s="33"/>
      <c r="D73" s="34" t="s">
        <v>19</v>
      </c>
      <c r="E73" s="35">
        <v>1</v>
      </c>
      <c r="F73" s="36">
        <v>8</v>
      </c>
      <c r="G73" s="37" t="s">
        <v>33</v>
      </c>
      <c r="H73" s="36">
        <v>20</v>
      </c>
      <c r="I73" s="37" t="s">
        <v>19</v>
      </c>
      <c r="J73" s="38">
        <v>32000</v>
      </c>
      <c r="K73" s="34" t="s">
        <v>19</v>
      </c>
      <c r="L73" s="39">
        <v>0.125</v>
      </c>
      <c r="M73" s="39">
        <v>0.1</v>
      </c>
      <c r="N73" s="36"/>
      <c r="O73" s="37" t="s">
        <v>19</v>
      </c>
      <c r="P73" s="33">
        <f t="shared" ref="P73" si="23">(C73+(E73*F73*H73))-N73</f>
        <v>160</v>
      </c>
      <c r="Q73" s="37" t="s">
        <v>19</v>
      </c>
      <c r="R73" s="38">
        <f t="shared" ref="R73" si="24">P73*(J73-(J73*L73)-((J73-(J73*L73))*M73))</f>
        <v>4032000</v>
      </c>
      <c r="S73" s="38">
        <f t="shared" ref="S73" si="25">R73/1.11</f>
        <v>3632432.4324324322</v>
      </c>
    </row>
    <row r="74" spans="1:19" s="96" customFormat="1">
      <c r="A74" s="134" t="s">
        <v>59</v>
      </c>
      <c r="B74" s="135" t="s">
        <v>46</v>
      </c>
      <c r="C74" s="136">
        <v>3</v>
      </c>
      <c r="D74" s="137" t="s">
        <v>19</v>
      </c>
      <c r="E74" s="138">
        <v>1</v>
      </c>
      <c r="F74" s="139">
        <v>8</v>
      </c>
      <c r="G74" s="140" t="s">
        <v>33</v>
      </c>
      <c r="H74" s="139">
        <v>20</v>
      </c>
      <c r="I74" s="140" t="s">
        <v>19</v>
      </c>
      <c r="J74" s="141">
        <v>27500</v>
      </c>
      <c r="K74" s="137" t="s">
        <v>19</v>
      </c>
      <c r="L74" s="142">
        <v>0.125</v>
      </c>
      <c r="M74" s="142">
        <v>0.05</v>
      </c>
      <c r="N74" s="139"/>
      <c r="O74" s="140" t="s">
        <v>19</v>
      </c>
      <c r="P74" s="136">
        <f>(C74+(E74*F74*H74))-N74</f>
        <v>163</v>
      </c>
      <c r="Q74" s="140" t="s">
        <v>19</v>
      </c>
      <c r="R74" s="141">
        <f>P74*(J74-(J74*L74)-((J74-(J74*L74))*M74))</f>
        <v>3726078.125</v>
      </c>
      <c r="S74" s="141">
        <f>R74/1.11</f>
        <v>3356827.1396396393</v>
      </c>
    </row>
    <row r="75" spans="1:19" s="19" customFormat="1">
      <c r="A75" s="125" t="s">
        <v>59</v>
      </c>
      <c r="B75" s="126" t="s">
        <v>46</v>
      </c>
      <c r="C75" s="127"/>
      <c r="D75" s="128" t="s">
        <v>19</v>
      </c>
      <c r="E75" s="129">
        <v>1</v>
      </c>
      <c r="F75" s="130">
        <v>8</v>
      </c>
      <c r="G75" s="131" t="s">
        <v>33</v>
      </c>
      <c r="H75" s="130">
        <v>20</v>
      </c>
      <c r="I75" s="131" t="s">
        <v>19</v>
      </c>
      <c r="J75" s="132">
        <v>27500</v>
      </c>
      <c r="K75" s="128" t="s">
        <v>19</v>
      </c>
      <c r="L75" s="133">
        <v>0.125</v>
      </c>
      <c r="M75" s="133">
        <v>0.1</v>
      </c>
      <c r="N75" s="130"/>
      <c r="O75" s="131" t="s">
        <v>19</v>
      </c>
      <c r="P75" s="127">
        <f t="shared" ref="P75" si="26">(C75+(E75*F75*H75))-N75</f>
        <v>160</v>
      </c>
      <c r="Q75" s="131" t="s">
        <v>19</v>
      </c>
      <c r="R75" s="132">
        <f t="shared" ref="R75" si="27">P75*(J75-(J75*L75)-((J75-(J75*L75))*M75))</f>
        <v>3465000</v>
      </c>
      <c r="S75" s="132">
        <f t="shared" ref="S75" si="28">R75/1.11</f>
        <v>3121621.6216216213</v>
      </c>
    </row>
    <row r="76" spans="1:19" s="106" customFormat="1">
      <c r="A76" s="116" t="s">
        <v>60</v>
      </c>
      <c r="B76" s="117" t="s">
        <v>46</v>
      </c>
      <c r="C76" s="118">
        <v>9</v>
      </c>
      <c r="D76" s="119" t="s">
        <v>19</v>
      </c>
      <c r="E76" s="120"/>
      <c r="F76" s="121">
        <v>4</v>
      </c>
      <c r="G76" s="122" t="s">
        <v>33</v>
      </c>
      <c r="H76" s="121">
        <v>20</v>
      </c>
      <c r="I76" s="122" t="s">
        <v>19</v>
      </c>
      <c r="J76" s="123">
        <v>54000</v>
      </c>
      <c r="K76" s="119" t="s">
        <v>19</v>
      </c>
      <c r="L76" s="124">
        <v>0.125</v>
      </c>
      <c r="M76" s="124">
        <v>0.05</v>
      </c>
      <c r="N76" s="121"/>
      <c r="O76" s="122" t="s">
        <v>19</v>
      </c>
      <c r="P76" s="118">
        <f>(C76+(E76*F76*H76))-N76</f>
        <v>9</v>
      </c>
      <c r="Q76" s="122" t="s">
        <v>19</v>
      </c>
      <c r="R76" s="123">
        <f>P76*(J76-(J76*L76)-((J76-(J76*L76))*M76))</f>
        <v>403987.5</v>
      </c>
      <c r="S76" s="123">
        <f>R76/1.11</f>
        <v>363952.70270270266</v>
      </c>
    </row>
    <row r="77" spans="1:19" s="19" customFormat="1">
      <c r="A77" s="31" t="s">
        <v>60</v>
      </c>
      <c r="B77" s="32" t="s">
        <v>46</v>
      </c>
      <c r="C77" s="33"/>
      <c r="D77" s="34" t="s">
        <v>19</v>
      </c>
      <c r="E77" s="35">
        <v>1</v>
      </c>
      <c r="F77" s="36">
        <v>4</v>
      </c>
      <c r="G77" s="37" t="s">
        <v>33</v>
      </c>
      <c r="H77" s="36">
        <v>20</v>
      </c>
      <c r="I77" s="37" t="s">
        <v>19</v>
      </c>
      <c r="J77" s="38">
        <v>55000</v>
      </c>
      <c r="K77" s="34" t="s">
        <v>19</v>
      </c>
      <c r="L77" s="39">
        <v>0.125</v>
      </c>
      <c r="M77" s="39">
        <v>0.05</v>
      </c>
      <c r="N77" s="36"/>
      <c r="O77" s="37" t="s">
        <v>19</v>
      </c>
      <c r="P77" s="33">
        <f t="shared" ref="P77" si="29">(C77+(E77*F77*H77))-N77</f>
        <v>80</v>
      </c>
      <c r="Q77" s="37" t="s">
        <v>19</v>
      </c>
      <c r="R77" s="38">
        <f t="shared" ref="R77" si="30">P77*(J77-(J77*L77)-((J77-(J77*L77))*M77))</f>
        <v>3657500</v>
      </c>
      <c r="S77" s="38">
        <f t="shared" ref="S77" si="31">R77/1.11</f>
        <v>3295045.0450450447</v>
      </c>
    </row>
    <row r="78" spans="1:19" s="19" customFormat="1">
      <c r="A78" s="125" t="s">
        <v>61</v>
      </c>
      <c r="B78" s="126" t="s">
        <v>46</v>
      </c>
      <c r="C78" s="127"/>
      <c r="D78" s="128" t="s">
        <v>19</v>
      </c>
      <c r="E78" s="129">
        <v>2</v>
      </c>
      <c r="F78" s="130">
        <v>6</v>
      </c>
      <c r="G78" s="131" t="s">
        <v>33</v>
      </c>
      <c r="H78" s="130">
        <v>10</v>
      </c>
      <c r="I78" s="131" t="s">
        <v>19</v>
      </c>
      <c r="J78" s="132">
        <v>74000</v>
      </c>
      <c r="K78" s="128" t="s">
        <v>19</v>
      </c>
      <c r="L78" s="133">
        <v>0.125</v>
      </c>
      <c r="M78" s="133">
        <v>0.1</v>
      </c>
      <c r="N78" s="130"/>
      <c r="O78" s="131" t="s">
        <v>19</v>
      </c>
      <c r="P78" s="127">
        <f t="shared" ref="P78" si="32">(C78+(E78*F78*H78))-N78</f>
        <v>120</v>
      </c>
      <c r="Q78" s="131" t="s">
        <v>19</v>
      </c>
      <c r="R78" s="132">
        <f t="shared" ref="R78" si="33">P78*(J78-(J78*L78)-((J78-(J78*L78))*M78))</f>
        <v>6993000</v>
      </c>
      <c r="S78" s="132">
        <f t="shared" ref="S78" si="34">R78/1.11</f>
        <v>6299999.9999999991</v>
      </c>
    </row>
    <row r="79" spans="1:19" s="19" customFormat="1">
      <c r="A79" s="125" t="s">
        <v>61</v>
      </c>
      <c r="B79" s="126" t="s">
        <v>46</v>
      </c>
      <c r="C79" s="127">
        <v>20</v>
      </c>
      <c r="D79" s="128" t="s">
        <v>19</v>
      </c>
      <c r="E79" s="129">
        <v>1</v>
      </c>
      <c r="F79" s="130">
        <v>6</v>
      </c>
      <c r="G79" s="131" t="s">
        <v>33</v>
      </c>
      <c r="H79" s="130">
        <v>10</v>
      </c>
      <c r="I79" s="131" t="s">
        <v>19</v>
      </c>
      <c r="J79" s="132">
        <v>74000</v>
      </c>
      <c r="K79" s="128" t="s">
        <v>19</v>
      </c>
      <c r="L79" s="133">
        <v>0.125</v>
      </c>
      <c r="M79" s="133">
        <v>0.05</v>
      </c>
      <c r="N79" s="130"/>
      <c r="O79" s="131" t="s">
        <v>19</v>
      </c>
      <c r="P79" s="127">
        <f t="shared" si="18"/>
        <v>80</v>
      </c>
      <c r="Q79" s="131" t="s">
        <v>19</v>
      </c>
      <c r="R79" s="132">
        <f t="shared" si="19"/>
        <v>4921000</v>
      </c>
      <c r="S79" s="132">
        <f t="shared" si="0"/>
        <v>4433333.333333333</v>
      </c>
    </row>
    <row r="80" spans="1:19" s="106" customFormat="1">
      <c r="A80" s="116" t="s">
        <v>62</v>
      </c>
      <c r="B80" s="117" t="s">
        <v>46</v>
      </c>
      <c r="C80" s="118">
        <v>4</v>
      </c>
      <c r="D80" s="119" t="s">
        <v>19</v>
      </c>
      <c r="E80" s="120"/>
      <c r="F80" s="121">
        <v>6</v>
      </c>
      <c r="G80" s="122" t="s">
        <v>33</v>
      </c>
      <c r="H80" s="121">
        <v>20</v>
      </c>
      <c r="I80" s="122" t="s">
        <v>19</v>
      </c>
      <c r="J80" s="123">
        <v>52000</v>
      </c>
      <c r="K80" s="119" t="s">
        <v>19</v>
      </c>
      <c r="L80" s="124">
        <v>0.125</v>
      </c>
      <c r="M80" s="124">
        <v>0.1</v>
      </c>
      <c r="N80" s="121"/>
      <c r="O80" s="122" t="s">
        <v>19</v>
      </c>
      <c r="P80" s="118">
        <f>(C80+(E80*F80*H80))-N80</f>
        <v>4</v>
      </c>
      <c r="Q80" s="122" t="s">
        <v>19</v>
      </c>
      <c r="R80" s="123">
        <f>P80*(J80-(J80*L80)-((J80-(J80*L80))*M80))</f>
        <v>163800</v>
      </c>
      <c r="S80" s="123">
        <f>R80/1.11</f>
        <v>147567.56756756754</v>
      </c>
    </row>
    <row r="81" spans="1:19" s="19" customFormat="1">
      <c r="A81" s="31" t="s">
        <v>62</v>
      </c>
      <c r="B81" s="32" t="s">
        <v>46</v>
      </c>
      <c r="C81" s="33"/>
      <c r="D81" s="34" t="s">
        <v>19</v>
      </c>
      <c r="E81" s="35">
        <v>1</v>
      </c>
      <c r="F81" s="36">
        <v>6</v>
      </c>
      <c r="G81" s="37" t="s">
        <v>33</v>
      </c>
      <c r="H81" s="36">
        <v>20</v>
      </c>
      <c r="I81" s="37" t="s">
        <v>19</v>
      </c>
      <c r="J81" s="38">
        <v>52000</v>
      </c>
      <c r="K81" s="34" t="s">
        <v>19</v>
      </c>
      <c r="L81" s="39">
        <v>0.125</v>
      </c>
      <c r="M81" s="39">
        <v>0.05</v>
      </c>
      <c r="N81" s="36"/>
      <c r="O81" s="37" t="s">
        <v>19</v>
      </c>
      <c r="P81" s="33">
        <f t="shared" ref="P81" si="35">(C81+(E81*F81*H81))-N81</f>
        <v>120</v>
      </c>
      <c r="Q81" s="37" t="s">
        <v>19</v>
      </c>
      <c r="R81" s="38">
        <f t="shared" ref="R81" si="36">P81*(J81-(J81*L81)-((J81-(J81*L81))*M81))</f>
        <v>5187000</v>
      </c>
      <c r="S81" s="38">
        <f t="shared" ref="S81" si="37">R81/1.11</f>
        <v>4672972.9729729723</v>
      </c>
    </row>
    <row r="82" spans="1:19" s="19" customFormat="1">
      <c r="A82" s="18" t="s">
        <v>63</v>
      </c>
      <c r="B82" s="19" t="s">
        <v>46</v>
      </c>
      <c r="C82" s="20">
        <v>330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32500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18"/>
        <v>450</v>
      </c>
      <c r="Q82" s="23" t="s">
        <v>19</v>
      </c>
      <c r="R82" s="24">
        <f t="shared" si="19"/>
        <v>12157031.25</v>
      </c>
      <c r="S82" s="24">
        <f t="shared" si="0"/>
        <v>10952280.405405404</v>
      </c>
    </row>
    <row r="83" spans="1:19" s="19" customFormat="1">
      <c r="A83" s="18" t="s">
        <v>814</v>
      </c>
      <c r="B83" s="19" t="s">
        <v>46</v>
      </c>
      <c r="C83" s="20"/>
      <c r="D83" s="21" t="s">
        <v>19</v>
      </c>
      <c r="E83" s="26">
        <v>2</v>
      </c>
      <c r="F83" s="22">
        <v>8</v>
      </c>
      <c r="G83" s="23" t="s">
        <v>33</v>
      </c>
      <c r="H83" s="22">
        <v>10</v>
      </c>
      <c r="I83" s="23" t="s">
        <v>19</v>
      </c>
      <c r="J83" s="24">
        <v>62000</v>
      </c>
      <c r="K83" s="21" t="s">
        <v>19</v>
      </c>
      <c r="L83" s="25">
        <v>0.125</v>
      </c>
      <c r="M83" s="25">
        <v>0.1</v>
      </c>
      <c r="N83" s="22"/>
      <c r="O83" s="23" t="s">
        <v>19</v>
      </c>
      <c r="P83" s="20">
        <f t="shared" si="18"/>
        <v>160</v>
      </c>
      <c r="Q83" s="23" t="s">
        <v>19</v>
      </c>
      <c r="R83" s="24">
        <f t="shared" si="19"/>
        <v>7812000</v>
      </c>
      <c r="S83" s="24">
        <f t="shared" si="0"/>
        <v>7037837.8378378376</v>
      </c>
    </row>
    <row r="84" spans="1:19" s="19" customFormat="1">
      <c r="A84" s="18" t="s">
        <v>815</v>
      </c>
      <c r="B84" s="19" t="s">
        <v>46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88000</v>
      </c>
      <c r="K84" s="21" t="s">
        <v>19</v>
      </c>
      <c r="L84" s="25">
        <v>0.125</v>
      </c>
      <c r="M84" s="25">
        <v>0.1</v>
      </c>
      <c r="N84" s="22"/>
      <c r="O84" s="23" t="s">
        <v>19</v>
      </c>
      <c r="P84" s="20">
        <f t="shared" si="18"/>
        <v>120</v>
      </c>
      <c r="Q84" s="23" t="s">
        <v>19</v>
      </c>
      <c r="R84" s="24">
        <f t="shared" si="19"/>
        <v>8316000</v>
      </c>
      <c r="S84" s="24">
        <f t="shared" si="0"/>
        <v>7491891.8918918911</v>
      </c>
    </row>
    <row r="85" spans="1:19" s="106" customFormat="1">
      <c r="A85" s="166" t="s">
        <v>64</v>
      </c>
      <c r="B85" s="106" t="s">
        <v>46</v>
      </c>
      <c r="C85" s="107"/>
      <c r="D85" s="108" t="s">
        <v>19</v>
      </c>
      <c r="E85" s="109">
        <v>1</v>
      </c>
      <c r="F85" s="110">
        <v>6</v>
      </c>
      <c r="G85" s="111" t="s">
        <v>33</v>
      </c>
      <c r="H85" s="110">
        <v>10</v>
      </c>
      <c r="I85" s="111" t="s">
        <v>19</v>
      </c>
      <c r="J85" s="112">
        <v>75000</v>
      </c>
      <c r="K85" s="108" t="s">
        <v>19</v>
      </c>
      <c r="L85" s="113">
        <v>0.125</v>
      </c>
      <c r="M85" s="113">
        <v>0.05</v>
      </c>
      <c r="N85" s="110"/>
      <c r="O85" s="111" t="s">
        <v>19</v>
      </c>
      <c r="P85" s="107">
        <f t="shared" ref="P85" si="38">(C85+(E85*F85*H85))-N85</f>
        <v>60</v>
      </c>
      <c r="Q85" s="111" t="s">
        <v>19</v>
      </c>
      <c r="R85" s="112">
        <f t="shared" ref="R85" si="39">P85*(J85-(J85*L85)-((J85-(J85*L85))*M85))</f>
        <v>3740625</v>
      </c>
      <c r="S85" s="112">
        <f t="shared" ref="S85" si="40">R85/1.11</f>
        <v>3369932.4324324322</v>
      </c>
    </row>
    <row r="86" spans="1:19" s="89" customFormat="1">
      <c r="A86" s="88" t="s">
        <v>64</v>
      </c>
      <c r="B86" s="89" t="s">
        <v>46</v>
      </c>
      <c r="C86" s="87"/>
      <c r="D86" s="90" t="s">
        <v>19</v>
      </c>
      <c r="E86" s="91"/>
      <c r="F86" s="92">
        <v>6</v>
      </c>
      <c r="G86" s="93" t="s">
        <v>33</v>
      </c>
      <c r="H86" s="92">
        <v>10</v>
      </c>
      <c r="I86" s="93" t="s">
        <v>19</v>
      </c>
      <c r="J86" s="94">
        <v>65000</v>
      </c>
      <c r="K86" s="90" t="s">
        <v>19</v>
      </c>
      <c r="L86" s="95">
        <v>0.125</v>
      </c>
      <c r="M86" s="95">
        <v>0.05</v>
      </c>
      <c r="N86" s="92"/>
      <c r="O86" s="93" t="s">
        <v>19</v>
      </c>
      <c r="P86" s="87">
        <f t="shared" si="18"/>
        <v>0</v>
      </c>
      <c r="Q86" s="93" t="s">
        <v>19</v>
      </c>
      <c r="R86" s="94">
        <f t="shared" si="19"/>
        <v>0</v>
      </c>
      <c r="S86" s="94">
        <f t="shared" si="0"/>
        <v>0</v>
      </c>
    </row>
    <row r="87" spans="1:19" s="19" customFormat="1">
      <c r="A87" s="18" t="s">
        <v>65</v>
      </c>
      <c r="B87" s="19" t="s">
        <v>46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10</v>
      </c>
      <c r="I87" s="23" t="s">
        <v>19</v>
      </c>
      <c r="J87" s="24">
        <v>79000</v>
      </c>
      <c r="K87" s="21" t="s">
        <v>19</v>
      </c>
      <c r="L87" s="25">
        <v>0.125</v>
      </c>
      <c r="M87" s="25">
        <v>0.05</v>
      </c>
      <c r="N87" s="22"/>
      <c r="O87" s="23" t="s">
        <v>19</v>
      </c>
      <c r="P87" s="20">
        <f t="shared" ref="P87:P88" si="41">(C87+(E87*F87*H87))-N87</f>
        <v>60</v>
      </c>
      <c r="Q87" s="23" t="s">
        <v>19</v>
      </c>
      <c r="R87" s="24">
        <f t="shared" ref="R87:R88" si="42">P87*(J87-(J87*L87)-((J87-(J87*L87))*M87))</f>
        <v>3940125</v>
      </c>
      <c r="S87" s="24">
        <f t="shared" ref="S87:S88" si="43">R87/1.11</f>
        <v>3549662.1621621619</v>
      </c>
    </row>
    <row r="88" spans="1:19" s="106" customFormat="1">
      <c r="A88" s="116" t="s">
        <v>66</v>
      </c>
      <c r="B88" s="117" t="s">
        <v>46</v>
      </c>
      <c r="C88" s="118">
        <v>83</v>
      </c>
      <c r="D88" s="119" t="s">
        <v>19</v>
      </c>
      <c r="E88" s="120"/>
      <c r="F88" s="121">
        <v>6</v>
      </c>
      <c r="G88" s="122" t="s">
        <v>33</v>
      </c>
      <c r="H88" s="121">
        <v>10</v>
      </c>
      <c r="I88" s="122" t="s">
        <v>19</v>
      </c>
      <c r="J88" s="123">
        <v>75000</v>
      </c>
      <c r="K88" s="119" t="s">
        <v>19</v>
      </c>
      <c r="L88" s="124">
        <v>0.125</v>
      </c>
      <c r="M88" s="124">
        <v>0.05</v>
      </c>
      <c r="N88" s="121"/>
      <c r="O88" s="122" t="s">
        <v>19</v>
      </c>
      <c r="P88" s="118">
        <f t="shared" si="41"/>
        <v>83</v>
      </c>
      <c r="Q88" s="122" t="s">
        <v>19</v>
      </c>
      <c r="R88" s="123">
        <f t="shared" si="42"/>
        <v>5174531.25</v>
      </c>
      <c r="S88" s="123">
        <f t="shared" si="43"/>
        <v>4661739.8648648644</v>
      </c>
    </row>
    <row r="89" spans="1:19" s="19" customFormat="1">
      <c r="A89" s="31" t="s">
        <v>66</v>
      </c>
      <c r="B89" s="32" t="s">
        <v>46</v>
      </c>
      <c r="C89" s="33"/>
      <c r="D89" s="34" t="s">
        <v>19</v>
      </c>
      <c r="E89" s="35">
        <v>1</v>
      </c>
      <c r="F89" s="36">
        <v>6</v>
      </c>
      <c r="G89" s="37" t="s">
        <v>33</v>
      </c>
      <c r="H89" s="36">
        <v>10</v>
      </c>
      <c r="I89" s="37" t="s">
        <v>19</v>
      </c>
      <c r="J89" s="38">
        <v>82000</v>
      </c>
      <c r="K89" s="34" t="s">
        <v>19</v>
      </c>
      <c r="L89" s="39">
        <v>0.125</v>
      </c>
      <c r="M89" s="39">
        <v>0.05</v>
      </c>
      <c r="N89" s="36"/>
      <c r="O89" s="37" t="s">
        <v>19</v>
      </c>
      <c r="P89" s="33">
        <f t="shared" ref="P89" si="44">(C89+(E89*F89*H89))-N89</f>
        <v>60</v>
      </c>
      <c r="Q89" s="37" t="s">
        <v>19</v>
      </c>
      <c r="R89" s="38">
        <f t="shared" ref="R89" si="45">P89*(J89-(J89*L89)-((J89-(J89*L89))*M89))</f>
        <v>4089750</v>
      </c>
      <c r="S89" s="38">
        <f t="shared" ref="S89" si="46">R89/1.11</f>
        <v>3684459.4594594589</v>
      </c>
    </row>
    <row r="90" spans="1:19" s="19" customFormat="1">
      <c r="A90" s="18" t="s">
        <v>67</v>
      </c>
      <c r="B90" s="19" t="s">
        <v>46</v>
      </c>
      <c r="C90" s="20">
        <v>27</v>
      </c>
      <c r="D90" s="21" t="s">
        <v>19</v>
      </c>
      <c r="E90" s="26"/>
      <c r="F90" s="22">
        <v>6</v>
      </c>
      <c r="G90" s="23" t="s">
        <v>33</v>
      </c>
      <c r="H90" s="22">
        <v>10</v>
      </c>
      <c r="I90" s="23" t="s">
        <v>19</v>
      </c>
      <c r="J90" s="24">
        <v>54000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18"/>
        <v>27</v>
      </c>
      <c r="Q90" s="23" t="s">
        <v>19</v>
      </c>
      <c r="R90" s="24">
        <f t="shared" si="19"/>
        <v>1211962.5</v>
      </c>
      <c r="S90" s="24">
        <f t="shared" si="0"/>
        <v>1091858.1081081079</v>
      </c>
    </row>
    <row r="91" spans="1:19" s="19" customFormat="1">
      <c r="A91" s="18" t="s">
        <v>803</v>
      </c>
      <c r="B91" s="19" t="s">
        <v>46</v>
      </c>
      <c r="C91" s="20">
        <v>4</v>
      </c>
      <c r="D91" s="21" t="s">
        <v>19</v>
      </c>
      <c r="E91" s="26"/>
      <c r="F91" s="22">
        <v>6</v>
      </c>
      <c r="G91" s="23" t="s">
        <v>33</v>
      </c>
      <c r="H91" s="22">
        <v>10</v>
      </c>
      <c r="I91" s="23" t="s">
        <v>19</v>
      </c>
      <c r="J91" s="24">
        <v>56000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18"/>
        <v>4</v>
      </c>
      <c r="Q91" s="23" t="s">
        <v>19</v>
      </c>
      <c r="R91" s="24">
        <f t="shared" si="19"/>
        <v>186200</v>
      </c>
      <c r="S91" s="24">
        <f t="shared" si="0"/>
        <v>167747.74774774772</v>
      </c>
    </row>
    <row r="92" spans="1:19" s="19" customFormat="1">
      <c r="A92" s="18" t="s">
        <v>68</v>
      </c>
      <c r="B92" s="19" t="s">
        <v>46</v>
      </c>
      <c r="C92" s="20">
        <v>311</v>
      </c>
      <c r="D92" s="21" t="s">
        <v>19</v>
      </c>
      <c r="E92" s="26"/>
      <c r="F92" s="22">
        <v>6</v>
      </c>
      <c r="G92" s="23" t="s">
        <v>33</v>
      </c>
      <c r="H92" s="22">
        <v>20</v>
      </c>
      <c r="I92" s="23" t="s">
        <v>19</v>
      </c>
      <c r="J92" s="24">
        <v>40000</v>
      </c>
      <c r="K92" s="21" t="s">
        <v>19</v>
      </c>
      <c r="L92" s="25">
        <v>0.125</v>
      </c>
      <c r="M92" s="25">
        <v>0.05</v>
      </c>
      <c r="N92" s="22"/>
      <c r="O92" s="23" t="s">
        <v>19</v>
      </c>
      <c r="P92" s="20">
        <f t="shared" si="18"/>
        <v>311</v>
      </c>
      <c r="Q92" s="23" t="s">
        <v>19</v>
      </c>
      <c r="R92" s="24">
        <f t="shared" si="19"/>
        <v>10340750</v>
      </c>
      <c r="S92" s="24">
        <f t="shared" si="0"/>
        <v>9315990.9909909908</v>
      </c>
    </row>
    <row r="93" spans="1:19" s="19" customFormat="1">
      <c r="A93" s="18" t="s">
        <v>69</v>
      </c>
      <c r="B93" s="19" t="s">
        <v>46</v>
      </c>
      <c r="C93" s="20">
        <v>114</v>
      </c>
      <c r="D93" s="21" t="s">
        <v>19</v>
      </c>
      <c r="E93" s="26"/>
      <c r="F93" s="22">
        <v>6</v>
      </c>
      <c r="G93" s="23" t="s">
        <v>33</v>
      </c>
      <c r="H93" s="22">
        <v>10</v>
      </c>
      <c r="I93" s="23" t="s">
        <v>19</v>
      </c>
      <c r="J93" s="24">
        <v>66000</v>
      </c>
      <c r="K93" s="21" t="s">
        <v>19</v>
      </c>
      <c r="L93" s="25">
        <v>0.125</v>
      </c>
      <c r="M93" s="25">
        <v>0.1</v>
      </c>
      <c r="N93" s="22"/>
      <c r="O93" s="23" t="s">
        <v>19</v>
      </c>
      <c r="P93" s="20">
        <f t="shared" si="18"/>
        <v>114</v>
      </c>
      <c r="Q93" s="23" t="s">
        <v>19</v>
      </c>
      <c r="R93" s="24">
        <f t="shared" si="19"/>
        <v>5925150</v>
      </c>
      <c r="S93" s="24">
        <f t="shared" si="0"/>
        <v>5337972.9729729723</v>
      </c>
    </row>
    <row r="94" spans="1:19" s="19" customFormat="1">
      <c r="A94" s="18" t="s">
        <v>70</v>
      </c>
      <c r="B94" s="19" t="s">
        <v>46</v>
      </c>
      <c r="C94" s="20">
        <v>281</v>
      </c>
      <c r="D94" s="21" t="s">
        <v>19</v>
      </c>
      <c r="E94" s="26"/>
      <c r="F94" s="22">
        <v>4</v>
      </c>
      <c r="G94" s="23" t="s">
        <v>33</v>
      </c>
      <c r="H94" s="22">
        <v>40</v>
      </c>
      <c r="I94" s="23" t="s">
        <v>19</v>
      </c>
      <c r="J94" s="24">
        <v>27000</v>
      </c>
      <c r="K94" s="21" t="s">
        <v>19</v>
      </c>
      <c r="L94" s="25">
        <v>0.125</v>
      </c>
      <c r="M94" s="25">
        <v>0.05</v>
      </c>
      <c r="N94" s="22"/>
      <c r="O94" s="23" t="s">
        <v>19</v>
      </c>
      <c r="P94" s="20">
        <f t="shared" si="18"/>
        <v>281</v>
      </c>
      <c r="Q94" s="23" t="s">
        <v>19</v>
      </c>
      <c r="R94" s="24">
        <f t="shared" si="19"/>
        <v>6306693.75</v>
      </c>
      <c r="S94" s="24">
        <f t="shared" si="0"/>
        <v>5681706.0810810803</v>
      </c>
    </row>
    <row r="95" spans="1:19" s="19" customFormat="1">
      <c r="A95" s="18"/>
      <c r="C95" s="20"/>
      <c r="D95" s="21"/>
      <c r="E95" s="26"/>
      <c r="F95" s="22"/>
      <c r="G95" s="23"/>
      <c r="H95" s="22"/>
      <c r="I95" s="23"/>
      <c r="J95" s="24"/>
      <c r="K95" s="21"/>
      <c r="L95" s="25"/>
      <c r="M95" s="25"/>
      <c r="N95" s="22"/>
      <c r="O95" s="23"/>
      <c r="P95" s="20"/>
      <c r="Q95" s="23"/>
      <c r="R95" s="24"/>
      <c r="S95" s="24"/>
    </row>
    <row r="96" spans="1:19" s="19" customFormat="1" ht="15.75">
      <c r="A96" s="44" t="s">
        <v>71</v>
      </c>
      <c r="C96" s="20"/>
      <c r="D96" s="21"/>
      <c r="E96" s="26"/>
      <c r="F96" s="22"/>
      <c r="G96" s="23"/>
      <c r="H96" s="22"/>
      <c r="I96" s="23"/>
      <c r="J96" s="24"/>
      <c r="K96" s="21"/>
      <c r="L96" s="25"/>
      <c r="M96" s="25"/>
      <c r="N96" s="22"/>
      <c r="O96" s="23"/>
      <c r="P96" s="20"/>
      <c r="Q96" s="23"/>
      <c r="R96" s="24"/>
      <c r="S96" s="24"/>
    </row>
    <row r="97" spans="1:19" s="19" customFormat="1">
      <c r="A97" s="18" t="s">
        <v>832</v>
      </c>
      <c r="B97" s="19" t="s">
        <v>18</v>
      </c>
      <c r="C97" s="20"/>
      <c r="D97" s="21" t="s">
        <v>19</v>
      </c>
      <c r="E97" s="26">
        <v>1</v>
      </c>
      <c r="F97" s="22">
        <v>1</v>
      </c>
      <c r="G97" s="23" t="s">
        <v>20</v>
      </c>
      <c r="H97" s="22">
        <v>20</v>
      </c>
      <c r="I97" s="23" t="s">
        <v>19</v>
      </c>
      <c r="J97" s="24">
        <v>160000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ref="P97:P98" si="47">(C97+(E97*F97*H97))-N97</f>
        <v>20</v>
      </c>
      <c r="Q97" s="23" t="s">
        <v>19</v>
      </c>
      <c r="R97" s="24">
        <f t="shared" ref="R97:R98" si="48">P97*(J97-(J97*L97)-((J97-(J97*L97))*M97))</f>
        <v>2660000</v>
      </c>
      <c r="S97" s="24">
        <f t="shared" ref="S97:S98" si="49">R97/1.11</f>
        <v>2396396.3963963962</v>
      </c>
    </row>
    <row r="98" spans="1:19" s="19" customFormat="1">
      <c r="A98" s="18" t="s">
        <v>833</v>
      </c>
      <c r="B98" s="19" t="s">
        <v>18</v>
      </c>
      <c r="C98" s="20"/>
      <c r="D98" s="21" t="s">
        <v>19</v>
      </c>
      <c r="E98" s="26">
        <v>1</v>
      </c>
      <c r="F98" s="22">
        <v>1</v>
      </c>
      <c r="G98" s="23" t="s">
        <v>20</v>
      </c>
      <c r="H98" s="22">
        <v>16</v>
      </c>
      <c r="I98" s="23" t="s">
        <v>19</v>
      </c>
      <c r="J98" s="24">
        <v>187000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47"/>
        <v>16</v>
      </c>
      <c r="Q98" s="23" t="s">
        <v>19</v>
      </c>
      <c r="R98" s="24">
        <f t="shared" si="48"/>
        <v>2487100</v>
      </c>
      <c r="S98" s="24">
        <f t="shared" si="49"/>
        <v>2240630.6306306305</v>
      </c>
    </row>
    <row r="99" spans="1:19" s="89" customFormat="1">
      <c r="A99" s="88" t="s">
        <v>72</v>
      </c>
      <c r="B99" s="89" t="s">
        <v>18</v>
      </c>
      <c r="C99" s="87"/>
      <c r="D99" s="90" t="s">
        <v>19</v>
      </c>
      <c r="E99" s="91"/>
      <c r="F99" s="92">
        <v>1</v>
      </c>
      <c r="G99" s="93" t="s">
        <v>20</v>
      </c>
      <c r="H99" s="92">
        <v>6</v>
      </c>
      <c r="I99" s="93" t="s">
        <v>19</v>
      </c>
      <c r="J99" s="94">
        <v>390000</v>
      </c>
      <c r="K99" s="90" t="s">
        <v>19</v>
      </c>
      <c r="L99" s="95">
        <v>0.125</v>
      </c>
      <c r="M99" s="95">
        <v>0.05</v>
      </c>
      <c r="N99" s="92"/>
      <c r="O99" s="93" t="s">
        <v>19</v>
      </c>
      <c r="P99" s="87">
        <f>(C99+(E99*F99*H99))-N99</f>
        <v>0</v>
      </c>
      <c r="Q99" s="93" t="s">
        <v>19</v>
      </c>
      <c r="R99" s="94">
        <f>P99*(J99-(J99*L99)-((J99-(J99*L99))*M99))</f>
        <v>0</v>
      </c>
      <c r="S99" s="94">
        <f t="shared" si="0"/>
        <v>0</v>
      </c>
    </row>
    <row r="100" spans="1:19" s="89" customFormat="1">
      <c r="A100" s="88" t="s">
        <v>73</v>
      </c>
      <c r="B100" s="89" t="s">
        <v>18</v>
      </c>
      <c r="C100" s="87"/>
      <c r="D100" s="90" t="s">
        <v>19</v>
      </c>
      <c r="E100" s="91"/>
      <c r="F100" s="92">
        <v>1</v>
      </c>
      <c r="G100" s="93" t="s">
        <v>20</v>
      </c>
      <c r="H100" s="92">
        <v>6</v>
      </c>
      <c r="I100" s="93" t="s">
        <v>19</v>
      </c>
      <c r="J100" s="94">
        <v>500000</v>
      </c>
      <c r="K100" s="90" t="s">
        <v>19</v>
      </c>
      <c r="L100" s="95">
        <v>0.125</v>
      </c>
      <c r="M100" s="95">
        <v>0.05</v>
      </c>
      <c r="N100" s="92"/>
      <c r="O100" s="93" t="s">
        <v>19</v>
      </c>
      <c r="P100" s="87">
        <f>(C100+(E100*F100*H100))-N100</f>
        <v>0</v>
      </c>
      <c r="Q100" s="93" t="s">
        <v>19</v>
      </c>
      <c r="R100" s="94">
        <f>P100*(J100-(J100*L100)-((J100-(J100*L100))*M100))</f>
        <v>0</v>
      </c>
      <c r="S100" s="94">
        <f t="shared" si="0"/>
        <v>0</v>
      </c>
    </row>
    <row r="101" spans="1:19" s="19" customFormat="1">
      <c r="A101" s="18"/>
      <c r="C101" s="20"/>
      <c r="D101" s="21"/>
      <c r="E101" s="26"/>
      <c r="F101" s="22"/>
      <c r="G101" s="23"/>
      <c r="H101" s="22"/>
      <c r="I101" s="23"/>
      <c r="J101" s="24"/>
      <c r="K101" s="21"/>
      <c r="L101" s="25"/>
      <c r="M101" s="25"/>
      <c r="N101" s="22"/>
      <c r="O101" s="23"/>
      <c r="P101" s="20"/>
      <c r="Q101" s="23"/>
      <c r="R101" s="24"/>
      <c r="S101" s="24"/>
    </row>
    <row r="102" spans="1:19" s="19" customFormat="1" ht="15.75">
      <c r="A102" s="44" t="s">
        <v>74</v>
      </c>
      <c r="C102" s="20"/>
      <c r="D102" s="21"/>
      <c r="E102" s="26"/>
      <c r="F102" s="22"/>
      <c r="G102" s="23"/>
      <c r="H102" s="22"/>
      <c r="I102" s="23"/>
      <c r="J102" s="24"/>
      <c r="K102" s="21"/>
      <c r="L102" s="25"/>
      <c r="M102" s="25"/>
      <c r="N102" s="22"/>
      <c r="O102" s="23"/>
      <c r="P102" s="20"/>
      <c r="Q102" s="23"/>
      <c r="R102" s="24"/>
      <c r="S102" s="24"/>
    </row>
    <row r="103" spans="1:19" s="19" customFormat="1">
      <c r="A103" s="71" t="s">
        <v>75</v>
      </c>
      <c r="C103" s="20"/>
      <c r="D103" s="21"/>
      <c r="E103" s="26"/>
      <c r="F103" s="22"/>
      <c r="G103" s="23"/>
      <c r="H103" s="22"/>
      <c r="I103" s="23"/>
      <c r="J103" s="24"/>
      <c r="K103" s="21"/>
      <c r="L103" s="25"/>
      <c r="M103" s="25"/>
      <c r="N103" s="22"/>
      <c r="O103" s="23"/>
      <c r="P103" s="20"/>
      <c r="Q103" s="23"/>
      <c r="R103" s="24"/>
      <c r="S103" s="24"/>
    </row>
    <row r="104" spans="1:19" s="89" customFormat="1">
      <c r="A104" s="143" t="s">
        <v>76</v>
      </c>
      <c r="B104" s="89" t="s">
        <v>18</v>
      </c>
      <c r="C104" s="87"/>
      <c r="D104" s="90" t="s">
        <v>77</v>
      </c>
      <c r="E104" s="91"/>
      <c r="F104" s="92">
        <v>1</v>
      </c>
      <c r="G104" s="93" t="s">
        <v>20</v>
      </c>
      <c r="H104" s="92">
        <v>48</v>
      </c>
      <c r="I104" s="93" t="s">
        <v>77</v>
      </c>
      <c r="J104" s="94">
        <v>14500</v>
      </c>
      <c r="K104" s="90" t="s">
        <v>77</v>
      </c>
      <c r="L104" s="95">
        <v>0.125</v>
      </c>
      <c r="M104" s="95">
        <v>0.05</v>
      </c>
      <c r="N104" s="92"/>
      <c r="O104" s="93" t="s">
        <v>77</v>
      </c>
      <c r="P104" s="87">
        <f t="shared" ref="P104:P118" si="50">(C104+(E104*F104*H104))-N104</f>
        <v>0</v>
      </c>
      <c r="Q104" s="93" t="s">
        <v>77</v>
      </c>
      <c r="R104" s="94">
        <f t="shared" ref="R104:R114" si="51">P104*(J104-(J104*L104)-((J104-(J104*L104))*M104))</f>
        <v>0</v>
      </c>
      <c r="S104" s="94">
        <f t="shared" si="0"/>
        <v>0</v>
      </c>
    </row>
    <row r="105" spans="1:19" s="89" customFormat="1">
      <c r="A105" s="143" t="s">
        <v>796</v>
      </c>
      <c r="B105" s="89" t="s">
        <v>18</v>
      </c>
      <c r="C105" s="87"/>
      <c r="D105" s="90" t="s">
        <v>77</v>
      </c>
      <c r="E105" s="91"/>
      <c r="F105" s="92">
        <v>1</v>
      </c>
      <c r="G105" s="93" t="s">
        <v>20</v>
      </c>
      <c r="H105" s="92">
        <v>96</v>
      </c>
      <c r="I105" s="93" t="s">
        <v>77</v>
      </c>
      <c r="J105" s="94">
        <v>15500</v>
      </c>
      <c r="K105" s="90" t="s">
        <v>77</v>
      </c>
      <c r="L105" s="95">
        <v>0.125</v>
      </c>
      <c r="M105" s="95">
        <v>0.05</v>
      </c>
      <c r="N105" s="92"/>
      <c r="O105" s="93" t="s">
        <v>77</v>
      </c>
      <c r="P105" s="87">
        <f t="shared" si="50"/>
        <v>0</v>
      </c>
      <c r="Q105" s="93" t="s">
        <v>77</v>
      </c>
      <c r="R105" s="94">
        <f t="shared" si="51"/>
        <v>0</v>
      </c>
      <c r="S105" s="94">
        <f t="shared" si="0"/>
        <v>0</v>
      </c>
    </row>
    <row r="106" spans="1:19" s="89" customFormat="1">
      <c r="A106" s="143" t="s">
        <v>78</v>
      </c>
      <c r="B106" s="89" t="s">
        <v>18</v>
      </c>
      <c r="C106" s="87"/>
      <c r="D106" s="90" t="s">
        <v>77</v>
      </c>
      <c r="E106" s="91"/>
      <c r="F106" s="92">
        <v>1</v>
      </c>
      <c r="G106" s="93" t="s">
        <v>20</v>
      </c>
      <c r="H106" s="92">
        <v>96</v>
      </c>
      <c r="I106" s="93" t="s">
        <v>77</v>
      </c>
      <c r="J106" s="94">
        <v>12000</v>
      </c>
      <c r="K106" s="90" t="s">
        <v>77</v>
      </c>
      <c r="L106" s="95">
        <v>0.125</v>
      </c>
      <c r="M106" s="95">
        <v>0.05</v>
      </c>
      <c r="N106" s="92"/>
      <c r="O106" s="93" t="s">
        <v>77</v>
      </c>
      <c r="P106" s="87">
        <f t="shared" si="50"/>
        <v>0</v>
      </c>
      <c r="Q106" s="93" t="s">
        <v>77</v>
      </c>
      <c r="R106" s="94">
        <f t="shared" si="51"/>
        <v>0</v>
      </c>
      <c r="S106" s="94">
        <f t="shared" si="0"/>
        <v>0</v>
      </c>
    </row>
    <row r="107" spans="1:19" s="89" customFormat="1">
      <c r="A107" s="143" t="s">
        <v>79</v>
      </c>
      <c r="B107" s="89" t="s">
        <v>18</v>
      </c>
      <c r="C107" s="87"/>
      <c r="D107" s="90" t="s">
        <v>77</v>
      </c>
      <c r="E107" s="91"/>
      <c r="F107" s="92">
        <v>1</v>
      </c>
      <c r="G107" s="93" t="s">
        <v>20</v>
      </c>
      <c r="H107" s="92">
        <v>48</v>
      </c>
      <c r="I107" s="93" t="s">
        <v>77</v>
      </c>
      <c r="J107" s="94">
        <v>19500</v>
      </c>
      <c r="K107" s="90" t="s">
        <v>77</v>
      </c>
      <c r="L107" s="95">
        <v>0.125</v>
      </c>
      <c r="M107" s="95">
        <v>0.05</v>
      </c>
      <c r="N107" s="92"/>
      <c r="O107" s="93" t="s">
        <v>77</v>
      </c>
      <c r="P107" s="87">
        <f t="shared" si="50"/>
        <v>0</v>
      </c>
      <c r="Q107" s="93" t="s">
        <v>77</v>
      </c>
      <c r="R107" s="94">
        <f t="shared" si="51"/>
        <v>0</v>
      </c>
      <c r="S107" s="94">
        <f t="shared" si="0"/>
        <v>0</v>
      </c>
    </row>
    <row r="108" spans="1:19" s="89" customFormat="1">
      <c r="A108" s="143" t="s">
        <v>80</v>
      </c>
      <c r="B108" s="89" t="s">
        <v>18</v>
      </c>
      <c r="C108" s="87"/>
      <c r="D108" s="90" t="s">
        <v>77</v>
      </c>
      <c r="E108" s="91"/>
      <c r="F108" s="92">
        <v>1</v>
      </c>
      <c r="G108" s="93" t="s">
        <v>20</v>
      </c>
      <c r="H108" s="92">
        <v>48</v>
      </c>
      <c r="I108" s="93" t="s">
        <v>77</v>
      </c>
      <c r="J108" s="94">
        <v>14800</v>
      </c>
      <c r="K108" s="90" t="s">
        <v>77</v>
      </c>
      <c r="L108" s="95">
        <v>0.125</v>
      </c>
      <c r="M108" s="95">
        <v>0.05</v>
      </c>
      <c r="N108" s="92"/>
      <c r="O108" s="93" t="s">
        <v>77</v>
      </c>
      <c r="P108" s="87">
        <f t="shared" si="50"/>
        <v>0</v>
      </c>
      <c r="Q108" s="93" t="s">
        <v>77</v>
      </c>
      <c r="R108" s="94">
        <f t="shared" si="51"/>
        <v>0</v>
      </c>
      <c r="S108" s="94">
        <f t="shared" si="0"/>
        <v>0</v>
      </c>
    </row>
    <row r="109" spans="1:19" s="89" customFormat="1">
      <c r="A109" s="144" t="s">
        <v>81</v>
      </c>
      <c r="B109" s="89" t="s">
        <v>18</v>
      </c>
      <c r="C109" s="87"/>
      <c r="D109" s="90" t="s">
        <v>77</v>
      </c>
      <c r="E109" s="91"/>
      <c r="F109" s="92">
        <v>1</v>
      </c>
      <c r="G109" s="93" t="s">
        <v>20</v>
      </c>
      <c r="H109" s="92">
        <v>24</v>
      </c>
      <c r="I109" s="93" t="s">
        <v>77</v>
      </c>
      <c r="J109" s="94">
        <v>25200</v>
      </c>
      <c r="K109" s="90" t="s">
        <v>77</v>
      </c>
      <c r="L109" s="95">
        <v>0.125</v>
      </c>
      <c r="M109" s="95">
        <v>0.05</v>
      </c>
      <c r="N109" s="92"/>
      <c r="O109" s="93" t="s">
        <v>77</v>
      </c>
      <c r="P109" s="87">
        <f t="shared" si="50"/>
        <v>0</v>
      </c>
      <c r="Q109" s="93" t="s">
        <v>77</v>
      </c>
      <c r="R109" s="94">
        <f t="shared" si="51"/>
        <v>0</v>
      </c>
      <c r="S109" s="94">
        <f t="shared" si="0"/>
        <v>0</v>
      </c>
    </row>
    <row r="110" spans="1:19" s="89" customFormat="1">
      <c r="A110" s="144" t="s">
        <v>82</v>
      </c>
      <c r="B110" s="89" t="s">
        <v>18</v>
      </c>
      <c r="C110" s="87"/>
      <c r="D110" s="90" t="s">
        <v>77</v>
      </c>
      <c r="E110" s="91"/>
      <c r="F110" s="92">
        <v>1</v>
      </c>
      <c r="G110" s="93" t="s">
        <v>20</v>
      </c>
      <c r="H110" s="92">
        <v>24</v>
      </c>
      <c r="I110" s="93" t="s">
        <v>77</v>
      </c>
      <c r="J110" s="94">
        <v>20200</v>
      </c>
      <c r="K110" s="90" t="s">
        <v>77</v>
      </c>
      <c r="L110" s="95">
        <v>0.125</v>
      </c>
      <c r="M110" s="95">
        <v>0.05</v>
      </c>
      <c r="N110" s="92"/>
      <c r="O110" s="93" t="s">
        <v>77</v>
      </c>
      <c r="P110" s="87">
        <f t="shared" si="50"/>
        <v>0</v>
      </c>
      <c r="Q110" s="93" t="s">
        <v>77</v>
      </c>
      <c r="R110" s="94">
        <f t="shared" si="51"/>
        <v>0</v>
      </c>
      <c r="S110" s="94">
        <f t="shared" si="0"/>
        <v>0</v>
      </c>
    </row>
    <row r="111" spans="1:19" s="89" customFormat="1">
      <c r="A111" s="143" t="s">
        <v>797</v>
      </c>
      <c r="B111" s="89" t="s">
        <v>18</v>
      </c>
      <c r="C111" s="87"/>
      <c r="D111" s="90" t="s">
        <v>77</v>
      </c>
      <c r="E111" s="91">
        <v>2</v>
      </c>
      <c r="F111" s="92">
        <v>1</v>
      </c>
      <c r="G111" s="93" t="s">
        <v>20</v>
      </c>
      <c r="H111" s="92">
        <v>96</v>
      </c>
      <c r="I111" s="93" t="s">
        <v>77</v>
      </c>
      <c r="J111" s="94">
        <v>16500</v>
      </c>
      <c r="K111" s="90" t="s">
        <v>77</v>
      </c>
      <c r="L111" s="95">
        <v>0.125</v>
      </c>
      <c r="M111" s="95">
        <v>0.05</v>
      </c>
      <c r="N111" s="92"/>
      <c r="O111" s="93" t="s">
        <v>77</v>
      </c>
      <c r="P111" s="87">
        <f t="shared" si="50"/>
        <v>192</v>
      </c>
      <c r="Q111" s="93" t="s">
        <v>77</v>
      </c>
      <c r="R111" s="94">
        <f t="shared" si="51"/>
        <v>2633400</v>
      </c>
      <c r="S111" s="94">
        <f t="shared" ref="S111:S195" si="52">R111/1.11</f>
        <v>2372432.4324324322</v>
      </c>
    </row>
    <row r="112" spans="1:19" s="19" customFormat="1">
      <c r="A112" s="18" t="s">
        <v>83</v>
      </c>
      <c r="B112" s="19" t="s">
        <v>18</v>
      </c>
      <c r="C112" s="20">
        <v>53</v>
      </c>
      <c r="D112" s="21" t="s">
        <v>84</v>
      </c>
      <c r="E112" s="26"/>
      <c r="F112" s="22">
        <v>1</v>
      </c>
      <c r="G112" s="23" t="s">
        <v>20</v>
      </c>
      <c r="H112" s="22">
        <v>60</v>
      </c>
      <c r="I112" s="23" t="s">
        <v>84</v>
      </c>
      <c r="J112" s="24">
        <v>27600</v>
      </c>
      <c r="K112" s="21" t="s">
        <v>84</v>
      </c>
      <c r="L112" s="25">
        <v>0.125</v>
      </c>
      <c r="M112" s="25">
        <v>0.05</v>
      </c>
      <c r="N112" s="22"/>
      <c r="O112" s="23" t="s">
        <v>84</v>
      </c>
      <c r="P112" s="20">
        <f t="shared" si="50"/>
        <v>53</v>
      </c>
      <c r="Q112" s="23" t="s">
        <v>84</v>
      </c>
      <c r="R112" s="24">
        <f t="shared" si="51"/>
        <v>1215952.5</v>
      </c>
      <c r="S112" s="24">
        <f t="shared" si="52"/>
        <v>1095452.7027027027</v>
      </c>
    </row>
    <row r="113" spans="1:19" s="89" customFormat="1">
      <c r="A113" s="88" t="s">
        <v>85</v>
      </c>
      <c r="B113" s="89" t="s">
        <v>18</v>
      </c>
      <c r="C113" s="87"/>
      <c r="D113" s="90" t="s">
        <v>84</v>
      </c>
      <c r="E113" s="91"/>
      <c r="F113" s="92">
        <v>1</v>
      </c>
      <c r="G113" s="93" t="s">
        <v>20</v>
      </c>
      <c r="H113" s="92">
        <v>50</v>
      </c>
      <c r="I113" s="93" t="s">
        <v>84</v>
      </c>
      <c r="J113" s="94">
        <v>30900</v>
      </c>
      <c r="K113" s="90" t="s">
        <v>84</v>
      </c>
      <c r="L113" s="95">
        <v>0.125</v>
      </c>
      <c r="M113" s="95">
        <v>0.05</v>
      </c>
      <c r="N113" s="92"/>
      <c r="O113" s="93" t="s">
        <v>84</v>
      </c>
      <c r="P113" s="87">
        <f t="shared" si="50"/>
        <v>0</v>
      </c>
      <c r="Q113" s="93" t="s">
        <v>84</v>
      </c>
      <c r="R113" s="94">
        <f t="shared" si="51"/>
        <v>0</v>
      </c>
      <c r="S113" s="94">
        <f t="shared" si="52"/>
        <v>0</v>
      </c>
    </row>
    <row r="114" spans="1:19" s="89" customFormat="1">
      <c r="A114" s="88" t="s">
        <v>86</v>
      </c>
      <c r="B114" s="89" t="s">
        <v>18</v>
      </c>
      <c r="C114" s="87"/>
      <c r="D114" s="90" t="s">
        <v>84</v>
      </c>
      <c r="E114" s="91">
        <v>3</v>
      </c>
      <c r="F114" s="92">
        <v>1</v>
      </c>
      <c r="G114" s="93" t="s">
        <v>20</v>
      </c>
      <c r="H114" s="92">
        <v>30</v>
      </c>
      <c r="I114" s="93" t="s">
        <v>84</v>
      </c>
      <c r="J114" s="94">
        <v>48600</v>
      </c>
      <c r="K114" s="90" t="s">
        <v>84</v>
      </c>
      <c r="L114" s="95">
        <v>0.125</v>
      </c>
      <c r="M114" s="95">
        <v>0.05</v>
      </c>
      <c r="N114" s="92"/>
      <c r="O114" s="93" t="s">
        <v>84</v>
      </c>
      <c r="P114" s="87">
        <f t="shared" si="50"/>
        <v>90</v>
      </c>
      <c r="Q114" s="93" t="s">
        <v>84</v>
      </c>
      <c r="R114" s="94">
        <f t="shared" si="51"/>
        <v>3635887.5</v>
      </c>
      <c r="S114" s="94">
        <f t="shared" si="52"/>
        <v>3275574.3243243243</v>
      </c>
    </row>
    <row r="115" spans="1:19" s="19" customFormat="1">
      <c r="A115" s="18" t="s">
        <v>87</v>
      </c>
      <c r="B115" s="19" t="s">
        <v>18</v>
      </c>
      <c r="C115" s="20"/>
      <c r="D115" s="21" t="s">
        <v>84</v>
      </c>
      <c r="E115" s="26">
        <v>4</v>
      </c>
      <c r="F115" s="22">
        <v>1</v>
      </c>
      <c r="G115" s="23" t="s">
        <v>20</v>
      </c>
      <c r="H115" s="22">
        <v>20</v>
      </c>
      <c r="I115" s="23" t="s">
        <v>84</v>
      </c>
      <c r="J115" s="24">
        <v>67800</v>
      </c>
      <c r="K115" s="21" t="s">
        <v>84</v>
      </c>
      <c r="L115" s="25">
        <v>0.125</v>
      </c>
      <c r="M115" s="25">
        <v>0.05</v>
      </c>
      <c r="N115" s="22"/>
      <c r="O115" s="23" t="s">
        <v>84</v>
      </c>
      <c r="P115" s="20">
        <f t="shared" si="50"/>
        <v>80</v>
      </c>
      <c r="Q115" s="23" t="s">
        <v>84</v>
      </c>
      <c r="R115" s="24">
        <f t="shared" ref="R115:R119" si="53">P115*(J115-(J115*L115)-((J115-(J115*L115))*M115))</f>
        <v>4508700</v>
      </c>
      <c r="S115" s="24">
        <f t="shared" ref="S115:S119" si="54">R115/1.11</f>
        <v>4061891.8918918916</v>
      </c>
    </row>
    <row r="116" spans="1:19" s="89" customFormat="1">
      <c r="A116" s="88" t="s">
        <v>88</v>
      </c>
      <c r="B116" s="89" t="s">
        <v>18</v>
      </c>
      <c r="C116" s="87"/>
      <c r="D116" s="90" t="s">
        <v>84</v>
      </c>
      <c r="E116" s="91"/>
      <c r="F116" s="92">
        <v>1</v>
      </c>
      <c r="G116" s="93" t="s">
        <v>20</v>
      </c>
      <c r="H116" s="92">
        <v>10</v>
      </c>
      <c r="I116" s="93" t="s">
        <v>84</v>
      </c>
      <c r="J116" s="94">
        <v>115800</v>
      </c>
      <c r="K116" s="90" t="s">
        <v>84</v>
      </c>
      <c r="L116" s="95">
        <v>0.125</v>
      </c>
      <c r="M116" s="95">
        <v>0.05</v>
      </c>
      <c r="N116" s="92"/>
      <c r="O116" s="93" t="s">
        <v>84</v>
      </c>
      <c r="P116" s="87">
        <f t="shared" si="50"/>
        <v>0</v>
      </c>
      <c r="Q116" s="93" t="s">
        <v>84</v>
      </c>
      <c r="R116" s="94">
        <f t="shared" si="53"/>
        <v>0</v>
      </c>
      <c r="S116" s="94">
        <f t="shared" si="54"/>
        <v>0</v>
      </c>
    </row>
    <row r="117" spans="1:19" s="19" customFormat="1">
      <c r="A117" s="18" t="s">
        <v>89</v>
      </c>
      <c r="B117" s="19" t="s">
        <v>18</v>
      </c>
      <c r="C117" s="20">
        <v>11</v>
      </c>
      <c r="D117" s="21" t="s">
        <v>84</v>
      </c>
      <c r="E117" s="26">
        <v>6</v>
      </c>
      <c r="F117" s="22">
        <v>1</v>
      </c>
      <c r="G117" s="23" t="s">
        <v>20</v>
      </c>
      <c r="H117" s="22">
        <v>5</v>
      </c>
      <c r="I117" s="23" t="s">
        <v>84</v>
      </c>
      <c r="J117" s="24">
        <v>177000</v>
      </c>
      <c r="K117" s="21" t="s">
        <v>84</v>
      </c>
      <c r="L117" s="25">
        <v>0.125</v>
      </c>
      <c r="M117" s="25">
        <v>0.05</v>
      </c>
      <c r="N117" s="22"/>
      <c r="O117" s="23" t="s">
        <v>84</v>
      </c>
      <c r="P117" s="20">
        <f t="shared" si="50"/>
        <v>41</v>
      </c>
      <c r="Q117" s="23" t="s">
        <v>84</v>
      </c>
      <c r="R117" s="24">
        <f t="shared" si="53"/>
        <v>6032381.25</v>
      </c>
      <c r="S117" s="24">
        <f t="shared" si="54"/>
        <v>5434577.702702702</v>
      </c>
    </row>
    <row r="118" spans="1:19" s="19" customFormat="1">
      <c r="A118" s="18" t="s">
        <v>90</v>
      </c>
      <c r="B118" s="19" t="s">
        <v>18</v>
      </c>
      <c r="C118" s="20">
        <v>105</v>
      </c>
      <c r="D118" s="21" t="s">
        <v>40</v>
      </c>
      <c r="E118" s="26">
        <v>3</v>
      </c>
      <c r="F118" s="22">
        <v>3</v>
      </c>
      <c r="G118" s="23" t="s">
        <v>84</v>
      </c>
      <c r="H118" s="22">
        <v>12</v>
      </c>
      <c r="I118" s="23" t="s">
        <v>40</v>
      </c>
      <c r="J118" s="24">
        <f>507600/12</f>
        <v>42300</v>
      </c>
      <c r="K118" s="21" t="s">
        <v>40</v>
      </c>
      <c r="L118" s="25">
        <v>0.125</v>
      </c>
      <c r="M118" s="25">
        <v>0.05</v>
      </c>
      <c r="N118" s="22"/>
      <c r="O118" s="23" t="s">
        <v>40</v>
      </c>
      <c r="P118" s="20">
        <f t="shared" si="50"/>
        <v>213</v>
      </c>
      <c r="Q118" s="23" t="s">
        <v>40</v>
      </c>
      <c r="R118" s="24">
        <f t="shared" si="53"/>
        <v>7489479.375</v>
      </c>
      <c r="S118" s="24">
        <f t="shared" si="54"/>
        <v>6747278.7162162159</v>
      </c>
    </row>
    <row r="119" spans="1:19" s="19" customFormat="1">
      <c r="A119" s="18" t="s">
        <v>826</v>
      </c>
      <c r="B119" s="19" t="s">
        <v>18</v>
      </c>
      <c r="C119" s="20"/>
      <c r="D119" s="21" t="s">
        <v>40</v>
      </c>
      <c r="E119" s="26">
        <v>1</v>
      </c>
      <c r="F119" s="22">
        <v>1</v>
      </c>
      <c r="G119" s="23" t="s">
        <v>20</v>
      </c>
      <c r="H119" s="22">
        <v>20</v>
      </c>
      <c r="I119" s="23" t="s">
        <v>40</v>
      </c>
      <c r="J119" s="24">
        <v>108900</v>
      </c>
      <c r="K119" s="21" t="s">
        <v>40</v>
      </c>
      <c r="L119" s="25">
        <v>0.125</v>
      </c>
      <c r="M119" s="25">
        <v>0.05</v>
      </c>
      <c r="N119" s="22"/>
      <c r="O119" s="23" t="s">
        <v>40</v>
      </c>
      <c r="P119" s="20">
        <f t="shared" ref="P119" si="55">(C119+(E119*F119*H119))-N119</f>
        <v>20</v>
      </c>
      <c r="Q119" s="23" t="s">
        <v>40</v>
      </c>
      <c r="R119" s="24">
        <f t="shared" si="53"/>
        <v>1810462.5</v>
      </c>
      <c r="S119" s="24">
        <f t="shared" si="54"/>
        <v>1631047.297297297</v>
      </c>
    </row>
    <row r="120" spans="1:19" s="19" customFormat="1">
      <c r="A120" s="18"/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18" t="s">
        <v>91</v>
      </c>
      <c r="B121" s="19" t="s">
        <v>25</v>
      </c>
      <c r="C121" s="20"/>
      <c r="D121" s="21" t="s">
        <v>84</v>
      </c>
      <c r="E121" s="26">
        <v>3</v>
      </c>
      <c r="F121" s="22">
        <v>1</v>
      </c>
      <c r="G121" s="23" t="s">
        <v>20</v>
      </c>
      <c r="H121" s="22">
        <v>50</v>
      </c>
      <c r="I121" s="23" t="s">
        <v>84</v>
      </c>
      <c r="J121" s="24">
        <f>1440000/50</f>
        <v>28800</v>
      </c>
      <c r="K121" s="21" t="s">
        <v>84</v>
      </c>
      <c r="L121" s="25"/>
      <c r="M121" s="25">
        <v>0.17</v>
      </c>
      <c r="N121" s="22"/>
      <c r="O121" s="23" t="s">
        <v>84</v>
      </c>
      <c r="P121" s="20">
        <f t="shared" ref="P121:P127" si="56">(C121+(E121*F121*H121))-N121</f>
        <v>150</v>
      </c>
      <c r="Q121" s="23" t="s">
        <v>84</v>
      </c>
      <c r="R121" s="24">
        <f t="shared" ref="R121:R127" si="57">P121*(J121-(J121*L121)-((J121-(J121*L121))*M121))</f>
        <v>3585600</v>
      </c>
      <c r="S121" s="24">
        <f t="shared" si="52"/>
        <v>3230270.2702702698</v>
      </c>
    </row>
    <row r="122" spans="1:19" s="19" customFormat="1">
      <c r="A122" s="18" t="s">
        <v>92</v>
      </c>
      <c r="B122" s="19" t="s">
        <v>25</v>
      </c>
      <c r="C122" s="20">
        <v>43</v>
      </c>
      <c r="D122" s="21" t="s">
        <v>84</v>
      </c>
      <c r="E122" s="26">
        <v>9</v>
      </c>
      <c r="F122" s="22">
        <v>1</v>
      </c>
      <c r="G122" s="23" t="s">
        <v>20</v>
      </c>
      <c r="H122" s="22">
        <v>50</v>
      </c>
      <c r="I122" s="23" t="s">
        <v>84</v>
      </c>
      <c r="J122" s="24">
        <f>1590000/50</f>
        <v>31800</v>
      </c>
      <c r="K122" s="21" t="s">
        <v>84</v>
      </c>
      <c r="L122" s="25"/>
      <c r="M122" s="25">
        <v>0.17</v>
      </c>
      <c r="N122" s="22"/>
      <c r="O122" s="23" t="s">
        <v>84</v>
      </c>
      <c r="P122" s="20">
        <f t="shared" si="56"/>
        <v>493</v>
      </c>
      <c r="Q122" s="23" t="s">
        <v>84</v>
      </c>
      <c r="R122" s="24">
        <f t="shared" si="57"/>
        <v>13012242</v>
      </c>
      <c r="S122" s="24">
        <f t="shared" si="52"/>
        <v>11722740.540540539</v>
      </c>
    </row>
    <row r="123" spans="1:19" s="19" customFormat="1">
      <c r="A123" s="18" t="s">
        <v>93</v>
      </c>
      <c r="B123" s="19" t="s">
        <v>25</v>
      </c>
      <c r="C123" s="20">
        <v>57</v>
      </c>
      <c r="D123" s="21" t="s">
        <v>84</v>
      </c>
      <c r="E123" s="26">
        <v>6</v>
      </c>
      <c r="F123" s="22">
        <v>1</v>
      </c>
      <c r="G123" s="23" t="s">
        <v>20</v>
      </c>
      <c r="H123" s="22">
        <v>30</v>
      </c>
      <c r="I123" s="23" t="s">
        <v>84</v>
      </c>
      <c r="J123" s="24">
        <f>1476000/30</f>
        <v>49200</v>
      </c>
      <c r="K123" s="21" t="s">
        <v>84</v>
      </c>
      <c r="L123" s="25"/>
      <c r="M123" s="25">
        <v>0.17</v>
      </c>
      <c r="N123" s="22"/>
      <c r="O123" s="23" t="s">
        <v>84</v>
      </c>
      <c r="P123" s="20">
        <f t="shared" si="56"/>
        <v>237</v>
      </c>
      <c r="Q123" s="23" t="s">
        <v>84</v>
      </c>
      <c r="R123" s="24">
        <f t="shared" si="57"/>
        <v>9678132</v>
      </c>
      <c r="S123" s="24">
        <f t="shared" si="52"/>
        <v>8719037.8378378376</v>
      </c>
    </row>
    <row r="124" spans="1:19" s="19" customFormat="1">
      <c r="A124" s="18" t="s">
        <v>94</v>
      </c>
      <c r="B124" s="19" t="s">
        <v>25</v>
      </c>
      <c r="C124" s="20">
        <v>71</v>
      </c>
      <c r="D124" s="21" t="s">
        <v>84</v>
      </c>
      <c r="E124" s="26">
        <v>10</v>
      </c>
      <c r="F124" s="22">
        <v>1</v>
      </c>
      <c r="G124" s="23" t="s">
        <v>20</v>
      </c>
      <c r="H124" s="22">
        <v>20</v>
      </c>
      <c r="I124" s="23" t="s">
        <v>84</v>
      </c>
      <c r="J124" s="24">
        <f>1380000/20</f>
        <v>69000</v>
      </c>
      <c r="K124" s="21" t="s">
        <v>84</v>
      </c>
      <c r="L124" s="25"/>
      <c r="M124" s="25">
        <v>0.17</v>
      </c>
      <c r="N124" s="22"/>
      <c r="O124" s="23" t="s">
        <v>84</v>
      </c>
      <c r="P124" s="20">
        <f t="shared" si="56"/>
        <v>271</v>
      </c>
      <c r="Q124" s="23" t="s">
        <v>84</v>
      </c>
      <c r="R124" s="24">
        <f t="shared" si="57"/>
        <v>15520170</v>
      </c>
      <c r="S124" s="24">
        <f t="shared" si="52"/>
        <v>13982135.135135135</v>
      </c>
    </row>
    <row r="125" spans="1:19" s="19" customFormat="1">
      <c r="A125" s="18" t="s">
        <v>95</v>
      </c>
      <c r="B125" s="19" t="s">
        <v>25</v>
      </c>
      <c r="C125" s="20">
        <v>52</v>
      </c>
      <c r="D125" s="21" t="s">
        <v>84</v>
      </c>
      <c r="E125" s="26">
        <v>11</v>
      </c>
      <c r="F125" s="22">
        <v>1</v>
      </c>
      <c r="G125" s="23" t="s">
        <v>20</v>
      </c>
      <c r="H125" s="22">
        <v>10</v>
      </c>
      <c r="I125" s="23" t="s">
        <v>84</v>
      </c>
      <c r="J125" s="24">
        <f>1200000/10</f>
        <v>120000</v>
      </c>
      <c r="K125" s="21" t="s">
        <v>84</v>
      </c>
      <c r="L125" s="25"/>
      <c r="M125" s="25">
        <v>0.17</v>
      </c>
      <c r="N125" s="22"/>
      <c r="O125" s="23" t="s">
        <v>84</v>
      </c>
      <c r="P125" s="20">
        <f t="shared" si="56"/>
        <v>162</v>
      </c>
      <c r="Q125" s="23" t="s">
        <v>84</v>
      </c>
      <c r="R125" s="24">
        <f t="shared" si="57"/>
        <v>16135200</v>
      </c>
      <c r="S125" s="24">
        <f t="shared" si="52"/>
        <v>14536216.216216216</v>
      </c>
    </row>
    <row r="126" spans="1:19" s="19" customFormat="1">
      <c r="A126" s="18" t="s">
        <v>96</v>
      </c>
      <c r="B126" s="19" t="s">
        <v>25</v>
      </c>
      <c r="C126" s="20"/>
      <c r="D126" s="21" t="s">
        <v>84</v>
      </c>
      <c r="E126" s="26">
        <v>15</v>
      </c>
      <c r="F126" s="22">
        <v>1</v>
      </c>
      <c r="G126" s="23" t="s">
        <v>20</v>
      </c>
      <c r="H126" s="22">
        <v>5</v>
      </c>
      <c r="I126" s="23" t="s">
        <v>84</v>
      </c>
      <c r="J126" s="24">
        <f>900000/5</f>
        <v>180000</v>
      </c>
      <c r="K126" s="21" t="s">
        <v>84</v>
      </c>
      <c r="L126" s="25"/>
      <c r="M126" s="25">
        <v>0.17</v>
      </c>
      <c r="N126" s="22"/>
      <c r="O126" s="23" t="s">
        <v>84</v>
      </c>
      <c r="P126" s="20">
        <f t="shared" si="56"/>
        <v>75</v>
      </c>
      <c r="Q126" s="23" t="s">
        <v>84</v>
      </c>
      <c r="R126" s="24">
        <f t="shared" si="57"/>
        <v>11205000</v>
      </c>
      <c r="S126" s="24">
        <f t="shared" si="52"/>
        <v>10094594.594594594</v>
      </c>
    </row>
    <row r="127" spans="1:19" s="19" customFormat="1">
      <c r="A127" s="18" t="s">
        <v>708</v>
      </c>
      <c r="B127" s="19" t="s">
        <v>25</v>
      </c>
      <c r="C127" s="20">
        <v>345</v>
      </c>
      <c r="D127" s="21" t="s">
        <v>33</v>
      </c>
      <c r="E127" s="26"/>
      <c r="F127" s="22">
        <v>1</v>
      </c>
      <c r="G127" s="23" t="s">
        <v>20</v>
      </c>
      <c r="H127" s="22">
        <v>72</v>
      </c>
      <c r="I127" s="23" t="s">
        <v>33</v>
      </c>
      <c r="J127" s="24">
        <f>1548000/72</f>
        <v>21500</v>
      </c>
      <c r="K127" s="21" t="s">
        <v>33</v>
      </c>
      <c r="L127" s="25"/>
      <c r="M127" s="25">
        <v>0.17</v>
      </c>
      <c r="N127" s="22"/>
      <c r="O127" s="23" t="s">
        <v>33</v>
      </c>
      <c r="P127" s="20">
        <f t="shared" si="56"/>
        <v>345</v>
      </c>
      <c r="Q127" s="23" t="s">
        <v>33</v>
      </c>
      <c r="R127" s="24">
        <f t="shared" si="57"/>
        <v>6156525</v>
      </c>
      <c r="S127" s="24">
        <f t="shared" si="52"/>
        <v>5546418.9189189188</v>
      </c>
    </row>
    <row r="128" spans="1:19" s="19" customFormat="1">
      <c r="A128" s="18"/>
      <c r="C128" s="20"/>
      <c r="D128" s="21"/>
      <c r="E128" s="26"/>
      <c r="F128" s="22"/>
      <c r="G128" s="23"/>
      <c r="H128" s="22"/>
      <c r="I128" s="23"/>
      <c r="J128" s="24"/>
      <c r="K128" s="21"/>
      <c r="L128" s="25"/>
      <c r="M128" s="25"/>
      <c r="N128" s="22"/>
      <c r="O128" s="23"/>
      <c r="P128" s="20"/>
      <c r="Q128" s="23"/>
      <c r="R128" s="24"/>
      <c r="S128" s="24"/>
    </row>
    <row r="129" spans="1:19" s="19" customFormat="1">
      <c r="A129" s="71" t="s">
        <v>97</v>
      </c>
      <c r="C129" s="20"/>
      <c r="D129" s="21"/>
      <c r="E129" s="26"/>
      <c r="F129" s="22"/>
      <c r="G129" s="23"/>
      <c r="H129" s="22"/>
      <c r="I129" s="23"/>
      <c r="J129" s="24"/>
      <c r="K129" s="21"/>
      <c r="L129" s="25"/>
      <c r="M129" s="25"/>
      <c r="N129" s="22"/>
      <c r="O129" s="23"/>
      <c r="P129" s="20"/>
      <c r="Q129" s="23"/>
      <c r="R129" s="24"/>
      <c r="S129" s="24"/>
    </row>
    <row r="130" spans="1:19" s="19" customFormat="1">
      <c r="A130" s="18" t="s">
        <v>98</v>
      </c>
      <c r="B130" s="19" t="s">
        <v>18</v>
      </c>
      <c r="C130" s="20"/>
      <c r="D130" s="21" t="s">
        <v>33</v>
      </c>
      <c r="E130" s="26">
        <v>2</v>
      </c>
      <c r="F130" s="22">
        <v>50</v>
      </c>
      <c r="G130" s="23" t="s">
        <v>99</v>
      </c>
      <c r="H130" s="22">
        <v>10</v>
      </c>
      <c r="I130" s="23" t="s">
        <v>33</v>
      </c>
      <c r="J130" s="24">
        <v>1850</v>
      </c>
      <c r="K130" s="21" t="s">
        <v>33</v>
      </c>
      <c r="L130" s="25">
        <v>0.125</v>
      </c>
      <c r="M130" s="25">
        <v>0.05</v>
      </c>
      <c r="N130" s="22"/>
      <c r="O130" s="23" t="s">
        <v>33</v>
      </c>
      <c r="P130" s="20">
        <f>(C130+(E130*F130*H130))-N130</f>
        <v>1000</v>
      </c>
      <c r="Q130" s="23" t="s">
        <v>33</v>
      </c>
      <c r="R130" s="24">
        <f>P130*(J130-(J130*L130)-((J130-(J130*L130))*M130))</f>
        <v>1537812.5</v>
      </c>
      <c r="S130" s="24">
        <f t="shared" si="52"/>
        <v>1385416.6666666665</v>
      </c>
    </row>
    <row r="131" spans="1:19" s="19" customFormat="1">
      <c r="A131" s="18" t="s">
        <v>100</v>
      </c>
      <c r="B131" s="19" t="s">
        <v>18</v>
      </c>
      <c r="C131" s="20"/>
      <c r="D131" s="21" t="s">
        <v>33</v>
      </c>
      <c r="E131" s="26">
        <v>9</v>
      </c>
      <c r="F131" s="22">
        <v>50</v>
      </c>
      <c r="G131" s="23" t="s">
        <v>99</v>
      </c>
      <c r="H131" s="22">
        <v>10</v>
      </c>
      <c r="I131" s="23" t="s">
        <v>33</v>
      </c>
      <c r="J131" s="24">
        <v>1625</v>
      </c>
      <c r="K131" s="21" t="s">
        <v>33</v>
      </c>
      <c r="L131" s="25">
        <v>0.125</v>
      </c>
      <c r="M131" s="25">
        <v>0.05</v>
      </c>
      <c r="N131" s="22"/>
      <c r="O131" s="23" t="s">
        <v>33</v>
      </c>
      <c r="P131" s="20">
        <f>(C131+(E131*F131*H131))-N131</f>
        <v>4500</v>
      </c>
      <c r="Q131" s="23" t="s">
        <v>33</v>
      </c>
      <c r="R131" s="24">
        <f>P131*(J131-(J131*L131)-((J131-(J131*L131))*M131))</f>
        <v>6078515.625</v>
      </c>
      <c r="S131" s="24">
        <f t="shared" si="52"/>
        <v>5476140.202702702</v>
      </c>
    </row>
    <row r="132" spans="1:19" s="89" customFormat="1">
      <c r="A132" s="88" t="s">
        <v>101</v>
      </c>
      <c r="B132" s="89" t="s">
        <v>18</v>
      </c>
      <c r="C132" s="87"/>
      <c r="D132" s="90" t="s">
        <v>33</v>
      </c>
      <c r="E132" s="91">
        <v>3</v>
      </c>
      <c r="F132" s="92">
        <v>20</v>
      </c>
      <c r="G132" s="93" t="s">
        <v>99</v>
      </c>
      <c r="H132" s="92">
        <v>10</v>
      </c>
      <c r="I132" s="93" t="s">
        <v>33</v>
      </c>
      <c r="J132" s="94">
        <v>4400</v>
      </c>
      <c r="K132" s="90" t="s">
        <v>33</v>
      </c>
      <c r="L132" s="95">
        <v>0.125</v>
      </c>
      <c r="M132" s="95">
        <v>0.05</v>
      </c>
      <c r="N132" s="92"/>
      <c r="O132" s="93" t="s">
        <v>33</v>
      </c>
      <c r="P132" s="87">
        <f>(C132+(E132*F132*H132))-N132</f>
        <v>600</v>
      </c>
      <c r="Q132" s="93" t="s">
        <v>33</v>
      </c>
      <c r="R132" s="94">
        <f>P132*(J132-(J132*L132)-((J132-(J132*L132))*M132))</f>
        <v>2194500</v>
      </c>
      <c r="S132" s="94">
        <f t="shared" si="52"/>
        <v>1977027.0270270268</v>
      </c>
    </row>
    <row r="133" spans="1:19" s="19" customFormat="1">
      <c r="A133" s="18" t="s">
        <v>102</v>
      </c>
      <c r="B133" s="19" t="s">
        <v>18</v>
      </c>
      <c r="C133" s="20">
        <v>792</v>
      </c>
      <c r="D133" s="21" t="s">
        <v>103</v>
      </c>
      <c r="E133" s="26">
        <v>2</v>
      </c>
      <c r="F133" s="22">
        <v>24</v>
      </c>
      <c r="G133" s="23" t="s">
        <v>33</v>
      </c>
      <c r="H133" s="22">
        <v>12</v>
      </c>
      <c r="I133" s="23" t="s">
        <v>103</v>
      </c>
      <c r="J133" s="24">
        <v>3100</v>
      </c>
      <c r="K133" s="21" t="s">
        <v>103</v>
      </c>
      <c r="L133" s="25">
        <v>0.125</v>
      </c>
      <c r="M133" s="25">
        <v>0.05</v>
      </c>
      <c r="N133" s="22"/>
      <c r="O133" s="23" t="s">
        <v>103</v>
      </c>
      <c r="P133" s="20">
        <f>(C133+(E133*F133*H133))-N133</f>
        <v>1368</v>
      </c>
      <c r="Q133" s="23" t="s">
        <v>103</v>
      </c>
      <c r="R133" s="24">
        <f>P133*(J133-(J133*L133)-((J133-(J133*L133))*M133))</f>
        <v>3525165</v>
      </c>
      <c r="S133" s="24">
        <f t="shared" si="52"/>
        <v>3175824.3243243243</v>
      </c>
    </row>
    <row r="134" spans="1:19" s="19" customFormat="1">
      <c r="A134" s="18"/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19" customFormat="1">
      <c r="A135" s="18" t="s">
        <v>104</v>
      </c>
      <c r="B135" s="19" t="s">
        <v>25</v>
      </c>
      <c r="C135" s="20">
        <v>390</v>
      </c>
      <c r="D135" s="21" t="s">
        <v>33</v>
      </c>
      <c r="E135" s="26">
        <v>4</v>
      </c>
      <c r="F135" s="22">
        <v>50</v>
      </c>
      <c r="G135" s="23" t="s">
        <v>99</v>
      </c>
      <c r="H135" s="22">
        <v>10</v>
      </c>
      <c r="I135" s="23" t="s">
        <v>33</v>
      </c>
      <c r="J135" s="24">
        <f>850000/50/10</f>
        <v>1700</v>
      </c>
      <c r="K135" s="21" t="s">
        <v>33</v>
      </c>
      <c r="L135" s="25"/>
      <c r="M135" s="25">
        <v>0.17</v>
      </c>
      <c r="N135" s="22"/>
      <c r="O135" s="23" t="s">
        <v>33</v>
      </c>
      <c r="P135" s="20">
        <f>(C135+(E135*F135*H135))-N135</f>
        <v>2390</v>
      </c>
      <c r="Q135" s="23" t="s">
        <v>33</v>
      </c>
      <c r="R135" s="24">
        <f>P135*(J135-(J135*L135)-((J135-(J135*L135))*M135))</f>
        <v>3372290</v>
      </c>
      <c r="S135" s="24">
        <f t="shared" si="52"/>
        <v>3038099.0990990987</v>
      </c>
    </row>
    <row r="136" spans="1:19" s="19" customFormat="1">
      <c r="A136" s="18" t="s">
        <v>105</v>
      </c>
      <c r="B136" s="19" t="s">
        <v>25</v>
      </c>
      <c r="C136" s="20">
        <v>1510</v>
      </c>
      <c r="D136" s="21" t="s">
        <v>33</v>
      </c>
      <c r="E136" s="26">
        <v>8</v>
      </c>
      <c r="F136" s="22">
        <v>50</v>
      </c>
      <c r="G136" s="23" t="s">
        <v>99</v>
      </c>
      <c r="H136" s="22">
        <v>10</v>
      </c>
      <c r="I136" s="23" t="s">
        <v>33</v>
      </c>
      <c r="J136" s="24">
        <f>800000/50/10</f>
        <v>1600</v>
      </c>
      <c r="K136" s="21" t="s">
        <v>33</v>
      </c>
      <c r="L136" s="25"/>
      <c r="M136" s="25">
        <v>0.17</v>
      </c>
      <c r="N136" s="22"/>
      <c r="O136" s="23" t="s">
        <v>33</v>
      </c>
      <c r="P136" s="20">
        <f>(C136+(E136*F136*H136))-N136</f>
        <v>5510</v>
      </c>
      <c r="Q136" s="23" t="s">
        <v>33</v>
      </c>
      <c r="R136" s="24">
        <f>P136*(J136-(J136*L136)-((J136-(J136*L136))*M136))</f>
        <v>7317280</v>
      </c>
      <c r="S136" s="24">
        <f t="shared" si="52"/>
        <v>6592144.1441441439</v>
      </c>
    </row>
    <row r="137" spans="1:19" s="19" customFormat="1">
      <c r="A137" s="18" t="s">
        <v>106</v>
      </c>
      <c r="B137" s="19" t="s">
        <v>25</v>
      </c>
      <c r="C137" s="20">
        <v>810</v>
      </c>
      <c r="D137" s="21" t="s">
        <v>33</v>
      </c>
      <c r="E137" s="26">
        <v>10</v>
      </c>
      <c r="F137" s="22">
        <v>20</v>
      </c>
      <c r="G137" s="23" t="s">
        <v>99</v>
      </c>
      <c r="H137" s="22">
        <v>10</v>
      </c>
      <c r="I137" s="23" t="s">
        <v>33</v>
      </c>
      <c r="J137" s="24">
        <f>860000/20/10</f>
        <v>4300</v>
      </c>
      <c r="K137" s="21" t="s">
        <v>33</v>
      </c>
      <c r="L137" s="25"/>
      <c r="M137" s="25">
        <v>0.17</v>
      </c>
      <c r="N137" s="22"/>
      <c r="O137" s="23" t="s">
        <v>33</v>
      </c>
      <c r="P137" s="20">
        <f>(C137+(E137*F137*H137))-N137</f>
        <v>2810</v>
      </c>
      <c r="Q137" s="23" t="s">
        <v>33</v>
      </c>
      <c r="R137" s="24">
        <f>P137*(J137-(J137*L137)-((J137-(J137*L137))*M137))</f>
        <v>10028890</v>
      </c>
      <c r="S137" s="24">
        <f t="shared" si="52"/>
        <v>9035036.036036035</v>
      </c>
    </row>
    <row r="138" spans="1:19" s="19" customFormat="1">
      <c r="A138" s="18" t="s">
        <v>107</v>
      </c>
      <c r="B138" s="19" t="s">
        <v>25</v>
      </c>
      <c r="C138" s="20">
        <v>16</v>
      </c>
      <c r="D138" s="21" t="s">
        <v>40</v>
      </c>
      <c r="E138" s="26">
        <v>5</v>
      </c>
      <c r="F138" s="22">
        <v>1</v>
      </c>
      <c r="G138" s="23" t="s">
        <v>20</v>
      </c>
      <c r="H138" s="22">
        <v>48</v>
      </c>
      <c r="I138" s="23" t="s">
        <v>40</v>
      </c>
      <c r="J138" s="24">
        <f>1987200/48</f>
        <v>41400</v>
      </c>
      <c r="K138" s="21" t="s">
        <v>40</v>
      </c>
      <c r="L138" s="25"/>
      <c r="M138" s="25">
        <v>0.17</v>
      </c>
      <c r="N138" s="22"/>
      <c r="O138" s="23" t="s">
        <v>40</v>
      </c>
      <c r="P138" s="20">
        <f>(C138+(E138*F138*H138))-N138</f>
        <v>256</v>
      </c>
      <c r="Q138" s="23" t="s">
        <v>40</v>
      </c>
      <c r="R138" s="24">
        <f>P138*(J138-(J138*L138)-((J138-(J138*L138))*M138))</f>
        <v>8796672</v>
      </c>
      <c r="S138" s="24">
        <f t="shared" si="52"/>
        <v>7924929.7297297288</v>
      </c>
    </row>
    <row r="139" spans="1:19" s="19" customFormat="1">
      <c r="A139" s="18"/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 ht="15.75">
      <c r="A140" s="44" t="s">
        <v>108</v>
      </c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71" t="s">
        <v>109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110</v>
      </c>
      <c r="B142" s="19" t="s">
        <v>18</v>
      </c>
      <c r="C142" s="20">
        <v>145</v>
      </c>
      <c r="D142" s="21" t="s">
        <v>40</v>
      </c>
      <c r="E142" s="26">
        <v>8</v>
      </c>
      <c r="F142" s="22">
        <v>1</v>
      </c>
      <c r="G142" s="23" t="s">
        <v>20</v>
      </c>
      <c r="H142" s="22">
        <v>48</v>
      </c>
      <c r="I142" s="23" t="s">
        <v>40</v>
      </c>
      <c r="J142" s="24">
        <v>36000</v>
      </c>
      <c r="K142" s="21" t="s">
        <v>40</v>
      </c>
      <c r="L142" s="25">
        <v>0.125</v>
      </c>
      <c r="M142" s="25">
        <v>0.05</v>
      </c>
      <c r="N142" s="22"/>
      <c r="O142" s="23" t="s">
        <v>40</v>
      </c>
      <c r="P142" s="20">
        <f t="shared" ref="P142:P157" si="58">(C142+(E142*F142*H142))-N142</f>
        <v>529</v>
      </c>
      <c r="Q142" s="23" t="s">
        <v>40</v>
      </c>
      <c r="R142" s="24">
        <f t="shared" ref="R142:R157" si="59">P142*(J142-(J142*L142)-((J142-(J142*L142))*M142))</f>
        <v>15830325</v>
      </c>
      <c r="S142" s="24">
        <f t="shared" si="52"/>
        <v>14261554.054054054</v>
      </c>
    </row>
    <row r="143" spans="1:19" s="19" customFormat="1">
      <c r="A143" s="31" t="s">
        <v>111</v>
      </c>
      <c r="B143" s="32" t="s">
        <v>18</v>
      </c>
      <c r="C143" s="33">
        <v>480</v>
      </c>
      <c r="D143" s="34" t="s">
        <v>40</v>
      </c>
      <c r="E143" s="35"/>
      <c r="F143" s="36">
        <v>1</v>
      </c>
      <c r="G143" s="37" t="s">
        <v>20</v>
      </c>
      <c r="H143" s="36">
        <v>48</v>
      </c>
      <c r="I143" s="37" t="s">
        <v>40</v>
      </c>
      <c r="J143" s="38">
        <v>36000</v>
      </c>
      <c r="K143" s="34" t="s">
        <v>40</v>
      </c>
      <c r="L143" s="39">
        <v>0.125</v>
      </c>
      <c r="M143" s="39">
        <v>0.1</v>
      </c>
      <c r="N143" s="36"/>
      <c r="O143" s="37" t="s">
        <v>40</v>
      </c>
      <c r="P143" s="33">
        <f t="shared" ref="P143" si="60">(C143+(E143*F143*H143))-N143</f>
        <v>480</v>
      </c>
      <c r="Q143" s="37" t="s">
        <v>40</v>
      </c>
      <c r="R143" s="38">
        <f t="shared" ref="R143" si="61">P143*(J143-(J143*L143)-((J143-(J143*L143))*M143))</f>
        <v>13608000</v>
      </c>
      <c r="S143" s="38">
        <f t="shared" ref="S143" si="62">R143/1.11</f>
        <v>12259459.459459458</v>
      </c>
    </row>
    <row r="144" spans="1:19" s="19" customFormat="1">
      <c r="A144" s="31" t="s">
        <v>111</v>
      </c>
      <c r="B144" s="32" t="s">
        <v>18</v>
      </c>
      <c r="C144" s="33">
        <v>24</v>
      </c>
      <c r="D144" s="34" t="s">
        <v>40</v>
      </c>
      <c r="E144" s="35">
        <v>11</v>
      </c>
      <c r="F144" s="36">
        <v>1</v>
      </c>
      <c r="G144" s="37" t="s">
        <v>20</v>
      </c>
      <c r="H144" s="36">
        <v>48</v>
      </c>
      <c r="I144" s="37" t="s">
        <v>40</v>
      </c>
      <c r="J144" s="38">
        <v>36000</v>
      </c>
      <c r="K144" s="34" t="s">
        <v>40</v>
      </c>
      <c r="L144" s="39">
        <v>0.125</v>
      </c>
      <c r="M144" s="39">
        <v>0.05</v>
      </c>
      <c r="N144" s="36"/>
      <c r="O144" s="37" t="s">
        <v>40</v>
      </c>
      <c r="P144" s="33">
        <f t="shared" si="58"/>
        <v>552</v>
      </c>
      <c r="Q144" s="37" t="s">
        <v>40</v>
      </c>
      <c r="R144" s="38">
        <f t="shared" si="59"/>
        <v>16518600</v>
      </c>
      <c r="S144" s="38">
        <f t="shared" si="52"/>
        <v>14881621.62162162</v>
      </c>
    </row>
    <row r="145" spans="1:19" s="19" customFormat="1">
      <c r="A145" s="18" t="s">
        <v>725</v>
      </c>
      <c r="B145" s="19" t="s">
        <v>18</v>
      </c>
      <c r="C145" s="20">
        <v>96</v>
      </c>
      <c r="D145" s="21" t="s">
        <v>40</v>
      </c>
      <c r="E145" s="26">
        <v>1</v>
      </c>
      <c r="F145" s="22">
        <v>1</v>
      </c>
      <c r="G145" s="23" t="s">
        <v>20</v>
      </c>
      <c r="H145" s="22">
        <v>48</v>
      </c>
      <c r="I145" s="23" t="s">
        <v>40</v>
      </c>
      <c r="J145" s="24">
        <v>36000</v>
      </c>
      <c r="K145" s="21" t="s">
        <v>40</v>
      </c>
      <c r="L145" s="25">
        <v>0.125</v>
      </c>
      <c r="M145" s="25">
        <v>0.05</v>
      </c>
      <c r="N145" s="22"/>
      <c r="O145" s="23" t="s">
        <v>40</v>
      </c>
      <c r="P145" s="20">
        <f t="shared" si="58"/>
        <v>144</v>
      </c>
      <c r="Q145" s="23" t="s">
        <v>40</v>
      </c>
      <c r="R145" s="24">
        <f t="shared" si="59"/>
        <v>4309200</v>
      </c>
      <c r="S145" s="24">
        <f t="shared" si="52"/>
        <v>3882162.1621621619</v>
      </c>
    </row>
    <row r="146" spans="1:19" s="89" customFormat="1">
      <c r="A146" s="88" t="s">
        <v>112</v>
      </c>
      <c r="B146" s="89" t="s">
        <v>18</v>
      </c>
      <c r="C146" s="87"/>
      <c r="D146" s="90" t="s">
        <v>40</v>
      </c>
      <c r="E146" s="91"/>
      <c r="F146" s="92">
        <v>1</v>
      </c>
      <c r="G146" s="93" t="s">
        <v>20</v>
      </c>
      <c r="H146" s="92">
        <v>48</v>
      </c>
      <c r="I146" s="93" t="s">
        <v>40</v>
      </c>
      <c r="J146" s="94">
        <v>39000</v>
      </c>
      <c r="K146" s="90" t="s">
        <v>40</v>
      </c>
      <c r="L146" s="95">
        <v>0.125</v>
      </c>
      <c r="M146" s="95">
        <v>0.05</v>
      </c>
      <c r="N146" s="92"/>
      <c r="O146" s="93" t="s">
        <v>40</v>
      </c>
      <c r="P146" s="87">
        <f t="shared" si="58"/>
        <v>0</v>
      </c>
      <c r="Q146" s="93" t="s">
        <v>40</v>
      </c>
      <c r="R146" s="94">
        <f t="shared" si="59"/>
        <v>0</v>
      </c>
      <c r="S146" s="94">
        <f t="shared" si="52"/>
        <v>0</v>
      </c>
    </row>
    <row r="147" spans="1:19" s="19" customFormat="1">
      <c r="A147" s="18" t="s">
        <v>113</v>
      </c>
      <c r="B147" s="19" t="s">
        <v>18</v>
      </c>
      <c r="C147" s="20">
        <v>144</v>
      </c>
      <c r="D147" s="21" t="s">
        <v>40</v>
      </c>
      <c r="E147" s="26"/>
      <c r="F147" s="22">
        <v>1</v>
      </c>
      <c r="G147" s="23" t="s">
        <v>20</v>
      </c>
      <c r="H147" s="22">
        <v>48</v>
      </c>
      <c r="I147" s="23" t="s">
        <v>40</v>
      </c>
      <c r="J147" s="24">
        <v>54600</v>
      </c>
      <c r="K147" s="21" t="s">
        <v>40</v>
      </c>
      <c r="L147" s="25">
        <v>0.125</v>
      </c>
      <c r="M147" s="25">
        <v>0.05</v>
      </c>
      <c r="N147" s="22"/>
      <c r="O147" s="23" t="s">
        <v>40</v>
      </c>
      <c r="P147" s="20">
        <f t="shared" si="58"/>
        <v>144</v>
      </c>
      <c r="Q147" s="23" t="s">
        <v>40</v>
      </c>
      <c r="R147" s="24">
        <f t="shared" si="59"/>
        <v>6535620</v>
      </c>
      <c r="S147" s="24">
        <f t="shared" si="52"/>
        <v>5887945.9459459456</v>
      </c>
    </row>
    <row r="148" spans="1:19" s="19" customFormat="1">
      <c r="A148" s="18" t="s">
        <v>114</v>
      </c>
      <c r="B148" s="19" t="s">
        <v>18</v>
      </c>
      <c r="C148" s="20">
        <v>144</v>
      </c>
      <c r="D148" s="21" t="s">
        <v>40</v>
      </c>
      <c r="E148" s="26"/>
      <c r="F148" s="22">
        <v>1</v>
      </c>
      <c r="G148" s="23" t="s">
        <v>20</v>
      </c>
      <c r="H148" s="22">
        <v>48</v>
      </c>
      <c r="I148" s="23" t="s">
        <v>40</v>
      </c>
      <c r="J148" s="24">
        <v>30000</v>
      </c>
      <c r="K148" s="21" t="s">
        <v>40</v>
      </c>
      <c r="L148" s="25">
        <v>0.125</v>
      </c>
      <c r="M148" s="25">
        <v>0.05</v>
      </c>
      <c r="N148" s="22"/>
      <c r="O148" s="23" t="s">
        <v>40</v>
      </c>
      <c r="P148" s="20">
        <f t="shared" si="58"/>
        <v>144</v>
      </c>
      <c r="Q148" s="23" t="s">
        <v>40</v>
      </c>
      <c r="R148" s="24">
        <f t="shared" si="59"/>
        <v>3591000</v>
      </c>
      <c r="S148" s="24">
        <f t="shared" si="52"/>
        <v>3235135.1351351347</v>
      </c>
    </row>
    <row r="149" spans="1:19" s="19" customFormat="1">
      <c r="A149" s="18" t="s">
        <v>693</v>
      </c>
      <c r="B149" s="19" t="s">
        <v>18</v>
      </c>
      <c r="C149" s="20">
        <v>144</v>
      </c>
      <c r="D149" s="21" t="s">
        <v>40</v>
      </c>
      <c r="E149" s="26"/>
      <c r="F149" s="22">
        <v>1</v>
      </c>
      <c r="G149" s="23" t="s">
        <v>20</v>
      </c>
      <c r="H149" s="22">
        <v>48</v>
      </c>
      <c r="I149" s="23" t="s">
        <v>40</v>
      </c>
      <c r="J149" s="24">
        <v>48000</v>
      </c>
      <c r="K149" s="21" t="s">
        <v>40</v>
      </c>
      <c r="L149" s="25">
        <v>0.125</v>
      </c>
      <c r="M149" s="25">
        <v>0.05</v>
      </c>
      <c r="N149" s="22"/>
      <c r="O149" s="23" t="s">
        <v>40</v>
      </c>
      <c r="P149" s="20">
        <f t="shared" si="58"/>
        <v>144</v>
      </c>
      <c r="Q149" s="23" t="s">
        <v>40</v>
      </c>
      <c r="R149" s="24">
        <f t="shared" si="59"/>
        <v>5745600</v>
      </c>
      <c r="S149" s="24">
        <f t="shared" si="52"/>
        <v>5176216.2162162159</v>
      </c>
    </row>
    <row r="150" spans="1:19" s="19" customFormat="1">
      <c r="A150" s="18" t="s">
        <v>115</v>
      </c>
      <c r="B150" s="19" t="s">
        <v>18</v>
      </c>
      <c r="C150" s="20">
        <v>108</v>
      </c>
      <c r="D150" s="21" t="s">
        <v>40</v>
      </c>
      <c r="E150" s="26"/>
      <c r="F150" s="22">
        <v>1</v>
      </c>
      <c r="G150" s="23" t="s">
        <v>20</v>
      </c>
      <c r="H150" s="22">
        <v>36</v>
      </c>
      <c r="I150" s="23" t="s">
        <v>40</v>
      </c>
      <c r="J150" s="24">
        <v>41400</v>
      </c>
      <c r="K150" s="21" t="s">
        <v>40</v>
      </c>
      <c r="L150" s="25">
        <v>0.125</v>
      </c>
      <c r="M150" s="25">
        <v>0.1</v>
      </c>
      <c r="N150" s="22"/>
      <c r="O150" s="23" t="s">
        <v>40</v>
      </c>
      <c r="P150" s="20">
        <f t="shared" si="58"/>
        <v>108</v>
      </c>
      <c r="Q150" s="23" t="s">
        <v>40</v>
      </c>
      <c r="R150" s="24">
        <f t="shared" si="59"/>
        <v>3521070</v>
      </c>
      <c r="S150" s="24">
        <f t="shared" si="52"/>
        <v>3172135.1351351347</v>
      </c>
    </row>
    <row r="151" spans="1:19" s="19" customFormat="1">
      <c r="A151" s="18" t="s">
        <v>116</v>
      </c>
      <c r="B151" s="19" t="s">
        <v>18</v>
      </c>
      <c r="C151" s="20">
        <v>36</v>
      </c>
      <c r="D151" s="21" t="s">
        <v>40</v>
      </c>
      <c r="E151" s="26">
        <v>1</v>
      </c>
      <c r="F151" s="22">
        <v>1</v>
      </c>
      <c r="G151" s="23" t="s">
        <v>20</v>
      </c>
      <c r="H151" s="22">
        <v>36</v>
      </c>
      <c r="I151" s="23" t="s">
        <v>40</v>
      </c>
      <c r="J151" s="24">
        <v>41400</v>
      </c>
      <c r="K151" s="21" t="s">
        <v>40</v>
      </c>
      <c r="L151" s="25">
        <v>0.125</v>
      </c>
      <c r="M151" s="25">
        <v>0.05</v>
      </c>
      <c r="N151" s="22"/>
      <c r="O151" s="23" t="s">
        <v>40</v>
      </c>
      <c r="P151" s="20">
        <f t="shared" si="58"/>
        <v>72</v>
      </c>
      <c r="Q151" s="23" t="s">
        <v>40</v>
      </c>
      <c r="R151" s="24">
        <f t="shared" si="59"/>
        <v>2477790</v>
      </c>
      <c r="S151" s="24">
        <f t="shared" si="52"/>
        <v>2232243.2432432431</v>
      </c>
    </row>
    <row r="152" spans="1:19" s="19" customFormat="1">
      <c r="A152" s="18" t="s">
        <v>117</v>
      </c>
      <c r="B152" s="19" t="s">
        <v>18</v>
      </c>
      <c r="C152" s="20">
        <v>528</v>
      </c>
      <c r="D152" s="21" t="s">
        <v>40</v>
      </c>
      <c r="E152" s="26">
        <v>10</v>
      </c>
      <c r="F152" s="22">
        <v>24</v>
      </c>
      <c r="G152" s="23" t="s">
        <v>33</v>
      </c>
      <c r="H152" s="22">
        <v>2</v>
      </c>
      <c r="I152" s="23" t="s">
        <v>40</v>
      </c>
      <c r="J152" s="24">
        <f>70800/2</f>
        <v>35400</v>
      </c>
      <c r="K152" s="21" t="s">
        <v>40</v>
      </c>
      <c r="L152" s="25">
        <v>0.125</v>
      </c>
      <c r="M152" s="25">
        <v>0.05</v>
      </c>
      <c r="N152" s="22"/>
      <c r="O152" s="23" t="s">
        <v>40</v>
      </c>
      <c r="P152" s="20">
        <f t="shared" si="58"/>
        <v>1008</v>
      </c>
      <c r="Q152" s="23" t="s">
        <v>40</v>
      </c>
      <c r="R152" s="24">
        <f t="shared" si="59"/>
        <v>29661660</v>
      </c>
      <c r="S152" s="24">
        <f t="shared" si="52"/>
        <v>26722216.216216214</v>
      </c>
    </row>
    <row r="153" spans="1:19" s="19" customFormat="1">
      <c r="A153" s="18" t="s">
        <v>118</v>
      </c>
      <c r="B153" s="19" t="s">
        <v>18</v>
      </c>
      <c r="C153" s="20">
        <v>240</v>
      </c>
      <c r="D153" s="21" t="s">
        <v>40</v>
      </c>
      <c r="E153" s="26">
        <v>10</v>
      </c>
      <c r="F153" s="22">
        <v>24</v>
      </c>
      <c r="G153" s="23" t="s">
        <v>33</v>
      </c>
      <c r="H153" s="22">
        <v>2</v>
      </c>
      <c r="I153" s="23" t="s">
        <v>40</v>
      </c>
      <c r="J153" s="24">
        <f>70800/2</f>
        <v>35400</v>
      </c>
      <c r="K153" s="21" t="s">
        <v>40</v>
      </c>
      <c r="L153" s="25">
        <v>0.125</v>
      </c>
      <c r="M153" s="25">
        <v>0.05</v>
      </c>
      <c r="N153" s="22"/>
      <c r="O153" s="23" t="s">
        <v>40</v>
      </c>
      <c r="P153" s="20">
        <f t="shared" si="58"/>
        <v>720</v>
      </c>
      <c r="Q153" s="23" t="s">
        <v>40</v>
      </c>
      <c r="R153" s="24">
        <f t="shared" si="59"/>
        <v>21186900</v>
      </c>
      <c r="S153" s="24">
        <f t="shared" si="52"/>
        <v>19087297.297297295</v>
      </c>
    </row>
    <row r="154" spans="1:19" s="19" customFormat="1">
      <c r="A154" s="18" t="s">
        <v>119</v>
      </c>
      <c r="B154" s="19" t="s">
        <v>18</v>
      </c>
      <c r="C154" s="20">
        <v>29</v>
      </c>
      <c r="D154" s="21" t="s">
        <v>40</v>
      </c>
      <c r="E154" s="26">
        <v>4</v>
      </c>
      <c r="F154" s="22">
        <v>1</v>
      </c>
      <c r="G154" s="23" t="s">
        <v>20</v>
      </c>
      <c r="H154" s="22">
        <v>36</v>
      </c>
      <c r="I154" s="23" t="s">
        <v>40</v>
      </c>
      <c r="J154" s="24">
        <v>34200</v>
      </c>
      <c r="K154" s="21" t="s">
        <v>40</v>
      </c>
      <c r="L154" s="25">
        <v>0.125</v>
      </c>
      <c r="M154" s="25">
        <v>0.05</v>
      </c>
      <c r="N154" s="22"/>
      <c r="O154" s="23" t="s">
        <v>40</v>
      </c>
      <c r="P154" s="20">
        <f t="shared" si="58"/>
        <v>173</v>
      </c>
      <c r="Q154" s="23" t="s">
        <v>40</v>
      </c>
      <c r="R154" s="24">
        <f t="shared" si="59"/>
        <v>4918173.75</v>
      </c>
      <c r="S154" s="24">
        <f t="shared" si="52"/>
        <v>4430787.1621621614</v>
      </c>
    </row>
    <row r="155" spans="1:19" s="19" customFormat="1">
      <c r="A155" s="18" t="s">
        <v>120</v>
      </c>
      <c r="B155" s="19" t="s">
        <v>18</v>
      </c>
      <c r="C155" s="20">
        <v>48</v>
      </c>
      <c r="D155" s="21" t="s">
        <v>40</v>
      </c>
      <c r="E155" s="26"/>
      <c r="F155" s="22">
        <v>24</v>
      </c>
      <c r="G155" s="23" t="s">
        <v>33</v>
      </c>
      <c r="H155" s="22">
        <v>2</v>
      </c>
      <c r="I155" s="23" t="s">
        <v>40</v>
      </c>
      <c r="J155" s="24">
        <f>46800/2</f>
        <v>23400</v>
      </c>
      <c r="K155" s="21" t="s">
        <v>40</v>
      </c>
      <c r="L155" s="25">
        <v>0.125</v>
      </c>
      <c r="M155" s="25">
        <v>0.05</v>
      </c>
      <c r="N155" s="22"/>
      <c r="O155" s="23" t="s">
        <v>40</v>
      </c>
      <c r="P155" s="20">
        <f t="shared" si="58"/>
        <v>48</v>
      </c>
      <c r="Q155" s="23" t="s">
        <v>40</v>
      </c>
      <c r="R155" s="24">
        <f t="shared" si="59"/>
        <v>933660</v>
      </c>
      <c r="S155" s="24">
        <f t="shared" si="52"/>
        <v>841135.13513513503</v>
      </c>
    </row>
    <row r="156" spans="1:19" s="89" customFormat="1">
      <c r="A156" s="88" t="s">
        <v>121</v>
      </c>
      <c r="B156" s="89" t="s">
        <v>18</v>
      </c>
      <c r="C156" s="87"/>
      <c r="D156" s="90" t="s">
        <v>40</v>
      </c>
      <c r="E156" s="91"/>
      <c r="F156" s="92">
        <v>60</v>
      </c>
      <c r="G156" s="93" t="s">
        <v>33</v>
      </c>
      <c r="H156" s="92">
        <v>1</v>
      </c>
      <c r="I156" s="93" t="s">
        <v>40</v>
      </c>
      <c r="J156" s="94">
        <v>43200</v>
      </c>
      <c r="K156" s="90" t="s">
        <v>40</v>
      </c>
      <c r="L156" s="95">
        <v>0.125</v>
      </c>
      <c r="M156" s="95">
        <v>0.05</v>
      </c>
      <c r="N156" s="92"/>
      <c r="O156" s="93" t="s">
        <v>40</v>
      </c>
      <c r="P156" s="87">
        <f t="shared" si="58"/>
        <v>0</v>
      </c>
      <c r="Q156" s="93" t="s">
        <v>40</v>
      </c>
      <c r="R156" s="94">
        <f t="shared" si="59"/>
        <v>0</v>
      </c>
      <c r="S156" s="94">
        <f t="shared" si="52"/>
        <v>0</v>
      </c>
    </row>
    <row r="157" spans="1:19" s="19" customFormat="1">
      <c r="A157" s="18" t="s">
        <v>687</v>
      </c>
      <c r="B157" s="19" t="s">
        <v>18</v>
      </c>
      <c r="C157" s="20">
        <v>209</v>
      </c>
      <c r="D157" s="21" t="s">
        <v>40</v>
      </c>
      <c r="E157" s="26"/>
      <c r="F157" s="22">
        <v>120</v>
      </c>
      <c r="G157" s="23" t="s">
        <v>33</v>
      </c>
      <c r="H157" s="22">
        <v>1</v>
      </c>
      <c r="I157" s="23" t="s">
        <v>40</v>
      </c>
      <c r="J157" s="24">
        <v>17400</v>
      </c>
      <c r="K157" s="21" t="s">
        <v>40</v>
      </c>
      <c r="L157" s="25">
        <v>0.125</v>
      </c>
      <c r="M157" s="25">
        <v>0.05</v>
      </c>
      <c r="N157" s="22"/>
      <c r="O157" s="23" t="s">
        <v>40</v>
      </c>
      <c r="P157" s="20">
        <f t="shared" si="58"/>
        <v>209</v>
      </c>
      <c r="Q157" s="23" t="s">
        <v>40</v>
      </c>
      <c r="R157" s="24">
        <f t="shared" si="59"/>
        <v>3022923.75</v>
      </c>
      <c r="S157" s="24">
        <f t="shared" si="52"/>
        <v>2723354.7297297297</v>
      </c>
    </row>
    <row r="158" spans="1:19" s="19" customFormat="1">
      <c r="A158" s="18"/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89" customFormat="1">
      <c r="A159" s="88" t="s">
        <v>122</v>
      </c>
      <c r="B159" s="89" t="s">
        <v>25</v>
      </c>
      <c r="C159" s="87"/>
      <c r="D159" s="90" t="s">
        <v>40</v>
      </c>
      <c r="E159" s="91"/>
      <c r="F159" s="92">
        <v>1</v>
      </c>
      <c r="G159" s="93" t="s">
        <v>20</v>
      </c>
      <c r="H159" s="92">
        <v>36</v>
      </c>
      <c r="I159" s="93" t="s">
        <v>40</v>
      </c>
      <c r="J159" s="94">
        <f>1954800/36</f>
        <v>54300</v>
      </c>
      <c r="K159" s="90" t="s">
        <v>40</v>
      </c>
      <c r="L159" s="95"/>
      <c r="M159" s="95">
        <v>0.17</v>
      </c>
      <c r="N159" s="92"/>
      <c r="O159" s="93" t="s">
        <v>40</v>
      </c>
      <c r="P159" s="87">
        <f t="shared" ref="P159:P166" si="63">(C159+(E159*F159*H159))-N159</f>
        <v>0</v>
      </c>
      <c r="Q159" s="93" t="s">
        <v>40</v>
      </c>
      <c r="R159" s="94">
        <f t="shared" ref="R159:R166" si="64">P159*(J159-(J159*L159)-((J159-(J159*L159))*M159))</f>
        <v>0</v>
      </c>
      <c r="S159" s="94">
        <f t="shared" si="52"/>
        <v>0</v>
      </c>
    </row>
    <row r="160" spans="1:19" s="89" customFormat="1">
      <c r="A160" s="88" t="s">
        <v>123</v>
      </c>
      <c r="B160" s="89" t="s">
        <v>25</v>
      </c>
      <c r="C160" s="87"/>
      <c r="D160" s="90" t="s">
        <v>40</v>
      </c>
      <c r="E160" s="91"/>
      <c r="F160" s="92">
        <v>1</v>
      </c>
      <c r="G160" s="93" t="s">
        <v>20</v>
      </c>
      <c r="H160" s="92">
        <v>36</v>
      </c>
      <c r="I160" s="93" t="s">
        <v>40</v>
      </c>
      <c r="J160" s="94">
        <f>1954800/36</f>
        <v>54300</v>
      </c>
      <c r="K160" s="90" t="s">
        <v>40</v>
      </c>
      <c r="L160" s="95"/>
      <c r="M160" s="95">
        <v>0.17</v>
      </c>
      <c r="N160" s="92"/>
      <c r="O160" s="93" t="s">
        <v>40</v>
      </c>
      <c r="P160" s="87">
        <f t="shared" si="63"/>
        <v>0</v>
      </c>
      <c r="Q160" s="93" t="s">
        <v>40</v>
      </c>
      <c r="R160" s="94">
        <f t="shared" si="64"/>
        <v>0</v>
      </c>
      <c r="S160" s="94">
        <f t="shared" si="52"/>
        <v>0</v>
      </c>
    </row>
    <row r="161" spans="1:19" s="19" customFormat="1">
      <c r="A161" s="18" t="s">
        <v>124</v>
      </c>
      <c r="B161" s="19" t="s">
        <v>25</v>
      </c>
      <c r="C161" s="20">
        <v>1211</v>
      </c>
      <c r="D161" s="21" t="s">
        <v>40</v>
      </c>
      <c r="E161" s="26">
        <v>130</v>
      </c>
      <c r="F161" s="22">
        <v>1</v>
      </c>
      <c r="G161" s="23" t="s">
        <v>20</v>
      </c>
      <c r="H161" s="22">
        <v>36</v>
      </c>
      <c r="I161" s="23" t="s">
        <v>40</v>
      </c>
      <c r="J161" s="24">
        <f>1954800/36</f>
        <v>54300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 t="shared" si="63"/>
        <v>5891</v>
      </c>
      <c r="Q161" s="23" t="s">
        <v>40</v>
      </c>
      <c r="R161" s="24">
        <f t="shared" si="64"/>
        <v>265501479</v>
      </c>
      <c r="S161" s="24">
        <f t="shared" si="52"/>
        <v>239190521.62162161</v>
      </c>
    </row>
    <row r="162" spans="1:19" s="19" customFormat="1">
      <c r="A162" s="18" t="s">
        <v>125</v>
      </c>
      <c r="B162" s="19" t="s">
        <v>25</v>
      </c>
      <c r="C162" s="20">
        <v>84</v>
      </c>
      <c r="D162" s="21" t="s">
        <v>40</v>
      </c>
      <c r="E162" s="26">
        <v>11</v>
      </c>
      <c r="F162" s="22">
        <v>1</v>
      </c>
      <c r="G162" s="23" t="s">
        <v>20</v>
      </c>
      <c r="H162" s="22">
        <v>36</v>
      </c>
      <c r="I162" s="23" t="s">
        <v>40</v>
      </c>
      <c r="J162" s="24">
        <f>2008800/36</f>
        <v>55800</v>
      </c>
      <c r="K162" s="21" t="s">
        <v>40</v>
      </c>
      <c r="L162" s="25"/>
      <c r="M162" s="25">
        <v>0.17</v>
      </c>
      <c r="N162" s="22"/>
      <c r="O162" s="23" t="s">
        <v>40</v>
      </c>
      <c r="P162" s="20">
        <f t="shared" si="63"/>
        <v>480</v>
      </c>
      <c r="Q162" s="23" t="s">
        <v>40</v>
      </c>
      <c r="R162" s="24">
        <f t="shared" si="64"/>
        <v>22230720</v>
      </c>
      <c r="S162" s="24">
        <f t="shared" si="52"/>
        <v>20027675.675675675</v>
      </c>
    </row>
    <row r="163" spans="1:19" s="19" customFormat="1">
      <c r="A163" s="18" t="s">
        <v>126</v>
      </c>
      <c r="B163" s="19" t="s">
        <v>25</v>
      </c>
      <c r="C163" s="20">
        <v>108</v>
      </c>
      <c r="D163" s="21" t="s">
        <v>40</v>
      </c>
      <c r="E163" s="26">
        <v>32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f>1695600/36</f>
        <v>47100</v>
      </c>
      <c r="K163" s="21" t="s">
        <v>40</v>
      </c>
      <c r="L163" s="25"/>
      <c r="M163" s="25">
        <v>0.17</v>
      </c>
      <c r="N163" s="22"/>
      <c r="O163" s="23" t="s">
        <v>40</v>
      </c>
      <c r="P163" s="20">
        <f t="shared" si="63"/>
        <v>1260</v>
      </c>
      <c r="Q163" s="23" t="s">
        <v>40</v>
      </c>
      <c r="R163" s="24">
        <f t="shared" si="64"/>
        <v>49257180</v>
      </c>
      <c r="S163" s="24">
        <f t="shared" si="52"/>
        <v>44375837.837837838</v>
      </c>
    </row>
    <row r="164" spans="1:19" s="89" customFormat="1">
      <c r="A164" s="88" t="s">
        <v>127</v>
      </c>
      <c r="B164" s="89" t="s">
        <v>25</v>
      </c>
      <c r="C164" s="87"/>
      <c r="D164" s="90" t="s">
        <v>40</v>
      </c>
      <c r="E164" s="91">
        <v>4</v>
      </c>
      <c r="F164" s="92">
        <v>1</v>
      </c>
      <c r="G164" s="93" t="s">
        <v>20</v>
      </c>
      <c r="H164" s="92">
        <v>36</v>
      </c>
      <c r="I164" s="93" t="s">
        <v>40</v>
      </c>
      <c r="J164" s="94">
        <f>1922400/36</f>
        <v>53400</v>
      </c>
      <c r="K164" s="90" t="s">
        <v>40</v>
      </c>
      <c r="L164" s="95"/>
      <c r="M164" s="95">
        <v>0.17</v>
      </c>
      <c r="N164" s="92"/>
      <c r="O164" s="93" t="s">
        <v>40</v>
      </c>
      <c r="P164" s="87">
        <f t="shared" si="63"/>
        <v>144</v>
      </c>
      <c r="Q164" s="93" t="s">
        <v>40</v>
      </c>
      <c r="R164" s="94">
        <f t="shared" si="64"/>
        <v>6382368</v>
      </c>
      <c r="S164" s="94">
        <f t="shared" si="52"/>
        <v>5749881.0810810803</v>
      </c>
    </row>
    <row r="165" spans="1:19" s="19" customFormat="1">
      <c r="A165" s="18" t="s">
        <v>128</v>
      </c>
      <c r="B165" s="19" t="s">
        <v>25</v>
      </c>
      <c r="C165" s="20">
        <v>245</v>
      </c>
      <c r="D165" s="21" t="s">
        <v>40</v>
      </c>
      <c r="E165" s="26">
        <v>10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f>2052000/36</f>
        <v>57000</v>
      </c>
      <c r="K165" s="21" t="s">
        <v>40</v>
      </c>
      <c r="L165" s="25"/>
      <c r="M165" s="25">
        <v>0.17</v>
      </c>
      <c r="N165" s="22"/>
      <c r="O165" s="23" t="s">
        <v>40</v>
      </c>
      <c r="P165" s="20">
        <f t="shared" si="63"/>
        <v>605</v>
      </c>
      <c r="Q165" s="23" t="s">
        <v>40</v>
      </c>
      <c r="R165" s="24">
        <f t="shared" si="64"/>
        <v>28622550</v>
      </c>
      <c r="S165" s="24">
        <f t="shared" si="52"/>
        <v>25786081.081081077</v>
      </c>
    </row>
    <row r="166" spans="1:19" s="19" customFormat="1">
      <c r="A166" s="18" t="s">
        <v>129</v>
      </c>
      <c r="B166" s="19" t="s">
        <v>25</v>
      </c>
      <c r="C166" s="20"/>
      <c r="D166" s="21" t="s">
        <v>40</v>
      </c>
      <c r="E166" s="26">
        <v>9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f>2170800/36</f>
        <v>60300</v>
      </c>
      <c r="K166" s="21" t="s">
        <v>40</v>
      </c>
      <c r="L166" s="25"/>
      <c r="M166" s="25">
        <v>0.17</v>
      </c>
      <c r="N166" s="22"/>
      <c r="O166" s="23" t="s">
        <v>40</v>
      </c>
      <c r="P166" s="20">
        <f t="shared" si="63"/>
        <v>324</v>
      </c>
      <c r="Q166" s="23" t="s">
        <v>40</v>
      </c>
      <c r="R166" s="24">
        <f t="shared" si="64"/>
        <v>16215876</v>
      </c>
      <c r="S166" s="24">
        <f t="shared" si="52"/>
        <v>14608897.297297295</v>
      </c>
    </row>
    <row r="167" spans="1:19" s="19" customFormat="1">
      <c r="A167" s="18"/>
      <c r="C167" s="20"/>
      <c r="D167" s="21"/>
      <c r="E167" s="26"/>
      <c r="F167" s="22"/>
      <c r="G167" s="23"/>
      <c r="H167" s="22"/>
      <c r="I167" s="23"/>
      <c r="J167" s="24"/>
      <c r="K167" s="21"/>
      <c r="L167" s="25"/>
      <c r="M167" s="25"/>
      <c r="N167" s="22"/>
      <c r="O167" s="23"/>
      <c r="P167" s="20"/>
      <c r="Q167" s="23"/>
      <c r="R167" s="24"/>
      <c r="S167" s="24"/>
    </row>
    <row r="168" spans="1:19" s="19" customFormat="1">
      <c r="A168" s="71" t="s">
        <v>130</v>
      </c>
      <c r="C168" s="20"/>
      <c r="D168" s="21"/>
      <c r="E168" s="26"/>
      <c r="F168" s="22"/>
      <c r="G168" s="23"/>
      <c r="H168" s="22"/>
      <c r="I168" s="23"/>
      <c r="J168" s="24"/>
      <c r="K168" s="21"/>
      <c r="L168" s="25"/>
      <c r="M168" s="25"/>
      <c r="N168" s="22"/>
      <c r="O168" s="23"/>
      <c r="P168" s="20"/>
      <c r="Q168" s="23"/>
      <c r="R168" s="24"/>
      <c r="S168" s="24"/>
    </row>
    <row r="169" spans="1:19" s="19" customFormat="1">
      <c r="A169" s="18" t="s">
        <v>131</v>
      </c>
      <c r="B169" s="19" t="s">
        <v>18</v>
      </c>
      <c r="C169" s="20"/>
      <c r="D169" s="21" t="s">
        <v>40</v>
      </c>
      <c r="E169" s="26">
        <v>5</v>
      </c>
      <c r="F169" s="22">
        <v>60</v>
      </c>
      <c r="G169" s="23" t="s">
        <v>33</v>
      </c>
      <c r="H169" s="22">
        <v>1</v>
      </c>
      <c r="I169" s="23" t="s">
        <v>40</v>
      </c>
      <c r="J169" s="24">
        <f>4600*12</f>
        <v>55200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ref="P169:P186" si="65">(C169+(E169*F169*H169))-N169</f>
        <v>300</v>
      </c>
      <c r="Q169" s="23" t="s">
        <v>40</v>
      </c>
      <c r="R169" s="24">
        <f t="shared" ref="R169:R186" si="66">P169*(J169-(J169*L169)-((J169-(J169*L169))*M169))</f>
        <v>13765500</v>
      </c>
      <c r="S169" s="24">
        <f t="shared" si="52"/>
        <v>12401351.351351351</v>
      </c>
    </row>
    <row r="170" spans="1:19" s="89" customFormat="1">
      <c r="A170" s="88" t="s">
        <v>132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f>4500*12</f>
        <v>54000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65"/>
        <v>0</v>
      </c>
      <c r="Q170" s="93" t="s">
        <v>40</v>
      </c>
      <c r="R170" s="94">
        <f t="shared" si="66"/>
        <v>0</v>
      </c>
      <c r="S170" s="94">
        <f t="shared" si="52"/>
        <v>0</v>
      </c>
    </row>
    <row r="171" spans="1:19" s="89" customFormat="1">
      <c r="A171" s="88" t="s">
        <v>694</v>
      </c>
      <c r="B171" s="89" t="s">
        <v>18</v>
      </c>
      <c r="C171" s="87"/>
      <c r="D171" s="90" t="s">
        <v>40</v>
      </c>
      <c r="E171" s="91"/>
      <c r="F171" s="92">
        <v>60</v>
      </c>
      <c r="G171" s="93" t="s">
        <v>33</v>
      </c>
      <c r="H171" s="92">
        <v>1</v>
      </c>
      <c r="I171" s="93" t="s">
        <v>40</v>
      </c>
      <c r="J171" s="94">
        <f>4500*12</f>
        <v>54000</v>
      </c>
      <c r="K171" s="90" t="s">
        <v>40</v>
      </c>
      <c r="L171" s="95">
        <v>0.125</v>
      </c>
      <c r="M171" s="95">
        <v>0.05</v>
      </c>
      <c r="N171" s="92"/>
      <c r="O171" s="93" t="s">
        <v>40</v>
      </c>
      <c r="P171" s="87">
        <f t="shared" si="65"/>
        <v>0</v>
      </c>
      <c r="Q171" s="93" t="s">
        <v>40</v>
      </c>
      <c r="R171" s="94">
        <f t="shared" si="66"/>
        <v>0</v>
      </c>
      <c r="S171" s="94">
        <f t="shared" si="52"/>
        <v>0</v>
      </c>
    </row>
    <row r="172" spans="1:19" s="19" customFormat="1">
      <c r="A172" s="18" t="s">
        <v>133</v>
      </c>
      <c r="B172" s="19" t="s">
        <v>18</v>
      </c>
      <c r="C172" s="20"/>
      <c r="D172" s="21" t="s">
        <v>40</v>
      </c>
      <c r="E172" s="26">
        <v>1</v>
      </c>
      <c r="F172" s="22">
        <v>30</v>
      </c>
      <c r="G172" s="23" t="s">
        <v>33</v>
      </c>
      <c r="H172" s="22">
        <v>1</v>
      </c>
      <c r="I172" s="23" t="s">
        <v>40</v>
      </c>
      <c r="J172" s="24">
        <v>69600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67">(C172+(E172*F172*H172))-N172</f>
        <v>30</v>
      </c>
      <c r="Q172" s="23" t="s">
        <v>40</v>
      </c>
      <c r="R172" s="24">
        <f t="shared" ref="R172" si="68">P172*(J172-(J172*L172)-((J172-(J172*L172))*M172))</f>
        <v>1735650</v>
      </c>
      <c r="S172" s="24">
        <f t="shared" ref="S172" si="69">R172/1.11</f>
        <v>1563648.6486486485</v>
      </c>
    </row>
    <row r="173" spans="1:19" s="19" customFormat="1">
      <c r="A173" s="18" t="s">
        <v>719</v>
      </c>
      <c r="B173" s="19" t="s">
        <v>18</v>
      </c>
      <c r="C173" s="20"/>
      <c r="D173" s="21" t="s">
        <v>40</v>
      </c>
      <c r="E173" s="26">
        <v>3</v>
      </c>
      <c r="F173" s="22">
        <v>30</v>
      </c>
      <c r="G173" s="23" t="s">
        <v>33</v>
      </c>
      <c r="H173" s="22">
        <v>1</v>
      </c>
      <c r="I173" s="23" t="s">
        <v>40</v>
      </c>
      <c r="J173" s="24">
        <f>11000*12</f>
        <v>132000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ref="P173" si="70">(C173+(E173*F173*H173))-N173</f>
        <v>90</v>
      </c>
      <c r="Q173" s="23" t="s">
        <v>40</v>
      </c>
      <c r="R173" s="24">
        <f t="shared" ref="R173" si="71">P173*(J173-(J173*L173)-((J173-(J173*L173))*M173))</f>
        <v>9875250</v>
      </c>
      <c r="S173" s="24">
        <f t="shared" ref="S173" si="72">R173/1.11</f>
        <v>8896621.6216216199</v>
      </c>
    </row>
    <row r="174" spans="1:19" s="19" customFormat="1">
      <c r="A174" s="18" t="s">
        <v>134</v>
      </c>
      <c r="B174" s="19" t="s">
        <v>18</v>
      </c>
      <c r="C174" s="20">
        <v>3099</v>
      </c>
      <c r="D174" s="21" t="s">
        <v>40</v>
      </c>
      <c r="E174" s="26">
        <v>14</v>
      </c>
      <c r="F174" s="22">
        <v>60</v>
      </c>
      <c r="G174" s="23" t="s">
        <v>33</v>
      </c>
      <c r="H174" s="22">
        <v>1</v>
      </c>
      <c r="I174" s="23" t="s">
        <v>40</v>
      </c>
      <c r="J174" s="24">
        <f>4800*12</f>
        <v>57600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65"/>
        <v>3939</v>
      </c>
      <c r="Q174" s="23" t="s">
        <v>40</v>
      </c>
      <c r="R174" s="24">
        <f t="shared" si="66"/>
        <v>188599320</v>
      </c>
      <c r="S174" s="24">
        <f t="shared" si="52"/>
        <v>169909297.29729727</v>
      </c>
    </row>
    <row r="175" spans="1:19" s="89" customFormat="1">
      <c r="A175" s="88" t="s">
        <v>852</v>
      </c>
      <c r="B175" s="89" t="s">
        <v>18</v>
      </c>
      <c r="C175" s="87"/>
      <c r="D175" s="90" t="s">
        <v>103</v>
      </c>
      <c r="E175" s="91">
        <v>6</v>
      </c>
      <c r="F175" s="92">
        <v>24</v>
      </c>
      <c r="G175" s="93" t="s">
        <v>33</v>
      </c>
      <c r="H175" s="92">
        <v>12</v>
      </c>
      <c r="I175" s="93" t="s">
        <v>103</v>
      </c>
      <c r="J175" s="94">
        <v>9300</v>
      </c>
      <c r="K175" s="90" t="s">
        <v>103</v>
      </c>
      <c r="L175" s="95">
        <v>0.125</v>
      </c>
      <c r="M175" s="95">
        <v>0.05</v>
      </c>
      <c r="N175" s="92"/>
      <c r="O175" s="93" t="s">
        <v>103</v>
      </c>
      <c r="P175" s="87">
        <f t="shared" si="65"/>
        <v>1728</v>
      </c>
      <c r="Q175" s="93" t="s">
        <v>103</v>
      </c>
      <c r="R175" s="94">
        <f t="shared" si="66"/>
        <v>13358520</v>
      </c>
      <c r="S175" s="94">
        <f t="shared" si="52"/>
        <v>12034702.702702701</v>
      </c>
    </row>
    <row r="176" spans="1:19" s="89" customFormat="1">
      <c r="A176" s="88" t="s">
        <v>135</v>
      </c>
      <c r="B176" s="89" t="s">
        <v>18</v>
      </c>
      <c r="C176" s="87"/>
      <c r="D176" s="90" t="s">
        <v>40</v>
      </c>
      <c r="E176" s="91"/>
      <c r="F176" s="92">
        <v>60</v>
      </c>
      <c r="G176" s="93" t="s">
        <v>33</v>
      </c>
      <c r="H176" s="92">
        <v>1</v>
      </c>
      <c r="I176" s="93" t="s">
        <v>40</v>
      </c>
      <c r="J176" s="94">
        <f>5800*12</f>
        <v>69600</v>
      </c>
      <c r="K176" s="90" t="s">
        <v>40</v>
      </c>
      <c r="L176" s="95">
        <v>0.125</v>
      </c>
      <c r="M176" s="95">
        <v>0.05</v>
      </c>
      <c r="N176" s="92"/>
      <c r="O176" s="93" t="s">
        <v>40</v>
      </c>
      <c r="P176" s="87">
        <f t="shared" si="65"/>
        <v>0</v>
      </c>
      <c r="Q176" s="93" t="s">
        <v>40</v>
      </c>
      <c r="R176" s="94">
        <f t="shared" si="66"/>
        <v>0</v>
      </c>
      <c r="S176" s="94">
        <f t="shared" si="52"/>
        <v>0</v>
      </c>
    </row>
    <row r="177" spans="1:19" s="19" customFormat="1">
      <c r="A177" s="18" t="s">
        <v>136</v>
      </c>
      <c r="B177" s="19" t="s">
        <v>18</v>
      </c>
      <c r="C177" s="20">
        <v>40</v>
      </c>
      <c r="D177" s="21" t="s">
        <v>40</v>
      </c>
      <c r="E177" s="26">
        <v>2</v>
      </c>
      <c r="F177" s="22">
        <v>40</v>
      </c>
      <c r="G177" s="23" t="s">
        <v>33</v>
      </c>
      <c r="H177" s="22">
        <v>1</v>
      </c>
      <c r="I177" s="23" t="s">
        <v>40</v>
      </c>
      <c r="J177" s="24">
        <f>8500*12</f>
        <v>102000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si="65"/>
        <v>120</v>
      </c>
      <c r="Q177" s="23" t="s">
        <v>40</v>
      </c>
      <c r="R177" s="24">
        <f t="shared" si="66"/>
        <v>10174500</v>
      </c>
      <c r="S177" s="24">
        <f t="shared" si="52"/>
        <v>9166216.2162162159</v>
      </c>
    </row>
    <row r="178" spans="1:19" s="89" customFormat="1">
      <c r="A178" s="88" t="s">
        <v>853</v>
      </c>
      <c r="B178" s="89" t="s">
        <v>18</v>
      </c>
      <c r="C178" s="87"/>
      <c r="D178" s="90" t="s">
        <v>40</v>
      </c>
      <c r="E178" s="91"/>
      <c r="F178" s="92">
        <v>60</v>
      </c>
      <c r="G178" s="93" t="s">
        <v>33</v>
      </c>
      <c r="H178" s="92">
        <v>1</v>
      </c>
      <c r="I178" s="93" t="s">
        <v>40</v>
      </c>
      <c r="J178" s="94">
        <f>4000*12</f>
        <v>48000</v>
      </c>
      <c r="K178" s="90" t="s">
        <v>40</v>
      </c>
      <c r="L178" s="95">
        <v>0.125</v>
      </c>
      <c r="M178" s="95">
        <v>0.05</v>
      </c>
      <c r="N178" s="92"/>
      <c r="O178" s="93" t="s">
        <v>40</v>
      </c>
      <c r="P178" s="87">
        <f t="shared" si="65"/>
        <v>0</v>
      </c>
      <c r="Q178" s="93" t="s">
        <v>40</v>
      </c>
      <c r="R178" s="94">
        <f t="shared" si="66"/>
        <v>0</v>
      </c>
      <c r="S178" s="16">
        <f t="shared" si="52"/>
        <v>0</v>
      </c>
    </row>
    <row r="179" spans="1:19" s="106" customFormat="1">
      <c r="A179" s="98" t="s">
        <v>854</v>
      </c>
      <c r="B179" s="106" t="s">
        <v>18</v>
      </c>
      <c r="C179" s="107">
        <v>31</v>
      </c>
      <c r="D179" s="108" t="s">
        <v>40</v>
      </c>
      <c r="E179" s="109"/>
      <c r="F179" s="110">
        <v>60</v>
      </c>
      <c r="G179" s="111" t="s">
        <v>33</v>
      </c>
      <c r="H179" s="110">
        <v>1</v>
      </c>
      <c r="I179" s="111" t="s">
        <v>40</v>
      </c>
      <c r="J179" s="112">
        <f>5700*12</f>
        <v>68400</v>
      </c>
      <c r="K179" s="108" t="s">
        <v>40</v>
      </c>
      <c r="L179" s="113">
        <v>0.125</v>
      </c>
      <c r="M179" s="113">
        <v>0.05</v>
      </c>
      <c r="N179" s="110"/>
      <c r="O179" s="111" t="s">
        <v>40</v>
      </c>
      <c r="P179" s="107">
        <f t="shared" si="65"/>
        <v>31</v>
      </c>
      <c r="Q179" s="111" t="s">
        <v>40</v>
      </c>
      <c r="R179" s="112">
        <f t="shared" si="66"/>
        <v>1762582.5</v>
      </c>
      <c r="S179" s="104">
        <f t="shared" si="52"/>
        <v>1587912.1621621621</v>
      </c>
    </row>
    <row r="180" spans="1:19" s="19" customFormat="1">
      <c r="A180" s="18" t="s">
        <v>792</v>
      </c>
      <c r="B180" s="19" t="s">
        <v>18</v>
      </c>
      <c r="C180" s="20">
        <v>31</v>
      </c>
      <c r="D180" s="21" t="s">
        <v>40</v>
      </c>
      <c r="E180" s="26"/>
      <c r="F180" s="22">
        <v>60</v>
      </c>
      <c r="G180" s="23" t="s">
        <v>33</v>
      </c>
      <c r="H180" s="22">
        <v>1</v>
      </c>
      <c r="I180" s="23" t="s">
        <v>40</v>
      </c>
      <c r="J180" s="24">
        <f>5800*12</f>
        <v>69600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65"/>
        <v>31</v>
      </c>
      <c r="Q180" s="23" t="s">
        <v>40</v>
      </c>
      <c r="R180" s="24">
        <f t="shared" si="66"/>
        <v>1793505</v>
      </c>
      <c r="S180" s="24">
        <f t="shared" si="52"/>
        <v>1615770.2702702701</v>
      </c>
    </row>
    <row r="181" spans="1:19" s="89" customFormat="1">
      <c r="A181" s="88" t="s">
        <v>855</v>
      </c>
      <c r="B181" s="89" t="s">
        <v>18</v>
      </c>
      <c r="C181" s="87"/>
      <c r="D181" s="90" t="s">
        <v>40</v>
      </c>
      <c r="E181" s="91">
        <v>2</v>
      </c>
      <c r="F181" s="92">
        <v>30</v>
      </c>
      <c r="G181" s="93" t="s">
        <v>33</v>
      </c>
      <c r="H181" s="92">
        <v>1</v>
      </c>
      <c r="I181" s="93" t="s">
        <v>40</v>
      </c>
      <c r="J181" s="94">
        <f>10800*12</f>
        <v>129600</v>
      </c>
      <c r="K181" s="90" t="s">
        <v>40</v>
      </c>
      <c r="L181" s="95">
        <v>0.125</v>
      </c>
      <c r="M181" s="95">
        <v>0.05</v>
      </c>
      <c r="N181" s="92"/>
      <c r="O181" s="93" t="s">
        <v>40</v>
      </c>
      <c r="P181" s="87">
        <f t="shared" si="65"/>
        <v>60</v>
      </c>
      <c r="Q181" s="93" t="s">
        <v>40</v>
      </c>
      <c r="R181" s="94">
        <f t="shared" si="66"/>
        <v>6463800</v>
      </c>
      <c r="S181" s="16">
        <f t="shared" si="52"/>
        <v>5823243.2432432426</v>
      </c>
    </row>
    <row r="182" spans="1:19" s="89" customFormat="1">
      <c r="A182" s="88" t="s">
        <v>137</v>
      </c>
      <c r="B182" s="89" t="s">
        <v>18</v>
      </c>
      <c r="C182" s="87"/>
      <c r="D182" s="90" t="s">
        <v>40</v>
      </c>
      <c r="E182" s="91"/>
      <c r="F182" s="92">
        <v>40</v>
      </c>
      <c r="G182" s="93" t="s">
        <v>33</v>
      </c>
      <c r="H182" s="92">
        <v>1</v>
      </c>
      <c r="I182" s="93" t="s">
        <v>40</v>
      </c>
      <c r="J182" s="94">
        <f>8800*12</f>
        <v>105600</v>
      </c>
      <c r="K182" s="90" t="s">
        <v>40</v>
      </c>
      <c r="L182" s="95">
        <v>0.125</v>
      </c>
      <c r="M182" s="95">
        <v>0.05</v>
      </c>
      <c r="N182" s="92"/>
      <c r="O182" s="93" t="s">
        <v>40</v>
      </c>
      <c r="P182" s="87">
        <f t="shared" si="65"/>
        <v>0</v>
      </c>
      <c r="Q182" s="93" t="s">
        <v>40</v>
      </c>
      <c r="R182" s="94">
        <f t="shared" si="66"/>
        <v>0</v>
      </c>
      <c r="S182" s="94">
        <f t="shared" si="52"/>
        <v>0</v>
      </c>
    </row>
    <row r="183" spans="1:19" s="19" customFormat="1">
      <c r="A183" s="18" t="s">
        <v>816</v>
      </c>
      <c r="B183" s="19" t="s">
        <v>18</v>
      </c>
      <c r="C183" s="20"/>
      <c r="D183" s="21" t="s">
        <v>40</v>
      </c>
      <c r="E183" s="26">
        <v>1</v>
      </c>
      <c r="F183" s="22">
        <v>30</v>
      </c>
      <c r="G183" s="23" t="s">
        <v>33</v>
      </c>
      <c r="H183" s="22">
        <v>1</v>
      </c>
      <c r="I183" s="23" t="s">
        <v>40</v>
      </c>
      <c r="J183" s="24">
        <f>10000*12</f>
        <v>120000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65"/>
        <v>30</v>
      </c>
      <c r="Q183" s="23" t="s">
        <v>40</v>
      </c>
      <c r="R183" s="24">
        <f t="shared" si="66"/>
        <v>2992500</v>
      </c>
      <c r="S183" s="24">
        <f t="shared" si="52"/>
        <v>2695945.9459459456</v>
      </c>
    </row>
    <row r="184" spans="1:19" s="106" customFormat="1">
      <c r="A184" s="166" t="s">
        <v>880</v>
      </c>
      <c r="B184" s="106" t="s">
        <v>18</v>
      </c>
      <c r="C184" s="107"/>
      <c r="D184" s="108" t="s">
        <v>40</v>
      </c>
      <c r="E184" s="109">
        <v>6</v>
      </c>
      <c r="F184" s="110">
        <v>1</v>
      </c>
      <c r="G184" s="111" t="s">
        <v>20</v>
      </c>
      <c r="H184" s="110">
        <f>360/12</f>
        <v>30</v>
      </c>
      <c r="I184" s="111" t="s">
        <v>40</v>
      </c>
      <c r="J184" s="112">
        <f>5400*12</f>
        <v>64800</v>
      </c>
      <c r="K184" s="108" t="s">
        <v>40</v>
      </c>
      <c r="L184" s="113">
        <v>0.125</v>
      </c>
      <c r="M184" s="113">
        <v>0.05</v>
      </c>
      <c r="N184" s="110"/>
      <c r="O184" s="111" t="s">
        <v>40</v>
      </c>
      <c r="P184" s="20">
        <f t="shared" ref="P184" si="73">(C184+(E184*F184*H184))-N184</f>
        <v>180</v>
      </c>
      <c r="Q184" s="23" t="s">
        <v>40</v>
      </c>
      <c r="R184" s="24">
        <f t="shared" ref="R184" si="74">P184*(J184-(J184*L184)-((J184-(J184*L184))*M184))</f>
        <v>9695700</v>
      </c>
      <c r="S184" s="24">
        <f t="shared" ref="S184" si="75">R184/1.11</f>
        <v>8734864.8648648635</v>
      </c>
    </row>
    <row r="185" spans="1:19" s="89" customFormat="1">
      <c r="A185" s="88" t="s">
        <v>793</v>
      </c>
      <c r="B185" s="89" t="s">
        <v>18</v>
      </c>
      <c r="C185" s="87"/>
      <c r="D185" s="90" t="s">
        <v>40</v>
      </c>
      <c r="E185" s="91"/>
      <c r="F185" s="92">
        <v>1</v>
      </c>
      <c r="G185" s="93" t="s">
        <v>20</v>
      </c>
      <c r="H185" s="92">
        <f>360/12</f>
        <v>30</v>
      </c>
      <c r="I185" s="93" t="s">
        <v>40</v>
      </c>
      <c r="J185" s="94">
        <f>4800*12</f>
        <v>57600</v>
      </c>
      <c r="K185" s="90" t="s">
        <v>40</v>
      </c>
      <c r="L185" s="95">
        <v>0.125</v>
      </c>
      <c r="M185" s="95">
        <v>0.05</v>
      </c>
      <c r="N185" s="92"/>
      <c r="O185" s="93" t="s">
        <v>40</v>
      </c>
      <c r="P185" s="87">
        <f t="shared" si="65"/>
        <v>0</v>
      </c>
      <c r="Q185" s="93" t="s">
        <v>40</v>
      </c>
      <c r="R185" s="94">
        <f t="shared" si="66"/>
        <v>0</v>
      </c>
      <c r="S185" s="94">
        <f t="shared" si="52"/>
        <v>0</v>
      </c>
    </row>
    <row r="186" spans="1:19" s="19" customFormat="1">
      <c r="A186" s="18" t="s">
        <v>794</v>
      </c>
      <c r="B186" s="19" t="s">
        <v>18</v>
      </c>
      <c r="C186" s="20">
        <v>3540</v>
      </c>
      <c r="D186" s="21" t="s">
        <v>40</v>
      </c>
      <c r="E186" s="26"/>
      <c r="F186" s="22">
        <v>60</v>
      </c>
      <c r="G186" s="23" t="s">
        <v>33</v>
      </c>
      <c r="H186" s="22">
        <f>360/12</f>
        <v>30</v>
      </c>
      <c r="I186" s="23" t="s">
        <v>40</v>
      </c>
      <c r="J186" s="24">
        <f>6000*12</f>
        <v>72000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65"/>
        <v>3540</v>
      </c>
      <c r="Q186" s="23" t="s">
        <v>40</v>
      </c>
      <c r="R186" s="24">
        <f t="shared" si="66"/>
        <v>211869000</v>
      </c>
      <c r="S186" s="24">
        <f t="shared" si="52"/>
        <v>190872972.97297296</v>
      </c>
    </row>
    <row r="187" spans="1:19" s="19" customFormat="1">
      <c r="A187" s="18"/>
      <c r="C187" s="20"/>
      <c r="D187" s="21"/>
      <c r="E187" s="26"/>
      <c r="F187" s="22"/>
      <c r="G187" s="23"/>
      <c r="H187" s="22"/>
      <c r="I187" s="23"/>
      <c r="J187" s="24"/>
      <c r="K187" s="21"/>
      <c r="L187" s="25"/>
      <c r="M187" s="25"/>
      <c r="N187" s="22"/>
      <c r="O187" s="23"/>
      <c r="P187" s="20"/>
      <c r="Q187" s="23"/>
      <c r="R187" s="24"/>
      <c r="S187" s="24"/>
    </row>
    <row r="188" spans="1:19" s="89" customFormat="1">
      <c r="A188" s="88" t="s">
        <v>138</v>
      </c>
      <c r="B188" s="89" t="s">
        <v>25</v>
      </c>
      <c r="C188" s="87"/>
      <c r="D188" s="90" t="s">
        <v>40</v>
      </c>
      <c r="E188" s="91"/>
      <c r="F188" s="92">
        <v>1</v>
      </c>
      <c r="G188" s="93" t="s">
        <v>20</v>
      </c>
      <c r="H188" s="92">
        <v>36</v>
      </c>
      <c r="I188" s="93" t="s">
        <v>40</v>
      </c>
      <c r="J188" s="94">
        <f>2095200/36</f>
        <v>58200</v>
      </c>
      <c r="K188" s="90" t="s">
        <v>40</v>
      </c>
      <c r="L188" s="95"/>
      <c r="M188" s="95">
        <v>0.17</v>
      </c>
      <c r="N188" s="92"/>
      <c r="O188" s="93" t="s">
        <v>40</v>
      </c>
      <c r="P188" s="87">
        <f t="shared" ref="P188:P208" si="76">(C188+(E188*F188*H188))-N188</f>
        <v>0</v>
      </c>
      <c r="Q188" s="93" t="s">
        <v>40</v>
      </c>
      <c r="R188" s="94">
        <f t="shared" ref="R188:R208" si="77">P188*(J188-(J188*L188)-((J188-(J188*L188))*M188))</f>
        <v>0</v>
      </c>
      <c r="S188" s="94">
        <f t="shared" si="52"/>
        <v>0</v>
      </c>
    </row>
    <row r="189" spans="1:19" s="19" customFormat="1">
      <c r="A189" s="18" t="s">
        <v>751</v>
      </c>
      <c r="B189" s="19" t="s">
        <v>25</v>
      </c>
      <c r="C189" s="20">
        <v>30</v>
      </c>
      <c r="D189" s="21" t="s">
        <v>40</v>
      </c>
      <c r="E189" s="26"/>
      <c r="F189" s="22">
        <v>1</v>
      </c>
      <c r="G189" s="23" t="s">
        <v>20</v>
      </c>
      <c r="H189" s="22">
        <v>36</v>
      </c>
      <c r="I189" s="23" t="s">
        <v>40</v>
      </c>
      <c r="J189" s="24">
        <f>2116800/36</f>
        <v>58800</v>
      </c>
      <c r="K189" s="21" t="s">
        <v>40</v>
      </c>
      <c r="L189" s="25"/>
      <c r="M189" s="25">
        <v>0.17</v>
      </c>
      <c r="N189" s="22"/>
      <c r="O189" s="23" t="s">
        <v>40</v>
      </c>
      <c r="P189" s="20">
        <f t="shared" si="76"/>
        <v>30</v>
      </c>
      <c r="Q189" s="23" t="s">
        <v>40</v>
      </c>
      <c r="R189" s="24">
        <f t="shared" si="77"/>
        <v>1464120</v>
      </c>
      <c r="S189" s="24">
        <f t="shared" si="52"/>
        <v>1319027.027027027</v>
      </c>
    </row>
    <row r="190" spans="1:19" s="89" customFormat="1">
      <c r="A190" s="88" t="s">
        <v>139</v>
      </c>
      <c r="B190" s="89" t="s">
        <v>25</v>
      </c>
      <c r="C190" s="87"/>
      <c r="D190" s="90" t="s">
        <v>40</v>
      </c>
      <c r="E190" s="91"/>
      <c r="F190" s="92">
        <v>1</v>
      </c>
      <c r="G190" s="93" t="s">
        <v>20</v>
      </c>
      <c r="H190" s="92">
        <v>48</v>
      </c>
      <c r="I190" s="93" t="s">
        <v>40</v>
      </c>
      <c r="J190" s="94">
        <f>2995200/48</f>
        <v>62400</v>
      </c>
      <c r="K190" s="90" t="s">
        <v>40</v>
      </c>
      <c r="L190" s="95"/>
      <c r="M190" s="95">
        <v>0.17</v>
      </c>
      <c r="N190" s="92"/>
      <c r="O190" s="93" t="s">
        <v>40</v>
      </c>
      <c r="P190" s="87">
        <f t="shared" si="76"/>
        <v>0</v>
      </c>
      <c r="Q190" s="93" t="s">
        <v>40</v>
      </c>
      <c r="R190" s="94">
        <f t="shared" si="77"/>
        <v>0</v>
      </c>
      <c r="S190" s="94">
        <f t="shared" si="52"/>
        <v>0</v>
      </c>
    </row>
    <row r="191" spans="1:19" s="19" customFormat="1">
      <c r="A191" s="18" t="s">
        <v>140</v>
      </c>
      <c r="B191" s="19" t="s">
        <v>25</v>
      </c>
      <c r="C191" s="20">
        <v>227</v>
      </c>
      <c r="D191" s="21" t="s">
        <v>40</v>
      </c>
      <c r="E191" s="26"/>
      <c r="F191" s="22">
        <v>1</v>
      </c>
      <c r="G191" s="23" t="s">
        <v>20</v>
      </c>
      <c r="H191" s="22">
        <v>48</v>
      </c>
      <c r="I191" s="23" t="s">
        <v>40</v>
      </c>
      <c r="J191" s="24">
        <f>3916800/48</f>
        <v>81600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76"/>
        <v>227</v>
      </c>
      <c r="Q191" s="23" t="s">
        <v>40</v>
      </c>
      <c r="R191" s="24">
        <f t="shared" si="77"/>
        <v>15374256</v>
      </c>
      <c r="S191" s="24">
        <f t="shared" si="52"/>
        <v>13850681.081081079</v>
      </c>
    </row>
    <row r="192" spans="1:19" s="19" customFormat="1">
      <c r="A192" s="18" t="s">
        <v>750</v>
      </c>
      <c r="B192" s="19" t="s">
        <v>25</v>
      </c>
      <c r="C192" s="20">
        <v>98</v>
      </c>
      <c r="D192" s="21" t="s">
        <v>40</v>
      </c>
      <c r="E192" s="26"/>
      <c r="F192" s="22">
        <v>1</v>
      </c>
      <c r="G192" s="23" t="s">
        <v>20</v>
      </c>
      <c r="H192" s="22">
        <v>48</v>
      </c>
      <c r="I192" s="23" t="s">
        <v>40</v>
      </c>
      <c r="J192" s="24">
        <f>4032000/48</f>
        <v>84000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76"/>
        <v>98</v>
      </c>
      <c r="Q192" s="23" t="s">
        <v>40</v>
      </c>
      <c r="R192" s="24">
        <f t="shared" si="77"/>
        <v>6832560</v>
      </c>
      <c r="S192" s="24">
        <f t="shared" si="52"/>
        <v>6155459.4594594585</v>
      </c>
    </row>
    <row r="193" spans="1:20" s="89" customFormat="1">
      <c r="A193" s="88" t="s">
        <v>141</v>
      </c>
      <c r="B193" s="89" t="s">
        <v>25</v>
      </c>
      <c r="C193" s="87"/>
      <c r="D193" s="90" t="s">
        <v>40</v>
      </c>
      <c r="E193" s="91"/>
      <c r="F193" s="92">
        <v>1</v>
      </c>
      <c r="G193" s="93" t="s">
        <v>20</v>
      </c>
      <c r="H193" s="92">
        <v>48</v>
      </c>
      <c r="I193" s="93" t="s">
        <v>40</v>
      </c>
      <c r="J193" s="94">
        <f>5100*12</f>
        <v>61200</v>
      </c>
      <c r="K193" s="90" t="s">
        <v>40</v>
      </c>
      <c r="L193" s="95"/>
      <c r="M193" s="95">
        <v>0.17</v>
      </c>
      <c r="N193" s="92"/>
      <c r="O193" s="93" t="s">
        <v>40</v>
      </c>
      <c r="P193" s="87">
        <f t="shared" si="76"/>
        <v>0</v>
      </c>
      <c r="Q193" s="93" t="s">
        <v>40</v>
      </c>
      <c r="R193" s="94">
        <f t="shared" si="77"/>
        <v>0</v>
      </c>
      <c r="S193" s="94">
        <f t="shared" si="52"/>
        <v>0</v>
      </c>
    </row>
    <row r="194" spans="1:20" s="19" customFormat="1">
      <c r="A194" s="18" t="s">
        <v>856</v>
      </c>
      <c r="B194" s="19" t="s">
        <v>25</v>
      </c>
      <c r="C194" s="20">
        <v>128</v>
      </c>
      <c r="D194" s="21" t="s">
        <v>40</v>
      </c>
      <c r="E194" s="26">
        <v>3</v>
      </c>
      <c r="F194" s="22">
        <v>1</v>
      </c>
      <c r="G194" s="23" t="s">
        <v>20</v>
      </c>
      <c r="H194" s="22">
        <v>48</v>
      </c>
      <c r="I194" s="23" t="s">
        <v>40</v>
      </c>
      <c r="J194" s="24">
        <f>2592000/48</f>
        <v>54000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76"/>
        <v>272</v>
      </c>
      <c r="Q194" s="23" t="s">
        <v>40</v>
      </c>
      <c r="R194" s="24">
        <f t="shared" si="77"/>
        <v>12191040</v>
      </c>
      <c r="S194" s="24">
        <f t="shared" si="52"/>
        <v>10982918.918918919</v>
      </c>
    </row>
    <row r="195" spans="1:20" s="19" customFormat="1">
      <c r="A195" s="18" t="s">
        <v>142</v>
      </c>
      <c r="B195" s="19" t="s">
        <v>25</v>
      </c>
      <c r="C195" s="20">
        <v>66</v>
      </c>
      <c r="D195" s="21" t="s">
        <v>40</v>
      </c>
      <c r="E195" s="26">
        <v>3</v>
      </c>
      <c r="F195" s="22">
        <v>1</v>
      </c>
      <c r="G195" s="23" t="s">
        <v>20</v>
      </c>
      <c r="H195" s="22">
        <v>48</v>
      </c>
      <c r="I195" s="23" t="s">
        <v>40</v>
      </c>
      <c r="J195" s="24">
        <f>2448000/48</f>
        <v>51000</v>
      </c>
      <c r="K195" s="21" t="s">
        <v>40</v>
      </c>
      <c r="L195" s="25"/>
      <c r="M195" s="25">
        <v>0.17</v>
      </c>
      <c r="N195" s="22"/>
      <c r="O195" s="23" t="s">
        <v>40</v>
      </c>
      <c r="P195" s="20">
        <f t="shared" si="76"/>
        <v>210</v>
      </c>
      <c r="Q195" s="23" t="s">
        <v>40</v>
      </c>
      <c r="R195" s="24">
        <f t="shared" si="77"/>
        <v>8889300</v>
      </c>
      <c r="S195" s="24">
        <f t="shared" si="52"/>
        <v>8008378.3783783773</v>
      </c>
    </row>
    <row r="196" spans="1:20" s="106" customFormat="1">
      <c r="A196" s="115" t="s">
        <v>857</v>
      </c>
      <c r="B196" s="96" t="s">
        <v>25</v>
      </c>
      <c r="C196" s="99">
        <v>60</v>
      </c>
      <c r="D196" s="100" t="s">
        <v>40</v>
      </c>
      <c r="E196" s="101"/>
      <c r="F196" s="102">
        <v>1</v>
      </c>
      <c r="G196" s="103" t="s">
        <v>20</v>
      </c>
      <c r="H196" s="102">
        <v>48</v>
      </c>
      <c r="I196" s="103" t="s">
        <v>40</v>
      </c>
      <c r="J196" s="104">
        <f>2592000/48</f>
        <v>54000</v>
      </c>
      <c r="K196" s="100" t="s">
        <v>40</v>
      </c>
      <c r="L196" s="105"/>
      <c r="M196" s="105">
        <v>0.17</v>
      </c>
      <c r="N196" s="102"/>
      <c r="O196" s="103" t="s">
        <v>40</v>
      </c>
      <c r="P196" s="99">
        <f t="shared" si="76"/>
        <v>60</v>
      </c>
      <c r="Q196" s="103" t="s">
        <v>40</v>
      </c>
      <c r="R196" s="104">
        <f t="shared" si="77"/>
        <v>2689200</v>
      </c>
      <c r="S196" s="104">
        <f t="shared" ref="S196" si="78">R196/1.11</f>
        <v>2422702.7027027025</v>
      </c>
      <c r="T196" s="96"/>
    </row>
    <row r="197" spans="1:20" s="89" customFormat="1">
      <c r="A197" s="88" t="s">
        <v>143</v>
      </c>
      <c r="B197" s="89" t="s">
        <v>25</v>
      </c>
      <c r="C197" s="87"/>
      <c r="D197" s="90" t="s">
        <v>40</v>
      </c>
      <c r="E197" s="91"/>
      <c r="F197" s="92">
        <v>1</v>
      </c>
      <c r="G197" s="93" t="s">
        <v>20</v>
      </c>
      <c r="H197" s="92">
        <v>24</v>
      </c>
      <c r="I197" s="93" t="s">
        <v>40</v>
      </c>
      <c r="J197" s="94">
        <f>2491200/24</f>
        <v>103800</v>
      </c>
      <c r="K197" s="90" t="s">
        <v>40</v>
      </c>
      <c r="L197" s="95"/>
      <c r="M197" s="95">
        <v>0.17</v>
      </c>
      <c r="N197" s="92"/>
      <c r="O197" s="93" t="s">
        <v>40</v>
      </c>
      <c r="P197" s="87">
        <f t="shared" si="76"/>
        <v>0</v>
      </c>
      <c r="Q197" s="93" t="s">
        <v>40</v>
      </c>
      <c r="R197" s="94">
        <f t="shared" si="77"/>
        <v>0</v>
      </c>
      <c r="S197" s="94">
        <f t="shared" ref="S197:S288" si="79">R197/1.11</f>
        <v>0</v>
      </c>
    </row>
    <row r="198" spans="1:20" s="89" customFormat="1">
      <c r="A198" s="88" t="s">
        <v>144</v>
      </c>
      <c r="B198" s="89" t="s">
        <v>25</v>
      </c>
      <c r="C198" s="87"/>
      <c r="D198" s="90" t="s">
        <v>40</v>
      </c>
      <c r="E198" s="91"/>
      <c r="F198" s="92">
        <v>1</v>
      </c>
      <c r="G198" s="93" t="s">
        <v>20</v>
      </c>
      <c r="H198" s="92">
        <v>36</v>
      </c>
      <c r="I198" s="93" t="s">
        <v>40</v>
      </c>
      <c r="J198" s="94">
        <f>3736800/36</f>
        <v>103800</v>
      </c>
      <c r="K198" s="90" t="s">
        <v>40</v>
      </c>
      <c r="L198" s="95"/>
      <c r="M198" s="95">
        <v>0.17</v>
      </c>
      <c r="N198" s="92"/>
      <c r="O198" s="93" t="s">
        <v>40</v>
      </c>
      <c r="P198" s="87">
        <f t="shared" si="76"/>
        <v>0</v>
      </c>
      <c r="Q198" s="93" t="s">
        <v>40</v>
      </c>
      <c r="R198" s="94">
        <f t="shared" si="77"/>
        <v>0</v>
      </c>
      <c r="S198" s="94">
        <f t="shared" si="79"/>
        <v>0</v>
      </c>
    </row>
    <row r="199" spans="1:20" s="106" customFormat="1">
      <c r="A199" s="98" t="s">
        <v>145</v>
      </c>
      <c r="B199" s="106" t="s">
        <v>25</v>
      </c>
      <c r="C199" s="107"/>
      <c r="D199" s="108" t="s">
        <v>40</v>
      </c>
      <c r="E199" s="109">
        <v>1</v>
      </c>
      <c r="F199" s="110">
        <v>1</v>
      </c>
      <c r="G199" s="111" t="s">
        <v>20</v>
      </c>
      <c r="H199" s="110">
        <v>48</v>
      </c>
      <c r="I199" s="111" t="s">
        <v>40</v>
      </c>
      <c r="J199" s="112">
        <f>2592000/48</f>
        <v>54000</v>
      </c>
      <c r="K199" s="108" t="s">
        <v>40</v>
      </c>
      <c r="L199" s="113"/>
      <c r="M199" s="113">
        <v>0.17</v>
      </c>
      <c r="N199" s="110"/>
      <c r="O199" s="111" t="s">
        <v>40</v>
      </c>
      <c r="P199" s="107">
        <f t="shared" si="76"/>
        <v>48</v>
      </c>
      <c r="Q199" s="111" t="s">
        <v>40</v>
      </c>
      <c r="R199" s="112">
        <f t="shared" si="77"/>
        <v>2151360</v>
      </c>
      <c r="S199" s="112">
        <f t="shared" si="79"/>
        <v>1938162.1621621619</v>
      </c>
    </row>
    <row r="200" spans="1:20" s="19" customFormat="1">
      <c r="A200" s="18" t="s">
        <v>858</v>
      </c>
      <c r="B200" s="19" t="s">
        <v>25</v>
      </c>
      <c r="C200" s="20">
        <v>144</v>
      </c>
      <c r="D200" s="21" t="s">
        <v>40</v>
      </c>
      <c r="E200" s="26">
        <v>15</v>
      </c>
      <c r="F200" s="22">
        <v>1</v>
      </c>
      <c r="G200" s="23" t="s">
        <v>20</v>
      </c>
      <c r="H200" s="22">
        <v>48</v>
      </c>
      <c r="I200" s="23" t="s">
        <v>40</v>
      </c>
      <c r="J200" s="24">
        <f>2880000/48</f>
        <v>60000</v>
      </c>
      <c r="K200" s="21" t="s">
        <v>40</v>
      </c>
      <c r="L200" s="25"/>
      <c r="M200" s="25">
        <v>0.17</v>
      </c>
      <c r="N200" s="22"/>
      <c r="O200" s="23" t="s">
        <v>40</v>
      </c>
      <c r="P200" s="20">
        <f t="shared" si="76"/>
        <v>864</v>
      </c>
      <c r="Q200" s="23" t="s">
        <v>40</v>
      </c>
      <c r="R200" s="24">
        <f t="shared" si="77"/>
        <v>43027200</v>
      </c>
      <c r="S200" s="24">
        <f t="shared" si="79"/>
        <v>38763243.24324324</v>
      </c>
    </row>
    <row r="201" spans="1:20" s="19" customFormat="1">
      <c r="A201" s="18" t="s">
        <v>146</v>
      </c>
      <c r="B201" s="19" t="s">
        <v>25</v>
      </c>
      <c r="C201" s="20">
        <v>64</v>
      </c>
      <c r="D201" s="21" t="s">
        <v>40</v>
      </c>
      <c r="E201" s="26"/>
      <c r="F201" s="22">
        <v>1</v>
      </c>
      <c r="G201" s="23" t="s">
        <v>20</v>
      </c>
      <c r="H201" s="22">
        <v>48</v>
      </c>
      <c r="I201" s="23" t="s">
        <v>40</v>
      </c>
      <c r="J201" s="24">
        <f>2880000/48</f>
        <v>60000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76"/>
        <v>64</v>
      </c>
      <c r="Q201" s="23" t="s">
        <v>40</v>
      </c>
      <c r="R201" s="24">
        <f t="shared" si="77"/>
        <v>3187200</v>
      </c>
      <c r="S201" s="24">
        <f t="shared" si="79"/>
        <v>2871351.351351351</v>
      </c>
    </row>
    <row r="202" spans="1:20" s="19" customFormat="1">
      <c r="A202" s="18" t="s">
        <v>147</v>
      </c>
      <c r="B202" s="19" t="s">
        <v>25</v>
      </c>
      <c r="C202" s="20"/>
      <c r="D202" s="21" t="s">
        <v>40</v>
      </c>
      <c r="E202" s="26">
        <v>3</v>
      </c>
      <c r="F202" s="22">
        <v>1</v>
      </c>
      <c r="G202" s="23" t="s">
        <v>20</v>
      </c>
      <c r="H202" s="22">
        <v>48</v>
      </c>
      <c r="I202" s="23" t="s">
        <v>40</v>
      </c>
      <c r="J202" s="24">
        <f>3024000/48</f>
        <v>63000</v>
      </c>
      <c r="K202" s="21" t="s">
        <v>40</v>
      </c>
      <c r="L202" s="25"/>
      <c r="M202" s="25">
        <v>0.17</v>
      </c>
      <c r="N202" s="22"/>
      <c r="O202" s="23" t="s">
        <v>40</v>
      </c>
      <c r="P202" s="20">
        <f t="shared" si="76"/>
        <v>144</v>
      </c>
      <c r="Q202" s="23" t="s">
        <v>40</v>
      </c>
      <c r="R202" s="24">
        <f t="shared" si="77"/>
        <v>7529760</v>
      </c>
      <c r="S202" s="24">
        <f t="shared" si="79"/>
        <v>6783567.5675675673</v>
      </c>
    </row>
    <row r="203" spans="1:20" s="19" customFormat="1">
      <c r="A203" s="18" t="s">
        <v>148</v>
      </c>
      <c r="B203" s="19" t="s">
        <v>25</v>
      </c>
      <c r="C203" s="20">
        <v>43</v>
      </c>
      <c r="D203" s="21" t="s">
        <v>40</v>
      </c>
      <c r="E203" s="26"/>
      <c r="F203" s="22">
        <v>1</v>
      </c>
      <c r="G203" s="23" t="s">
        <v>20</v>
      </c>
      <c r="H203" s="22">
        <v>48</v>
      </c>
      <c r="I203" s="23" t="s">
        <v>40</v>
      </c>
      <c r="J203" s="24">
        <f>2995200/48</f>
        <v>62400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76"/>
        <v>43</v>
      </c>
      <c r="Q203" s="23" t="s">
        <v>40</v>
      </c>
      <c r="R203" s="24">
        <f t="shared" si="77"/>
        <v>2227056</v>
      </c>
      <c r="S203" s="24">
        <f t="shared" si="79"/>
        <v>2006356.7567567567</v>
      </c>
    </row>
    <row r="204" spans="1:20" s="19" customFormat="1">
      <c r="A204" s="18" t="s">
        <v>149</v>
      </c>
      <c r="B204" s="19" t="s">
        <v>25</v>
      </c>
      <c r="C204" s="20"/>
      <c r="D204" s="21" t="s">
        <v>40</v>
      </c>
      <c r="E204" s="26">
        <v>1</v>
      </c>
      <c r="F204" s="22">
        <v>1</v>
      </c>
      <c r="G204" s="23" t="s">
        <v>20</v>
      </c>
      <c r="H204" s="22">
        <v>48</v>
      </c>
      <c r="I204" s="23" t="s">
        <v>40</v>
      </c>
      <c r="J204" s="24">
        <f>2995200/48</f>
        <v>62400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76"/>
        <v>48</v>
      </c>
      <c r="Q204" s="23" t="s">
        <v>40</v>
      </c>
      <c r="R204" s="24">
        <f t="shared" si="77"/>
        <v>2486016</v>
      </c>
      <c r="S204" s="24">
        <f t="shared" si="79"/>
        <v>2239654.054054054</v>
      </c>
    </row>
    <row r="205" spans="1:20" s="19" customFormat="1">
      <c r="A205" s="18" t="s">
        <v>824</v>
      </c>
      <c r="B205" s="19" t="s">
        <v>25</v>
      </c>
      <c r="C205" s="20"/>
      <c r="D205" s="21" t="s">
        <v>40</v>
      </c>
      <c r="E205" s="26">
        <v>13</v>
      </c>
      <c r="F205" s="22">
        <v>1</v>
      </c>
      <c r="G205" s="23" t="s">
        <v>20</v>
      </c>
      <c r="H205" s="22">
        <v>48</v>
      </c>
      <c r="I205" s="23" t="s">
        <v>40</v>
      </c>
      <c r="J205" s="24">
        <v>60000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76"/>
        <v>624</v>
      </c>
      <c r="Q205" s="23" t="s">
        <v>40</v>
      </c>
      <c r="R205" s="24">
        <f t="shared" ref="R205" si="80">P205*(J205-(J205*L205)-((J205-(J205*L205))*M205))</f>
        <v>31075200</v>
      </c>
      <c r="S205" s="24">
        <f t="shared" ref="S205" si="81">R205/1.11</f>
        <v>27995675.675675672</v>
      </c>
    </row>
    <row r="206" spans="1:20" s="19" customFormat="1">
      <c r="A206" s="18" t="s">
        <v>823</v>
      </c>
      <c r="B206" s="19" t="s">
        <v>25</v>
      </c>
      <c r="C206" s="20"/>
      <c r="D206" s="21" t="s">
        <v>40</v>
      </c>
      <c r="E206" s="26">
        <v>5</v>
      </c>
      <c r="F206" s="22">
        <v>1</v>
      </c>
      <c r="G206" s="23" t="s">
        <v>20</v>
      </c>
      <c r="H206" s="22">
        <v>48</v>
      </c>
      <c r="I206" s="23" t="s">
        <v>40</v>
      </c>
      <c r="J206" s="24">
        <v>69600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76"/>
        <v>240</v>
      </c>
      <c r="Q206" s="23" t="s">
        <v>40</v>
      </c>
      <c r="R206" s="24">
        <f t="shared" ref="R206" si="82">P206*(J206-(J206*L206)-((J206-(J206*L206))*M206))</f>
        <v>13864320</v>
      </c>
      <c r="S206" s="24">
        <f t="shared" ref="S206" si="83">R206/1.11</f>
        <v>12490378.378378376</v>
      </c>
    </row>
    <row r="207" spans="1:20" s="89" customFormat="1">
      <c r="A207" s="88" t="s">
        <v>726</v>
      </c>
      <c r="B207" s="89" t="s">
        <v>25</v>
      </c>
      <c r="C207" s="87"/>
      <c r="D207" s="90" t="s">
        <v>40</v>
      </c>
      <c r="E207" s="91"/>
      <c r="F207" s="92">
        <v>1</v>
      </c>
      <c r="G207" s="93" t="s">
        <v>20</v>
      </c>
      <c r="H207" s="92">
        <v>36</v>
      </c>
      <c r="I207" s="93" t="s">
        <v>40</v>
      </c>
      <c r="J207" s="94">
        <f>3240000/36</f>
        <v>90000</v>
      </c>
      <c r="K207" s="90" t="s">
        <v>40</v>
      </c>
      <c r="L207" s="95"/>
      <c r="M207" s="95">
        <v>0.17</v>
      </c>
      <c r="N207" s="92"/>
      <c r="O207" s="93" t="s">
        <v>40</v>
      </c>
      <c r="P207" s="87">
        <f t="shared" si="76"/>
        <v>0</v>
      </c>
      <c r="Q207" s="93" t="s">
        <v>40</v>
      </c>
      <c r="R207" s="94">
        <f t="shared" si="77"/>
        <v>0</v>
      </c>
      <c r="S207" s="94">
        <f>R207/1.11</f>
        <v>0</v>
      </c>
    </row>
    <row r="208" spans="1:20" s="19" customFormat="1">
      <c r="A208" s="18" t="s">
        <v>783</v>
      </c>
      <c r="B208" s="19" t="s">
        <v>25</v>
      </c>
      <c r="C208" s="20">
        <v>10</v>
      </c>
      <c r="D208" s="21" t="s">
        <v>40</v>
      </c>
      <c r="E208" s="26"/>
      <c r="F208" s="22">
        <v>1</v>
      </c>
      <c r="G208" s="23" t="s">
        <v>20</v>
      </c>
      <c r="H208" s="22">
        <v>36</v>
      </c>
      <c r="I208" s="23" t="s">
        <v>40</v>
      </c>
      <c r="J208" s="24">
        <f>4406400/36</f>
        <v>122400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76"/>
        <v>10</v>
      </c>
      <c r="Q208" s="23" t="s">
        <v>40</v>
      </c>
      <c r="R208" s="24">
        <f t="shared" si="77"/>
        <v>1015920</v>
      </c>
      <c r="S208" s="24">
        <f>R208/1.11</f>
        <v>915243.2432432432</v>
      </c>
    </row>
    <row r="209" spans="1:19" s="19" customFormat="1">
      <c r="A209" s="18"/>
      <c r="C209" s="20"/>
      <c r="D209" s="21"/>
      <c r="E209" s="26"/>
      <c r="F209" s="22"/>
      <c r="G209" s="23"/>
      <c r="H209" s="22"/>
      <c r="I209" s="23"/>
      <c r="J209" s="24"/>
      <c r="K209" s="21"/>
      <c r="L209" s="25"/>
      <c r="M209" s="25"/>
      <c r="N209" s="22"/>
      <c r="O209" s="23"/>
      <c r="P209" s="20"/>
      <c r="Q209" s="23"/>
      <c r="R209" s="24"/>
      <c r="S209" s="24"/>
    </row>
    <row r="210" spans="1:19" s="19" customFormat="1" ht="15.75">
      <c r="A210" s="44" t="s">
        <v>150</v>
      </c>
      <c r="C210" s="20"/>
      <c r="D210" s="21"/>
      <c r="E210" s="26"/>
      <c r="F210" s="22"/>
      <c r="G210" s="23"/>
      <c r="H210" s="22"/>
      <c r="I210" s="23"/>
      <c r="J210" s="24"/>
      <c r="K210" s="21"/>
      <c r="L210" s="25"/>
      <c r="M210" s="25"/>
      <c r="N210" s="22"/>
      <c r="O210" s="23"/>
      <c r="P210" s="20"/>
      <c r="Q210" s="23"/>
      <c r="R210" s="24"/>
      <c r="S210" s="24"/>
    </row>
    <row r="211" spans="1:19" s="89" customFormat="1">
      <c r="A211" s="145" t="s">
        <v>703</v>
      </c>
      <c r="B211" s="89" t="s">
        <v>18</v>
      </c>
      <c r="C211" s="87"/>
      <c r="D211" s="90" t="s">
        <v>152</v>
      </c>
      <c r="E211" s="91">
        <v>2</v>
      </c>
      <c r="F211" s="92">
        <v>12</v>
      </c>
      <c r="G211" s="93" t="s">
        <v>33</v>
      </c>
      <c r="H211" s="92">
        <v>12</v>
      </c>
      <c r="I211" s="93" t="s">
        <v>152</v>
      </c>
      <c r="J211" s="94">
        <v>11000</v>
      </c>
      <c r="K211" s="90" t="s">
        <v>152</v>
      </c>
      <c r="L211" s="95">
        <v>0.125</v>
      </c>
      <c r="M211" s="95">
        <v>0.05</v>
      </c>
      <c r="N211" s="92"/>
      <c r="O211" s="93" t="s">
        <v>152</v>
      </c>
      <c r="P211" s="87">
        <f t="shared" ref="P211:P220" si="84">(C211+(E211*F211*H211))-N211</f>
        <v>288</v>
      </c>
      <c r="Q211" s="93" t="s">
        <v>152</v>
      </c>
      <c r="R211" s="94">
        <f t="shared" ref="R211:R220" si="85">P211*(J211-(J211*L211)-((J211-(J211*L211))*M211))</f>
        <v>2633400</v>
      </c>
      <c r="S211" s="94">
        <f t="shared" si="79"/>
        <v>2372432.4324324322</v>
      </c>
    </row>
    <row r="212" spans="1:19" s="89" customFormat="1">
      <c r="A212" s="145" t="s">
        <v>151</v>
      </c>
      <c r="B212" s="89" t="s">
        <v>18</v>
      </c>
      <c r="C212" s="87"/>
      <c r="D212" s="90" t="s">
        <v>152</v>
      </c>
      <c r="E212" s="91"/>
      <c r="F212" s="92">
        <v>12</v>
      </c>
      <c r="G212" s="93" t="s">
        <v>33</v>
      </c>
      <c r="H212" s="92">
        <v>12</v>
      </c>
      <c r="I212" s="93" t="s">
        <v>152</v>
      </c>
      <c r="J212" s="94">
        <v>11600</v>
      </c>
      <c r="K212" s="90" t="s">
        <v>152</v>
      </c>
      <c r="L212" s="95">
        <v>0.125</v>
      </c>
      <c r="M212" s="95">
        <v>0.05</v>
      </c>
      <c r="N212" s="92"/>
      <c r="O212" s="93" t="s">
        <v>152</v>
      </c>
      <c r="P212" s="87">
        <f t="shared" si="84"/>
        <v>0</v>
      </c>
      <c r="Q212" s="93" t="s">
        <v>152</v>
      </c>
      <c r="R212" s="94">
        <f t="shared" si="85"/>
        <v>0</v>
      </c>
      <c r="S212" s="94">
        <f t="shared" si="79"/>
        <v>0</v>
      </c>
    </row>
    <row r="213" spans="1:19" s="19" customFormat="1">
      <c r="A213" s="49" t="s">
        <v>153</v>
      </c>
      <c r="B213" s="19" t="s">
        <v>18</v>
      </c>
      <c r="C213" s="20">
        <v>276</v>
      </c>
      <c r="D213" s="21" t="s">
        <v>152</v>
      </c>
      <c r="E213" s="26">
        <v>6</v>
      </c>
      <c r="F213" s="22">
        <v>6</v>
      </c>
      <c r="G213" s="23" t="s">
        <v>33</v>
      </c>
      <c r="H213" s="22">
        <v>24</v>
      </c>
      <c r="I213" s="23" t="s">
        <v>152</v>
      </c>
      <c r="J213" s="24">
        <v>9000</v>
      </c>
      <c r="K213" s="21" t="s">
        <v>152</v>
      </c>
      <c r="L213" s="25">
        <v>0.125</v>
      </c>
      <c r="M213" s="25">
        <v>0.05</v>
      </c>
      <c r="N213" s="22"/>
      <c r="O213" s="23" t="s">
        <v>152</v>
      </c>
      <c r="P213" s="20">
        <f t="shared" si="84"/>
        <v>1140</v>
      </c>
      <c r="Q213" s="23" t="s">
        <v>152</v>
      </c>
      <c r="R213" s="24">
        <f t="shared" si="85"/>
        <v>8528625</v>
      </c>
      <c r="S213" s="24">
        <f t="shared" si="79"/>
        <v>7683445.9459459456</v>
      </c>
    </row>
    <row r="214" spans="1:19" s="19" customFormat="1">
      <c r="A214" s="18" t="s">
        <v>154</v>
      </c>
      <c r="B214" s="19" t="s">
        <v>18</v>
      </c>
      <c r="C214" s="20">
        <v>397</v>
      </c>
      <c r="D214" s="21" t="s">
        <v>152</v>
      </c>
      <c r="E214" s="26">
        <v>47</v>
      </c>
      <c r="F214" s="22">
        <v>1</v>
      </c>
      <c r="G214" s="23" t="s">
        <v>20</v>
      </c>
      <c r="H214" s="22">
        <v>144</v>
      </c>
      <c r="I214" s="23" t="s">
        <v>152</v>
      </c>
      <c r="J214" s="24">
        <v>11900</v>
      </c>
      <c r="K214" s="21" t="s">
        <v>152</v>
      </c>
      <c r="L214" s="25">
        <v>0.125</v>
      </c>
      <c r="M214" s="25">
        <v>0.05</v>
      </c>
      <c r="N214" s="22"/>
      <c r="O214" s="23" t="s">
        <v>152</v>
      </c>
      <c r="P214" s="20">
        <f t="shared" si="84"/>
        <v>7165</v>
      </c>
      <c r="Q214" s="23" t="s">
        <v>152</v>
      </c>
      <c r="R214" s="24">
        <f t="shared" si="85"/>
        <v>70875284.375</v>
      </c>
      <c r="S214" s="24">
        <f t="shared" si="79"/>
        <v>63851607.545045041</v>
      </c>
    </row>
    <row r="215" spans="1:19" s="19" customFormat="1">
      <c r="A215" s="18" t="s">
        <v>155</v>
      </c>
      <c r="B215" s="19" t="s">
        <v>18</v>
      </c>
      <c r="C215" s="20">
        <v>300</v>
      </c>
      <c r="D215" s="21" t="s">
        <v>152</v>
      </c>
      <c r="E215" s="26">
        <v>24</v>
      </c>
      <c r="F215" s="22">
        <v>6</v>
      </c>
      <c r="G215" s="23" t="s">
        <v>33</v>
      </c>
      <c r="H215" s="22">
        <v>12</v>
      </c>
      <c r="I215" s="23" t="s">
        <v>152</v>
      </c>
      <c r="J215" s="24">
        <v>23000</v>
      </c>
      <c r="K215" s="21" t="s">
        <v>152</v>
      </c>
      <c r="L215" s="25">
        <v>0.125</v>
      </c>
      <c r="M215" s="25">
        <v>0.05</v>
      </c>
      <c r="N215" s="22"/>
      <c r="O215" s="23" t="s">
        <v>152</v>
      </c>
      <c r="P215" s="20">
        <f t="shared" si="84"/>
        <v>2028</v>
      </c>
      <c r="Q215" s="23" t="s">
        <v>152</v>
      </c>
      <c r="R215" s="24">
        <f t="shared" si="85"/>
        <v>38772825</v>
      </c>
      <c r="S215" s="24">
        <f t="shared" si="79"/>
        <v>34930472.972972967</v>
      </c>
    </row>
    <row r="216" spans="1:19" s="19" customFormat="1">
      <c r="A216" s="18" t="s">
        <v>156</v>
      </c>
      <c r="B216" s="19" t="s">
        <v>18</v>
      </c>
      <c r="C216" s="20"/>
      <c r="D216" s="21" t="s">
        <v>152</v>
      </c>
      <c r="E216" s="26">
        <v>14</v>
      </c>
      <c r="F216" s="22">
        <v>8</v>
      </c>
      <c r="G216" s="23" t="s">
        <v>33</v>
      </c>
      <c r="H216" s="22">
        <v>6</v>
      </c>
      <c r="I216" s="23" t="s">
        <v>152</v>
      </c>
      <c r="J216" s="24">
        <v>29600</v>
      </c>
      <c r="K216" s="21" t="s">
        <v>152</v>
      </c>
      <c r="L216" s="25">
        <v>0.125</v>
      </c>
      <c r="M216" s="25">
        <v>0.05</v>
      </c>
      <c r="N216" s="22"/>
      <c r="O216" s="23" t="s">
        <v>152</v>
      </c>
      <c r="P216" s="20">
        <f t="shared" si="84"/>
        <v>672</v>
      </c>
      <c r="Q216" s="23" t="s">
        <v>152</v>
      </c>
      <c r="R216" s="24">
        <f t="shared" si="85"/>
        <v>16534560</v>
      </c>
      <c r="S216" s="24">
        <f t="shared" si="79"/>
        <v>14895999.999999998</v>
      </c>
    </row>
    <row r="217" spans="1:19" s="19" customFormat="1">
      <c r="A217" s="18" t="s">
        <v>157</v>
      </c>
      <c r="B217" s="19" t="s">
        <v>18</v>
      </c>
      <c r="C217" s="20">
        <v>242</v>
      </c>
      <c r="D217" s="21" t="s">
        <v>152</v>
      </c>
      <c r="E217" s="26">
        <v>17</v>
      </c>
      <c r="F217" s="22">
        <v>6</v>
      </c>
      <c r="G217" s="23" t="s">
        <v>33</v>
      </c>
      <c r="H217" s="22">
        <v>6</v>
      </c>
      <c r="I217" s="23" t="s">
        <v>152</v>
      </c>
      <c r="J217" s="24">
        <v>41500</v>
      </c>
      <c r="K217" s="21" t="s">
        <v>152</v>
      </c>
      <c r="L217" s="25">
        <v>0.125</v>
      </c>
      <c r="M217" s="25">
        <v>0.05</v>
      </c>
      <c r="N217" s="22"/>
      <c r="O217" s="23" t="s">
        <v>152</v>
      </c>
      <c r="P217" s="20">
        <f t="shared" si="84"/>
        <v>854</v>
      </c>
      <c r="Q217" s="23" t="s">
        <v>152</v>
      </c>
      <c r="R217" s="24">
        <f t="shared" si="85"/>
        <v>29460331.25</v>
      </c>
      <c r="S217" s="24">
        <f>R217/1.11</f>
        <v>26540838.963963963</v>
      </c>
    </row>
    <row r="218" spans="1:19" s="19" customFormat="1">
      <c r="A218" s="18" t="s">
        <v>158</v>
      </c>
      <c r="B218" s="19" t="s">
        <v>18</v>
      </c>
      <c r="C218" s="20">
        <v>264</v>
      </c>
      <c r="D218" s="21" t="s">
        <v>152</v>
      </c>
      <c r="E218" s="26">
        <v>8</v>
      </c>
      <c r="F218" s="22">
        <v>4</v>
      </c>
      <c r="G218" s="23" t="s">
        <v>33</v>
      </c>
      <c r="H218" s="22">
        <v>6</v>
      </c>
      <c r="I218" s="23" t="s">
        <v>152</v>
      </c>
      <c r="J218" s="24">
        <v>58900</v>
      </c>
      <c r="K218" s="21" t="s">
        <v>152</v>
      </c>
      <c r="L218" s="25">
        <v>0.125</v>
      </c>
      <c r="M218" s="25">
        <v>0.05</v>
      </c>
      <c r="N218" s="22"/>
      <c r="O218" s="23" t="s">
        <v>152</v>
      </c>
      <c r="P218" s="20">
        <f t="shared" si="84"/>
        <v>456</v>
      </c>
      <c r="Q218" s="23" t="s">
        <v>152</v>
      </c>
      <c r="R218" s="24">
        <f t="shared" si="85"/>
        <v>22326045</v>
      </c>
      <c r="S218" s="24">
        <f t="shared" si="79"/>
        <v>20113554.054054052</v>
      </c>
    </row>
    <row r="219" spans="1:19" s="19" customFormat="1">
      <c r="A219" s="18" t="s">
        <v>159</v>
      </c>
      <c r="B219" s="19" t="s">
        <v>18</v>
      </c>
      <c r="C219" s="20">
        <v>278</v>
      </c>
      <c r="D219" s="21" t="s">
        <v>152</v>
      </c>
      <c r="E219" s="26">
        <v>13</v>
      </c>
      <c r="F219" s="22">
        <v>4</v>
      </c>
      <c r="G219" s="23" t="s">
        <v>33</v>
      </c>
      <c r="H219" s="22">
        <v>6</v>
      </c>
      <c r="I219" s="23" t="s">
        <v>152</v>
      </c>
      <c r="J219" s="24">
        <v>66900</v>
      </c>
      <c r="K219" s="21" t="s">
        <v>152</v>
      </c>
      <c r="L219" s="25">
        <v>0.125</v>
      </c>
      <c r="M219" s="25">
        <v>0.05</v>
      </c>
      <c r="N219" s="22"/>
      <c r="O219" s="23" t="s">
        <v>152</v>
      </c>
      <c r="P219" s="20">
        <f t="shared" si="84"/>
        <v>590</v>
      </c>
      <c r="Q219" s="23" t="s">
        <v>152</v>
      </c>
      <c r="R219" s="24">
        <f t="shared" si="85"/>
        <v>32810268.75</v>
      </c>
      <c r="S219" s="24">
        <f t="shared" si="79"/>
        <v>29558800.675675672</v>
      </c>
    </row>
    <row r="220" spans="1:19" s="19" customFormat="1">
      <c r="A220" s="18" t="s">
        <v>697</v>
      </c>
      <c r="B220" s="19" t="s">
        <v>18</v>
      </c>
      <c r="C220" s="20"/>
      <c r="D220" s="21" t="s">
        <v>152</v>
      </c>
      <c r="E220" s="26">
        <v>8</v>
      </c>
      <c r="F220" s="22">
        <v>1</v>
      </c>
      <c r="G220" s="23" t="s">
        <v>20</v>
      </c>
      <c r="H220" s="22">
        <v>24</v>
      </c>
      <c r="I220" s="23" t="s">
        <v>152</v>
      </c>
      <c r="J220" s="24">
        <v>96000</v>
      </c>
      <c r="K220" s="21" t="s">
        <v>152</v>
      </c>
      <c r="L220" s="25">
        <v>0.125</v>
      </c>
      <c r="M220" s="25">
        <v>0.05</v>
      </c>
      <c r="N220" s="22"/>
      <c r="O220" s="23" t="s">
        <v>152</v>
      </c>
      <c r="P220" s="20">
        <f t="shared" si="84"/>
        <v>192</v>
      </c>
      <c r="Q220" s="23" t="s">
        <v>152</v>
      </c>
      <c r="R220" s="24">
        <f t="shared" si="85"/>
        <v>15321600</v>
      </c>
      <c r="S220" s="24">
        <f t="shared" si="79"/>
        <v>13803243.243243242</v>
      </c>
    </row>
    <row r="221" spans="1:19" s="19" customFormat="1">
      <c r="A221" s="18"/>
      <c r="C221" s="20"/>
      <c r="D221" s="21"/>
      <c r="E221" s="26"/>
      <c r="F221" s="22"/>
      <c r="G221" s="23"/>
      <c r="H221" s="22"/>
      <c r="I221" s="23"/>
      <c r="J221" s="24"/>
      <c r="K221" s="21"/>
      <c r="L221" s="25"/>
      <c r="M221" s="25"/>
      <c r="N221" s="22"/>
      <c r="O221" s="23"/>
      <c r="P221" s="20"/>
      <c r="Q221" s="23"/>
      <c r="R221" s="24"/>
      <c r="S221" s="24"/>
    </row>
    <row r="222" spans="1:19" s="19" customFormat="1">
      <c r="A222" s="49" t="s">
        <v>160</v>
      </c>
      <c r="B222" s="19" t="s">
        <v>25</v>
      </c>
      <c r="C222" s="20"/>
      <c r="D222" s="21" t="s">
        <v>152</v>
      </c>
      <c r="E222" s="26">
        <v>2</v>
      </c>
      <c r="F222" s="22">
        <v>12</v>
      </c>
      <c r="G222" s="23" t="s">
        <v>40</v>
      </c>
      <c r="H222" s="22">
        <v>12</v>
      </c>
      <c r="I222" s="23" t="s">
        <v>152</v>
      </c>
      <c r="J222" s="24">
        <f>1728000/12/12</f>
        <v>12000</v>
      </c>
      <c r="K222" s="21" t="s">
        <v>152</v>
      </c>
      <c r="L222" s="25"/>
      <c r="M222" s="25">
        <v>0.17</v>
      </c>
      <c r="N222" s="22"/>
      <c r="O222" s="23" t="s">
        <v>152</v>
      </c>
      <c r="P222" s="20">
        <f>(C222+(E222*F222*H222))-N222</f>
        <v>288</v>
      </c>
      <c r="Q222" s="23" t="s">
        <v>152</v>
      </c>
      <c r="R222" s="24">
        <f>P222*(J222-(J222*L222)-((J222-(J222*L222))*M222))</f>
        <v>2868480</v>
      </c>
      <c r="S222" s="24">
        <f t="shared" si="79"/>
        <v>2584216.2162162159</v>
      </c>
    </row>
    <row r="223" spans="1:19" s="19" customFormat="1">
      <c r="A223" s="49" t="s">
        <v>161</v>
      </c>
      <c r="B223" s="19" t="s">
        <v>25</v>
      </c>
      <c r="C223" s="20">
        <v>168</v>
      </c>
      <c r="D223" s="21" t="s">
        <v>152</v>
      </c>
      <c r="E223" s="26">
        <v>2</v>
      </c>
      <c r="F223" s="22">
        <v>6</v>
      </c>
      <c r="G223" s="23" t="s">
        <v>40</v>
      </c>
      <c r="H223" s="22">
        <v>12</v>
      </c>
      <c r="I223" s="23" t="s">
        <v>152</v>
      </c>
      <c r="J223" s="24">
        <f>1548000/6/12</f>
        <v>21500</v>
      </c>
      <c r="K223" s="21" t="s">
        <v>152</v>
      </c>
      <c r="L223" s="25"/>
      <c r="M223" s="25">
        <v>0.17</v>
      </c>
      <c r="N223" s="22"/>
      <c r="O223" s="23" t="s">
        <v>152</v>
      </c>
      <c r="P223" s="20">
        <f>(C223+(E223*F223*H223))-N223</f>
        <v>312</v>
      </c>
      <c r="Q223" s="23" t="s">
        <v>152</v>
      </c>
      <c r="R223" s="24">
        <f>P223*(J223-(J223*L223)-((J223-(J223*L223))*M223))</f>
        <v>5567640</v>
      </c>
      <c r="S223" s="24">
        <f t="shared" si="79"/>
        <v>5015891.8918918911</v>
      </c>
    </row>
    <row r="224" spans="1:19" s="19" customFormat="1">
      <c r="A224" s="49" t="s">
        <v>817</v>
      </c>
      <c r="B224" s="19" t="s">
        <v>25</v>
      </c>
      <c r="C224" s="20"/>
      <c r="D224" s="21" t="s">
        <v>152</v>
      </c>
      <c r="E224" s="26">
        <v>1</v>
      </c>
      <c r="F224" s="22">
        <v>4</v>
      </c>
      <c r="G224" s="23" t="s">
        <v>40</v>
      </c>
      <c r="H224" s="22">
        <v>12</v>
      </c>
      <c r="I224" s="23" t="s">
        <v>152</v>
      </c>
      <c r="J224" s="24">
        <v>28500</v>
      </c>
      <c r="K224" s="21" t="s">
        <v>152</v>
      </c>
      <c r="L224" s="25"/>
      <c r="M224" s="25">
        <v>0.17</v>
      </c>
      <c r="N224" s="22"/>
      <c r="O224" s="23" t="s">
        <v>152</v>
      </c>
      <c r="P224" s="20">
        <f t="shared" ref="P224:P225" si="86">(C224+(E224*F224*H224))-N224</f>
        <v>48</v>
      </c>
      <c r="Q224" s="23" t="s">
        <v>152</v>
      </c>
      <c r="R224" s="24">
        <f t="shared" ref="R224:R225" si="87">P224*(J224-(J224*L224)-((J224-(J224*L224))*M224))</f>
        <v>1135440</v>
      </c>
      <c r="S224" s="24">
        <f t="shared" ref="S224:S225" si="88">R224/1.11</f>
        <v>1022918.9189189188</v>
      </c>
    </row>
    <row r="225" spans="1:19" s="19" customFormat="1">
      <c r="A225" s="49" t="s">
        <v>818</v>
      </c>
      <c r="B225" s="19" t="s">
        <v>25</v>
      </c>
      <c r="C225" s="20"/>
      <c r="D225" s="21" t="s">
        <v>152</v>
      </c>
      <c r="E225" s="26">
        <v>1</v>
      </c>
      <c r="F225" s="22">
        <v>4</v>
      </c>
      <c r="G225" s="23" t="s">
        <v>40</v>
      </c>
      <c r="H225" s="22">
        <v>12</v>
      </c>
      <c r="I225" s="23" t="s">
        <v>152</v>
      </c>
      <c r="J225" s="24">
        <v>31125</v>
      </c>
      <c r="K225" s="21" t="s">
        <v>152</v>
      </c>
      <c r="L225" s="25"/>
      <c r="M225" s="25">
        <v>0.17</v>
      </c>
      <c r="N225" s="22"/>
      <c r="O225" s="23" t="s">
        <v>152</v>
      </c>
      <c r="P225" s="20">
        <f t="shared" si="86"/>
        <v>48</v>
      </c>
      <c r="Q225" s="23" t="s">
        <v>152</v>
      </c>
      <c r="R225" s="24">
        <f t="shared" si="87"/>
        <v>1240020</v>
      </c>
      <c r="S225" s="24">
        <f t="shared" si="88"/>
        <v>1117135.1351351351</v>
      </c>
    </row>
    <row r="226" spans="1:19" s="19" customFormat="1">
      <c r="A226" s="49"/>
      <c r="C226" s="20"/>
      <c r="D226" s="21"/>
      <c r="E226" s="26"/>
      <c r="F226" s="22"/>
      <c r="G226" s="23"/>
      <c r="H226" s="22"/>
      <c r="I226" s="23"/>
      <c r="J226" s="24"/>
      <c r="K226" s="21"/>
      <c r="L226" s="25"/>
      <c r="M226" s="25"/>
      <c r="N226" s="22"/>
      <c r="O226" s="23"/>
      <c r="P226" s="20"/>
      <c r="Q226" s="23"/>
      <c r="R226" s="24"/>
      <c r="S226" s="24"/>
    </row>
    <row r="227" spans="1:19" s="89" customFormat="1">
      <c r="A227" s="145" t="s">
        <v>162</v>
      </c>
      <c r="B227" s="89" t="s">
        <v>25</v>
      </c>
      <c r="C227" s="87"/>
      <c r="D227" s="90" t="s">
        <v>152</v>
      </c>
      <c r="E227" s="91"/>
      <c r="F227" s="92">
        <v>8</v>
      </c>
      <c r="G227" s="93" t="s">
        <v>33</v>
      </c>
      <c r="H227" s="92">
        <v>12</v>
      </c>
      <c r="I227" s="93" t="s">
        <v>152</v>
      </c>
      <c r="J227" s="94">
        <v>12500</v>
      </c>
      <c r="K227" s="90" t="s">
        <v>152</v>
      </c>
      <c r="L227" s="95"/>
      <c r="M227" s="95">
        <v>0.17</v>
      </c>
      <c r="N227" s="92"/>
      <c r="O227" s="93" t="s">
        <v>152</v>
      </c>
      <c r="P227" s="87">
        <f t="shared" ref="P227:P234" si="89">(C227+(E227*F227*H227))-N227</f>
        <v>0</v>
      </c>
      <c r="Q227" s="93" t="s">
        <v>152</v>
      </c>
      <c r="R227" s="94">
        <f t="shared" ref="R227:R234" si="90">P227*(J227-(J227*L227)-((J227-(J227*L227))*M227))</f>
        <v>0</v>
      </c>
      <c r="S227" s="94">
        <f t="shared" si="79"/>
        <v>0</v>
      </c>
    </row>
    <row r="228" spans="1:19" s="89" customFormat="1">
      <c r="A228" s="145" t="s">
        <v>163</v>
      </c>
      <c r="B228" s="89" t="s">
        <v>25</v>
      </c>
      <c r="C228" s="87"/>
      <c r="D228" s="90" t="s">
        <v>152</v>
      </c>
      <c r="E228" s="91"/>
      <c r="F228" s="92">
        <v>1</v>
      </c>
      <c r="G228" s="93" t="s">
        <v>20</v>
      </c>
      <c r="H228" s="92">
        <v>144</v>
      </c>
      <c r="I228" s="93" t="s">
        <v>152</v>
      </c>
      <c r="J228" s="94">
        <v>11600</v>
      </c>
      <c r="K228" s="90" t="s">
        <v>152</v>
      </c>
      <c r="L228" s="95"/>
      <c r="M228" s="95">
        <v>0.17</v>
      </c>
      <c r="N228" s="92"/>
      <c r="O228" s="93" t="s">
        <v>152</v>
      </c>
      <c r="P228" s="87">
        <f t="shared" si="89"/>
        <v>0</v>
      </c>
      <c r="Q228" s="93" t="s">
        <v>152</v>
      </c>
      <c r="R228" s="94">
        <f t="shared" si="90"/>
        <v>0</v>
      </c>
      <c r="S228" s="94">
        <f t="shared" si="79"/>
        <v>0</v>
      </c>
    </row>
    <row r="229" spans="1:19" s="19" customFormat="1">
      <c r="A229" s="18" t="s">
        <v>164</v>
      </c>
      <c r="B229" s="19" t="s">
        <v>25</v>
      </c>
      <c r="C229" s="20">
        <v>4032</v>
      </c>
      <c r="D229" s="21" t="s">
        <v>152</v>
      </c>
      <c r="E229" s="26">
        <v>5</v>
      </c>
      <c r="F229" s="22">
        <v>12</v>
      </c>
      <c r="G229" s="23" t="s">
        <v>40</v>
      </c>
      <c r="H229" s="22">
        <v>12</v>
      </c>
      <c r="I229" s="23" t="s">
        <v>152</v>
      </c>
      <c r="J229" s="24">
        <f>2088000/144</f>
        <v>14500</v>
      </c>
      <c r="K229" s="21" t="s">
        <v>152</v>
      </c>
      <c r="L229" s="25"/>
      <c r="M229" s="25">
        <v>0.17</v>
      </c>
      <c r="N229" s="22"/>
      <c r="O229" s="23" t="s">
        <v>152</v>
      </c>
      <c r="P229" s="20">
        <f t="shared" si="89"/>
        <v>4752</v>
      </c>
      <c r="Q229" s="23" t="s">
        <v>152</v>
      </c>
      <c r="R229" s="24">
        <f t="shared" si="90"/>
        <v>57190320</v>
      </c>
      <c r="S229" s="24">
        <f t="shared" si="79"/>
        <v>51522810.810810804</v>
      </c>
    </row>
    <row r="230" spans="1:19" s="19" customFormat="1">
      <c r="A230" s="18" t="s">
        <v>165</v>
      </c>
      <c r="B230" s="19" t="s">
        <v>25</v>
      </c>
      <c r="C230" s="20">
        <v>648</v>
      </c>
      <c r="D230" s="21" t="s">
        <v>152</v>
      </c>
      <c r="E230" s="26">
        <v>3</v>
      </c>
      <c r="F230" s="22">
        <v>6</v>
      </c>
      <c r="G230" s="23" t="s">
        <v>40</v>
      </c>
      <c r="H230" s="22">
        <v>12</v>
      </c>
      <c r="I230" s="23" t="s">
        <v>152</v>
      </c>
      <c r="J230" s="24">
        <f>1944000/72</f>
        <v>27000</v>
      </c>
      <c r="K230" s="21" t="s">
        <v>152</v>
      </c>
      <c r="L230" s="25"/>
      <c r="M230" s="25">
        <v>0.17</v>
      </c>
      <c r="N230" s="22"/>
      <c r="O230" s="23" t="s">
        <v>152</v>
      </c>
      <c r="P230" s="20">
        <f t="shared" si="89"/>
        <v>864</v>
      </c>
      <c r="Q230" s="23" t="s">
        <v>152</v>
      </c>
      <c r="R230" s="24">
        <f t="shared" si="90"/>
        <v>19362240</v>
      </c>
      <c r="S230" s="24">
        <f t="shared" si="79"/>
        <v>17443459.459459458</v>
      </c>
    </row>
    <row r="231" spans="1:19" s="19" customFormat="1">
      <c r="A231" s="18" t="s">
        <v>166</v>
      </c>
      <c r="B231" s="19" t="s">
        <v>25</v>
      </c>
      <c r="C231" s="20">
        <v>672</v>
      </c>
      <c r="D231" s="21" t="s">
        <v>152</v>
      </c>
      <c r="E231" s="26">
        <v>2</v>
      </c>
      <c r="F231" s="22">
        <v>8</v>
      </c>
      <c r="G231" s="23" t="s">
        <v>33</v>
      </c>
      <c r="H231" s="22">
        <v>6</v>
      </c>
      <c r="I231" s="23" t="s">
        <v>152</v>
      </c>
      <c r="J231" s="24">
        <f>1632000/8/6</f>
        <v>34000</v>
      </c>
      <c r="K231" s="21" t="s">
        <v>152</v>
      </c>
      <c r="L231" s="25"/>
      <c r="M231" s="25">
        <v>0.17</v>
      </c>
      <c r="N231" s="22"/>
      <c r="O231" s="23" t="s">
        <v>152</v>
      </c>
      <c r="P231" s="20">
        <f t="shared" si="89"/>
        <v>768</v>
      </c>
      <c r="Q231" s="23" t="s">
        <v>152</v>
      </c>
      <c r="R231" s="24">
        <f t="shared" si="90"/>
        <v>21672960</v>
      </c>
      <c r="S231" s="24">
        <f t="shared" si="79"/>
        <v>19525189.189189188</v>
      </c>
    </row>
    <row r="232" spans="1:19" s="19" customFormat="1">
      <c r="A232" s="18" t="s">
        <v>167</v>
      </c>
      <c r="B232" s="19" t="s">
        <v>25</v>
      </c>
      <c r="C232" s="20">
        <v>180</v>
      </c>
      <c r="D232" s="21" t="s">
        <v>152</v>
      </c>
      <c r="E232" s="26">
        <v>2</v>
      </c>
      <c r="F232" s="22">
        <v>6</v>
      </c>
      <c r="G232" s="23" t="s">
        <v>33</v>
      </c>
      <c r="H232" s="22">
        <v>6</v>
      </c>
      <c r="I232" s="23" t="s">
        <v>152</v>
      </c>
      <c r="J232" s="24">
        <f>1710000/6/6</f>
        <v>47500</v>
      </c>
      <c r="K232" s="21" t="s">
        <v>152</v>
      </c>
      <c r="L232" s="25"/>
      <c r="M232" s="25">
        <v>0.17</v>
      </c>
      <c r="N232" s="22"/>
      <c r="O232" s="23" t="s">
        <v>152</v>
      </c>
      <c r="P232" s="20">
        <f t="shared" si="89"/>
        <v>252</v>
      </c>
      <c r="Q232" s="23" t="s">
        <v>152</v>
      </c>
      <c r="R232" s="24">
        <f t="shared" si="90"/>
        <v>9935100</v>
      </c>
      <c r="S232" s="24">
        <f t="shared" si="79"/>
        <v>8950540.5405405406</v>
      </c>
    </row>
    <row r="233" spans="1:19" s="19" customFormat="1">
      <c r="A233" s="18" t="s">
        <v>168</v>
      </c>
      <c r="B233" s="19" t="s">
        <v>25</v>
      </c>
      <c r="C233" s="20">
        <v>30</v>
      </c>
      <c r="D233" s="21" t="s">
        <v>152</v>
      </c>
      <c r="E233" s="26">
        <v>1</v>
      </c>
      <c r="F233" s="22">
        <v>4</v>
      </c>
      <c r="G233" s="23" t="s">
        <v>33</v>
      </c>
      <c r="H233" s="22">
        <v>6</v>
      </c>
      <c r="I233" s="23" t="s">
        <v>152</v>
      </c>
      <c r="J233" s="24">
        <f>1656000/4/6</f>
        <v>69000</v>
      </c>
      <c r="K233" s="21" t="s">
        <v>152</v>
      </c>
      <c r="L233" s="25"/>
      <c r="M233" s="25">
        <v>0.17</v>
      </c>
      <c r="N233" s="22"/>
      <c r="O233" s="23" t="s">
        <v>152</v>
      </c>
      <c r="P233" s="20">
        <f t="shared" si="89"/>
        <v>54</v>
      </c>
      <c r="Q233" s="23" t="s">
        <v>152</v>
      </c>
      <c r="R233" s="24">
        <f t="shared" si="90"/>
        <v>3092580</v>
      </c>
      <c r="S233" s="24">
        <f t="shared" si="79"/>
        <v>2786108.1081081079</v>
      </c>
    </row>
    <row r="234" spans="1:19" s="19" customFormat="1">
      <c r="A234" s="18" t="s">
        <v>169</v>
      </c>
      <c r="B234" s="19" t="s">
        <v>25</v>
      </c>
      <c r="C234" s="20">
        <v>42</v>
      </c>
      <c r="D234" s="21" t="s">
        <v>152</v>
      </c>
      <c r="E234" s="26">
        <v>1</v>
      </c>
      <c r="F234" s="22">
        <v>4</v>
      </c>
      <c r="G234" s="23" t="s">
        <v>33</v>
      </c>
      <c r="H234" s="22">
        <v>6</v>
      </c>
      <c r="I234" s="23" t="s">
        <v>152</v>
      </c>
      <c r="J234" s="24">
        <f>1824000/4/6</f>
        <v>76000</v>
      </c>
      <c r="K234" s="21" t="s">
        <v>152</v>
      </c>
      <c r="L234" s="25"/>
      <c r="M234" s="25">
        <v>0.17</v>
      </c>
      <c r="N234" s="22"/>
      <c r="O234" s="23" t="s">
        <v>152</v>
      </c>
      <c r="P234" s="20">
        <f t="shared" si="89"/>
        <v>66</v>
      </c>
      <c r="Q234" s="23" t="s">
        <v>152</v>
      </c>
      <c r="R234" s="24">
        <f t="shared" si="90"/>
        <v>4163280</v>
      </c>
      <c r="S234" s="24">
        <f t="shared" si="79"/>
        <v>3750702.7027027025</v>
      </c>
    </row>
    <row r="235" spans="1:19" s="19" customFormat="1">
      <c r="A235" s="18"/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71" t="s">
        <v>170</v>
      </c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89" customFormat="1">
      <c r="A237" s="88" t="s">
        <v>171</v>
      </c>
      <c r="B237" s="89" t="s">
        <v>172</v>
      </c>
      <c r="C237" s="87"/>
      <c r="D237" s="90" t="s">
        <v>152</v>
      </c>
      <c r="E237" s="91"/>
      <c r="F237" s="92">
        <v>1</v>
      </c>
      <c r="G237" s="93" t="s">
        <v>20</v>
      </c>
      <c r="H237" s="92">
        <v>144</v>
      </c>
      <c r="I237" s="93" t="s">
        <v>152</v>
      </c>
      <c r="J237" s="94">
        <v>14000</v>
      </c>
      <c r="K237" s="90" t="s">
        <v>152</v>
      </c>
      <c r="L237" s="95">
        <v>0.05</v>
      </c>
      <c r="M237" s="95">
        <v>0.03</v>
      </c>
      <c r="N237" s="92"/>
      <c r="O237" s="93" t="s">
        <v>152</v>
      </c>
      <c r="P237" s="87">
        <f>(C237+(E237*F237*H237))-N237</f>
        <v>0</v>
      </c>
      <c r="Q237" s="93" t="s">
        <v>152</v>
      </c>
      <c r="R237" s="94">
        <f>P237*(J237-(J237*L237)-((J237-(J237*L237))*M237))</f>
        <v>0</v>
      </c>
      <c r="S237" s="94">
        <f t="shared" si="79"/>
        <v>0</v>
      </c>
    </row>
    <row r="238" spans="1:19" s="19" customFormat="1">
      <c r="A238" s="18"/>
      <c r="C238" s="20"/>
      <c r="D238" s="21"/>
      <c r="E238" s="26"/>
      <c r="F238" s="22"/>
      <c r="G238" s="23"/>
      <c r="H238" s="22"/>
      <c r="I238" s="23"/>
      <c r="J238" s="24"/>
      <c r="K238" s="21"/>
      <c r="L238" s="25"/>
      <c r="M238" s="25"/>
      <c r="N238" s="22"/>
      <c r="O238" s="23"/>
      <c r="P238" s="20"/>
      <c r="Q238" s="23"/>
      <c r="R238" s="24"/>
      <c r="S238" s="24"/>
    </row>
    <row r="239" spans="1:19" s="19" customFormat="1">
      <c r="A239" s="18" t="s">
        <v>173</v>
      </c>
      <c r="B239" s="19" t="s">
        <v>18</v>
      </c>
      <c r="C239" s="20">
        <f>360+324</f>
        <v>684</v>
      </c>
      <c r="D239" s="21" t="s">
        <v>152</v>
      </c>
      <c r="E239" s="26">
        <v>7</v>
      </c>
      <c r="F239" s="22">
        <v>12</v>
      </c>
      <c r="G239" s="23" t="s">
        <v>33</v>
      </c>
      <c r="H239" s="22">
        <v>12</v>
      </c>
      <c r="I239" s="23" t="s">
        <v>152</v>
      </c>
      <c r="J239" s="24">
        <v>18600</v>
      </c>
      <c r="K239" s="21" t="s">
        <v>152</v>
      </c>
      <c r="L239" s="25">
        <v>0.125</v>
      </c>
      <c r="M239" s="25">
        <v>0.05</v>
      </c>
      <c r="N239" s="22"/>
      <c r="O239" s="23" t="s">
        <v>152</v>
      </c>
      <c r="P239" s="20">
        <f>(C239+(E239*F239*H239))-N239</f>
        <v>1692</v>
      </c>
      <c r="Q239" s="23" t="s">
        <v>152</v>
      </c>
      <c r="R239" s="24">
        <f>P239*(J239-(J239*L239)-((J239-(J239*L239))*M239))</f>
        <v>26160435</v>
      </c>
      <c r="S239" s="24">
        <f t="shared" si="79"/>
        <v>23567959.459459458</v>
      </c>
    </row>
    <row r="240" spans="1:19" s="19" customFormat="1">
      <c r="A240" s="18" t="s">
        <v>174</v>
      </c>
      <c r="B240" s="19" t="s">
        <v>18</v>
      </c>
      <c r="C240" s="20">
        <v>144</v>
      </c>
      <c r="D240" s="21" t="s">
        <v>152</v>
      </c>
      <c r="E240" s="26">
        <v>8</v>
      </c>
      <c r="F240" s="22">
        <v>12</v>
      </c>
      <c r="G240" s="23" t="s">
        <v>33</v>
      </c>
      <c r="H240" s="22">
        <v>12</v>
      </c>
      <c r="I240" s="23" t="s">
        <v>152</v>
      </c>
      <c r="J240" s="24">
        <v>23900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>(C240+(E240*F240*H240))-N240</f>
        <v>1296</v>
      </c>
      <c r="Q240" s="23" t="s">
        <v>152</v>
      </c>
      <c r="R240" s="24">
        <f>P240*(J240-(J240*L240)-((J240-(J240*L240))*M240))</f>
        <v>25747470</v>
      </c>
      <c r="S240" s="24">
        <f t="shared" si="79"/>
        <v>23195918.918918915</v>
      </c>
    </row>
    <row r="241" spans="1:19" s="19" customFormat="1">
      <c r="A241" s="18" t="s">
        <v>175</v>
      </c>
      <c r="B241" s="19" t="s">
        <v>18</v>
      </c>
      <c r="C241" s="20">
        <v>72</v>
      </c>
      <c r="D241" s="21" t="s">
        <v>152</v>
      </c>
      <c r="E241" s="26">
        <v>1</v>
      </c>
      <c r="F241" s="22">
        <v>12</v>
      </c>
      <c r="G241" s="23" t="s">
        <v>33</v>
      </c>
      <c r="H241" s="22">
        <v>6</v>
      </c>
      <c r="I241" s="23" t="s">
        <v>152</v>
      </c>
      <c r="J241" s="24">
        <v>47800</v>
      </c>
      <c r="K241" s="21" t="s">
        <v>152</v>
      </c>
      <c r="L241" s="25">
        <v>0.125</v>
      </c>
      <c r="M241" s="25">
        <v>0.05</v>
      </c>
      <c r="N241" s="22"/>
      <c r="O241" s="23" t="s">
        <v>152</v>
      </c>
      <c r="P241" s="20">
        <f>(C241+(E241*F241*H241))-N241</f>
        <v>144</v>
      </c>
      <c r="Q241" s="23" t="s">
        <v>152</v>
      </c>
      <c r="R241" s="24">
        <f>P241*(J241-(J241*L241)-((J241-(J241*L241))*M241))</f>
        <v>5721660</v>
      </c>
      <c r="S241" s="24">
        <f t="shared" ref="S241" si="91">R241/1.11</f>
        <v>5154648.6486486485</v>
      </c>
    </row>
    <row r="242" spans="1:19" s="19" customFormat="1">
      <c r="A242" s="18"/>
      <c r="C242" s="20"/>
      <c r="D242" s="21"/>
      <c r="E242" s="26"/>
      <c r="F242" s="22"/>
      <c r="G242" s="23"/>
      <c r="H242" s="22"/>
      <c r="I242" s="23"/>
      <c r="J242" s="24"/>
      <c r="K242" s="21"/>
      <c r="L242" s="25"/>
      <c r="M242" s="25"/>
      <c r="N242" s="22"/>
      <c r="O242" s="23"/>
      <c r="P242" s="20"/>
      <c r="Q242" s="23"/>
      <c r="R242" s="24"/>
      <c r="S242" s="24"/>
    </row>
    <row r="243" spans="1:19" s="89" customFormat="1">
      <c r="A243" s="88" t="s">
        <v>176</v>
      </c>
      <c r="B243" s="89" t="s">
        <v>25</v>
      </c>
      <c r="C243" s="87"/>
      <c r="D243" s="90" t="s">
        <v>152</v>
      </c>
      <c r="E243" s="91"/>
      <c r="F243" s="92">
        <v>12</v>
      </c>
      <c r="G243" s="93" t="s">
        <v>40</v>
      </c>
      <c r="H243" s="92">
        <v>12</v>
      </c>
      <c r="I243" s="93" t="s">
        <v>152</v>
      </c>
      <c r="J243" s="94">
        <f>2592000/12/12</f>
        <v>18000</v>
      </c>
      <c r="K243" s="90" t="s">
        <v>152</v>
      </c>
      <c r="L243" s="95"/>
      <c r="M243" s="95">
        <v>0.17</v>
      </c>
      <c r="N243" s="92"/>
      <c r="O243" s="93" t="s">
        <v>152</v>
      </c>
      <c r="P243" s="87">
        <f>(C243+(E243*F243*H243))-N243</f>
        <v>0</v>
      </c>
      <c r="Q243" s="93" t="s">
        <v>152</v>
      </c>
      <c r="R243" s="94">
        <f>P243*(J243-(J243*L243)-((J243-(J243*L243))*M243))</f>
        <v>0</v>
      </c>
      <c r="S243" s="94">
        <f t="shared" si="79"/>
        <v>0</v>
      </c>
    </row>
    <row r="244" spans="1:19" s="89" customFormat="1">
      <c r="A244" s="88" t="s">
        <v>177</v>
      </c>
      <c r="B244" s="89" t="s">
        <v>25</v>
      </c>
      <c r="C244" s="87"/>
      <c r="D244" s="90" t="s">
        <v>152</v>
      </c>
      <c r="E244" s="91"/>
      <c r="F244" s="92">
        <v>8</v>
      </c>
      <c r="G244" s="93" t="s">
        <v>40</v>
      </c>
      <c r="H244" s="92">
        <v>12</v>
      </c>
      <c r="I244" s="93" t="s">
        <v>152</v>
      </c>
      <c r="J244" s="94">
        <v>24500</v>
      </c>
      <c r="K244" s="90" t="s">
        <v>152</v>
      </c>
      <c r="L244" s="95"/>
      <c r="M244" s="95">
        <v>0.17</v>
      </c>
      <c r="N244" s="92"/>
      <c r="O244" s="93" t="s">
        <v>152</v>
      </c>
      <c r="P244" s="87">
        <f>(C244+(E244*F244*H244))-N244</f>
        <v>0</v>
      </c>
      <c r="Q244" s="93" t="s">
        <v>152</v>
      </c>
      <c r="R244" s="94">
        <f>P244*(J244-(J244*L244)-((J244-(J244*L244))*M244))</f>
        <v>0</v>
      </c>
      <c r="S244" s="94">
        <f t="shared" si="79"/>
        <v>0</v>
      </c>
    </row>
    <row r="245" spans="1:19" s="19" customFormat="1">
      <c r="A245" s="18" t="s">
        <v>178</v>
      </c>
      <c r="B245" s="19" t="s">
        <v>25</v>
      </c>
      <c r="C245" s="20">
        <v>288</v>
      </c>
      <c r="D245" s="21" t="s">
        <v>152</v>
      </c>
      <c r="E245" s="26"/>
      <c r="F245" s="22">
        <v>12</v>
      </c>
      <c r="G245" s="23" t="s">
        <v>40</v>
      </c>
      <c r="H245" s="22">
        <v>12</v>
      </c>
      <c r="I245" s="23" t="s">
        <v>152</v>
      </c>
      <c r="J245" s="24">
        <f>3888000/144</f>
        <v>27000</v>
      </c>
      <c r="K245" s="21" t="s">
        <v>152</v>
      </c>
      <c r="L245" s="25">
        <v>0.05</v>
      </c>
      <c r="M245" s="25">
        <v>0.17</v>
      </c>
      <c r="N245" s="22"/>
      <c r="O245" s="23" t="s">
        <v>152</v>
      </c>
      <c r="P245" s="20">
        <f>(C245+(E245*F245*H245))-N245</f>
        <v>288</v>
      </c>
      <c r="Q245" s="23" t="s">
        <v>152</v>
      </c>
      <c r="R245" s="24">
        <f>P245*(J245-(J245*L245)-((J245-(J245*L245))*M245))</f>
        <v>6131376</v>
      </c>
      <c r="S245" s="24">
        <f t="shared" si="79"/>
        <v>5523762.1621621614</v>
      </c>
    </row>
    <row r="246" spans="1:19" s="89" customFormat="1">
      <c r="A246" s="88" t="s">
        <v>179</v>
      </c>
      <c r="B246" s="89" t="s">
        <v>25</v>
      </c>
      <c r="C246" s="87"/>
      <c r="D246" s="90" t="s">
        <v>152</v>
      </c>
      <c r="E246" s="91"/>
      <c r="F246" s="92">
        <v>6</v>
      </c>
      <c r="G246" s="93" t="s">
        <v>40</v>
      </c>
      <c r="H246" s="92">
        <v>12</v>
      </c>
      <c r="I246" s="93" t="s">
        <v>152</v>
      </c>
      <c r="J246" s="94">
        <v>36000</v>
      </c>
      <c r="K246" s="90" t="s">
        <v>152</v>
      </c>
      <c r="L246" s="95">
        <v>0.05</v>
      </c>
      <c r="M246" s="95">
        <v>0.17</v>
      </c>
      <c r="N246" s="92"/>
      <c r="O246" s="93" t="s">
        <v>152</v>
      </c>
      <c r="P246" s="87">
        <f>(C246+(E246*F246*H246))-N246</f>
        <v>0</v>
      </c>
      <c r="Q246" s="93" t="s">
        <v>152</v>
      </c>
      <c r="R246" s="94">
        <f>P246*(J246-(J246*L246)-((J246-(J246*L246))*M246))</f>
        <v>0</v>
      </c>
      <c r="S246" s="94">
        <f t="shared" si="79"/>
        <v>0</v>
      </c>
    </row>
    <row r="247" spans="1:19" s="19" customFormat="1">
      <c r="A247" s="18"/>
      <c r="C247" s="20"/>
      <c r="D247" s="21"/>
      <c r="E247" s="26"/>
      <c r="F247" s="22"/>
      <c r="G247" s="23"/>
      <c r="H247" s="22"/>
      <c r="I247" s="23"/>
      <c r="J247" s="24"/>
      <c r="K247" s="21"/>
      <c r="L247" s="25"/>
      <c r="M247" s="25"/>
      <c r="N247" s="22"/>
      <c r="O247" s="23"/>
      <c r="P247" s="20"/>
      <c r="Q247" s="23"/>
      <c r="R247" s="24"/>
      <c r="S247" s="24"/>
    </row>
    <row r="248" spans="1:19" s="19" customFormat="1">
      <c r="A248" s="71" t="s">
        <v>180</v>
      </c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89" customFormat="1">
      <c r="A249" s="88" t="s">
        <v>181</v>
      </c>
      <c r="B249" s="89" t="s">
        <v>182</v>
      </c>
      <c r="C249" s="87"/>
      <c r="D249" s="90" t="s">
        <v>40</v>
      </c>
      <c r="E249" s="91"/>
      <c r="F249" s="92">
        <v>1</v>
      </c>
      <c r="G249" s="93" t="s">
        <v>20</v>
      </c>
      <c r="H249" s="92">
        <v>5</v>
      </c>
      <c r="I249" s="93" t="s">
        <v>40</v>
      </c>
      <c r="J249" s="94">
        <v>475000</v>
      </c>
      <c r="K249" s="90" t="s">
        <v>40</v>
      </c>
      <c r="L249" s="95"/>
      <c r="M249" s="95"/>
      <c r="N249" s="92"/>
      <c r="O249" s="93" t="s">
        <v>40</v>
      </c>
      <c r="P249" s="87">
        <f>(C249+(E249*F249*H249))-N249</f>
        <v>0</v>
      </c>
      <c r="Q249" s="93" t="s">
        <v>40</v>
      </c>
      <c r="R249" s="94">
        <f>P249*(J249-(J249*L249)-((J249-(J249*L249))*M249))</f>
        <v>0</v>
      </c>
      <c r="S249" s="94">
        <f t="shared" si="79"/>
        <v>0</v>
      </c>
    </row>
    <row r="250" spans="1:19" s="19" customFormat="1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89" customFormat="1">
      <c r="A251" s="88" t="s">
        <v>714</v>
      </c>
      <c r="B251" s="89" t="s">
        <v>18</v>
      </c>
      <c r="C251" s="87"/>
      <c r="D251" s="90" t="s">
        <v>152</v>
      </c>
      <c r="E251" s="91">
        <v>1</v>
      </c>
      <c r="F251" s="92">
        <v>8</v>
      </c>
      <c r="G251" s="93" t="s">
        <v>33</v>
      </c>
      <c r="H251" s="92">
        <v>12</v>
      </c>
      <c r="I251" s="93" t="s">
        <v>152</v>
      </c>
      <c r="J251" s="94">
        <v>26800</v>
      </c>
      <c r="K251" s="90" t="s">
        <v>152</v>
      </c>
      <c r="L251" s="95">
        <v>0.125</v>
      </c>
      <c r="M251" s="95">
        <v>0.05</v>
      </c>
      <c r="N251" s="92"/>
      <c r="O251" s="93" t="s">
        <v>152</v>
      </c>
      <c r="P251" s="87">
        <f>(C251+(E251*F251*H251))-N251</f>
        <v>96</v>
      </c>
      <c r="Q251" s="93" t="s">
        <v>152</v>
      </c>
      <c r="R251" s="94">
        <f>P251*(J251-(J251*L251)-((J251-(J251*L251))*M251))</f>
        <v>2138640</v>
      </c>
      <c r="S251" s="94">
        <f t="shared" si="79"/>
        <v>1926702.7027027025</v>
      </c>
    </row>
    <row r="252" spans="1:19" s="89" customFormat="1">
      <c r="A252" s="88" t="s">
        <v>183</v>
      </c>
      <c r="B252" s="89" t="s">
        <v>18</v>
      </c>
      <c r="C252" s="87"/>
      <c r="D252" s="90" t="s">
        <v>152</v>
      </c>
      <c r="E252" s="91"/>
      <c r="F252" s="92">
        <v>6</v>
      </c>
      <c r="G252" s="93" t="s">
        <v>33</v>
      </c>
      <c r="H252" s="92">
        <v>12</v>
      </c>
      <c r="I252" s="93" t="s">
        <v>152</v>
      </c>
      <c r="J252" s="94">
        <v>41500</v>
      </c>
      <c r="K252" s="90" t="s">
        <v>152</v>
      </c>
      <c r="L252" s="95">
        <v>0.125</v>
      </c>
      <c r="M252" s="95">
        <v>0.05</v>
      </c>
      <c r="N252" s="92"/>
      <c r="O252" s="93" t="s">
        <v>152</v>
      </c>
      <c r="P252" s="87">
        <f>(C252+(E252*F252*H252))-N252</f>
        <v>0</v>
      </c>
      <c r="Q252" s="93" t="s">
        <v>152</v>
      </c>
      <c r="R252" s="94">
        <f>P252*(J252-(J252*L252)-((J252-(J252*L252))*M252))</f>
        <v>0</v>
      </c>
      <c r="S252" s="94">
        <f t="shared" si="79"/>
        <v>0</v>
      </c>
    </row>
    <row r="253" spans="1:19" s="19" customFormat="1">
      <c r="A253" s="18"/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19" customFormat="1" ht="15.75">
      <c r="A254" s="44" t="s">
        <v>184</v>
      </c>
      <c r="C254" s="20"/>
      <c r="D254" s="21"/>
      <c r="E254" s="26"/>
      <c r="F254" s="22"/>
      <c r="G254" s="23"/>
      <c r="H254" s="22"/>
      <c r="I254" s="23"/>
      <c r="J254" s="24"/>
      <c r="K254" s="21"/>
      <c r="L254" s="25"/>
      <c r="M254" s="25"/>
      <c r="N254" s="22"/>
      <c r="O254" s="23"/>
      <c r="P254" s="20"/>
      <c r="Q254" s="23"/>
      <c r="R254" s="24"/>
      <c r="S254" s="24"/>
    </row>
    <row r="255" spans="1:19" s="19" customFormat="1">
      <c r="A255" s="71" t="s">
        <v>185</v>
      </c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9" customFormat="1">
      <c r="A256" s="88" t="s">
        <v>692</v>
      </c>
      <c r="B256" s="89" t="s">
        <v>18</v>
      </c>
      <c r="C256" s="87"/>
      <c r="D256" s="90" t="s">
        <v>40</v>
      </c>
      <c r="E256" s="91"/>
      <c r="F256" s="92">
        <v>1</v>
      </c>
      <c r="G256" s="93" t="s">
        <v>20</v>
      </c>
      <c r="H256" s="92">
        <v>24</v>
      </c>
      <c r="I256" s="93" t="s">
        <v>40</v>
      </c>
      <c r="J256" s="94">
        <v>27600</v>
      </c>
      <c r="K256" s="90" t="s">
        <v>40</v>
      </c>
      <c r="L256" s="95">
        <v>0.125</v>
      </c>
      <c r="M256" s="95">
        <v>0.05</v>
      </c>
      <c r="N256" s="92"/>
      <c r="O256" s="93" t="s">
        <v>40</v>
      </c>
      <c r="P256" s="87">
        <f t="shared" ref="P256:P261" si="92">(C256+(E256*F256*H256))-N256</f>
        <v>0</v>
      </c>
      <c r="Q256" s="93" t="s">
        <v>40</v>
      </c>
      <c r="R256" s="94">
        <f t="shared" ref="R256:R261" si="93">P256*(J256-(J256*L256)-((J256-(J256*L256))*M256))</f>
        <v>0</v>
      </c>
      <c r="S256" s="94">
        <f t="shared" ref="S256" si="94">R256/1.11</f>
        <v>0</v>
      </c>
    </row>
    <row r="257" spans="1:19" s="89" customFormat="1">
      <c r="A257" s="88" t="s">
        <v>186</v>
      </c>
      <c r="B257" s="89" t="s">
        <v>18</v>
      </c>
      <c r="C257" s="87"/>
      <c r="D257" s="90" t="s">
        <v>40</v>
      </c>
      <c r="E257" s="91"/>
      <c r="F257" s="92">
        <v>1</v>
      </c>
      <c r="G257" s="93" t="s">
        <v>20</v>
      </c>
      <c r="H257" s="92">
        <v>24</v>
      </c>
      <c r="I257" s="93" t="s">
        <v>40</v>
      </c>
      <c r="J257" s="94">
        <v>73200</v>
      </c>
      <c r="K257" s="90" t="s">
        <v>40</v>
      </c>
      <c r="L257" s="95">
        <v>0.125</v>
      </c>
      <c r="M257" s="95">
        <v>0.05</v>
      </c>
      <c r="N257" s="92"/>
      <c r="O257" s="93" t="s">
        <v>40</v>
      </c>
      <c r="P257" s="87">
        <f t="shared" si="92"/>
        <v>0</v>
      </c>
      <c r="Q257" s="93" t="s">
        <v>40</v>
      </c>
      <c r="R257" s="94">
        <f t="shared" si="93"/>
        <v>0</v>
      </c>
      <c r="S257" s="94">
        <f t="shared" si="79"/>
        <v>0</v>
      </c>
    </row>
    <row r="258" spans="1:19" s="19" customFormat="1">
      <c r="A258" s="18" t="s">
        <v>187</v>
      </c>
      <c r="B258" s="19" t="s">
        <v>18</v>
      </c>
      <c r="C258" s="20">
        <v>36</v>
      </c>
      <c r="D258" s="21" t="s">
        <v>40</v>
      </c>
      <c r="E258" s="26"/>
      <c r="F258" s="22">
        <v>1</v>
      </c>
      <c r="G258" s="23" t="s">
        <v>20</v>
      </c>
      <c r="H258" s="22">
        <v>48</v>
      </c>
      <c r="I258" s="23" t="s">
        <v>40</v>
      </c>
      <c r="J258" s="24">
        <v>51600</v>
      </c>
      <c r="K258" s="21" t="s">
        <v>40</v>
      </c>
      <c r="L258" s="25">
        <v>0.125</v>
      </c>
      <c r="M258" s="25">
        <v>0.05</v>
      </c>
      <c r="N258" s="22"/>
      <c r="O258" s="23" t="s">
        <v>40</v>
      </c>
      <c r="P258" s="20">
        <f t="shared" si="92"/>
        <v>36</v>
      </c>
      <c r="Q258" s="23" t="s">
        <v>40</v>
      </c>
      <c r="R258" s="24">
        <f t="shared" si="93"/>
        <v>1544130</v>
      </c>
      <c r="S258" s="24">
        <f t="shared" si="79"/>
        <v>1391108.1081081079</v>
      </c>
    </row>
    <row r="259" spans="1:19" s="19" customFormat="1">
      <c r="A259" s="18" t="s">
        <v>188</v>
      </c>
      <c r="B259" s="19" t="s">
        <v>18</v>
      </c>
      <c r="C259" s="20">
        <v>20</v>
      </c>
      <c r="D259" s="21" t="s">
        <v>40</v>
      </c>
      <c r="E259" s="26">
        <v>1</v>
      </c>
      <c r="F259" s="22">
        <v>1</v>
      </c>
      <c r="G259" s="23" t="s">
        <v>20</v>
      </c>
      <c r="H259" s="22">
        <v>48</v>
      </c>
      <c r="I259" s="23" t="s">
        <v>40</v>
      </c>
      <c r="J259" s="24">
        <v>55800</v>
      </c>
      <c r="K259" s="21" t="s">
        <v>40</v>
      </c>
      <c r="L259" s="25">
        <v>0.125</v>
      </c>
      <c r="M259" s="25">
        <v>0.05</v>
      </c>
      <c r="N259" s="22"/>
      <c r="O259" s="23" t="s">
        <v>40</v>
      </c>
      <c r="P259" s="20">
        <f t="shared" si="92"/>
        <v>68</v>
      </c>
      <c r="Q259" s="23" t="s">
        <v>40</v>
      </c>
      <c r="R259" s="24">
        <f t="shared" si="93"/>
        <v>3154095</v>
      </c>
      <c r="S259" s="24">
        <f t="shared" si="79"/>
        <v>2841527.0270270268</v>
      </c>
    </row>
    <row r="260" spans="1:19" s="89" customFormat="1">
      <c r="A260" s="88" t="s">
        <v>713</v>
      </c>
      <c r="B260" s="89" t="s">
        <v>18</v>
      </c>
      <c r="C260" s="87"/>
      <c r="D260" s="90" t="s">
        <v>40</v>
      </c>
      <c r="E260" s="91"/>
      <c r="F260" s="92">
        <v>1</v>
      </c>
      <c r="G260" s="93" t="s">
        <v>20</v>
      </c>
      <c r="H260" s="92">
        <f>288/12</f>
        <v>24</v>
      </c>
      <c r="I260" s="93" t="s">
        <v>40</v>
      </c>
      <c r="J260" s="94">
        <f>10600*12</f>
        <v>127200</v>
      </c>
      <c r="K260" s="90" t="s">
        <v>40</v>
      </c>
      <c r="L260" s="95">
        <v>0.125</v>
      </c>
      <c r="M260" s="95">
        <v>0.05</v>
      </c>
      <c r="N260" s="92"/>
      <c r="O260" s="93" t="s">
        <v>40</v>
      </c>
      <c r="P260" s="87">
        <f t="shared" si="92"/>
        <v>0</v>
      </c>
      <c r="Q260" s="93" t="s">
        <v>40</v>
      </c>
      <c r="R260" s="94">
        <f t="shared" si="93"/>
        <v>0</v>
      </c>
      <c r="S260" s="94">
        <f t="shared" si="79"/>
        <v>0</v>
      </c>
    </row>
    <row r="261" spans="1:19" s="19" customFormat="1">
      <c r="A261" s="18" t="s">
        <v>189</v>
      </c>
      <c r="B261" s="19" t="s">
        <v>18</v>
      </c>
      <c r="C261" s="20">
        <v>9</v>
      </c>
      <c r="D261" s="21" t="s">
        <v>40</v>
      </c>
      <c r="E261" s="26">
        <v>6</v>
      </c>
      <c r="F261" s="22">
        <v>1</v>
      </c>
      <c r="G261" s="23" t="s">
        <v>20</v>
      </c>
      <c r="H261" s="22">
        <v>24</v>
      </c>
      <c r="I261" s="23" t="s">
        <v>40</v>
      </c>
      <c r="J261" s="24">
        <v>162000</v>
      </c>
      <c r="K261" s="21" t="s">
        <v>40</v>
      </c>
      <c r="L261" s="25">
        <v>0.125</v>
      </c>
      <c r="M261" s="25">
        <v>0.05</v>
      </c>
      <c r="N261" s="22"/>
      <c r="O261" s="23" t="s">
        <v>40</v>
      </c>
      <c r="P261" s="20">
        <f t="shared" si="92"/>
        <v>153</v>
      </c>
      <c r="Q261" s="23" t="s">
        <v>40</v>
      </c>
      <c r="R261" s="24">
        <f t="shared" si="93"/>
        <v>20603362.5</v>
      </c>
      <c r="S261" s="24">
        <f t="shared" si="79"/>
        <v>18561587.837837838</v>
      </c>
    </row>
    <row r="262" spans="1:19" s="19" customFormat="1">
      <c r="A262" s="18"/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18" t="s">
        <v>190</v>
      </c>
      <c r="B263" s="19" t="s">
        <v>25</v>
      </c>
      <c r="C263" s="20">
        <v>30</v>
      </c>
      <c r="D263" s="21" t="s">
        <v>40</v>
      </c>
      <c r="E263" s="26">
        <v>3</v>
      </c>
      <c r="F263" s="22">
        <v>1</v>
      </c>
      <c r="G263" s="23" t="s">
        <v>20</v>
      </c>
      <c r="H263" s="22">
        <v>30</v>
      </c>
      <c r="I263" s="23" t="s">
        <v>40</v>
      </c>
      <c r="J263" s="24">
        <f>1566000/30</f>
        <v>52200</v>
      </c>
      <c r="K263" s="21" t="s">
        <v>40</v>
      </c>
      <c r="L263" s="25"/>
      <c r="M263" s="25">
        <v>0.17</v>
      </c>
      <c r="N263" s="22"/>
      <c r="O263" s="23" t="s">
        <v>40</v>
      </c>
      <c r="P263" s="20">
        <f>(C263+(E263*F263*H263))-N263</f>
        <v>120</v>
      </c>
      <c r="Q263" s="23" t="s">
        <v>40</v>
      </c>
      <c r="R263" s="24">
        <f>P263*(J263-(J263*L263)-((J263-(J263*L263))*M263))</f>
        <v>5199120</v>
      </c>
      <c r="S263" s="24">
        <f t="shared" si="79"/>
        <v>4683891.8918918911</v>
      </c>
    </row>
    <row r="264" spans="1:19" s="19" customFormat="1">
      <c r="A264" s="18" t="s">
        <v>191</v>
      </c>
      <c r="B264" s="19" t="s">
        <v>25</v>
      </c>
      <c r="C264" s="20">
        <v>111</v>
      </c>
      <c r="D264" s="21" t="s">
        <v>40</v>
      </c>
      <c r="E264" s="26">
        <v>3</v>
      </c>
      <c r="F264" s="22">
        <v>1</v>
      </c>
      <c r="G264" s="23" t="s">
        <v>20</v>
      </c>
      <c r="H264" s="22">
        <v>30</v>
      </c>
      <c r="I264" s="23" t="s">
        <v>40</v>
      </c>
      <c r="J264" s="24">
        <f>1710000/30</f>
        <v>57000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>(C264+(E264*F264*H264))-N264</f>
        <v>201</v>
      </c>
      <c r="Q264" s="23" t="s">
        <v>40</v>
      </c>
      <c r="R264" s="24">
        <f>P264*(J264-(J264*L264)-((J264-(J264*L264))*M264))</f>
        <v>9509310</v>
      </c>
      <c r="S264" s="24">
        <f t="shared" si="79"/>
        <v>8566945.9459459446</v>
      </c>
    </row>
    <row r="265" spans="1:19" s="19" customFormat="1">
      <c r="A265" s="18" t="s">
        <v>192</v>
      </c>
      <c r="B265" s="19" t="s">
        <v>25</v>
      </c>
      <c r="C265" s="20">
        <v>140</v>
      </c>
      <c r="D265" s="21" t="s">
        <v>40</v>
      </c>
      <c r="E265" s="26">
        <v>8</v>
      </c>
      <c r="F265" s="22">
        <v>1</v>
      </c>
      <c r="G265" s="23" t="s">
        <v>20</v>
      </c>
      <c r="H265" s="22">
        <v>20</v>
      </c>
      <c r="I265" s="23" t="s">
        <v>40</v>
      </c>
      <c r="J265" s="24">
        <f>2952000/20</f>
        <v>147600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>(C265+(E265*F265*H265))-N265</f>
        <v>300</v>
      </c>
      <c r="Q265" s="23" t="s">
        <v>40</v>
      </c>
      <c r="R265" s="24">
        <f>P265*(J265-(J265*L265)-((J265-(J265*L265))*M265))</f>
        <v>36752400</v>
      </c>
      <c r="S265" s="24">
        <f t="shared" si="79"/>
        <v>33110270.270270266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>
      <c r="A267" s="18" t="s">
        <v>663</v>
      </c>
      <c r="B267" s="19" t="s">
        <v>598</v>
      </c>
      <c r="C267" s="20">
        <v>25</v>
      </c>
      <c r="D267" s="21" t="s">
        <v>40</v>
      </c>
      <c r="E267" s="26"/>
      <c r="F267" s="22">
        <v>1</v>
      </c>
      <c r="G267" s="23" t="s">
        <v>20</v>
      </c>
      <c r="H267" s="22">
        <v>48</v>
      </c>
      <c r="I267" s="23" t="s">
        <v>40</v>
      </c>
      <c r="J267" s="24">
        <v>60600</v>
      </c>
      <c r="K267" s="21" t="s">
        <v>40</v>
      </c>
      <c r="L267" s="25">
        <v>0.15</v>
      </c>
      <c r="M267" s="25">
        <v>0.03</v>
      </c>
      <c r="N267" s="22"/>
      <c r="O267" s="23" t="s">
        <v>40</v>
      </c>
      <c r="P267" s="20">
        <f>(C267+(E267*F267*H267))-N267</f>
        <v>25</v>
      </c>
      <c r="Q267" s="23" t="s">
        <v>40</v>
      </c>
      <c r="R267" s="24">
        <f>P267*(J267-(J267*L267)-((J267-(J267*L267))*M267))</f>
        <v>1249117.5</v>
      </c>
      <c r="S267" s="24">
        <f t="shared" si="79"/>
        <v>1125331.0810810809</v>
      </c>
    </row>
    <row r="268" spans="1:19" s="19" customFormat="1">
      <c r="A268" s="18"/>
      <c r="C268" s="20"/>
      <c r="D268" s="21"/>
      <c r="E268" s="26"/>
      <c r="F268" s="22"/>
      <c r="G268" s="23"/>
      <c r="H268" s="22"/>
      <c r="I268" s="23"/>
      <c r="J268" s="24"/>
      <c r="K268" s="21"/>
      <c r="L268" s="25"/>
      <c r="M268" s="25"/>
      <c r="N268" s="22"/>
      <c r="O268" s="23"/>
      <c r="P268" s="20"/>
      <c r="Q268" s="23"/>
      <c r="R268" s="24"/>
      <c r="S268" s="24"/>
    </row>
    <row r="269" spans="1:19" s="19" customFormat="1">
      <c r="A269" s="18" t="s">
        <v>769</v>
      </c>
      <c r="B269" s="18" t="s">
        <v>172</v>
      </c>
      <c r="C269" s="50">
        <v>600</v>
      </c>
      <c r="D269" s="51" t="s">
        <v>40</v>
      </c>
      <c r="E269" s="52"/>
      <c r="F269" s="53">
        <v>1</v>
      </c>
      <c r="G269" s="48" t="s">
        <v>20</v>
      </c>
      <c r="H269" s="53">
        <v>120</v>
      </c>
      <c r="I269" s="48" t="s">
        <v>40</v>
      </c>
      <c r="J269" s="29">
        <v>7500</v>
      </c>
      <c r="K269" s="51" t="s">
        <v>40</v>
      </c>
      <c r="L269" s="54">
        <v>0.05</v>
      </c>
      <c r="M269" s="54"/>
      <c r="N269" s="53"/>
      <c r="O269" s="48" t="s">
        <v>40</v>
      </c>
      <c r="P269" s="50">
        <f>(C269+(E269*F269*H269))-N269</f>
        <v>600</v>
      </c>
      <c r="Q269" s="48" t="s">
        <v>40</v>
      </c>
      <c r="R269" s="29">
        <f>P269*(J269-(J269*L269)-((J269-(J269*L269))*M269))</f>
        <v>4275000</v>
      </c>
      <c r="S269" s="29">
        <f t="shared" ref="S269:S270" si="95">R269/1.11</f>
        <v>3851351.351351351</v>
      </c>
    </row>
    <row r="270" spans="1:19" s="19" customFormat="1">
      <c r="A270" s="18" t="s">
        <v>775</v>
      </c>
      <c r="B270" s="18" t="s">
        <v>172</v>
      </c>
      <c r="C270" s="50">
        <v>27</v>
      </c>
      <c r="D270" s="51" t="s">
        <v>40</v>
      </c>
      <c r="E270" s="52"/>
      <c r="F270" s="53">
        <v>1</v>
      </c>
      <c r="G270" s="48" t="s">
        <v>20</v>
      </c>
      <c r="H270" s="53">
        <v>20</v>
      </c>
      <c r="I270" s="48" t="s">
        <v>40</v>
      </c>
      <c r="J270" s="29">
        <f>5500*12</f>
        <v>66000</v>
      </c>
      <c r="K270" s="51" t="s">
        <v>40</v>
      </c>
      <c r="L270" s="54">
        <v>0.05</v>
      </c>
      <c r="M270" s="54"/>
      <c r="N270" s="53"/>
      <c r="O270" s="48" t="s">
        <v>40</v>
      </c>
      <c r="P270" s="50">
        <f>(C270+(E270*F270*H270))-N270</f>
        <v>27</v>
      </c>
      <c r="Q270" s="48" t="s">
        <v>40</v>
      </c>
      <c r="R270" s="29">
        <f>P270*(J270-(J270*L270)-((J270-(J270*L270))*M270))</f>
        <v>1692900</v>
      </c>
      <c r="S270" s="29">
        <f t="shared" si="95"/>
        <v>1525135.1351351349</v>
      </c>
    </row>
    <row r="271" spans="1:19" s="19" customFormat="1">
      <c r="A271" s="18"/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71" t="s">
        <v>193</v>
      </c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19" customFormat="1">
      <c r="A273" s="18" t="s">
        <v>194</v>
      </c>
      <c r="B273" s="19" t="s">
        <v>18</v>
      </c>
      <c r="C273" s="20">
        <v>230</v>
      </c>
      <c r="D273" s="21" t="s">
        <v>40</v>
      </c>
      <c r="E273" s="26">
        <v>3</v>
      </c>
      <c r="F273" s="22">
        <v>1</v>
      </c>
      <c r="G273" s="23" t="s">
        <v>20</v>
      </c>
      <c r="H273" s="22">
        <v>120</v>
      </c>
      <c r="I273" s="23" t="s">
        <v>40</v>
      </c>
      <c r="J273" s="24">
        <v>24600</v>
      </c>
      <c r="K273" s="21" t="s">
        <v>40</v>
      </c>
      <c r="L273" s="25">
        <v>0.125</v>
      </c>
      <c r="M273" s="25">
        <v>0.05</v>
      </c>
      <c r="N273" s="22"/>
      <c r="O273" s="23" t="s">
        <v>40</v>
      </c>
      <c r="P273" s="20">
        <f>(C273+(E273*F273*H273))-N273</f>
        <v>590</v>
      </c>
      <c r="Q273" s="23" t="s">
        <v>40</v>
      </c>
      <c r="R273" s="24">
        <f>P273*(J273-(J273*L273)-((J273-(J273*L273))*M273))</f>
        <v>12064762.5</v>
      </c>
      <c r="S273" s="24">
        <f t="shared" si="79"/>
        <v>10869155.405405404</v>
      </c>
    </row>
    <row r="274" spans="1:19" s="19" customFormat="1">
      <c r="A274" s="18" t="s">
        <v>825</v>
      </c>
      <c r="B274" s="19" t="s">
        <v>18</v>
      </c>
      <c r="C274" s="20">
        <f>288/12</f>
        <v>24</v>
      </c>
      <c r="D274" s="21" t="s">
        <v>40</v>
      </c>
      <c r="E274" s="26"/>
      <c r="F274" s="22">
        <v>1</v>
      </c>
      <c r="G274" s="23" t="s">
        <v>20</v>
      </c>
      <c r="H274" s="22">
        <v>40</v>
      </c>
      <c r="I274" s="23" t="s">
        <v>40</v>
      </c>
      <c r="J274" s="24">
        <v>0</v>
      </c>
      <c r="K274" s="21" t="s">
        <v>40</v>
      </c>
      <c r="L274" s="25">
        <v>0</v>
      </c>
      <c r="M274" s="25">
        <v>0</v>
      </c>
      <c r="N274" s="22"/>
      <c r="O274" s="23" t="s">
        <v>40</v>
      </c>
      <c r="P274" s="20">
        <f>(C274+(E274*F274*H274))-N274</f>
        <v>24</v>
      </c>
      <c r="Q274" s="23" t="s">
        <v>40</v>
      </c>
      <c r="R274" s="24">
        <f>P274*(J274-(J274*L274)-((J274-(J274*L274))*M274))</f>
        <v>0</v>
      </c>
      <c r="S274" s="24">
        <f t="shared" ref="S274" si="96">R274/1.11</f>
        <v>0</v>
      </c>
    </row>
    <row r="275" spans="1:19" s="19" customFormat="1">
      <c r="A275" s="18" t="s">
        <v>730</v>
      </c>
      <c r="B275" s="19" t="s">
        <v>18</v>
      </c>
      <c r="C275" s="20">
        <v>320</v>
      </c>
      <c r="D275" s="21" t="s">
        <v>40</v>
      </c>
      <c r="E275" s="26"/>
      <c r="F275" s="22">
        <v>1</v>
      </c>
      <c r="G275" s="23" t="s">
        <v>20</v>
      </c>
      <c r="H275" s="22">
        <v>40</v>
      </c>
      <c r="I275" s="23" t="s">
        <v>40</v>
      </c>
      <c r="J275" s="24">
        <v>49200</v>
      </c>
      <c r="K275" s="21" t="s">
        <v>40</v>
      </c>
      <c r="L275" s="25">
        <v>0.125</v>
      </c>
      <c r="M275" s="25">
        <v>0.05</v>
      </c>
      <c r="N275" s="22"/>
      <c r="O275" s="23" t="s">
        <v>40</v>
      </c>
      <c r="P275" s="20">
        <f>(C275+(E275*F275*H275))-N275</f>
        <v>320</v>
      </c>
      <c r="Q275" s="23" t="s">
        <v>40</v>
      </c>
      <c r="R275" s="24">
        <f>P275*(J275-(J275*L275)-((J275-(J275*L275))*M275))</f>
        <v>13087200</v>
      </c>
      <c r="S275" s="24">
        <f t="shared" si="79"/>
        <v>11790270.270270269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>
      <c r="A277" s="18" t="s">
        <v>195</v>
      </c>
      <c r="B277" s="19" t="s">
        <v>25</v>
      </c>
      <c r="C277" s="20"/>
      <c r="D277" s="21" t="s">
        <v>40</v>
      </c>
      <c r="E277" s="26">
        <v>13</v>
      </c>
      <c r="F277" s="22">
        <v>1</v>
      </c>
      <c r="G277" s="23" t="s">
        <v>20</v>
      </c>
      <c r="H277" s="22">
        <v>120</v>
      </c>
      <c r="I277" s="23" t="s">
        <v>40</v>
      </c>
      <c r="J277" s="24">
        <f>3888000/120</f>
        <v>32400</v>
      </c>
      <c r="K277" s="21" t="s">
        <v>40</v>
      </c>
      <c r="L277" s="25"/>
      <c r="M277" s="25">
        <v>0.17</v>
      </c>
      <c r="N277" s="22"/>
      <c r="O277" s="23" t="s">
        <v>40</v>
      </c>
      <c r="P277" s="20">
        <f>(C277+(E277*F277*H277))-N277</f>
        <v>1560</v>
      </c>
      <c r="Q277" s="23" t="s">
        <v>40</v>
      </c>
      <c r="R277" s="24">
        <f>P277*(J277-(J277*L277)-((J277-(J277*L277))*M277))</f>
        <v>41951520</v>
      </c>
      <c r="S277" s="24">
        <f t="shared" si="79"/>
        <v>37794162.162162162</v>
      </c>
    </row>
    <row r="278" spans="1:19" s="19" customFormat="1">
      <c r="A278" s="18" t="s">
        <v>196</v>
      </c>
      <c r="B278" s="19" t="s">
        <v>25</v>
      </c>
      <c r="C278" s="20"/>
      <c r="D278" s="21" t="s">
        <v>40</v>
      </c>
      <c r="E278" s="26">
        <v>20</v>
      </c>
      <c r="F278" s="22">
        <v>1</v>
      </c>
      <c r="G278" s="23" t="s">
        <v>20</v>
      </c>
      <c r="H278" s="22">
        <v>60</v>
      </c>
      <c r="I278" s="23" t="s">
        <v>40</v>
      </c>
      <c r="J278" s="24">
        <f>3888000/60</f>
        <v>64800</v>
      </c>
      <c r="K278" s="21" t="s">
        <v>40</v>
      </c>
      <c r="L278" s="25"/>
      <c r="M278" s="25">
        <v>0.17</v>
      </c>
      <c r="N278" s="22"/>
      <c r="O278" s="23" t="s">
        <v>40</v>
      </c>
      <c r="P278" s="20">
        <f>(C278+(E278*F278*H278))-N278</f>
        <v>1200</v>
      </c>
      <c r="Q278" s="23" t="s">
        <v>40</v>
      </c>
      <c r="R278" s="24">
        <f>P278*(J278-(J278*L278)-((J278-(J278*L278))*M278))</f>
        <v>64540800</v>
      </c>
      <c r="S278" s="24">
        <f t="shared" si="79"/>
        <v>58144864.864864863</v>
      </c>
    </row>
    <row r="279" spans="1:19" s="19" customFormat="1">
      <c r="A279" s="18"/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19" customFormat="1">
      <c r="A280" s="71" t="s">
        <v>197</v>
      </c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89" customFormat="1">
      <c r="A281" s="88" t="s">
        <v>791</v>
      </c>
      <c r="B281" s="89" t="s">
        <v>18</v>
      </c>
      <c r="C281" s="87"/>
      <c r="D281" s="90" t="s">
        <v>19</v>
      </c>
      <c r="E281" s="91"/>
      <c r="F281" s="92">
        <v>1</v>
      </c>
      <c r="G281" s="93" t="s">
        <v>20</v>
      </c>
      <c r="H281" s="92">
        <v>20</v>
      </c>
      <c r="I281" s="93" t="s">
        <v>19</v>
      </c>
      <c r="J281" s="94">
        <v>124000</v>
      </c>
      <c r="K281" s="90" t="s">
        <v>19</v>
      </c>
      <c r="L281" s="95">
        <v>0.125</v>
      </c>
      <c r="M281" s="95">
        <v>0.05</v>
      </c>
      <c r="N281" s="92"/>
      <c r="O281" s="93" t="s">
        <v>19</v>
      </c>
      <c r="P281" s="87">
        <f>(C281+(E281*F281*H281))-N281</f>
        <v>0</v>
      </c>
      <c r="Q281" s="93" t="s">
        <v>19</v>
      </c>
      <c r="R281" s="94">
        <f>P281*(J281-(J281*L281)-((J281-(J281*L281))*M281))</f>
        <v>0</v>
      </c>
      <c r="S281" s="94">
        <f t="shared" ref="S281" si="97">R281/1.11</f>
        <v>0</v>
      </c>
    </row>
    <row r="282" spans="1:19" s="89" customFormat="1">
      <c r="A282" s="88" t="s">
        <v>198</v>
      </c>
      <c r="B282" s="89" t="s">
        <v>18</v>
      </c>
      <c r="C282" s="87"/>
      <c r="D282" s="90" t="s">
        <v>19</v>
      </c>
      <c r="E282" s="91"/>
      <c r="F282" s="92">
        <v>1</v>
      </c>
      <c r="G282" s="93" t="s">
        <v>20</v>
      </c>
      <c r="H282" s="92">
        <v>5</v>
      </c>
      <c r="I282" s="93" t="s">
        <v>19</v>
      </c>
      <c r="J282" s="94">
        <v>214000</v>
      </c>
      <c r="K282" s="90" t="s">
        <v>19</v>
      </c>
      <c r="L282" s="95">
        <v>0.125</v>
      </c>
      <c r="M282" s="95">
        <v>0.05</v>
      </c>
      <c r="N282" s="92"/>
      <c r="O282" s="93" t="s">
        <v>19</v>
      </c>
      <c r="P282" s="87">
        <f>(C282+(E282*F282*H282))-N282</f>
        <v>0</v>
      </c>
      <c r="Q282" s="93" t="s">
        <v>19</v>
      </c>
      <c r="R282" s="94">
        <f>P282*(J282-(J282*L282)-((J282-(J282*L282))*M282))</f>
        <v>0</v>
      </c>
      <c r="S282" s="94">
        <f t="shared" si="79"/>
        <v>0</v>
      </c>
    </row>
    <row r="283" spans="1:19" s="19" customFormat="1">
      <c r="A283" s="18" t="s">
        <v>199</v>
      </c>
      <c r="B283" s="19" t="s">
        <v>18</v>
      </c>
      <c r="C283" s="20">
        <v>3</v>
      </c>
      <c r="D283" s="21" t="s">
        <v>19</v>
      </c>
      <c r="E283" s="26"/>
      <c r="F283" s="22">
        <v>1</v>
      </c>
      <c r="G283" s="23" t="s">
        <v>20</v>
      </c>
      <c r="H283" s="22">
        <v>5</v>
      </c>
      <c r="I283" s="23" t="s">
        <v>19</v>
      </c>
      <c r="J283" s="24">
        <v>219000</v>
      </c>
      <c r="K283" s="21" t="s">
        <v>19</v>
      </c>
      <c r="L283" s="25">
        <v>0.125</v>
      </c>
      <c r="M283" s="25">
        <v>0.05</v>
      </c>
      <c r="N283" s="22"/>
      <c r="O283" s="23" t="s">
        <v>19</v>
      </c>
      <c r="P283" s="20">
        <f>(C283+(E283*F283*H283))-N283</f>
        <v>3</v>
      </c>
      <c r="Q283" s="23" t="s">
        <v>19</v>
      </c>
      <c r="R283" s="24">
        <f>P283*(J283-(J283*L283)-((J283-(J283*L283))*M283))</f>
        <v>546131.25</v>
      </c>
      <c r="S283" s="24">
        <f t="shared" si="79"/>
        <v>492010.13513513509</v>
      </c>
    </row>
    <row r="284" spans="1:19" s="89" customFormat="1">
      <c r="A284" s="88" t="s">
        <v>200</v>
      </c>
      <c r="B284" s="89" t="s">
        <v>18</v>
      </c>
      <c r="C284" s="87"/>
      <c r="D284" s="90" t="s">
        <v>19</v>
      </c>
      <c r="E284" s="91"/>
      <c r="F284" s="92">
        <v>1</v>
      </c>
      <c r="G284" s="93" t="s">
        <v>20</v>
      </c>
      <c r="H284" s="92">
        <v>4</v>
      </c>
      <c r="I284" s="93" t="s">
        <v>19</v>
      </c>
      <c r="J284" s="94">
        <v>291000</v>
      </c>
      <c r="K284" s="90" t="s">
        <v>19</v>
      </c>
      <c r="L284" s="95">
        <v>0.125</v>
      </c>
      <c r="M284" s="95">
        <v>0.05</v>
      </c>
      <c r="N284" s="92"/>
      <c r="O284" s="93" t="s">
        <v>19</v>
      </c>
      <c r="P284" s="87">
        <f>(C284+(E284*F284*H284))-N284</f>
        <v>0</v>
      </c>
      <c r="Q284" s="93" t="s">
        <v>19</v>
      </c>
      <c r="R284" s="94">
        <f>P284*(J284-(J284*L284)-((J284-(J284*L284))*M284))</f>
        <v>0</v>
      </c>
      <c r="S284" s="94">
        <f t="shared" si="79"/>
        <v>0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89" customFormat="1">
      <c r="A286" s="88" t="s">
        <v>201</v>
      </c>
      <c r="B286" s="89" t="s">
        <v>25</v>
      </c>
      <c r="C286" s="87"/>
      <c r="D286" s="90" t="s">
        <v>19</v>
      </c>
      <c r="E286" s="91"/>
      <c r="F286" s="92">
        <v>1</v>
      </c>
      <c r="G286" s="93" t="s">
        <v>20</v>
      </c>
      <c r="H286" s="92">
        <v>5</v>
      </c>
      <c r="I286" s="93" t="s">
        <v>19</v>
      </c>
      <c r="J286" s="94">
        <f>1125000/5</f>
        <v>225000</v>
      </c>
      <c r="K286" s="90" t="s">
        <v>19</v>
      </c>
      <c r="L286" s="95"/>
      <c r="M286" s="95">
        <v>0.17</v>
      </c>
      <c r="N286" s="92"/>
      <c r="O286" s="93" t="s">
        <v>19</v>
      </c>
      <c r="P286" s="87">
        <f>(C286+(E286*F286*H286))-N286</f>
        <v>0</v>
      </c>
      <c r="Q286" s="93" t="s">
        <v>19</v>
      </c>
      <c r="R286" s="94">
        <f>P286*(J286-(J286*L286)-((J286-(J286*L286))*M286))</f>
        <v>0</v>
      </c>
      <c r="S286" s="94">
        <f t="shared" si="79"/>
        <v>0</v>
      </c>
    </row>
    <row r="287" spans="1:19" s="106" customFormat="1">
      <c r="A287" s="166" t="s">
        <v>202</v>
      </c>
      <c r="B287" s="106" t="s">
        <v>25</v>
      </c>
      <c r="C287" s="107"/>
      <c r="D287" s="108" t="s">
        <v>19</v>
      </c>
      <c r="E287" s="109">
        <v>1</v>
      </c>
      <c r="F287" s="110">
        <v>1</v>
      </c>
      <c r="G287" s="111" t="s">
        <v>20</v>
      </c>
      <c r="H287" s="110">
        <v>5</v>
      </c>
      <c r="I287" s="111" t="s">
        <v>19</v>
      </c>
      <c r="J287" s="112">
        <v>235000</v>
      </c>
      <c r="K287" s="108" t="s">
        <v>19</v>
      </c>
      <c r="L287" s="113"/>
      <c r="M287" s="113">
        <v>0.17</v>
      </c>
      <c r="N287" s="110"/>
      <c r="O287" s="111" t="s">
        <v>19</v>
      </c>
      <c r="P287" s="107">
        <f>(C287+(E287*F287*H287))-N287</f>
        <v>5</v>
      </c>
      <c r="Q287" s="111" t="s">
        <v>19</v>
      </c>
      <c r="R287" s="112">
        <f>P287*(J287-(J287*L287)-((J287-(J287*L287))*M287))</f>
        <v>975250</v>
      </c>
      <c r="S287" s="112">
        <f t="shared" ref="S287" si="98">R287/1.11</f>
        <v>878603.60360360355</v>
      </c>
    </row>
    <row r="288" spans="1:19" s="89" customFormat="1">
      <c r="A288" s="88" t="s">
        <v>202</v>
      </c>
      <c r="B288" s="89" t="s">
        <v>25</v>
      </c>
      <c r="C288" s="87"/>
      <c r="D288" s="90" t="s">
        <v>19</v>
      </c>
      <c r="E288" s="91"/>
      <c r="F288" s="92">
        <v>1</v>
      </c>
      <c r="G288" s="93" t="s">
        <v>20</v>
      </c>
      <c r="H288" s="92">
        <v>5</v>
      </c>
      <c r="I288" s="93" t="s">
        <v>19</v>
      </c>
      <c r="J288" s="94">
        <f>1125000/5</f>
        <v>225000</v>
      </c>
      <c r="K288" s="90" t="s">
        <v>19</v>
      </c>
      <c r="L288" s="95"/>
      <c r="M288" s="95">
        <v>0.17</v>
      </c>
      <c r="N288" s="92"/>
      <c r="O288" s="93" t="s">
        <v>19</v>
      </c>
      <c r="P288" s="87">
        <f>(C288+(E288*F288*H288))-N288</f>
        <v>0</v>
      </c>
      <c r="Q288" s="93" t="s">
        <v>19</v>
      </c>
      <c r="R288" s="94">
        <f>P288*(J288-(J288*L288)-((J288-(J288*L288))*M288))</f>
        <v>0</v>
      </c>
      <c r="S288" s="94">
        <f t="shared" si="79"/>
        <v>0</v>
      </c>
    </row>
    <row r="289" spans="1:19" s="89" customFormat="1">
      <c r="A289" s="88" t="s">
        <v>203</v>
      </c>
      <c r="B289" s="89" t="s">
        <v>25</v>
      </c>
      <c r="C289" s="87"/>
      <c r="D289" s="90" t="s">
        <v>19</v>
      </c>
      <c r="E289" s="91"/>
      <c r="F289" s="92">
        <v>1</v>
      </c>
      <c r="G289" s="93" t="s">
        <v>20</v>
      </c>
      <c r="H289" s="92">
        <v>4</v>
      </c>
      <c r="I289" s="93" t="s">
        <v>19</v>
      </c>
      <c r="J289" s="94">
        <f>1180000/4</f>
        <v>295000</v>
      </c>
      <c r="K289" s="90" t="s">
        <v>19</v>
      </c>
      <c r="L289" s="95"/>
      <c r="M289" s="95">
        <v>0.17</v>
      </c>
      <c r="N289" s="92"/>
      <c r="O289" s="93" t="s">
        <v>19</v>
      </c>
      <c r="P289" s="87">
        <f>(C289+(E289*F289*H289))-N289</f>
        <v>0</v>
      </c>
      <c r="Q289" s="93" t="s">
        <v>19</v>
      </c>
      <c r="R289" s="94">
        <f>P289*(J289-(J289*L289)-((J289-(J289*L289))*M289))</f>
        <v>0</v>
      </c>
      <c r="S289" s="94">
        <f t="shared" ref="S289:S375" si="99">R289/1.11</f>
        <v>0</v>
      </c>
    </row>
    <row r="290" spans="1:19" s="19" customFormat="1">
      <c r="A290" s="18"/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 ht="15.75">
      <c r="A291" s="44" t="s">
        <v>741</v>
      </c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18" t="s">
        <v>742</v>
      </c>
      <c r="B292" s="19" t="s">
        <v>598</v>
      </c>
      <c r="C292" s="20">
        <v>14</v>
      </c>
      <c r="D292" s="21" t="s">
        <v>19</v>
      </c>
      <c r="E292" s="26"/>
      <c r="F292" s="22">
        <v>1</v>
      </c>
      <c r="G292" s="23" t="s">
        <v>20</v>
      </c>
      <c r="H292" s="22">
        <v>48</v>
      </c>
      <c r="I292" s="23" t="s">
        <v>19</v>
      </c>
      <c r="J292" s="24">
        <v>53000</v>
      </c>
      <c r="K292" s="21" t="s">
        <v>19</v>
      </c>
      <c r="L292" s="25">
        <v>0.17499999999999999</v>
      </c>
      <c r="M292" s="25">
        <v>1.0999999999999999E-2</v>
      </c>
      <c r="N292" s="22"/>
      <c r="O292" s="23" t="s">
        <v>19</v>
      </c>
      <c r="P292" s="20">
        <f>(C292+(E292*F292*H292))-N292</f>
        <v>14</v>
      </c>
      <c r="Q292" s="23" t="s">
        <v>19</v>
      </c>
      <c r="R292" s="24">
        <f>P292*(J292-(J292*L292)-((J292-(J292*L292))*M292))</f>
        <v>605416.35</v>
      </c>
      <c r="S292" s="24">
        <f t="shared" ref="S292" si="100">R292/1.11</f>
        <v>545420.13513513503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 ht="15.75">
      <c r="A294" s="44" t="s">
        <v>204</v>
      </c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18" t="s">
        <v>801</v>
      </c>
      <c r="B295" s="19" t="s">
        <v>18</v>
      </c>
      <c r="C295" s="20">
        <v>12</v>
      </c>
      <c r="D295" s="21" t="s">
        <v>19</v>
      </c>
      <c r="E295" s="26"/>
      <c r="F295" s="22">
        <v>8</v>
      </c>
      <c r="G295" s="23" t="s">
        <v>33</v>
      </c>
      <c r="H295" s="22">
        <v>12</v>
      </c>
      <c r="I295" s="23" t="s">
        <v>19</v>
      </c>
      <c r="J295" s="24">
        <v>11500</v>
      </c>
      <c r="K295" s="21" t="s">
        <v>19</v>
      </c>
      <c r="L295" s="25">
        <v>0.125</v>
      </c>
      <c r="M295" s="25">
        <v>0.05</v>
      </c>
      <c r="N295" s="22"/>
      <c r="O295" s="23" t="s">
        <v>19</v>
      </c>
      <c r="P295" s="20">
        <f>(C295+(E295*F295*H295))-N295</f>
        <v>12</v>
      </c>
      <c r="Q295" s="23" t="s">
        <v>19</v>
      </c>
      <c r="R295" s="24">
        <f>P295*(J295-(J295*L295)-((J295-(J295*L295))*M295))</f>
        <v>114712.5</v>
      </c>
      <c r="S295" s="24">
        <f t="shared" ref="S295" si="101">R295/1.11</f>
        <v>103344.59459459459</v>
      </c>
    </row>
    <row r="296" spans="1:19" s="19" customFormat="1">
      <c r="A296" s="18" t="s">
        <v>205</v>
      </c>
      <c r="B296" s="19" t="s">
        <v>18</v>
      </c>
      <c r="C296" s="20">
        <v>90</v>
      </c>
      <c r="D296" s="21" t="s">
        <v>19</v>
      </c>
      <c r="E296" s="26"/>
      <c r="F296" s="22">
        <v>1</v>
      </c>
      <c r="G296" s="23" t="s">
        <v>20</v>
      </c>
      <c r="H296" s="22">
        <v>90</v>
      </c>
      <c r="I296" s="23" t="s">
        <v>19</v>
      </c>
      <c r="J296" s="24">
        <v>24000</v>
      </c>
      <c r="K296" s="21" t="s">
        <v>19</v>
      </c>
      <c r="L296" s="25">
        <v>0.125</v>
      </c>
      <c r="M296" s="25">
        <v>0.05</v>
      </c>
      <c r="N296" s="22"/>
      <c r="O296" s="23" t="s">
        <v>19</v>
      </c>
      <c r="P296" s="20">
        <f>(C296+(E296*F296*H296))-N296</f>
        <v>90</v>
      </c>
      <c r="Q296" s="23" t="s">
        <v>19</v>
      </c>
      <c r="R296" s="24">
        <f>P296*(J296-(J296*L296)-((J296-(J296*L296))*M296))</f>
        <v>1795500</v>
      </c>
      <c r="S296" s="24">
        <f t="shared" si="99"/>
        <v>1617567.5675675673</v>
      </c>
    </row>
    <row r="297" spans="1:19" s="89" customFormat="1">
      <c r="A297" s="88" t="s">
        <v>206</v>
      </c>
      <c r="B297" s="89" t="s">
        <v>18</v>
      </c>
      <c r="C297" s="87"/>
      <c r="D297" s="90" t="s">
        <v>19</v>
      </c>
      <c r="E297" s="91"/>
      <c r="F297" s="92">
        <v>1</v>
      </c>
      <c r="G297" s="93" t="s">
        <v>20</v>
      </c>
      <c r="H297" s="92">
        <v>48</v>
      </c>
      <c r="I297" s="93" t="s">
        <v>19</v>
      </c>
      <c r="J297" s="94">
        <v>24900</v>
      </c>
      <c r="K297" s="90" t="s">
        <v>19</v>
      </c>
      <c r="L297" s="95">
        <v>0.125</v>
      </c>
      <c r="M297" s="95">
        <v>0.05</v>
      </c>
      <c r="N297" s="92"/>
      <c r="O297" s="93" t="s">
        <v>19</v>
      </c>
      <c r="P297" s="87">
        <f>(C297+(E297*F297*H297))-N297</f>
        <v>0</v>
      </c>
      <c r="Q297" s="93" t="s">
        <v>19</v>
      </c>
      <c r="R297" s="94">
        <f>P297*(J297-(J297*L297)-((J297-(J297*L297))*M297))</f>
        <v>0</v>
      </c>
      <c r="S297" s="94">
        <f t="shared" si="99"/>
        <v>0</v>
      </c>
    </row>
    <row r="298" spans="1:19" s="19" customFormat="1">
      <c r="A298" s="18" t="s">
        <v>842</v>
      </c>
      <c r="B298" s="19" t="s">
        <v>18</v>
      </c>
      <c r="C298" s="20"/>
      <c r="D298" s="21" t="s">
        <v>19</v>
      </c>
      <c r="E298" s="26">
        <v>1</v>
      </c>
      <c r="F298" s="22">
        <v>1</v>
      </c>
      <c r="G298" s="23" t="s">
        <v>20</v>
      </c>
      <c r="H298" s="22">
        <v>50</v>
      </c>
      <c r="I298" s="23" t="s">
        <v>19</v>
      </c>
      <c r="J298" s="24">
        <v>20500</v>
      </c>
      <c r="K298" s="21" t="s">
        <v>19</v>
      </c>
      <c r="L298" s="25">
        <v>0.125</v>
      </c>
      <c r="M298" s="25">
        <v>0.05</v>
      </c>
      <c r="N298" s="22"/>
      <c r="O298" s="23" t="s">
        <v>19</v>
      </c>
      <c r="P298" s="20">
        <f>(C298+(E298*F298*H298))-N298</f>
        <v>50</v>
      </c>
      <c r="Q298" s="23" t="s">
        <v>19</v>
      </c>
      <c r="R298" s="24">
        <f>P298*(J298-(J298*L298)-((J298-(J298*L298))*M298))</f>
        <v>852031.25</v>
      </c>
      <c r="S298" s="24">
        <f t="shared" ref="S298" si="102">R298/1.11</f>
        <v>767595.72072072071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89" customFormat="1">
      <c r="A300" s="88" t="s">
        <v>207</v>
      </c>
      <c r="B300" s="89" t="s">
        <v>25</v>
      </c>
      <c r="C300" s="87"/>
      <c r="D300" s="90" t="s">
        <v>19</v>
      </c>
      <c r="E300" s="91"/>
      <c r="F300" s="92">
        <v>1</v>
      </c>
      <c r="G300" s="93" t="s">
        <v>20</v>
      </c>
      <c r="H300" s="92">
        <v>24</v>
      </c>
      <c r="I300" s="93" t="s">
        <v>19</v>
      </c>
      <c r="J300" s="94">
        <f>720000/24</f>
        <v>30000</v>
      </c>
      <c r="K300" s="90" t="s">
        <v>19</v>
      </c>
      <c r="L300" s="95"/>
      <c r="M300" s="95">
        <v>0.17</v>
      </c>
      <c r="N300" s="92"/>
      <c r="O300" s="93" t="s">
        <v>19</v>
      </c>
      <c r="P300" s="87">
        <f>(C300+(E300*F300*H300))-N300</f>
        <v>0</v>
      </c>
      <c r="Q300" s="93" t="s">
        <v>19</v>
      </c>
      <c r="R300" s="94">
        <f>P300*(J300-(J300*L300)-((J300-(J300*L300))*M300))</f>
        <v>0</v>
      </c>
      <c r="S300" s="94">
        <f t="shared" si="99"/>
        <v>0</v>
      </c>
    </row>
    <row r="301" spans="1:19" s="19" customFormat="1">
      <c r="A301" s="18" t="s">
        <v>208</v>
      </c>
      <c r="B301" s="19" t="s">
        <v>25</v>
      </c>
      <c r="C301" s="20">
        <v>112</v>
      </c>
      <c r="D301" s="21" t="s">
        <v>19</v>
      </c>
      <c r="E301" s="26"/>
      <c r="F301" s="22">
        <v>1</v>
      </c>
      <c r="G301" s="23" t="s">
        <v>20</v>
      </c>
      <c r="H301" s="22">
        <v>48</v>
      </c>
      <c r="I301" s="23" t="s">
        <v>19</v>
      </c>
      <c r="J301" s="24">
        <f>1152000/48</f>
        <v>24000</v>
      </c>
      <c r="K301" s="21" t="s">
        <v>19</v>
      </c>
      <c r="L301" s="25"/>
      <c r="M301" s="25">
        <v>0.17</v>
      </c>
      <c r="N301" s="22"/>
      <c r="O301" s="23" t="s">
        <v>19</v>
      </c>
      <c r="P301" s="20">
        <f>(C301+(E301*F301*H301))-N301</f>
        <v>112</v>
      </c>
      <c r="Q301" s="23" t="s">
        <v>19</v>
      </c>
      <c r="R301" s="24">
        <f>P301*(J301-(J301*L301)-((J301-(J301*L301))*M301))</f>
        <v>2231040</v>
      </c>
      <c r="S301" s="24">
        <f t="shared" si="99"/>
        <v>2009945.9459459458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 ht="15.75">
      <c r="A303" s="44" t="s">
        <v>209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71" t="s">
        <v>761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89" customFormat="1">
      <c r="A305" s="88" t="s">
        <v>762</v>
      </c>
      <c r="B305" s="89" t="s">
        <v>25</v>
      </c>
      <c r="C305" s="87"/>
      <c r="D305" s="90" t="s">
        <v>40</v>
      </c>
      <c r="E305" s="91"/>
      <c r="F305" s="92">
        <v>1</v>
      </c>
      <c r="G305" s="93" t="s">
        <v>20</v>
      </c>
      <c r="H305" s="92">
        <v>40</v>
      </c>
      <c r="I305" s="93" t="s">
        <v>40</v>
      </c>
      <c r="J305" s="94">
        <v>32400</v>
      </c>
      <c r="K305" s="90" t="s">
        <v>40</v>
      </c>
      <c r="L305" s="95"/>
      <c r="M305" s="95">
        <v>0.17</v>
      </c>
      <c r="N305" s="92"/>
      <c r="O305" s="93" t="s">
        <v>40</v>
      </c>
      <c r="P305" s="87">
        <f>(C305+(E305*F305*H305))-N305</f>
        <v>0</v>
      </c>
      <c r="Q305" s="93" t="s">
        <v>40</v>
      </c>
      <c r="R305" s="94">
        <f>P305*(J305-(J305*L305)-((J305-(J305*L305))*M305))</f>
        <v>0</v>
      </c>
      <c r="S305" s="94">
        <f t="shared" ref="S305" si="103">R305/1.11</f>
        <v>0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71" t="s">
        <v>210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89" customFormat="1">
      <c r="A308" s="88" t="s">
        <v>211</v>
      </c>
      <c r="B308" s="89" t="s">
        <v>18</v>
      </c>
      <c r="C308" s="87"/>
      <c r="D308" s="90" t="s">
        <v>19</v>
      </c>
      <c r="E308" s="91"/>
      <c r="F308" s="92">
        <v>1</v>
      </c>
      <c r="G308" s="93" t="s">
        <v>20</v>
      </c>
      <c r="H308" s="92">
        <v>40</v>
      </c>
      <c r="I308" s="93" t="s">
        <v>19</v>
      </c>
      <c r="J308" s="94">
        <v>38500</v>
      </c>
      <c r="K308" s="90" t="s">
        <v>19</v>
      </c>
      <c r="L308" s="95">
        <v>0.125</v>
      </c>
      <c r="M308" s="95">
        <v>0.05</v>
      </c>
      <c r="N308" s="92"/>
      <c r="O308" s="93" t="s">
        <v>19</v>
      </c>
      <c r="P308" s="87">
        <f>(C308+(E308*F308*H308))-N308</f>
        <v>0</v>
      </c>
      <c r="Q308" s="93" t="s">
        <v>19</v>
      </c>
      <c r="R308" s="94">
        <f>P308*(J308-(J308*L308)-((J308-(J308*L308))*M308))</f>
        <v>0</v>
      </c>
      <c r="S308" s="94">
        <f t="shared" si="99"/>
        <v>0</v>
      </c>
    </row>
    <row r="309" spans="1:19" s="19" customFormat="1">
      <c r="A309" s="18"/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19" customFormat="1">
      <c r="A310" s="71" t="s">
        <v>212</v>
      </c>
      <c r="C310" s="20"/>
      <c r="D310" s="21"/>
      <c r="E310" s="26"/>
      <c r="F310" s="22"/>
      <c r="G310" s="23"/>
      <c r="H310" s="22"/>
      <c r="I310" s="23"/>
      <c r="J310" s="24"/>
      <c r="K310" s="21"/>
      <c r="L310" s="25"/>
      <c r="M310" s="25"/>
      <c r="N310" s="22"/>
      <c r="O310" s="23"/>
      <c r="P310" s="20"/>
      <c r="Q310" s="23"/>
      <c r="R310" s="24"/>
      <c r="S310" s="24"/>
    </row>
    <row r="311" spans="1:19" s="19" customFormat="1">
      <c r="A311" s="18" t="s">
        <v>731</v>
      </c>
      <c r="B311" s="19" t="s">
        <v>18</v>
      </c>
      <c r="C311" s="20">
        <v>361</v>
      </c>
      <c r="D311" s="21" t="s">
        <v>19</v>
      </c>
      <c r="E311" s="26"/>
      <c r="F311" s="22">
        <v>1</v>
      </c>
      <c r="G311" s="23" t="s">
        <v>20</v>
      </c>
      <c r="H311" s="22">
        <v>48</v>
      </c>
      <c r="I311" s="23" t="s">
        <v>19</v>
      </c>
      <c r="J311" s="24">
        <v>17600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>(C311+(E311*F311*H311))-N311</f>
        <v>361</v>
      </c>
      <c r="Q311" s="23" t="s">
        <v>19</v>
      </c>
      <c r="R311" s="24">
        <f>P311*(J311-(J311*L311)-((J311-(J311*L311))*M311))</f>
        <v>5281430</v>
      </c>
      <c r="S311" s="24">
        <f t="shared" si="99"/>
        <v>4758045.0450450443</v>
      </c>
    </row>
    <row r="312" spans="1:19" s="19" customFormat="1">
      <c r="A312" s="18"/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 ht="15.75">
      <c r="A313" s="44" t="s">
        <v>213</v>
      </c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>
      <c r="A314" s="71" t="s">
        <v>214</v>
      </c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18" t="s">
        <v>215</v>
      </c>
      <c r="B315" s="19" t="s">
        <v>25</v>
      </c>
      <c r="C315" s="20">
        <v>9</v>
      </c>
      <c r="D315" s="21" t="s">
        <v>40</v>
      </c>
      <c r="E315" s="26"/>
      <c r="F315" s="22">
        <v>1</v>
      </c>
      <c r="G315" s="23" t="s">
        <v>20</v>
      </c>
      <c r="H315" s="22">
        <v>50</v>
      </c>
      <c r="I315" s="23" t="s">
        <v>40</v>
      </c>
      <c r="J315" s="24">
        <f>1800000/50</f>
        <v>36000</v>
      </c>
      <c r="K315" s="21" t="s">
        <v>40</v>
      </c>
      <c r="L315" s="25"/>
      <c r="M315" s="25">
        <v>0.17</v>
      </c>
      <c r="N315" s="22"/>
      <c r="O315" s="23" t="s">
        <v>40</v>
      </c>
      <c r="P315" s="20">
        <f t="shared" ref="P315:P321" si="104">(C315+(E315*F315*H315))-N315</f>
        <v>9</v>
      </c>
      <c r="Q315" s="23" t="s">
        <v>40</v>
      </c>
      <c r="R315" s="24">
        <f t="shared" ref="R315:R321" si="105">P315*(J315-(J315*L315)-((J315-(J315*L315))*M315))</f>
        <v>268920</v>
      </c>
      <c r="S315" s="24">
        <f t="shared" si="99"/>
        <v>242270.27027027024</v>
      </c>
    </row>
    <row r="316" spans="1:19" s="89" customFormat="1">
      <c r="A316" s="88" t="s">
        <v>749</v>
      </c>
      <c r="B316" s="89" t="s">
        <v>25</v>
      </c>
      <c r="C316" s="87"/>
      <c r="D316" s="90" t="s">
        <v>40</v>
      </c>
      <c r="E316" s="91"/>
      <c r="F316" s="92">
        <v>1</v>
      </c>
      <c r="G316" s="93" t="s">
        <v>20</v>
      </c>
      <c r="H316" s="92">
        <v>25</v>
      </c>
      <c r="I316" s="93" t="s">
        <v>40</v>
      </c>
      <c r="J316" s="94">
        <f>1672500/25</f>
        <v>66900</v>
      </c>
      <c r="K316" s="90" t="s">
        <v>40</v>
      </c>
      <c r="L316" s="95"/>
      <c r="M316" s="95">
        <v>0.17</v>
      </c>
      <c r="N316" s="92"/>
      <c r="O316" s="93" t="s">
        <v>40</v>
      </c>
      <c r="P316" s="87">
        <f t="shared" si="104"/>
        <v>0</v>
      </c>
      <c r="Q316" s="93" t="s">
        <v>40</v>
      </c>
      <c r="R316" s="94">
        <f t="shared" si="105"/>
        <v>0</v>
      </c>
      <c r="S316" s="94">
        <f t="shared" si="99"/>
        <v>0</v>
      </c>
    </row>
    <row r="317" spans="1:19" s="19" customFormat="1">
      <c r="A317" s="18" t="s">
        <v>216</v>
      </c>
      <c r="B317" s="19" t="s">
        <v>25</v>
      </c>
      <c r="C317" s="20">
        <v>43</v>
      </c>
      <c r="D317" s="21" t="s">
        <v>40</v>
      </c>
      <c r="E317" s="26">
        <v>2</v>
      </c>
      <c r="F317" s="22">
        <v>1</v>
      </c>
      <c r="G317" s="23" t="s">
        <v>20</v>
      </c>
      <c r="H317" s="22">
        <v>25</v>
      </c>
      <c r="I317" s="23" t="s">
        <v>40</v>
      </c>
      <c r="J317" s="24">
        <f>2100000/25</f>
        <v>84000</v>
      </c>
      <c r="K317" s="21" t="s">
        <v>40</v>
      </c>
      <c r="L317" s="25"/>
      <c r="M317" s="25">
        <v>0.17</v>
      </c>
      <c r="N317" s="22"/>
      <c r="O317" s="23" t="s">
        <v>40</v>
      </c>
      <c r="P317" s="20">
        <f t="shared" si="104"/>
        <v>93</v>
      </c>
      <c r="Q317" s="23" t="s">
        <v>40</v>
      </c>
      <c r="R317" s="24">
        <f t="shared" si="105"/>
        <v>6483960</v>
      </c>
      <c r="S317" s="24">
        <f t="shared" si="99"/>
        <v>5841405.405405405</v>
      </c>
    </row>
    <row r="318" spans="1:19" s="19" customFormat="1">
      <c r="A318" s="18" t="s">
        <v>217</v>
      </c>
      <c r="B318" s="19" t="s">
        <v>25</v>
      </c>
      <c r="C318" s="20">
        <v>8</v>
      </c>
      <c r="D318" s="21" t="s">
        <v>40</v>
      </c>
      <c r="E318" s="26"/>
      <c r="F318" s="22">
        <v>1</v>
      </c>
      <c r="G318" s="23" t="s">
        <v>20</v>
      </c>
      <c r="H318" s="22">
        <v>10</v>
      </c>
      <c r="I318" s="23" t="s">
        <v>40</v>
      </c>
      <c r="J318" s="24">
        <f>1632000/10</f>
        <v>163200</v>
      </c>
      <c r="K318" s="21" t="s">
        <v>40</v>
      </c>
      <c r="L318" s="25"/>
      <c r="M318" s="25">
        <v>0.17</v>
      </c>
      <c r="N318" s="22"/>
      <c r="O318" s="23" t="s">
        <v>40</v>
      </c>
      <c r="P318" s="20">
        <f t="shared" si="104"/>
        <v>8</v>
      </c>
      <c r="Q318" s="23" t="s">
        <v>40</v>
      </c>
      <c r="R318" s="24">
        <f t="shared" si="105"/>
        <v>1083648</v>
      </c>
      <c r="S318" s="24">
        <f t="shared" si="99"/>
        <v>976259.45945945941</v>
      </c>
    </row>
    <row r="319" spans="1:19" s="19" customFormat="1">
      <c r="A319" s="18" t="s">
        <v>218</v>
      </c>
      <c r="B319" s="19" t="s">
        <v>25</v>
      </c>
      <c r="C319" s="20">
        <v>7</v>
      </c>
      <c r="D319" s="21" t="s">
        <v>40</v>
      </c>
      <c r="E319" s="26"/>
      <c r="F319" s="22">
        <v>1</v>
      </c>
      <c r="G319" s="23" t="s">
        <v>20</v>
      </c>
      <c r="H319" s="22">
        <v>10</v>
      </c>
      <c r="I319" s="23" t="s">
        <v>40</v>
      </c>
      <c r="J319" s="24">
        <f>2028000/10</f>
        <v>202800</v>
      </c>
      <c r="K319" s="21" t="s">
        <v>40</v>
      </c>
      <c r="L319" s="25"/>
      <c r="M319" s="25">
        <v>0.17</v>
      </c>
      <c r="N319" s="22"/>
      <c r="O319" s="23" t="s">
        <v>40</v>
      </c>
      <c r="P319" s="20">
        <f t="shared" si="104"/>
        <v>7</v>
      </c>
      <c r="Q319" s="23" t="s">
        <v>40</v>
      </c>
      <c r="R319" s="24">
        <f t="shared" si="105"/>
        <v>1178268</v>
      </c>
      <c r="S319" s="24">
        <f t="shared" si="99"/>
        <v>1061502.7027027027</v>
      </c>
    </row>
    <row r="320" spans="1:19" s="19" customFormat="1">
      <c r="A320" s="18" t="s">
        <v>219</v>
      </c>
      <c r="B320" s="19" t="s">
        <v>25</v>
      </c>
      <c r="C320" s="20">
        <v>2</v>
      </c>
      <c r="D320" s="21" t="s">
        <v>40</v>
      </c>
      <c r="E320" s="26"/>
      <c r="F320" s="22">
        <v>1</v>
      </c>
      <c r="G320" s="23" t="s">
        <v>20</v>
      </c>
      <c r="H320" s="22">
        <v>10</v>
      </c>
      <c r="I320" s="23" t="s">
        <v>40</v>
      </c>
      <c r="J320" s="24">
        <f>2520000/10</f>
        <v>252000</v>
      </c>
      <c r="K320" s="21" t="s">
        <v>40</v>
      </c>
      <c r="L320" s="25"/>
      <c r="M320" s="25">
        <v>0.17</v>
      </c>
      <c r="N320" s="22"/>
      <c r="O320" s="23" t="s">
        <v>40</v>
      </c>
      <c r="P320" s="20">
        <f t="shared" si="104"/>
        <v>2</v>
      </c>
      <c r="Q320" s="23" t="s">
        <v>40</v>
      </c>
      <c r="R320" s="24">
        <f t="shared" si="105"/>
        <v>418320</v>
      </c>
      <c r="S320" s="24">
        <f t="shared" si="99"/>
        <v>376864.86486486485</v>
      </c>
    </row>
    <row r="321" spans="1:19" s="19" customFormat="1">
      <c r="A321" s="18" t="s">
        <v>220</v>
      </c>
      <c r="B321" s="19" t="s">
        <v>25</v>
      </c>
      <c r="C321" s="20">
        <v>108</v>
      </c>
      <c r="D321" s="21" t="s">
        <v>19</v>
      </c>
      <c r="E321" s="26"/>
      <c r="F321" s="22">
        <v>10</v>
      </c>
      <c r="G321" s="23" t="s">
        <v>40</v>
      </c>
      <c r="H321" s="22">
        <v>12</v>
      </c>
      <c r="I321" s="23" t="s">
        <v>19</v>
      </c>
      <c r="J321" s="24">
        <f>5220000/10/12</f>
        <v>43500</v>
      </c>
      <c r="K321" s="21" t="s">
        <v>19</v>
      </c>
      <c r="L321" s="25"/>
      <c r="M321" s="25">
        <v>0.17</v>
      </c>
      <c r="N321" s="22"/>
      <c r="O321" s="23" t="s">
        <v>19</v>
      </c>
      <c r="P321" s="20">
        <f t="shared" si="104"/>
        <v>108</v>
      </c>
      <c r="Q321" s="23" t="s">
        <v>19</v>
      </c>
      <c r="R321" s="24">
        <f t="shared" si="105"/>
        <v>3899340</v>
      </c>
      <c r="S321" s="24">
        <f t="shared" si="99"/>
        <v>3512918.9189189188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71" t="s">
        <v>665</v>
      </c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19" customFormat="1">
      <c r="A324" s="18" t="s">
        <v>760</v>
      </c>
      <c r="B324" s="19" t="s">
        <v>172</v>
      </c>
      <c r="C324" s="20">
        <v>408</v>
      </c>
      <c r="D324" s="21" t="s">
        <v>40</v>
      </c>
      <c r="E324" s="26"/>
      <c r="F324" s="22">
        <v>20</v>
      </c>
      <c r="G324" s="23" t="s">
        <v>33</v>
      </c>
      <c r="H324" s="22">
        <v>4</v>
      </c>
      <c r="I324" s="23" t="s">
        <v>40</v>
      </c>
      <c r="J324" s="24">
        <f>1400*12</f>
        <v>16800</v>
      </c>
      <c r="K324" s="21" t="s">
        <v>40</v>
      </c>
      <c r="L324" s="25">
        <v>0.05</v>
      </c>
      <c r="M324" s="25"/>
      <c r="N324" s="22"/>
      <c r="O324" s="23" t="s">
        <v>40</v>
      </c>
      <c r="P324" s="20">
        <f>(C324+(E324*F324*H324))-N324</f>
        <v>408</v>
      </c>
      <c r="Q324" s="23" t="s">
        <v>40</v>
      </c>
      <c r="R324" s="24">
        <f>P324*(J324-(J324*L324)-((J324-(J324*L324))*M324))</f>
        <v>6511680</v>
      </c>
      <c r="S324" s="24">
        <f t="shared" ref="S324" si="106">R324/1.11</f>
        <v>5866378.3783783782</v>
      </c>
    </row>
    <row r="325" spans="1:19" s="19" customFormat="1" ht="15.75">
      <c r="A325" s="72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>
      <c r="A326" s="44" t="s">
        <v>221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89" customFormat="1">
      <c r="A327" s="88" t="s">
        <v>222</v>
      </c>
      <c r="B327" s="89" t="s">
        <v>18</v>
      </c>
      <c r="C327" s="87"/>
      <c r="D327" s="90" t="s">
        <v>19</v>
      </c>
      <c r="E327" s="91"/>
      <c r="F327" s="92">
        <v>12</v>
      </c>
      <c r="G327" s="93" t="s">
        <v>33</v>
      </c>
      <c r="H327" s="92">
        <v>12</v>
      </c>
      <c r="I327" s="93" t="s">
        <v>19</v>
      </c>
      <c r="J327" s="94">
        <f>52500/12</f>
        <v>4375</v>
      </c>
      <c r="K327" s="90" t="s">
        <v>19</v>
      </c>
      <c r="L327" s="95">
        <v>0.125</v>
      </c>
      <c r="M327" s="95">
        <v>0.05</v>
      </c>
      <c r="N327" s="92"/>
      <c r="O327" s="93" t="s">
        <v>19</v>
      </c>
      <c r="P327" s="87">
        <f t="shared" ref="P327:P339" si="107">(C327+(E327*F327*H327))-N327</f>
        <v>0</v>
      </c>
      <c r="Q327" s="93" t="s">
        <v>19</v>
      </c>
      <c r="R327" s="94">
        <f t="shared" ref="R327:R339" si="108">P327*(J327-(J327*L327)-((J327-(J327*L327))*M327))</f>
        <v>0</v>
      </c>
      <c r="S327" s="94">
        <f t="shared" ref="S327" si="109">R327/1.11</f>
        <v>0</v>
      </c>
    </row>
    <row r="328" spans="1:19" s="19" customFormat="1">
      <c r="A328" s="18" t="s">
        <v>827</v>
      </c>
      <c r="B328" s="19" t="s">
        <v>18</v>
      </c>
      <c r="C328" s="20"/>
      <c r="D328" s="21" t="s">
        <v>19</v>
      </c>
      <c r="E328" s="26">
        <v>1</v>
      </c>
      <c r="F328" s="22">
        <v>12</v>
      </c>
      <c r="G328" s="23" t="s">
        <v>33</v>
      </c>
      <c r="H328" s="22">
        <v>12</v>
      </c>
      <c r="I328" s="23" t="s">
        <v>19</v>
      </c>
      <c r="J328" s="24">
        <v>7200</v>
      </c>
      <c r="K328" s="21" t="s">
        <v>19</v>
      </c>
      <c r="L328" s="25">
        <v>0.125</v>
      </c>
      <c r="M328" s="25">
        <v>0.05</v>
      </c>
      <c r="N328" s="22"/>
      <c r="O328" s="23" t="s">
        <v>19</v>
      </c>
      <c r="P328" s="20">
        <f t="shared" ref="P328" si="110">(C328+(E328*F328*H328))-N328</f>
        <v>144</v>
      </c>
      <c r="Q328" s="23" t="s">
        <v>19</v>
      </c>
      <c r="R328" s="24">
        <f>P328*(J328-(J328*L328)-((J328-(J328*L328))*M328))</f>
        <v>861840</v>
      </c>
      <c r="S328" s="24">
        <f t="shared" ref="S328" si="111">R328/1.11</f>
        <v>776432.43243243231</v>
      </c>
    </row>
    <row r="329" spans="1:19" s="19" customFormat="1">
      <c r="A329" s="18" t="s">
        <v>223</v>
      </c>
      <c r="B329" s="19" t="s">
        <v>18</v>
      </c>
      <c r="C329" s="20">
        <v>288</v>
      </c>
      <c r="D329" s="21" t="s">
        <v>19</v>
      </c>
      <c r="E329" s="26"/>
      <c r="F329" s="22">
        <v>12</v>
      </c>
      <c r="G329" s="23" t="s">
        <v>33</v>
      </c>
      <c r="H329" s="22">
        <v>12</v>
      </c>
      <c r="I329" s="23" t="s">
        <v>19</v>
      </c>
      <c r="J329" s="24">
        <v>20500</v>
      </c>
      <c r="K329" s="21" t="s">
        <v>19</v>
      </c>
      <c r="L329" s="25">
        <v>0.125</v>
      </c>
      <c r="M329" s="25">
        <v>0.05</v>
      </c>
      <c r="N329" s="22"/>
      <c r="O329" s="23" t="s">
        <v>19</v>
      </c>
      <c r="P329" s="20">
        <f t="shared" si="107"/>
        <v>288</v>
      </c>
      <c r="Q329" s="23" t="s">
        <v>19</v>
      </c>
      <c r="R329" s="24">
        <f t="shared" si="108"/>
        <v>4907700</v>
      </c>
      <c r="S329" s="24">
        <f t="shared" si="99"/>
        <v>4421351.3513513505</v>
      </c>
    </row>
    <row r="330" spans="1:19" s="19" customFormat="1">
      <c r="A330" s="18" t="s">
        <v>224</v>
      </c>
      <c r="B330" s="19" t="s">
        <v>18</v>
      </c>
      <c r="C330" s="20">
        <v>276</v>
      </c>
      <c r="D330" s="21" t="s">
        <v>19</v>
      </c>
      <c r="E330" s="26"/>
      <c r="F330" s="22">
        <v>12</v>
      </c>
      <c r="G330" s="23" t="s">
        <v>33</v>
      </c>
      <c r="H330" s="22">
        <v>12</v>
      </c>
      <c r="I330" s="23" t="s">
        <v>19</v>
      </c>
      <c r="J330" s="24">
        <v>22000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 t="shared" si="107"/>
        <v>276</v>
      </c>
      <c r="Q330" s="23" t="s">
        <v>19</v>
      </c>
      <c r="R330" s="24">
        <f t="shared" si="108"/>
        <v>5047350</v>
      </c>
      <c r="S330" s="24">
        <f t="shared" si="99"/>
        <v>4547162.1621621614</v>
      </c>
    </row>
    <row r="331" spans="1:19" s="19" customFormat="1">
      <c r="A331" s="18" t="s">
        <v>225</v>
      </c>
      <c r="B331" s="19" t="s">
        <v>18</v>
      </c>
      <c r="C331" s="20">
        <v>1464</v>
      </c>
      <c r="D331" s="21" t="s">
        <v>19</v>
      </c>
      <c r="E331" s="26">
        <v>13</v>
      </c>
      <c r="F331" s="22">
        <v>12</v>
      </c>
      <c r="G331" s="23" t="s">
        <v>33</v>
      </c>
      <c r="H331" s="22">
        <v>12</v>
      </c>
      <c r="I331" s="23" t="s">
        <v>19</v>
      </c>
      <c r="J331" s="24">
        <v>4350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 t="shared" si="107"/>
        <v>3336</v>
      </c>
      <c r="Q331" s="23" t="s">
        <v>19</v>
      </c>
      <c r="R331" s="24">
        <f t="shared" si="108"/>
        <v>12062767.5</v>
      </c>
      <c r="S331" s="24">
        <f t="shared" si="99"/>
        <v>10867358.108108107</v>
      </c>
    </row>
    <row r="332" spans="1:19" s="19" customFormat="1">
      <c r="A332" s="18" t="s">
        <v>226</v>
      </c>
      <c r="B332" s="19" t="s">
        <v>18</v>
      </c>
      <c r="C332" s="20"/>
      <c r="D332" s="21" t="s">
        <v>19</v>
      </c>
      <c r="E332" s="26">
        <v>11</v>
      </c>
      <c r="F332" s="22">
        <v>12</v>
      </c>
      <c r="G332" s="23" t="s">
        <v>33</v>
      </c>
      <c r="H332" s="22">
        <v>12</v>
      </c>
      <c r="I332" s="23" t="s">
        <v>19</v>
      </c>
      <c r="J332" s="24">
        <v>6500</v>
      </c>
      <c r="K332" s="21" t="s">
        <v>19</v>
      </c>
      <c r="L332" s="25">
        <v>0.125</v>
      </c>
      <c r="M332" s="25">
        <v>0.05</v>
      </c>
      <c r="N332" s="22"/>
      <c r="O332" s="23" t="s">
        <v>19</v>
      </c>
      <c r="P332" s="20">
        <f t="shared" si="107"/>
        <v>1584</v>
      </c>
      <c r="Q332" s="23" t="s">
        <v>19</v>
      </c>
      <c r="R332" s="24">
        <f t="shared" si="108"/>
        <v>8558550</v>
      </c>
      <c r="S332" s="24">
        <f t="shared" si="99"/>
        <v>7710405.405405405</v>
      </c>
    </row>
    <row r="333" spans="1:19" s="19" customFormat="1">
      <c r="A333" s="18" t="s">
        <v>227</v>
      </c>
      <c r="B333" s="19" t="s">
        <v>18</v>
      </c>
      <c r="C333" s="20"/>
      <c r="D333" s="21" t="s">
        <v>19</v>
      </c>
      <c r="E333" s="26">
        <v>11</v>
      </c>
      <c r="F333" s="22">
        <v>12</v>
      </c>
      <c r="G333" s="23" t="s">
        <v>33</v>
      </c>
      <c r="H333" s="22">
        <v>12</v>
      </c>
      <c r="I333" s="23" t="s">
        <v>19</v>
      </c>
      <c r="J333" s="24">
        <v>9750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 t="shared" si="107"/>
        <v>1584</v>
      </c>
      <c r="Q333" s="23" t="s">
        <v>19</v>
      </c>
      <c r="R333" s="24">
        <f t="shared" si="108"/>
        <v>12837825</v>
      </c>
      <c r="S333" s="24">
        <f t="shared" si="99"/>
        <v>11565608.108108107</v>
      </c>
    </row>
    <row r="334" spans="1:19" s="89" customFormat="1">
      <c r="A334" s="88" t="s">
        <v>228</v>
      </c>
      <c r="B334" s="89" t="s">
        <v>18</v>
      </c>
      <c r="C334" s="87"/>
      <c r="D334" s="90" t="s">
        <v>19</v>
      </c>
      <c r="E334" s="91"/>
      <c r="F334" s="92">
        <v>6</v>
      </c>
      <c r="G334" s="93" t="s">
        <v>33</v>
      </c>
      <c r="H334" s="92">
        <v>12</v>
      </c>
      <c r="I334" s="93" t="s">
        <v>19</v>
      </c>
      <c r="J334" s="94">
        <v>19200</v>
      </c>
      <c r="K334" s="90" t="s">
        <v>19</v>
      </c>
      <c r="L334" s="95">
        <v>0.125</v>
      </c>
      <c r="M334" s="95">
        <v>0.05</v>
      </c>
      <c r="N334" s="92"/>
      <c r="O334" s="93" t="s">
        <v>19</v>
      </c>
      <c r="P334" s="87">
        <f t="shared" si="107"/>
        <v>0</v>
      </c>
      <c r="Q334" s="93" t="s">
        <v>19</v>
      </c>
      <c r="R334" s="94">
        <f t="shared" si="108"/>
        <v>0</v>
      </c>
      <c r="S334" s="94">
        <f t="shared" si="99"/>
        <v>0</v>
      </c>
    </row>
    <row r="335" spans="1:19" s="19" customFormat="1">
      <c r="A335" s="18" t="s">
        <v>229</v>
      </c>
      <c r="B335" s="19" t="s">
        <v>18</v>
      </c>
      <c r="C335" s="20"/>
      <c r="D335" s="21" t="s">
        <v>19</v>
      </c>
      <c r="E335" s="26">
        <v>3</v>
      </c>
      <c r="F335" s="22">
        <v>12</v>
      </c>
      <c r="G335" s="23" t="s">
        <v>33</v>
      </c>
      <c r="H335" s="22">
        <v>12</v>
      </c>
      <c r="I335" s="23" t="s">
        <v>19</v>
      </c>
      <c r="J335" s="24">
        <v>6100</v>
      </c>
      <c r="K335" s="21" t="s">
        <v>19</v>
      </c>
      <c r="L335" s="25">
        <v>0.125</v>
      </c>
      <c r="M335" s="25">
        <v>0.05</v>
      </c>
      <c r="N335" s="22"/>
      <c r="O335" s="23" t="s">
        <v>19</v>
      </c>
      <c r="P335" s="20">
        <f t="shared" ref="P335" si="112">(C335+(E335*F335*H335))-N335</f>
        <v>432</v>
      </c>
      <c r="Q335" s="23" t="s">
        <v>19</v>
      </c>
      <c r="R335" s="24">
        <f t="shared" ref="R335" si="113">P335*(J335-(J335*L335)-((J335-(J335*L335))*M335))</f>
        <v>2190510</v>
      </c>
      <c r="S335" s="24">
        <f t="shared" ref="S335" si="114">R335/1.11</f>
        <v>1973432.4324324322</v>
      </c>
    </row>
    <row r="336" spans="1:19" s="19" customFormat="1">
      <c r="A336" s="18" t="s">
        <v>230</v>
      </c>
      <c r="B336" s="19" t="s">
        <v>18</v>
      </c>
      <c r="C336" s="20"/>
      <c r="D336" s="21" t="s">
        <v>19</v>
      </c>
      <c r="E336" s="26">
        <v>3</v>
      </c>
      <c r="F336" s="22">
        <v>12</v>
      </c>
      <c r="G336" s="23" t="s">
        <v>33</v>
      </c>
      <c r="H336" s="22">
        <v>12</v>
      </c>
      <c r="I336" s="23" t="s">
        <v>19</v>
      </c>
      <c r="J336" s="24">
        <v>7700</v>
      </c>
      <c r="K336" s="21" t="s">
        <v>19</v>
      </c>
      <c r="L336" s="25">
        <v>0.125</v>
      </c>
      <c r="M336" s="25">
        <v>0.05</v>
      </c>
      <c r="N336" s="22"/>
      <c r="O336" s="23" t="s">
        <v>19</v>
      </c>
      <c r="P336" s="20">
        <f t="shared" si="107"/>
        <v>432</v>
      </c>
      <c r="Q336" s="23" t="s">
        <v>19</v>
      </c>
      <c r="R336" s="24">
        <f t="shared" si="108"/>
        <v>2765070</v>
      </c>
      <c r="S336" s="24">
        <f t="shared" si="99"/>
        <v>2491054.054054054</v>
      </c>
    </row>
    <row r="337" spans="1:19" s="89" customFormat="1" ht="15">
      <c r="A337" s="88" t="s">
        <v>231</v>
      </c>
      <c r="B337" s="89" t="s">
        <v>18</v>
      </c>
      <c r="C337" s="146"/>
      <c r="D337" s="90" t="s">
        <v>19</v>
      </c>
      <c r="E337" s="91"/>
      <c r="F337" s="92">
        <v>12</v>
      </c>
      <c r="G337" s="93" t="s">
        <v>33</v>
      </c>
      <c r="H337" s="92">
        <v>12</v>
      </c>
      <c r="I337" s="93" t="s">
        <v>19</v>
      </c>
      <c r="J337" s="94">
        <v>11200</v>
      </c>
      <c r="K337" s="90" t="s">
        <v>19</v>
      </c>
      <c r="L337" s="95">
        <v>0.125</v>
      </c>
      <c r="M337" s="95">
        <v>0.05</v>
      </c>
      <c r="N337" s="92"/>
      <c r="O337" s="93" t="s">
        <v>19</v>
      </c>
      <c r="P337" s="87">
        <f t="shared" si="107"/>
        <v>0</v>
      </c>
      <c r="Q337" s="93" t="s">
        <v>19</v>
      </c>
      <c r="R337" s="94">
        <f t="shared" si="108"/>
        <v>0</v>
      </c>
      <c r="S337" s="94">
        <f t="shared" si="99"/>
        <v>0</v>
      </c>
    </row>
    <row r="338" spans="1:19" s="19" customFormat="1">
      <c r="A338" s="18" t="s">
        <v>232</v>
      </c>
      <c r="B338" s="19" t="s">
        <v>18</v>
      </c>
      <c r="C338" s="20">
        <v>72</v>
      </c>
      <c r="D338" s="21" t="s">
        <v>19</v>
      </c>
      <c r="E338" s="26"/>
      <c r="F338" s="22">
        <v>12</v>
      </c>
      <c r="G338" s="23" t="s">
        <v>33</v>
      </c>
      <c r="H338" s="22">
        <v>12</v>
      </c>
      <c r="I338" s="23" t="s">
        <v>19</v>
      </c>
      <c r="J338" s="24">
        <v>7600</v>
      </c>
      <c r="K338" s="21" t="s">
        <v>19</v>
      </c>
      <c r="L338" s="25">
        <v>0.125</v>
      </c>
      <c r="M338" s="25">
        <v>0.05</v>
      </c>
      <c r="N338" s="22"/>
      <c r="O338" s="23" t="s">
        <v>19</v>
      </c>
      <c r="P338" s="20">
        <f t="shared" si="107"/>
        <v>72</v>
      </c>
      <c r="Q338" s="23" t="s">
        <v>19</v>
      </c>
      <c r="R338" s="24">
        <f t="shared" si="108"/>
        <v>454860</v>
      </c>
      <c r="S338" s="24">
        <f t="shared" si="99"/>
        <v>409783.78378378373</v>
      </c>
    </row>
    <row r="339" spans="1:19" s="89" customFormat="1">
      <c r="A339" s="88" t="s">
        <v>233</v>
      </c>
      <c r="B339" s="89" t="s">
        <v>18</v>
      </c>
      <c r="C339" s="87"/>
      <c r="D339" s="90" t="s">
        <v>19</v>
      </c>
      <c r="E339" s="91"/>
      <c r="F339" s="92">
        <v>8</v>
      </c>
      <c r="G339" s="93" t="s">
        <v>33</v>
      </c>
      <c r="H339" s="92">
        <v>6</v>
      </c>
      <c r="I339" s="93" t="s">
        <v>19</v>
      </c>
      <c r="J339" s="94">
        <v>65000</v>
      </c>
      <c r="K339" s="90" t="s">
        <v>19</v>
      </c>
      <c r="L339" s="95">
        <v>0.125</v>
      </c>
      <c r="M339" s="95">
        <v>0.05</v>
      </c>
      <c r="N339" s="92"/>
      <c r="O339" s="93" t="s">
        <v>19</v>
      </c>
      <c r="P339" s="87">
        <f t="shared" si="107"/>
        <v>0</v>
      </c>
      <c r="Q339" s="93" t="s">
        <v>19</v>
      </c>
      <c r="R339" s="94">
        <f t="shared" si="108"/>
        <v>0</v>
      </c>
      <c r="S339" s="94">
        <f t="shared" si="99"/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>
      <c r="A341" s="18" t="s">
        <v>234</v>
      </c>
      <c r="B341" s="19" t="s">
        <v>25</v>
      </c>
      <c r="C341" s="20">
        <v>53</v>
      </c>
      <c r="D341" s="21" t="s">
        <v>40</v>
      </c>
      <c r="E341" s="26">
        <v>3</v>
      </c>
      <c r="F341" s="22">
        <v>1</v>
      </c>
      <c r="G341" s="23" t="s">
        <v>20</v>
      </c>
      <c r="H341" s="22">
        <v>25</v>
      </c>
      <c r="I341" s="23" t="s">
        <v>40</v>
      </c>
      <c r="J341" s="24">
        <v>56400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 t="shared" ref="P341:P345" si="115">(C341+(E341*F341*H341))-N341</f>
        <v>128</v>
      </c>
      <c r="Q341" s="23" t="s">
        <v>40</v>
      </c>
      <c r="R341" s="24">
        <f t="shared" ref="R341:R345" si="116">P341*(J341-(J341*L341)-((J341-(J341*L341))*M341))</f>
        <v>5991936</v>
      </c>
      <c r="S341" s="24">
        <f t="shared" ref="S341" si="117">R341/1.11</f>
        <v>5398140.5405405397</v>
      </c>
    </row>
    <row r="342" spans="1:19" s="19" customFormat="1">
      <c r="A342" s="18" t="s">
        <v>235</v>
      </c>
      <c r="B342" s="19" t="s">
        <v>25</v>
      </c>
      <c r="C342" s="20">
        <v>131</v>
      </c>
      <c r="D342" s="21" t="s">
        <v>40</v>
      </c>
      <c r="E342" s="26">
        <v>5</v>
      </c>
      <c r="F342" s="22">
        <v>1</v>
      </c>
      <c r="G342" s="23" t="s">
        <v>20</v>
      </c>
      <c r="H342" s="22">
        <v>25</v>
      </c>
      <c r="I342" s="23" t="s">
        <v>40</v>
      </c>
      <c r="J342" s="24">
        <v>79800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 t="shared" si="115"/>
        <v>256</v>
      </c>
      <c r="Q342" s="23" t="s">
        <v>40</v>
      </c>
      <c r="R342" s="24">
        <f t="shared" si="116"/>
        <v>16955904</v>
      </c>
      <c r="S342" s="24">
        <f t="shared" ref="S342" si="118">R342/1.11</f>
        <v>15275589.189189188</v>
      </c>
    </row>
    <row r="343" spans="1:19" s="19" customFormat="1">
      <c r="A343" s="18" t="s">
        <v>236</v>
      </c>
      <c r="B343" s="19" t="s">
        <v>25</v>
      </c>
      <c r="C343" s="20">
        <v>118</v>
      </c>
      <c r="D343" s="21" t="s">
        <v>40</v>
      </c>
      <c r="E343" s="26">
        <v>7</v>
      </c>
      <c r="F343" s="22">
        <v>1</v>
      </c>
      <c r="G343" s="23" t="s">
        <v>20</v>
      </c>
      <c r="H343" s="22">
        <v>10</v>
      </c>
      <c r="I343" s="23" t="s">
        <v>40</v>
      </c>
      <c r="J343" s="24">
        <v>118800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si="115"/>
        <v>188</v>
      </c>
      <c r="Q343" s="23" t="s">
        <v>40</v>
      </c>
      <c r="R343" s="24">
        <f t="shared" si="116"/>
        <v>18537552</v>
      </c>
      <c r="S343" s="24">
        <f t="shared" ref="S343" si="119">R343/1.11</f>
        <v>16700497.297297295</v>
      </c>
    </row>
    <row r="344" spans="1:19" s="19" customFormat="1">
      <c r="A344" s="18" t="s">
        <v>679</v>
      </c>
      <c r="B344" s="19" t="s">
        <v>25</v>
      </c>
      <c r="C344" s="20">
        <v>15</v>
      </c>
      <c r="D344" s="21" t="s">
        <v>40</v>
      </c>
      <c r="E344" s="26"/>
      <c r="F344" s="22">
        <v>1</v>
      </c>
      <c r="G344" s="23" t="s">
        <v>20</v>
      </c>
      <c r="H344" s="22">
        <v>25</v>
      </c>
      <c r="I344" s="23" t="s">
        <v>40</v>
      </c>
      <c r="J344" s="24">
        <f>2010000/25</f>
        <v>80400</v>
      </c>
      <c r="K344" s="21" t="s">
        <v>40</v>
      </c>
      <c r="L344" s="25"/>
      <c r="M344" s="25">
        <v>0.17</v>
      </c>
      <c r="N344" s="22"/>
      <c r="O344" s="23" t="s">
        <v>40</v>
      </c>
      <c r="P344" s="20">
        <f t="shared" si="115"/>
        <v>15</v>
      </c>
      <c r="Q344" s="23" t="s">
        <v>40</v>
      </c>
      <c r="R344" s="24">
        <f t="shared" si="116"/>
        <v>1000980</v>
      </c>
      <c r="S344" s="24">
        <f t="shared" si="99"/>
        <v>901783.78378378367</v>
      </c>
    </row>
    <row r="345" spans="1:19" s="19" customFormat="1">
      <c r="A345" s="18" t="s">
        <v>237</v>
      </c>
      <c r="B345" s="19" t="s">
        <v>25</v>
      </c>
      <c r="C345" s="20">
        <v>18</v>
      </c>
      <c r="D345" s="21" t="s">
        <v>40</v>
      </c>
      <c r="E345" s="26"/>
      <c r="F345" s="22">
        <v>1</v>
      </c>
      <c r="G345" s="23" t="s">
        <v>20</v>
      </c>
      <c r="H345" s="22">
        <v>10</v>
      </c>
      <c r="I345" s="23" t="s">
        <v>40</v>
      </c>
      <c r="J345" s="24">
        <f>1260000/10</f>
        <v>126000</v>
      </c>
      <c r="K345" s="21" t="s">
        <v>40</v>
      </c>
      <c r="L345" s="25"/>
      <c r="M345" s="25">
        <v>0.17</v>
      </c>
      <c r="N345" s="22"/>
      <c r="O345" s="23" t="s">
        <v>40</v>
      </c>
      <c r="P345" s="20">
        <f t="shared" si="115"/>
        <v>18</v>
      </c>
      <c r="Q345" s="23" t="s">
        <v>40</v>
      </c>
      <c r="R345" s="24">
        <f t="shared" si="116"/>
        <v>1882440</v>
      </c>
      <c r="S345" s="24">
        <f t="shared" si="99"/>
        <v>1695891.8918918918</v>
      </c>
    </row>
    <row r="346" spans="1:19" s="19" customFormat="1">
      <c r="A346" s="18"/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 ht="15.75">
      <c r="A347" s="44" t="s">
        <v>238</v>
      </c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>
      <c r="A348" s="55" t="s">
        <v>239</v>
      </c>
      <c r="B348" s="19" t="s">
        <v>25</v>
      </c>
      <c r="C348" s="20">
        <v>18</v>
      </c>
      <c r="D348" s="21" t="s">
        <v>19</v>
      </c>
      <c r="E348" s="26"/>
      <c r="F348" s="22">
        <v>20</v>
      </c>
      <c r="G348" s="23" t="s">
        <v>33</v>
      </c>
      <c r="H348" s="22">
        <v>10</v>
      </c>
      <c r="I348" s="23" t="s">
        <v>19</v>
      </c>
      <c r="J348" s="24">
        <f>3800000/20/10</f>
        <v>19000</v>
      </c>
      <c r="K348" s="21" t="s">
        <v>19</v>
      </c>
      <c r="L348" s="25"/>
      <c r="M348" s="25">
        <v>0.17</v>
      </c>
      <c r="N348" s="22"/>
      <c r="O348" s="23" t="s">
        <v>19</v>
      </c>
      <c r="P348" s="20">
        <f>(C348+(E348*F348*H348))-N348</f>
        <v>18</v>
      </c>
      <c r="Q348" s="23" t="s">
        <v>19</v>
      </c>
      <c r="R348" s="24">
        <f>P348*(J348-(J348*L348)-((J348-(J348*L348))*M348))</f>
        <v>283860</v>
      </c>
      <c r="S348" s="24">
        <f t="shared" si="99"/>
        <v>255729.7297297297</v>
      </c>
    </row>
    <row r="349" spans="1:19" s="19" customFormat="1">
      <c r="A349" s="55" t="s">
        <v>240</v>
      </c>
      <c r="B349" s="19" t="s">
        <v>25</v>
      </c>
      <c r="C349" s="20">
        <v>120</v>
      </c>
      <c r="D349" s="21" t="s">
        <v>19</v>
      </c>
      <c r="E349" s="26"/>
      <c r="F349" s="22">
        <v>20</v>
      </c>
      <c r="G349" s="23" t="s">
        <v>33</v>
      </c>
      <c r="H349" s="22">
        <v>12</v>
      </c>
      <c r="I349" s="23" t="s">
        <v>19</v>
      </c>
      <c r="J349" s="24">
        <f>3120000/20/12</f>
        <v>13000</v>
      </c>
      <c r="K349" s="21" t="s">
        <v>19</v>
      </c>
      <c r="L349" s="25"/>
      <c r="M349" s="25">
        <v>0.17</v>
      </c>
      <c r="N349" s="22"/>
      <c r="O349" s="23" t="s">
        <v>19</v>
      </c>
      <c r="P349" s="20">
        <f>(C349+(E349*F349*H349))-N349</f>
        <v>120</v>
      </c>
      <c r="Q349" s="23" t="s">
        <v>19</v>
      </c>
      <c r="R349" s="24">
        <f>P349*(J349-(J349*L349)-((J349-(J349*L349))*M349))</f>
        <v>1294800</v>
      </c>
      <c r="S349" s="24">
        <f t="shared" si="99"/>
        <v>1166486.4864864864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 ht="15.75">
      <c r="A351" s="44" t="s">
        <v>241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77" t="s">
        <v>242</v>
      </c>
      <c r="B352" s="19" t="s">
        <v>18</v>
      </c>
      <c r="C352" s="20">
        <v>26</v>
      </c>
      <c r="D352" s="21" t="s">
        <v>40</v>
      </c>
      <c r="E352" s="26">
        <v>7</v>
      </c>
      <c r="F352" s="22">
        <v>1</v>
      </c>
      <c r="G352" s="23" t="s">
        <v>20</v>
      </c>
      <c r="H352" s="22">
        <v>24</v>
      </c>
      <c r="I352" s="23" t="s">
        <v>40</v>
      </c>
      <c r="J352" s="24">
        <v>88200</v>
      </c>
      <c r="K352" s="21" t="s">
        <v>40</v>
      </c>
      <c r="L352" s="25">
        <v>0.125</v>
      </c>
      <c r="M352" s="25">
        <v>0.05</v>
      </c>
      <c r="N352" s="22"/>
      <c r="O352" s="23" t="s">
        <v>40</v>
      </c>
      <c r="P352" s="20">
        <f t="shared" ref="P352:P361" si="120">(C352+(E352*F352*H352))-N352</f>
        <v>194</v>
      </c>
      <c r="Q352" s="23" t="s">
        <v>40</v>
      </c>
      <c r="R352" s="24">
        <f t="shared" ref="R352:R361" si="121">P352*(J352-(J352*L352)-((J352-(J352*L352))*M352))</f>
        <v>14223352.5</v>
      </c>
      <c r="S352" s="24">
        <f t="shared" si="99"/>
        <v>12813831.081081079</v>
      </c>
    </row>
    <row r="353" spans="1:19" s="19" customFormat="1">
      <c r="A353" s="18" t="s">
        <v>656</v>
      </c>
      <c r="B353" s="19" t="s">
        <v>18</v>
      </c>
      <c r="C353" s="20">
        <v>16</v>
      </c>
      <c r="D353" s="21" t="s">
        <v>40</v>
      </c>
      <c r="E353" s="26"/>
      <c r="F353" s="22">
        <v>1</v>
      </c>
      <c r="G353" s="23" t="s">
        <v>20</v>
      </c>
      <c r="H353" s="22">
        <v>24</v>
      </c>
      <c r="I353" s="23" t="s">
        <v>40</v>
      </c>
      <c r="J353" s="24">
        <v>114000</v>
      </c>
      <c r="K353" s="21" t="s">
        <v>40</v>
      </c>
      <c r="L353" s="25">
        <v>0.125</v>
      </c>
      <c r="M353" s="25">
        <v>0.05</v>
      </c>
      <c r="N353" s="22"/>
      <c r="O353" s="23" t="s">
        <v>40</v>
      </c>
      <c r="P353" s="20">
        <f t="shared" si="120"/>
        <v>16</v>
      </c>
      <c r="Q353" s="23" t="s">
        <v>40</v>
      </c>
      <c r="R353" s="24">
        <f t="shared" si="121"/>
        <v>1516200</v>
      </c>
      <c r="S353" s="24">
        <f t="shared" si="99"/>
        <v>1365945.9459459458</v>
      </c>
    </row>
    <row r="354" spans="1:19" s="19" customFormat="1">
      <c r="A354" s="18" t="s">
        <v>243</v>
      </c>
      <c r="B354" s="19" t="s">
        <v>18</v>
      </c>
      <c r="C354" s="20">
        <v>204</v>
      </c>
      <c r="D354" s="21" t="s">
        <v>40</v>
      </c>
      <c r="E354" s="26">
        <v>5</v>
      </c>
      <c r="F354" s="22">
        <v>1</v>
      </c>
      <c r="G354" s="23" t="s">
        <v>20</v>
      </c>
      <c r="H354" s="22">
        <v>24</v>
      </c>
      <c r="I354" s="23" t="s">
        <v>40</v>
      </c>
      <c r="J354" s="24">
        <v>88200</v>
      </c>
      <c r="K354" s="21" t="s">
        <v>40</v>
      </c>
      <c r="L354" s="25">
        <v>0.125</v>
      </c>
      <c r="M354" s="25">
        <v>0.05</v>
      </c>
      <c r="N354" s="22"/>
      <c r="O354" s="23" t="s">
        <v>40</v>
      </c>
      <c r="P354" s="20">
        <f t="shared" si="120"/>
        <v>324</v>
      </c>
      <c r="Q354" s="23" t="s">
        <v>40</v>
      </c>
      <c r="R354" s="24">
        <f t="shared" si="121"/>
        <v>23754465</v>
      </c>
      <c r="S354" s="24">
        <f t="shared" si="99"/>
        <v>21400418.918918919</v>
      </c>
    </row>
    <row r="355" spans="1:19" s="19" customFormat="1">
      <c r="A355" s="18" t="s">
        <v>244</v>
      </c>
      <c r="B355" s="19" t="s">
        <v>18</v>
      </c>
      <c r="C355" s="20">
        <v>350</v>
      </c>
      <c r="D355" s="21" t="s">
        <v>40</v>
      </c>
      <c r="E355" s="26">
        <v>4</v>
      </c>
      <c r="F355" s="22">
        <v>1</v>
      </c>
      <c r="G355" s="23" t="s">
        <v>20</v>
      </c>
      <c r="H355" s="22">
        <v>24</v>
      </c>
      <c r="I355" s="23" t="s">
        <v>40</v>
      </c>
      <c r="J355" s="24">
        <v>89400</v>
      </c>
      <c r="K355" s="21" t="s">
        <v>40</v>
      </c>
      <c r="L355" s="25">
        <v>0.125</v>
      </c>
      <c r="M355" s="25">
        <v>0.05</v>
      </c>
      <c r="N355" s="22"/>
      <c r="O355" s="23" t="s">
        <v>40</v>
      </c>
      <c r="P355" s="20">
        <f t="shared" si="120"/>
        <v>446</v>
      </c>
      <c r="Q355" s="23" t="s">
        <v>40</v>
      </c>
      <c r="R355" s="24">
        <f t="shared" si="121"/>
        <v>33143932.5</v>
      </c>
      <c r="S355" s="24">
        <f t="shared" si="99"/>
        <v>29859398.648648646</v>
      </c>
    </row>
    <row r="356" spans="1:19" s="19" customFormat="1">
      <c r="A356" s="18" t="s">
        <v>245</v>
      </c>
      <c r="B356" s="19" t="s">
        <v>18</v>
      </c>
      <c r="C356" s="20"/>
      <c r="D356" s="21" t="s">
        <v>152</v>
      </c>
      <c r="E356" s="26">
        <v>2</v>
      </c>
      <c r="F356" s="22">
        <v>12</v>
      </c>
      <c r="G356" s="23" t="s">
        <v>33</v>
      </c>
      <c r="H356" s="22">
        <v>24</v>
      </c>
      <c r="I356" s="23" t="s">
        <v>152</v>
      </c>
      <c r="J356" s="24">
        <v>12000</v>
      </c>
      <c r="K356" s="21" t="s">
        <v>152</v>
      </c>
      <c r="L356" s="25">
        <v>0.125</v>
      </c>
      <c r="M356" s="25">
        <v>0.05</v>
      </c>
      <c r="N356" s="22"/>
      <c r="O356" s="23" t="s">
        <v>152</v>
      </c>
      <c r="P356" s="20">
        <f t="shared" si="120"/>
        <v>576</v>
      </c>
      <c r="Q356" s="23" t="s">
        <v>152</v>
      </c>
      <c r="R356" s="24">
        <f t="shared" si="121"/>
        <v>5745600</v>
      </c>
      <c r="S356" s="24">
        <f t="shared" si="99"/>
        <v>5176216.2162162159</v>
      </c>
    </row>
    <row r="357" spans="1:19" s="89" customFormat="1">
      <c r="A357" s="88" t="s">
        <v>246</v>
      </c>
      <c r="B357" s="89" t="s">
        <v>18</v>
      </c>
      <c r="C357" s="87"/>
      <c r="D357" s="90" t="s">
        <v>152</v>
      </c>
      <c r="E357" s="91"/>
      <c r="F357" s="92">
        <v>10</v>
      </c>
      <c r="G357" s="93" t="s">
        <v>33</v>
      </c>
      <c r="H357" s="92">
        <v>10</v>
      </c>
      <c r="I357" s="93" t="s">
        <v>152</v>
      </c>
      <c r="J357" s="94">
        <v>28000</v>
      </c>
      <c r="K357" s="90" t="s">
        <v>152</v>
      </c>
      <c r="L357" s="95">
        <v>0.125</v>
      </c>
      <c r="M357" s="95">
        <v>0.05</v>
      </c>
      <c r="N357" s="92"/>
      <c r="O357" s="93" t="s">
        <v>152</v>
      </c>
      <c r="P357" s="87">
        <f t="shared" si="120"/>
        <v>0</v>
      </c>
      <c r="Q357" s="93" t="s">
        <v>152</v>
      </c>
      <c r="R357" s="94">
        <f t="shared" si="121"/>
        <v>0</v>
      </c>
      <c r="S357" s="94">
        <f t="shared" si="99"/>
        <v>0</v>
      </c>
    </row>
    <row r="358" spans="1:19" s="89" customFormat="1">
      <c r="A358" s="88" t="s">
        <v>247</v>
      </c>
      <c r="B358" s="89" t="s">
        <v>18</v>
      </c>
      <c r="C358" s="87"/>
      <c r="D358" s="90" t="s">
        <v>152</v>
      </c>
      <c r="E358" s="91"/>
      <c r="F358" s="92">
        <v>10</v>
      </c>
      <c r="G358" s="93" t="s">
        <v>33</v>
      </c>
      <c r="H358" s="92">
        <v>10</v>
      </c>
      <c r="I358" s="93" t="s">
        <v>152</v>
      </c>
      <c r="J358" s="94">
        <v>33500</v>
      </c>
      <c r="K358" s="90" t="s">
        <v>152</v>
      </c>
      <c r="L358" s="95">
        <v>0.125</v>
      </c>
      <c r="M358" s="95">
        <v>0.05</v>
      </c>
      <c r="N358" s="92"/>
      <c r="O358" s="93" t="s">
        <v>152</v>
      </c>
      <c r="P358" s="87">
        <f t="shared" si="120"/>
        <v>0</v>
      </c>
      <c r="Q358" s="93" t="s">
        <v>152</v>
      </c>
      <c r="R358" s="94">
        <f t="shared" si="121"/>
        <v>0</v>
      </c>
      <c r="S358" s="94">
        <f t="shared" si="99"/>
        <v>0</v>
      </c>
    </row>
    <row r="359" spans="1:19" s="89" customFormat="1">
      <c r="A359" s="88" t="s">
        <v>248</v>
      </c>
      <c r="B359" s="89" t="s">
        <v>18</v>
      </c>
      <c r="C359" s="87"/>
      <c r="D359" s="90" t="s">
        <v>152</v>
      </c>
      <c r="E359" s="91"/>
      <c r="F359" s="92">
        <v>8</v>
      </c>
      <c r="G359" s="93" t="s">
        <v>33</v>
      </c>
      <c r="H359" s="92">
        <v>10</v>
      </c>
      <c r="I359" s="93" t="s">
        <v>152</v>
      </c>
      <c r="J359" s="94">
        <v>48500</v>
      </c>
      <c r="K359" s="90" t="s">
        <v>152</v>
      </c>
      <c r="L359" s="95">
        <v>0.125</v>
      </c>
      <c r="M359" s="95">
        <v>0.05</v>
      </c>
      <c r="N359" s="92"/>
      <c r="O359" s="93" t="s">
        <v>152</v>
      </c>
      <c r="P359" s="87">
        <f t="shared" si="120"/>
        <v>0</v>
      </c>
      <c r="Q359" s="93" t="s">
        <v>152</v>
      </c>
      <c r="R359" s="94">
        <f t="shared" si="121"/>
        <v>0</v>
      </c>
      <c r="S359" s="94">
        <f t="shared" si="99"/>
        <v>0</v>
      </c>
    </row>
    <row r="360" spans="1:19" s="89" customFormat="1">
      <c r="A360" s="88" t="s">
        <v>249</v>
      </c>
      <c r="B360" s="89" t="s">
        <v>18</v>
      </c>
      <c r="C360" s="87"/>
      <c r="D360" s="90" t="s">
        <v>152</v>
      </c>
      <c r="E360" s="91"/>
      <c r="F360" s="92">
        <v>10</v>
      </c>
      <c r="G360" s="93" t="s">
        <v>33</v>
      </c>
      <c r="H360" s="92">
        <v>12</v>
      </c>
      <c r="I360" s="93" t="s">
        <v>152</v>
      </c>
      <c r="J360" s="94">
        <v>17000</v>
      </c>
      <c r="K360" s="90" t="s">
        <v>152</v>
      </c>
      <c r="L360" s="95">
        <v>0.125</v>
      </c>
      <c r="M360" s="95">
        <v>0.05</v>
      </c>
      <c r="N360" s="92"/>
      <c r="O360" s="93" t="s">
        <v>152</v>
      </c>
      <c r="P360" s="87">
        <f t="shared" si="120"/>
        <v>0</v>
      </c>
      <c r="Q360" s="93" t="s">
        <v>152</v>
      </c>
      <c r="R360" s="94">
        <f t="shared" si="121"/>
        <v>0</v>
      </c>
      <c r="S360" s="94">
        <f t="shared" si="99"/>
        <v>0</v>
      </c>
    </row>
    <row r="361" spans="1:19" s="89" customFormat="1">
      <c r="A361" s="88" t="s">
        <v>250</v>
      </c>
      <c r="B361" s="89" t="s">
        <v>18</v>
      </c>
      <c r="C361" s="87"/>
      <c r="D361" s="90" t="s">
        <v>152</v>
      </c>
      <c r="E361" s="91"/>
      <c r="F361" s="92">
        <v>24</v>
      </c>
      <c r="G361" s="93" t="s">
        <v>33</v>
      </c>
      <c r="H361" s="92">
        <v>12</v>
      </c>
      <c r="I361" s="93" t="s">
        <v>152</v>
      </c>
      <c r="J361" s="94">
        <v>13300</v>
      </c>
      <c r="K361" s="90" t="s">
        <v>152</v>
      </c>
      <c r="L361" s="95">
        <v>0.125</v>
      </c>
      <c r="M361" s="95">
        <v>0.05</v>
      </c>
      <c r="N361" s="92"/>
      <c r="O361" s="93" t="s">
        <v>152</v>
      </c>
      <c r="P361" s="87">
        <f t="shared" si="120"/>
        <v>0</v>
      </c>
      <c r="Q361" s="93" t="s">
        <v>152</v>
      </c>
      <c r="R361" s="94">
        <f t="shared" si="121"/>
        <v>0</v>
      </c>
      <c r="S361" s="94">
        <f t="shared" si="99"/>
        <v>0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89" customFormat="1">
      <c r="A363" s="145" t="s">
        <v>251</v>
      </c>
      <c r="B363" s="89" t="s">
        <v>25</v>
      </c>
      <c r="C363" s="87"/>
      <c r="D363" s="90" t="s">
        <v>19</v>
      </c>
      <c r="E363" s="91"/>
      <c r="F363" s="92">
        <v>24</v>
      </c>
      <c r="G363" s="93" t="s">
        <v>40</v>
      </c>
      <c r="H363" s="92">
        <v>12</v>
      </c>
      <c r="I363" s="93" t="s">
        <v>19</v>
      </c>
      <c r="J363" s="94">
        <f>2160000/24/12</f>
        <v>7500</v>
      </c>
      <c r="K363" s="90" t="s">
        <v>19</v>
      </c>
      <c r="L363" s="95"/>
      <c r="M363" s="95">
        <v>0.17</v>
      </c>
      <c r="N363" s="92"/>
      <c r="O363" s="93" t="s">
        <v>19</v>
      </c>
      <c r="P363" s="87">
        <f t="shared" ref="P363:P366" si="122">(C363+(E363*F363*H363))-N363</f>
        <v>0</v>
      </c>
      <c r="Q363" s="93" t="s">
        <v>19</v>
      </c>
      <c r="R363" s="94">
        <f t="shared" ref="R363:R366" si="123">P363*(J363-(J363*L363)-((J363-(J363*L363))*M363))</f>
        <v>0</v>
      </c>
      <c r="S363" s="94">
        <f t="shared" si="99"/>
        <v>0</v>
      </c>
    </row>
    <row r="364" spans="1:19" s="89" customFormat="1">
      <c r="A364" s="145" t="s">
        <v>252</v>
      </c>
      <c r="B364" s="89" t="s">
        <v>25</v>
      </c>
      <c r="C364" s="87"/>
      <c r="D364" s="90" t="s">
        <v>19</v>
      </c>
      <c r="E364" s="91"/>
      <c r="F364" s="92">
        <v>24</v>
      </c>
      <c r="G364" s="93" t="s">
        <v>40</v>
      </c>
      <c r="H364" s="92">
        <v>12</v>
      </c>
      <c r="I364" s="93" t="s">
        <v>19</v>
      </c>
      <c r="J364" s="94">
        <f>2160000/24/12</f>
        <v>7500</v>
      </c>
      <c r="K364" s="90" t="s">
        <v>19</v>
      </c>
      <c r="L364" s="95"/>
      <c r="M364" s="95">
        <v>0.17</v>
      </c>
      <c r="N364" s="92"/>
      <c r="O364" s="93" t="s">
        <v>19</v>
      </c>
      <c r="P364" s="87">
        <f t="shared" si="122"/>
        <v>0</v>
      </c>
      <c r="Q364" s="93" t="s">
        <v>19</v>
      </c>
      <c r="R364" s="94">
        <f t="shared" si="123"/>
        <v>0</v>
      </c>
      <c r="S364" s="94">
        <f t="shared" si="99"/>
        <v>0</v>
      </c>
    </row>
    <row r="365" spans="1:19" s="19" customFormat="1">
      <c r="A365" s="49" t="s">
        <v>784</v>
      </c>
      <c r="B365" s="19" t="s">
        <v>25</v>
      </c>
      <c r="C365" s="20">
        <v>288</v>
      </c>
      <c r="D365" s="21" t="s">
        <v>19</v>
      </c>
      <c r="E365" s="26"/>
      <c r="F365" s="22">
        <v>24</v>
      </c>
      <c r="G365" s="23" t="s">
        <v>40</v>
      </c>
      <c r="H365" s="22">
        <v>12</v>
      </c>
      <c r="I365" s="23" t="s">
        <v>19</v>
      </c>
      <c r="J365" s="24">
        <f>2160000/24/12</f>
        <v>7500</v>
      </c>
      <c r="K365" s="21" t="s">
        <v>19</v>
      </c>
      <c r="L365" s="25"/>
      <c r="M365" s="25">
        <v>0.17</v>
      </c>
      <c r="N365" s="22"/>
      <c r="O365" s="23" t="s">
        <v>19</v>
      </c>
      <c r="P365" s="20">
        <f t="shared" si="122"/>
        <v>288</v>
      </c>
      <c r="Q365" s="23" t="s">
        <v>19</v>
      </c>
      <c r="R365" s="24">
        <f t="shared" si="123"/>
        <v>1792800</v>
      </c>
      <c r="S365" s="24">
        <f t="shared" si="99"/>
        <v>1615135.1351351349</v>
      </c>
    </row>
    <row r="366" spans="1:19" s="19" customFormat="1">
      <c r="A366" s="49" t="s">
        <v>785</v>
      </c>
      <c r="B366" s="19" t="s">
        <v>25</v>
      </c>
      <c r="C366" s="20">
        <v>204</v>
      </c>
      <c r="D366" s="21" t="s">
        <v>19</v>
      </c>
      <c r="E366" s="26"/>
      <c r="F366" s="22">
        <v>12</v>
      </c>
      <c r="G366" s="23" t="s">
        <v>40</v>
      </c>
      <c r="H366" s="22">
        <v>12</v>
      </c>
      <c r="I366" s="23" t="s">
        <v>19</v>
      </c>
      <c r="J366" s="24">
        <f>3024000/12/12</f>
        <v>21000</v>
      </c>
      <c r="K366" s="21" t="s">
        <v>19</v>
      </c>
      <c r="L366" s="25"/>
      <c r="M366" s="25">
        <v>0.17</v>
      </c>
      <c r="N366" s="22"/>
      <c r="O366" s="23" t="s">
        <v>19</v>
      </c>
      <c r="P366" s="20">
        <f t="shared" si="122"/>
        <v>204</v>
      </c>
      <c r="Q366" s="23" t="s">
        <v>19</v>
      </c>
      <c r="R366" s="24">
        <f t="shared" si="123"/>
        <v>3555720</v>
      </c>
      <c r="S366" s="24">
        <f t="shared" si="99"/>
        <v>3203351.351351351</v>
      </c>
    </row>
    <row r="367" spans="1:19" s="19" customFormat="1">
      <c r="A367" s="18"/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 ht="15.75">
      <c r="A368" s="44" t="s">
        <v>253</v>
      </c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89" customFormat="1">
      <c r="A369" s="88" t="s">
        <v>254</v>
      </c>
      <c r="B369" s="89" t="s">
        <v>18</v>
      </c>
      <c r="C369" s="87"/>
      <c r="D369" s="90" t="s">
        <v>33</v>
      </c>
      <c r="E369" s="91"/>
      <c r="F369" s="92">
        <v>1</v>
      </c>
      <c r="G369" s="93" t="s">
        <v>20</v>
      </c>
      <c r="H369" s="92">
        <v>20</v>
      </c>
      <c r="I369" s="93" t="s">
        <v>33</v>
      </c>
      <c r="J369" s="94">
        <f>6200*12</f>
        <v>74400</v>
      </c>
      <c r="K369" s="90" t="s">
        <v>33</v>
      </c>
      <c r="L369" s="95">
        <v>0.125</v>
      </c>
      <c r="M369" s="95">
        <v>0.05</v>
      </c>
      <c r="N369" s="92"/>
      <c r="O369" s="93" t="s">
        <v>33</v>
      </c>
      <c r="P369" s="87">
        <f>(C369+(E369*F369*H369))-N369</f>
        <v>0</v>
      </c>
      <c r="Q369" s="93" t="s">
        <v>33</v>
      </c>
      <c r="R369" s="94">
        <f>P369*(J369-(J369*L369)-((J369-(J369*L369))*M369))</f>
        <v>0</v>
      </c>
      <c r="S369" s="94">
        <f t="shared" si="99"/>
        <v>0</v>
      </c>
    </row>
    <row r="370" spans="1:19" s="89" customFormat="1">
      <c r="A370" s="88" t="s">
        <v>255</v>
      </c>
      <c r="B370" s="89" t="s">
        <v>18</v>
      </c>
      <c r="C370" s="87"/>
      <c r="D370" s="90" t="s">
        <v>33</v>
      </c>
      <c r="E370" s="91"/>
      <c r="F370" s="92">
        <v>1</v>
      </c>
      <c r="G370" s="93" t="s">
        <v>20</v>
      </c>
      <c r="H370" s="92">
        <v>20</v>
      </c>
      <c r="I370" s="93" t="s">
        <v>33</v>
      </c>
      <c r="J370" s="94">
        <f>6800*12</f>
        <v>81600</v>
      </c>
      <c r="K370" s="90" t="s">
        <v>33</v>
      </c>
      <c r="L370" s="95">
        <v>0.125</v>
      </c>
      <c r="M370" s="95">
        <v>0.05</v>
      </c>
      <c r="N370" s="92"/>
      <c r="O370" s="93" t="s">
        <v>33</v>
      </c>
      <c r="P370" s="87">
        <f>(C370+(E370*F370*H370))-N370</f>
        <v>0</v>
      </c>
      <c r="Q370" s="93" t="s">
        <v>33</v>
      </c>
      <c r="R370" s="94">
        <f>P370*(J370-(J370*L370)-((J370-(J370*L370))*M370))</f>
        <v>0</v>
      </c>
      <c r="S370" s="94">
        <f t="shared" si="99"/>
        <v>0</v>
      </c>
    </row>
    <row r="371" spans="1:19" s="89" customFormat="1">
      <c r="A371" s="165" t="s">
        <v>878</v>
      </c>
      <c r="B371" s="89" t="s">
        <v>18</v>
      </c>
      <c r="C371" s="87"/>
      <c r="D371" s="90" t="s">
        <v>33</v>
      </c>
      <c r="E371" s="91">
        <v>1</v>
      </c>
      <c r="F371" s="92">
        <v>1</v>
      </c>
      <c r="G371" s="93" t="s">
        <v>20</v>
      </c>
      <c r="H371" s="92">
        <v>10</v>
      </c>
      <c r="I371" s="93" t="s">
        <v>33</v>
      </c>
      <c r="J371" s="94">
        <v>135600</v>
      </c>
      <c r="K371" s="90" t="s">
        <v>33</v>
      </c>
      <c r="L371" s="95">
        <v>0.125</v>
      </c>
      <c r="M371" s="95">
        <v>0.05</v>
      </c>
      <c r="N371" s="92"/>
      <c r="O371" s="93" t="s">
        <v>33</v>
      </c>
      <c r="P371" s="87">
        <f>(C371+(E371*F371*H371))-N371</f>
        <v>10</v>
      </c>
      <c r="Q371" s="93" t="s">
        <v>33</v>
      </c>
      <c r="R371" s="94">
        <f>P371*(J371-(J371*L371)-((J371-(J371*L371))*M371))</f>
        <v>1127175</v>
      </c>
      <c r="S371" s="94">
        <f t="shared" ref="S371" si="124">R371/1.11</f>
        <v>1015472.9729729729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 ht="15.75">
      <c r="A373" s="44" t="s">
        <v>256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71" t="s">
        <v>257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89" customFormat="1">
      <c r="A375" s="88" t="s">
        <v>258</v>
      </c>
      <c r="B375" s="89" t="s">
        <v>25</v>
      </c>
      <c r="C375" s="87"/>
      <c r="D375" s="90" t="s">
        <v>99</v>
      </c>
      <c r="E375" s="91"/>
      <c r="F375" s="92">
        <v>1</v>
      </c>
      <c r="G375" s="93" t="s">
        <v>20</v>
      </c>
      <c r="H375" s="92">
        <v>50</v>
      </c>
      <c r="I375" s="93" t="s">
        <v>99</v>
      </c>
      <c r="J375" s="94">
        <f>740000/50</f>
        <v>14800</v>
      </c>
      <c r="K375" s="90" t="s">
        <v>99</v>
      </c>
      <c r="L375" s="95"/>
      <c r="M375" s="95">
        <v>0.17</v>
      </c>
      <c r="N375" s="92"/>
      <c r="O375" s="93" t="s">
        <v>99</v>
      </c>
      <c r="P375" s="87">
        <f>(C375+(E375*F375*H375))-N375</f>
        <v>0</v>
      </c>
      <c r="Q375" s="93" t="s">
        <v>99</v>
      </c>
      <c r="R375" s="94">
        <f>P375*(J375-(J375*L375)-((J375-(J375*L375))*M375))</f>
        <v>0</v>
      </c>
      <c r="S375" s="94">
        <f t="shared" si="99"/>
        <v>0</v>
      </c>
    </row>
    <row r="376" spans="1:19" s="19" customFormat="1">
      <c r="A376" s="71" t="s">
        <v>259</v>
      </c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260</v>
      </c>
      <c r="B377" s="19" t="s">
        <v>261</v>
      </c>
      <c r="C377" s="20">
        <v>250</v>
      </c>
      <c r="D377" s="21" t="s">
        <v>99</v>
      </c>
      <c r="E377" s="26"/>
      <c r="F377" s="22">
        <v>1</v>
      </c>
      <c r="G377" s="23" t="s">
        <v>20</v>
      </c>
      <c r="H377" s="22">
        <v>50</v>
      </c>
      <c r="I377" s="23" t="s">
        <v>99</v>
      </c>
      <c r="J377" s="24">
        <v>32500</v>
      </c>
      <c r="K377" s="21" t="s">
        <v>99</v>
      </c>
      <c r="L377" s="25"/>
      <c r="M377" s="25"/>
      <c r="N377" s="22"/>
      <c r="O377" s="23" t="s">
        <v>99</v>
      </c>
      <c r="P377" s="20">
        <f>(C377+(E377*F377*H377))-N377</f>
        <v>250</v>
      </c>
      <c r="Q377" s="23" t="s">
        <v>99</v>
      </c>
      <c r="R377" s="24">
        <f>P377*(J377-(J377*L377)-((J377-(J377*L377))*M377))</f>
        <v>8125000</v>
      </c>
      <c r="S377" s="24">
        <f t="shared" ref="S377:S475" si="125">R377/1.11</f>
        <v>7319819.8198198192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44" t="s">
        <v>262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89" customFormat="1">
      <c r="A380" s="88" t="s">
        <v>263</v>
      </c>
      <c r="B380" s="89" t="s">
        <v>18</v>
      </c>
      <c r="C380" s="87"/>
      <c r="D380" s="90" t="s">
        <v>103</v>
      </c>
      <c r="E380" s="91"/>
      <c r="F380" s="92">
        <v>8</v>
      </c>
      <c r="G380" s="93" t="s">
        <v>33</v>
      </c>
      <c r="H380" s="92">
        <v>25</v>
      </c>
      <c r="I380" s="93" t="s">
        <v>103</v>
      </c>
      <c r="J380" s="94">
        <v>4000</v>
      </c>
      <c r="K380" s="90" t="s">
        <v>103</v>
      </c>
      <c r="L380" s="95">
        <v>0.125</v>
      </c>
      <c r="M380" s="95">
        <v>0.05</v>
      </c>
      <c r="N380" s="92"/>
      <c r="O380" s="93" t="s">
        <v>103</v>
      </c>
      <c r="P380" s="87">
        <f>(C380+(E380*F380*H380))-N380</f>
        <v>0</v>
      </c>
      <c r="Q380" s="93" t="s">
        <v>103</v>
      </c>
      <c r="R380" s="94">
        <f>P380*(J380-(J380*L380)-((J380-(J380*L380))*M380))</f>
        <v>0</v>
      </c>
      <c r="S380" s="94">
        <f t="shared" si="125"/>
        <v>0</v>
      </c>
    </row>
    <row r="381" spans="1:19" s="89" customFormat="1">
      <c r="A381" s="88" t="s">
        <v>264</v>
      </c>
      <c r="B381" s="89" t="s">
        <v>18</v>
      </c>
      <c r="C381" s="87"/>
      <c r="D381" s="90" t="s">
        <v>77</v>
      </c>
      <c r="E381" s="91"/>
      <c r="F381" s="92">
        <v>1</v>
      </c>
      <c r="G381" s="93" t="s">
        <v>20</v>
      </c>
      <c r="H381" s="92">
        <v>48</v>
      </c>
      <c r="I381" s="93" t="s">
        <v>77</v>
      </c>
      <c r="J381" s="94">
        <v>30000</v>
      </c>
      <c r="K381" s="90" t="s">
        <v>77</v>
      </c>
      <c r="L381" s="95">
        <v>0.125</v>
      </c>
      <c r="M381" s="95">
        <v>0.05</v>
      </c>
      <c r="N381" s="92"/>
      <c r="O381" s="93" t="s">
        <v>77</v>
      </c>
      <c r="P381" s="87">
        <f>(C381+(E381*F381*H381))-N381</f>
        <v>0</v>
      </c>
      <c r="Q381" s="93" t="s">
        <v>77</v>
      </c>
      <c r="R381" s="94">
        <f>P381*(J381-(J381*L381)-((J381-(J381*L381))*M381))</f>
        <v>0</v>
      </c>
      <c r="S381" s="94">
        <f t="shared" si="125"/>
        <v>0</v>
      </c>
    </row>
    <row r="382" spans="1:19" s="106" customFormat="1">
      <c r="A382" s="98" t="s">
        <v>265</v>
      </c>
      <c r="B382" s="106" t="s">
        <v>18</v>
      </c>
      <c r="C382" s="107"/>
      <c r="D382" s="108" t="s">
        <v>77</v>
      </c>
      <c r="E382" s="109">
        <v>1</v>
      </c>
      <c r="F382" s="110">
        <v>1</v>
      </c>
      <c r="G382" s="111" t="s">
        <v>20</v>
      </c>
      <c r="H382" s="110">
        <v>48</v>
      </c>
      <c r="I382" s="111" t="s">
        <v>77</v>
      </c>
      <c r="J382" s="112">
        <v>23000</v>
      </c>
      <c r="K382" s="108" t="s">
        <v>77</v>
      </c>
      <c r="L382" s="113">
        <v>0.125</v>
      </c>
      <c r="M382" s="113">
        <v>0.05</v>
      </c>
      <c r="N382" s="110"/>
      <c r="O382" s="111" t="s">
        <v>77</v>
      </c>
      <c r="P382" s="107">
        <f>(C382+(E382*F382*H382))-N382</f>
        <v>48</v>
      </c>
      <c r="Q382" s="111" t="s">
        <v>77</v>
      </c>
      <c r="R382" s="112">
        <f>P382*(J382-(J382*L382)-((J382-(J382*L382))*M382))</f>
        <v>917700</v>
      </c>
      <c r="S382" s="112">
        <f t="shared" si="125"/>
        <v>826756.75675675669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89" customFormat="1">
      <c r="A384" s="88" t="s">
        <v>266</v>
      </c>
      <c r="B384" s="89" t="s">
        <v>25</v>
      </c>
      <c r="C384" s="87"/>
      <c r="D384" s="90" t="s">
        <v>103</v>
      </c>
      <c r="E384" s="91"/>
      <c r="F384" s="92">
        <v>80</v>
      </c>
      <c r="G384" s="93" t="s">
        <v>33</v>
      </c>
      <c r="H384" s="92">
        <v>25</v>
      </c>
      <c r="I384" s="93" t="s">
        <v>103</v>
      </c>
      <c r="J384" s="94">
        <v>4500</v>
      </c>
      <c r="K384" s="90" t="s">
        <v>103</v>
      </c>
      <c r="L384" s="95"/>
      <c r="M384" s="95">
        <v>0.17</v>
      </c>
      <c r="N384" s="92"/>
      <c r="O384" s="93" t="s">
        <v>103</v>
      </c>
      <c r="P384" s="87">
        <f>(C384+(E384*F384*H384))-N384</f>
        <v>0</v>
      </c>
      <c r="Q384" s="93" t="s">
        <v>103</v>
      </c>
      <c r="R384" s="94">
        <f>P384*(J384-(J384*L384)-((J384-(J384*L384))*M384))</f>
        <v>0</v>
      </c>
      <c r="S384" s="94">
        <f t="shared" si="125"/>
        <v>0</v>
      </c>
    </row>
    <row r="385" spans="1:19" s="89" customFormat="1">
      <c r="A385" s="88" t="s">
        <v>267</v>
      </c>
      <c r="B385" s="89" t="s">
        <v>25</v>
      </c>
      <c r="C385" s="87"/>
      <c r="D385" s="90" t="s">
        <v>77</v>
      </c>
      <c r="E385" s="91"/>
      <c r="F385" s="92">
        <v>1</v>
      </c>
      <c r="G385" s="93" t="s">
        <v>20</v>
      </c>
      <c r="H385" s="92">
        <v>48</v>
      </c>
      <c r="I385" s="93" t="s">
        <v>77</v>
      </c>
      <c r="J385" s="94">
        <v>23500</v>
      </c>
      <c r="K385" s="90" t="s">
        <v>77</v>
      </c>
      <c r="L385" s="95"/>
      <c r="M385" s="95">
        <v>0.17</v>
      </c>
      <c r="N385" s="92"/>
      <c r="O385" s="93" t="s">
        <v>77</v>
      </c>
      <c r="P385" s="87">
        <f>(C385+(E385*F385*H385))-N385</f>
        <v>0</v>
      </c>
      <c r="Q385" s="93" t="s">
        <v>77</v>
      </c>
      <c r="R385" s="94">
        <f>P385*(J385-(J385*L385)-((J385-(J385*L385))*M385))</f>
        <v>0</v>
      </c>
      <c r="S385" s="94">
        <f t="shared" si="125"/>
        <v>0</v>
      </c>
    </row>
    <row r="386" spans="1:19" s="19" customFormat="1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>
      <c r="A387" s="44" t="s">
        <v>268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8" t="s">
        <v>269</v>
      </c>
      <c r="B388" s="19" t="s">
        <v>18</v>
      </c>
      <c r="C388" s="20">
        <v>286</v>
      </c>
      <c r="D388" s="21" t="s">
        <v>152</v>
      </c>
      <c r="E388" s="26">
        <v>2</v>
      </c>
      <c r="F388" s="22">
        <v>10</v>
      </c>
      <c r="G388" s="23" t="s">
        <v>33</v>
      </c>
      <c r="H388" s="22">
        <v>24</v>
      </c>
      <c r="I388" s="23" t="s">
        <v>152</v>
      </c>
      <c r="J388" s="24">
        <v>8800</v>
      </c>
      <c r="K388" s="21" t="s">
        <v>152</v>
      </c>
      <c r="L388" s="25">
        <v>0.125</v>
      </c>
      <c r="M388" s="25">
        <v>0.05</v>
      </c>
      <c r="N388" s="22"/>
      <c r="O388" s="23" t="s">
        <v>152</v>
      </c>
      <c r="P388" s="20">
        <f t="shared" ref="P388:P407" si="126">(C388+(E388*F388*H388))-N388</f>
        <v>766</v>
      </c>
      <c r="Q388" s="23" t="s">
        <v>152</v>
      </c>
      <c r="R388" s="24">
        <f t="shared" ref="R388:R407" si="127">P388*(J388-(J388*L388)-((J388-(J388*L388))*M388))</f>
        <v>5603290</v>
      </c>
      <c r="S388" s="24">
        <f t="shared" si="125"/>
        <v>5048009.0090090083</v>
      </c>
    </row>
    <row r="389" spans="1:19" s="89" customFormat="1">
      <c r="A389" s="88" t="s">
        <v>270</v>
      </c>
      <c r="B389" s="89" t="s">
        <v>18</v>
      </c>
      <c r="C389" s="87"/>
      <c r="D389" s="90" t="s">
        <v>152</v>
      </c>
      <c r="E389" s="91"/>
      <c r="F389" s="92">
        <v>6</v>
      </c>
      <c r="G389" s="93" t="s">
        <v>33</v>
      </c>
      <c r="H389" s="92">
        <v>24</v>
      </c>
      <c r="I389" s="93" t="s">
        <v>152</v>
      </c>
      <c r="J389" s="94">
        <v>29500</v>
      </c>
      <c r="K389" s="90" t="s">
        <v>152</v>
      </c>
      <c r="L389" s="95">
        <v>0.125</v>
      </c>
      <c r="M389" s="95">
        <v>0.05</v>
      </c>
      <c r="N389" s="92"/>
      <c r="O389" s="93" t="s">
        <v>152</v>
      </c>
      <c r="P389" s="87">
        <f t="shared" si="126"/>
        <v>0</v>
      </c>
      <c r="Q389" s="93" t="s">
        <v>152</v>
      </c>
      <c r="R389" s="94">
        <f t="shared" si="127"/>
        <v>0</v>
      </c>
      <c r="S389" s="94">
        <f t="shared" si="125"/>
        <v>0</v>
      </c>
    </row>
    <row r="390" spans="1:19" s="89" customFormat="1">
      <c r="A390" s="88" t="s">
        <v>271</v>
      </c>
      <c r="B390" s="89" t="s">
        <v>18</v>
      </c>
      <c r="C390" s="87"/>
      <c r="D390" s="90" t="s">
        <v>152</v>
      </c>
      <c r="E390" s="91"/>
      <c r="F390" s="92">
        <v>12</v>
      </c>
      <c r="G390" s="93" t="s">
        <v>33</v>
      </c>
      <c r="H390" s="92">
        <v>12</v>
      </c>
      <c r="I390" s="93" t="s">
        <v>152</v>
      </c>
      <c r="J390" s="94">
        <v>19600</v>
      </c>
      <c r="K390" s="90" t="s">
        <v>152</v>
      </c>
      <c r="L390" s="95">
        <v>0.125</v>
      </c>
      <c r="M390" s="95">
        <v>0.05</v>
      </c>
      <c r="N390" s="92"/>
      <c r="O390" s="93" t="s">
        <v>152</v>
      </c>
      <c r="P390" s="87">
        <f t="shared" si="126"/>
        <v>0</v>
      </c>
      <c r="Q390" s="93" t="s">
        <v>152</v>
      </c>
      <c r="R390" s="94">
        <f t="shared" si="127"/>
        <v>0</v>
      </c>
      <c r="S390" s="94">
        <f t="shared" si="125"/>
        <v>0</v>
      </c>
    </row>
    <row r="391" spans="1:19" s="19" customFormat="1">
      <c r="A391" s="18" t="s">
        <v>272</v>
      </c>
      <c r="B391" s="19" t="s">
        <v>18</v>
      </c>
      <c r="C391" s="20">
        <v>120</v>
      </c>
      <c r="D391" s="21" t="s">
        <v>152</v>
      </c>
      <c r="E391" s="26"/>
      <c r="F391" s="22">
        <v>12</v>
      </c>
      <c r="G391" s="23" t="s">
        <v>33</v>
      </c>
      <c r="H391" s="22">
        <v>12</v>
      </c>
      <c r="I391" s="23" t="s">
        <v>152</v>
      </c>
      <c r="J391" s="24">
        <v>18500</v>
      </c>
      <c r="K391" s="21" t="s">
        <v>152</v>
      </c>
      <c r="L391" s="25">
        <v>0.125</v>
      </c>
      <c r="M391" s="25">
        <v>0.05</v>
      </c>
      <c r="N391" s="22"/>
      <c r="O391" s="23" t="s">
        <v>152</v>
      </c>
      <c r="P391" s="20">
        <f t="shared" si="126"/>
        <v>120</v>
      </c>
      <c r="Q391" s="23" t="s">
        <v>152</v>
      </c>
      <c r="R391" s="24">
        <f t="shared" si="127"/>
        <v>1845375</v>
      </c>
      <c r="S391" s="24">
        <f t="shared" si="125"/>
        <v>1662499.9999999998</v>
      </c>
    </row>
    <row r="392" spans="1:19" s="89" customFormat="1">
      <c r="A392" s="88" t="s">
        <v>273</v>
      </c>
      <c r="B392" s="89" t="s">
        <v>18</v>
      </c>
      <c r="C392" s="87"/>
      <c r="D392" s="90" t="s">
        <v>152</v>
      </c>
      <c r="E392" s="91"/>
      <c r="F392" s="92">
        <v>10</v>
      </c>
      <c r="G392" s="93" t="s">
        <v>33</v>
      </c>
      <c r="H392" s="92">
        <v>24</v>
      </c>
      <c r="I392" s="93" t="s">
        <v>152</v>
      </c>
      <c r="J392" s="94">
        <v>10600</v>
      </c>
      <c r="K392" s="90" t="s">
        <v>152</v>
      </c>
      <c r="L392" s="95">
        <v>0.125</v>
      </c>
      <c r="M392" s="95">
        <v>0.05</v>
      </c>
      <c r="N392" s="92"/>
      <c r="O392" s="93" t="s">
        <v>152</v>
      </c>
      <c r="P392" s="87">
        <f t="shared" si="126"/>
        <v>0</v>
      </c>
      <c r="Q392" s="93" t="s">
        <v>152</v>
      </c>
      <c r="R392" s="94">
        <f t="shared" si="127"/>
        <v>0</v>
      </c>
      <c r="S392" s="94">
        <f t="shared" si="125"/>
        <v>0</v>
      </c>
    </row>
    <row r="393" spans="1:19" s="19" customFormat="1">
      <c r="A393" s="18" t="s">
        <v>274</v>
      </c>
      <c r="B393" s="19" t="s">
        <v>18</v>
      </c>
      <c r="C393" s="20">
        <v>204</v>
      </c>
      <c r="D393" s="21" t="s">
        <v>152</v>
      </c>
      <c r="E393" s="26"/>
      <c r="F393" s="22">
        <v>20</v>
      </c>
      <c r="G393" s="23" t="s">
        <v>33</v>
      </c>
      <c r="H393" s="22">
        <v>12</v>
      </c>
      <c r="I393" s="23" t="s">
        <v>152</v>
      </c>
      <c r="J393" s="24">
        <v>4000</v>
      </c>
      <c r="K393" s="21" t="s">
        <v>152</v>
      </c>
      <c r="L393" s="25">
        <v>0.4</v>
      </c>
      <c r="M393" s="25">
        <v>0.05</v>
      </c>
      <c r="N393" s="22"/>
      <c r="O393" s="23" t="s">
        <v>152</v>
      </c>
      <c r="P393" s="20">
        <f t="shared" si="126"/>
        <v>204</v>
      </c>
      <c r="Q393" s="23" t="s">
        <v>152</v>
      </c>
      <c r="R393" s="24">
        <f t="shared" si="127"/>
        <v>465120</v>
      </c>
      <c r="S393" s="24">
        <f t="shared" si="125"/>
        <v>419027.02702702698</v>
      </c>
    </row>
    <row r="394" spans="1:19" s="19" customFormat="1">
      <c r="A394" s="18" t="s">
        <v>737</v>
      </c>
      <c r="B394" s="19" t="s">
        <v>18</v>
      </c>
      <c r="C394" s="20">
        <v>6</v>
      </c>
      <c r="D394" s="21" t="s">
        <v>152</v>
      </c>
      <c r="E394" s="26"/>
      <c r="F394" s="22">
        <v>12</v>
      </c>
      <c r="G394" s="23" t="s">
        <v>33</v>
      </c>
      <c r="H394" s="22">
        <v>12</v>
      </c>
      <c r="I394" s="23" t="s">
        <v>152</v>
      </c>
      <c r="J394" s="24">
        <v>34500</v>
      </c>
      <c r="K394" s="21" t="s">
        <v>152</v>
      </c>
      <c r="L394" s="25">
        <v>0.125</v>
      </c>
      <c r="M394" s="25">
        <v>0.05</v>
      </c>
      <c r="N394" s="22"/>
      <c r="O394" s="23" t="s">
        <v>152</v>
      </c>
      <c r="P394" s="20">
        <f t="shared" si="126"/>
        <v>6</v>
      </c>
      <c r="Q394" s="23" t="s">
        <v>152</v>
      </c>
      <c r="R394" s="24">
        <f t="shared" si="127"/>
        <v>172068.75</v>
      </c>
      <c r="S394" s="24">
        <f t="shared" si="125"/>
        <v>155016.89189189186</v>
      </c>
    </row>
    <row r="395" spans="1:19" s="80" customFormat="1">
      <c r="A395" s="79" t="s">
        <v>859</v>
      </c>
      <c r="B395" s="80" t="s">
        <v>18</v>
      </c>
      <c r="C395" s="81"/>
      <c r="D395" s="82" t="s">
        <v>152</v>
      </c>
      <c r="E395" s="83"/>
      <c r="F395" s="84">
        <v>1</v>
      </c>
      <c r="G395" s="85" t="s">
        <v>20</v>
      </c>
      <c r="H395" s="84">
        <v>240</v>
      </c>
      <c r="I395" s="85" t="s">
        <v>40</v>
      </c>
      <c r="J395" s="16">
        <v>26400</v>
      </c>
      <c r="K395" s="82" t="s">
        <v>40</v>
      </c>
      <c r="L395" s="86">
        <v>0.125</v>
      </c>
      <c r="M395" s="86">
        <v>0.05</v>
      </c>
      <c r="N395" s="84"/>
      <c r="O395" s="85" t="s">
        <v>40</v>
      </c>
      <c r="P395" s="81">
        <f t="shared" si="126"/>
        <v>0</v>
      </c>
      <c r="Q395" s="85" t="s">
        <v>40</v>
      </c>
      <c r="R395" s="16">
        <f t="shared" si="127"/>
        <v>0</v>
      </c>
      <c r="S395" s="16">
        <f t="shared" si="125"/>
        <v>0</v>
      </c>
    </row>
    <row r="396" spans="1:19" s="80" customFormat="1">
      <c r="A396" s="79" t="s">
        <v>860</v>
      </c>
      <c r="B396" s="80" t="s">
        <v>18</v>
      </c>
      <c r="C396" s="81"/>
      <c r="D396" s="82" t="s">
        <v>152</v>
      </c>
      <c r="E396" s="83"/>
      <c r="F396" s="84">
        <v>1</v>
      </c>
      <c r="G396" s="85" t="s">
        <v>20</v>
      </c>
      <c r="H396" s="84">
        <v>240</v>
      </c>
      <c r="I396" s="85" t="s">
        <v>40</v>
      </c>
      <c r="J396" s="16">
        <v>26400</v>
      </c>
      <c r="K396" s="82" t="s">
        <v>40</v>
      </c>
      <c r="L396" s="86">
        <v>0.125</v>
      </c>
      <c r="M396" s="86">
        <v>0.05</v>
      </c>
      <c r="N396" s="84"/>
      <c r="O396" s="85" t="s">
        <v>40</v>
      </c>
      <c r="P396" s="81">
        <f t="shared" si="126"/>
        <v>0</v>
      </c>
      <c r="Q396" s="85" t="s">
        <v>40</v>
      </c>
      <c r="R396" s="16">
        <f t="shared" si="127"/>
        <v>0</v>
      </c>
      <c r="S396" s="16">
        <f t="shared" si="125"/>
        <v>0</v>
      </c>
    </row>
    <row r="397" spans="1:19" s="80" customFormat="1">
      <c r="A397" s="79" t="s">
        <v>861</v>
      </c>
      <c r="B397" s="80" t="s">
        <v>18</v>
      </c>
      <c r="C397" s="81"/>
      <c r="D397" s="82" t="s">
        <v>152</v>
      </c>
      <c r="E397" s="83"/>
      <c r="F397" s="84">
        <v>1</v>
      </c>
      <c r="G397" s="85" t="s">
        <v>20</v>
      </c>
      <c r="H397" s="84">
        <v>240</v>
      </c>
      <c r="I397" s="85" t="s">
        <v>40</v>
      </c>
      <c r="J397" s="16">
        <v>30000</v>
      </c>
      <c r="K397" s="82" t="s">
        <v>40</v>
      </c>
      <c r="L397" s="86">
        <v>0.125</v>
      </c>
      <c r="M397" s="86">
        <v>0.05</v>
      </c>
      <c r="N397" s="84"/>
      <c r="O397" s="85" t="s">
        <v>40</v>
      </c>
      <c r="P397" s="81">
        <f t="shared" si="126"/>
        <v>0</v>
      </c>
      <c r="Q397" s="85" t="s">
        <v>40</v>
      </c>
      <c r="R397" s="16">
        <f t="shared" si="127"/>
        <v>0</v>
      </c>
      <c r="S397" s="16">
        <f t="shared" si="125"/>
        <v>0</v>
      </c>
    </row>
    <row r="398" spans="1:19" s="80" customFormat="1">
      <c r="A398" s="79" t="s">
        <v>862</v>
      </c>
      <c r="B398" s="80" t="s">
        <v>18</v>
      </c>
      <c r="C398" s="81"/>
      <c r="D398" s="82" t="s">
        <v>152</v>
      </c>
      <c r="E398" s="83"/>
      <c r="F398" s="84">
        <v>1</v>
      </c>
      <c r="G398" s="85" t="s">
        <v>20</v>
      </c>
      <c r="H398" s="84">
        <v>240</v>
      </c>
      <c r="I398" s="85" t="s">
        <v>40</v>
      </c>
      <c r="J398" s="16">
        <v>31200</v>
      </c>
      <c r="K398" s="82" t="s">
        <v>40</v>
      </c>
      <c r="L398" s="86">
        <v>0.125</v>
      </c>
      <c r="M398" s="86">
        <v>0.05</v>
      </c>
      <c r="N398" s="84"/>
      <c r="O398" s="85" t="s">
        <v>40</v>
      </c>
      <c r="P398" s="81">
        <f t="shared" si="126"/>
        <v>0</v>
      </c>
      <c r="Q398" s="85" t="s">
        <v>40</v>
      </c>
      <c r="R398" s="16">
        <f t="shared" si="127"/>
        <v>0</v>
      </c>
      <c r="S398" s="16">
        <f t="shared" si="125"/>
        <v>0</v>
      </c>
    </row>
    <row r="399" spans="1:19" s="80" customFormat="1">
      <c r="A399" s="79" t="s">
        <v>863</v>
      </c>
      <c r="B399" s="80" t="s">
        <v>18</v>
      </c>
      <c r="C399" s="81"/>
      <c r="D399" s="82" t="s">
        <v>152</v>
      </c>
      <c r="E399" s="83"/>
      <c r="F399" s="84">
        <v>1</v>
      </c>
      <c r="G399" s="85" t="s">
        <v>20</v>
      </c>
      <c r="H399" s="84"/>
      <c r="I399" s="85" t="s">
        <v>40</v>
      </c>
      <c r="J399" s="16"/>
      <c r="K399" s="82" t="s">
        <v>40</v>
      </c>
      <c r="L399" s="86">
        <v>0.125</v>
      </c>
      <c r="M399" s="86">
        <v>0.05</v>
      </c>
      <c r="N399" s="84"/>
      <c r="O399" s="85" t="s">
        <v>40</v>
      </c>
      <c r="P399" s="81">
        <f t="shared" si="126"/>
        <v>0</v>
      </c>
      <c r="Q399" s="85" t="s">
        <v>40</v>
      </c>
      <c r="R399" s="16">
        <f t="shared" si="127"/>
        <v>0</v>
      </c>
      <c r="S399" s="16">
        <f t="shared" si="125"/>
        <v>0</v>
      </c>
    </row>
    <row r="400" spans="1:19" s="80" customFormat="1">
      <c r="A400" s="79" t="s">
        <v>864</v>
      </c>
      <c r="B400" s="80" t="s">
        <v>18</v>
      </c>
      <c r="C400" s="81"/>
      <c r="D400" s="82" t="s">
        <v>152</v>
      </c>
      <c r="E400" s="83"/>
      <c r="F400" s="84">
        <v>1</v>
      </c>
      <c r="G400" s="85" t="s">
        <v>20</v>
      </c>
      <c r="H400" s="84">
        <v>240</v>
      </c>
      <c r="I400" s="85" t="s">
        <v>40</v>
      </c>
      <c r="J400" s="16">
        <v>37800</v>
      </c>
      <c r="K400" s="82" t="s">
        <v>40</v>
      </c>
      <c r="L400" s="86">
        <v>0.125</v>
      </c>
      <c r="M400" s="86">
        <v>0.05</v>
      </c>
      <c r="N400" s="84"/>
      <c r="O400" s="85" t="s">
        <v>40</v>
      </c>
      <c r="P400" s="81">
        <f t="shared" si="126"/>
        <v>0</v>
      </c>
      <c r="Q400" s="85" t="s">
        <v>40</v>
      </c>
      <c r="R400" s="16">
        <f t="shared" si="127"/>
        <v>0</v>
      </c>
      <c r="S400" s="16">
        <f t="shared" si="125"/>
        <v>0</v>
      </c>
    </row>
    <row r="401" spans="1:19" s="80" customFormat="1">
      <c r="A401" s="79" t="s">
        <v>865</v>
      </c>
      <c r="B401" s="80" t="s">
        <v>18</v>
      </c>
      <c r="C401" s="81"/>
      <c r="D401" s="82" t="s">
        <v>152</v>
      </c>
      <c r="E401" s="83"/>
      <c r="F401" s="84">
        <v>1</v>
      </c>
      <c r="G401" s="85" t="s">
        <v>20</v>
      </c>
      <c r="H401" s="84"/>
      <c r="I401" s="85" t="s">
        <v>40</v>
      </c>
      <c r="J401" s="16"/>
      <c r="K401" s="82" t="s">
        <v>40</v>
      </c>
      <c r="L401" s="86">
        <v>0.125</v>
      </c>
      <c r="M401" s="86">
        <v>0.05</v>
      </c>
      <c r="N401" s="84"/>
      <c r="O401" s="85" t="s">
        <v>40</v>
      </c>
      <c r="P401" s="81">
        <f t="shared" si="126"/>
        <v>0</v>
      </c>
      <c r="Q401" s="85" t="s">
        <v>40</v>
      </c>
      <c r="R401" s="16">
        <f t="shared" si="127"/>
        <v>0</v>
      </c>
      <c r="S401" s="16">
        <f t="shared" si="125"/>
        <v>0</v>
      </c>
    </row>
    <row r="402" spans="1:19" s="80" customFormat="1">
      <c r="A402" s="79" t="s">
        <v>866</v>
      </c>
      <c r="B402" s="80" t="s">
        <v>18</v>
      </c>
      <c r="C402" s="81"/>
      <c r="D402" s="82" t="s">
        <v>152</v>
      </c>
      <c r="E402" s="83"/>
      <c r="F402" s="84">
        <v>1</v>
      </c>
      <c r="G402" s="85" t="s">
        <v>20</v>
      </c>
      <c r="H402" s="84">
        <v>240</v>
      </c>
      <c r="I402" s="85" t="s">
        <v>40</v>
      </c>
      <c r="J402" s="16">
        <v>41400</v>
      </c>
      <c r="K402" s="82" t="s">
        <v>40</v>
      </c>
      <c r="L402" s="86">
        <v>0.125</v>
      </c>
      <c r="M402" s="86">
        <v>0.05</v>
      </c>
      <c r="N402" s="84"/>
      <c r="O402" s="85" t="s">
        <v>40</v>
      </c>
      <c r="P402" s="81">
        <f t="shared" si="126"/>
        <v>0</v>
      </c>
      <c r="Q402" s="85" t="s">
        <v>40</v>
      </c>
      <c r="R402" s="16">
        <f t="shared" si="127"/>
        <v>0</v>
      </c>
      <c r="S402" s="16">
        <f t="shared" si="125"/>
        <v>0</v>
      </c>
    </row>
    <row r="403" spans="1:19" s="80" customFormat="1">
      <c r="A403" s="79" t="s">
        <v>867</v>
      </c>
      <c r="B403" s="80" t="s">
        <v>18</v>
      </c>
      <c r="C403" s="81"/>
      <c r="D403" s="82" t="s">
        <v>152</v>
      </c>
      <c r="E403" s="83"/>
      <c r="F403" s="84">
        <v>1</v>
      </c>
      <c r="G403" s="85" t="s">
        <v>20</v>
      </c>
      <c r="H403" s="84">
        <v>240</v>
      </c>
      <c r="I403" s="85" t="s">
        <v>40</v>
      </c>
      <c r="J403" s="16">
        <v>45600</v>
      </c>
      <c r="K403" s="82" t="s">
        <v>40</v>
      </c>
      <c r="L403" s="86">
        <v>0.125</v>
      </c>
      <c r="M403" s="86">
        <v>0.05</v>
      </c>
      <c r="N403" s="84"/>
      <c r="O403" s="85" t="s">
        <v>40</v>
      </c>
      <c r="P403" s="81">
        <f t="shared" si="126"/>
        <v>0</v>
      </c>
      <c r="Q403" s="85" t="s">
        <v>40</v>
      </c>
      <c r="R403" s="16">
        <f t="shared" si="127"/>
        <v>0</v>
      </c>
      <c r="S403" s="16">
        <f t="shared" si="125"/>
        <v>0</v>
      </c>
    </row>
    <row r="404" spans="1:19" s="80" customFormat="1">
      <c r="A404" s="79" t="s">
        <v>868</v>
      </c>
      <c r="B404" s="80" t="s">
        <v>18</v>
      </c>
      <c r="C404" s="81"/>
      <c r="D404" s="82" t="s">
        <v>152</v>
      </c>
      <c r="E404" s="83"/>
      <c r="F404" s="84">
        <v>1</v>
      </c>
      <c r="G404" s="85" t="s">
        <v>20</v>
      </c>
      <c r="H404" s="84">
        <v>108</v>
      </c>
      <c r="I404" s="85" t="s">
        <v>40</v>
      </c>
      <c r="J404" s="16">
        <v>51000</v>
      </c>
      <c r="K404" s="82" t="s">
        <v>40</v>
      </c>
      <c r="L404" s="86">
        <v>0.125</v>
      </c>
      <c r="M404" s="86">
        <v>0.05</v>
      </c>
      <c r="N404" s="84"/>
      <c r="O404" s="85" t="s">
        <v>40</v>
      </c>
      <c r="P404" s="81">
        <f t="shared" si="126"/>
        <v>0</v>
      </c>
      <c r="Q404" s="85" t="s">
        <v>40</v>
      </c>
      <c r="R404" s="16">
        <f t="shared" si="127"/>
        <v>0</v>
      </c>
      <c r="S404" s="16">
        <f t="shared" si="125"/>
        <v>0</v>
      </c>
    </row>
    <row r="405" spans="1:19" s="80" customFormat="1">
      <c r="A405" s="79" t="s">
        <v>869</v>
      </c>
      <c r="B405" s="80" t="s">
        <v>18</v>
      </c>
      <c r="C405" s="81"/>
      <c r="D405" s="82" t="s">
        <v>152</v>
      </c>
      <c r="E405" s="83"/>
      <c r="F405" s="84">
        <v>1</v>
      </c>
      <c r="G405" s="85" t="s">
        <v>20</v>
      </c>
      <c r="H405" s="84">
        <v>108</v>
      </c>
      <c r="I405" s="85" t="s">
        <v>40</v>
      </c>
      <c r="J405" s="16">
        <v>55200</v>
      </c>
      <c r="K405" s="82" t="s">
        <v>40</v>
      </c>
      <c r="L405" s="86">
        <v>0.125</v>
      </c>
      <c r="M405" s="86">
        <v>0.05</v>
      </c>
      <c r="N405" s="84"/>
      <c r="O405" s="85" t="s">
        <v>40</v>
      </c>
      <c r="P405" s="81">
        <f t="shared" si="126"/>
        <v>0</v>
      </c>
      <c r="Q405" s="85" t="s">
        <v>40</v>
      </c>
      <c r="R405" s="16">
        <f t="shared" si="127"/>
        <v>0</v>
      </c>
      <c r="S405" s="16">
        <f t="shared" si="125"/>
        <v>0</v>
      </c>
    </row>
    <row r="406" spans="1:19" s="80" customFormat="1">
      <c r="A406" s="79" t="s">
        <v>870</v>
      </c>
      <c r="B406" s="80" t="s">
        <v>18</v>
      </c>
      <c r="C406" s="81"/>
      <c r="D406" s="82" t="s">
        <v>152</v>
      </c>
      <c r="E406" s="83"/>
      <c r="F406" s="84">
        <v>1</v>
      </c>
      <c r="G406" s="85" t="s">
        <v>20</v>
      </c>
      <c r="H406" s="84">
        <v>108</v>
      </c>
      <c r="I406" s="85" t="s">
        <v>40</v>
      </c>
      <c r="J406" s="16">
        <v>60300</v>
      </c>
      <c r="K406" s="82" t="s">
        <v>40</v>
      </c>
      <c r="L406" s="86">
        <v>0.125</v>
      </c>
      <c r="M406" s="86">
        <v>0.05</v>
      </c>
      <c r="N406" s="84"/>
      <c r="O406" s="85" t="s">
        <v>40</v>
      </c>
      <c r="P406" s="81">
        <f t="shared" si="126"/>
        <v>0</v>
      </c>
      <c r="Q406" s="85" t="s">
        <v>40</v>
      </c>
      <c r="R406" s="16">
        <f t="shared" si="127"/>
        <v>0</v>
      </c>
      <c r="S406" s="16">
        <f t="shared" si="125"/>
        <v>0</v>
      </c>
    </row>
    <row r="407" spans="1:19" s="80" customFormat="1">
      <c r="A407" s="79" t="s">
        <v>871</v>
      </c>
      <c r="B407" s="80" t="s">
        <v>18</v>
      </c>
      <c r="C407" s="81"/>
      <c r="D407" s="82" t="s">
        <v>152</v>
      </c>
      <c r="E407" s="83"/>
      <c r="F407" s="84">
        <v>1</v>
      </c>
      <c r="G407" s="85" t="s">
        <v>20</v>
      </c>
      <c r="H407" s="84">
        <v>108</v>
      </c>
      <c r="I407" s="85" t="s">
        <v>40</v>
      </c>
      <c r="J407" s="16">
        <v>65400</v>
      </c>
      <c r="K407" s="82" t="s">
        <v>40</v>
      </c>
      <c r="L407" s="86">
        <v>0.125</v>
      </c>
      <c r="M407" s="86">
        <v>0.05</v>
      </c>
      <c r="N407" s="84"/>
      <c r="O407" s="85" t="s">
        <v>40</v>
      </c>
      <c r="P407" s="81">
        <f t="shared" si="126"/>
        <v>0</v>
      </c>
      <c r="Q407" s="85" t="s">
        <v>40</v>
      </c>
      <c r="R407" s="16">
        <f t="shared" si="127"/>
        <v>0</v>
      </c>
      <c r="S407" s="16">
        <f t="shared" si="125"/>
        <v>0</v>
      </c>
    </row>
    <row r="408" spans="1:19" s="19" customFormat="1">
      <c r="A408" s="18"/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 ht="15.75">
      <c r="A409" s="44" t="s">
        <v>275</v>
      </c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>
      <c r="A410" s="71" t="s">
        <v>276</v>
      </c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>
      <c r="A411" s="18" t="s">
        <v>277</v>
      </c>
      <c r="B411" s="19" t="s">
        <v>18</v>
      </c>
      <c r="C411" s="20">
        <v>4270</v>
      </c>
      <c r="D411" s="21" t="s">
        <v>278</v>
      </c>
      <c r="E411" s="26">
        <v>20</v>
      </c>
      <c r="F411" s="22">
        <v>100</v>
      </c>
      <c r="G411" s="23" t="s">
        <v>99</v>
      </c>
      <c r="H411" s="22">
        <v>10</v>
      </c>
      <c r="I411" s="23" t="s">
        <v>278</v>
      </c>
      <c r="J411" s="24">
        <v>2050</v>
      </c>
      <c r="K411" s="21" t="s">
        <v>278</v>
      </c>
      <c r="L411" s="25">
        <v>0.125</v>
      </c>
      <c r="M411" s="25">
        <v>0.05</v>
      </c>
      <c r="N411" s="22"/>
      <c r="O411" s="23" t="s">
        <v>278</v>
      </c>
      <c r="P411" s="20">
        <f t="shared" ref="P411:P420" si="128">(C411+(E411*F411*H411))-N411</f>
        <v>24270</v>
      </c>
      <c r="Q411" s="23" t="s">
        <v>278</v>
      </c>
      <c r="R411" s="24">
        <f t="shared" ref="R411:R420" si="129">P411*(J411-(J411*L411)-((J411-(J411*L411))*M411))</f>
        <v>41357596.875</v>
      </c>
      <c r="S411" s="24">
        <f t="shared" si="125"/>
        <v>37259096.283783779</v>
      </c>
    </row>
    <row r="412" spans="1:19" s="19" customFormat="1">
      <c r="A412" s="18" t="s">
        <v>279</v>
      </c>
      <c r="B412" s="19" t="s">
        <v>18</v>
      </c>
      <c r="C412" s="20">
        <v>1300</v>
      </c>
      <c r="D412" s="21" t="s">
        <v>278</v>
      </c>
      <c r="E412" s="26">
        <v>3</v>
      </c>
      <c r="F412" s="22">
        <v>100</v>
      </c>
      <c r="G412" s="23" t="s">
        <v>99</v>
      </c>
      <c r="H412" s="22">
        <v>10</v>
      </c>
      <c r="I412" s="23" t="s">
        <v>278</v>
      </c>
      <c r="J412" s="24">
        <v>3000</v>
      </c>
      <c r="K412" s="21" t="s">
        <v>278</v>
      </c>
      <c r="L412" s="25">
        <v>0.125</v>
      </c>
      <c r="M412" s="25">
        <v>0.05</v>
      </c>
      <c r="N412" s="22"/>
      <c r="O412" s="23" t="s">
        <v>278</v>
      </c>
      <c r="P412" s="20">
        <f t="shared" si="128"/>
        <v>4300</v>
      </c>
      <c r="Q412" s="23" t="s">
        <v>278</v>
      </c>
      <c r="R412" s="24">
        <f t="shared" si="129"/>
        <v>10723125</v>
      </c>
      <c r="S412" s="24">
        <f t="shared" si="125"/>
        <v>9660472.9729729723</v>
      </c>
    </row>
    <row r="413" spans="1:19" s="19" customFormat="1">
      <c r="A413" s="18" t="s">
        <v>888</v>
      </c>
      <c r="B413" s="19" t="s">
        <v>18</v>
      </c>
      <c r="C413" s="20"/>
      <c r="D413" s="21" t="s">
        <v>278</v>
      </c>
      <c r="E413" s="26">
        <v>1</v>
      </c>
      <c r="F413" s="22">
        <v>50</v>
      </c>
      <c r="G413" s="23" t="s">
        <v>99</v>
      </c>
      <c r="H413" s="22">
        <v>10</v>
      </c>
      <c r="I413" s="23" t="s">
        <v>278</v>
      </c>
      <c r="J413" s="24">
        <v>3300</v>
      </c>
      <c r="K413" s="21" t="s">
        <v>278</v>
      </c>
      <c r="L413" s="25">
        <v>0.125</v>
      </c>
      <c r="M413" s="25">
        <v>0.05</v>
      </c>
      <c r="N413" s="22"/>
      <c r="O413" s="23" t="s">
        <v>278</v>
      </c>
      <c r="P413" s="20">
        <f t="shared" ref="P413" si="130">(C413+(E413*F413*H413))-N413</f>
        <v>500</v>
      </c>
      <c r="Q413" s="23" t="s">
        <v>278</v>
      </c>
      <c r="R413" s="24">
        <f t="shared" ref="R413" si="131">P413*(J413-(J413*L413)-((J413-(J413*L413))*M413))</f>
        <v>1371562.5</v>
      </c>
      <c r="S413" s="24">
        <f t="shared" ref="S413" si="132">R413/1.11</f>
        <v>1235641.8918918918</v>
      </c>
    </row>
    <row r="414" spans="1:19" s="19" customFormat="1">
      <c r="A414" s="18" t="s">
        <v>280</v>
      </c>
      <c r="B414" s="19" t="s">
        <v>18</v>
      </c>
      <c r="C414" s="20">
        <v>350</v>
      </c>
      <c r="D414" s="21" t="s">
        <v>278</v>
      </c>
      <c r="E414" s="26">
        <v>4</v>
      </c>
      <c r="F414" s="22">
        <v>50</v>
      </c>
      <c r="G414" s="23" t="s">
        <v>99</v>
      </c>
      <c r="H414" s="22">
        <v>10</v>
      </c>
      <c r="I414" s="23" t="s">
        <v>278</v>
      </c>
      <c r="J414" s="24">
        <v>3050</v>
      </c>
      <c r="K414" s="21" t="s">
        <v>278</v>
      </c>
      <c r="L414" s="25">
        <v>0.125</v>
      </c>
      <c r="M414" s="25">
        <v>0.05</v>
      </c>
      <c r="N414" s="22"/>
      <c r="O414" s="23" t="s">
        <v>278</v>
      </c>
      <c r="P414" s="20">
        <f t="shared" si="128"/>
        <v>2350</v>
      </c>
      <c r="Q414" s="23" t="s">
        <v>278</v>
      </c>
      <c r="R414" s="24">
        <f t="shared" si="129"/>
        <v>5957984.375</v>
      </c>
      <c r="S414" s="24">
        <f t="shared" si="125"/>
        <v>5367553.4909909908</v>
      </c>
    </row>
    <row r="415" spans="1:19" s="19" customFormat="1">
      <c r="A415" s="18" t="s">
        <v>281</v>
      </c>
      <c r="B415" s="19" t="s">
        <v>18</v>
      </c>
      <c r="C415" s="20">
        <v>850</v>
      </c>
      <c r="D415" s="21" t="s">
        <v>278</v>
      </c>
      <c r="E415" s="26">
        <v>1</v>
      </c>
      <c r="F415" s="22">
        <v>50</v>
      </c>
      <c r="G415" s="23" t="s">
        <v>99</v>
      </c>
      <c r="H415" s="22">
        <v>10</v>
      </c>
      <c r="I415" s="23" t="s">
        <v>278</v>
      </c>
      <c r="J415" s="24">
        <v>4200</v>
      </c>
      <c r="K415" s="21" t="s">
        <v>278</v>
      </c>
      <c r="L415" s="25">
        <v>0.125</v>
      </c>
      <c r="M415" s="25">
        <v>0.05</v>
      </c>
      <c r="N415" s="22"/>
      <c r="O415" s="23" t="s">
        <v>278</v>
      </c>
      <c r="P415" s="20">
        <f t="shared" si="128"/>
        <v>1350</v>
      </c>
      <c r="Q415" s="23" t="s">
        <v>278</v>
      </c>
      <c r="R415" s="24">
        <f t="shared" si="129"/>
        <v>4713187.5</v>
      </c>
      <c r="S415" s="24">
        <f t="shared" si="125"/>
        <v>4246114.8648648644</v>
      </c>
    </row>
    <row r="416" spans="1:19" s="19" customFormat="1">
      <c r="A416" s="56" t="s">
        <v>282</v>
      </c>
      <c r="B416" s="19" t="s">
        <v>18</v>
      </c>
      <c r="C416" s="20">
        <v>2500</v>
      </c>
      <c r="D416" s="21" t="s">
        <v>278</v>
      </c>
      <c r="E416" s="26"/>
      <c r="F416" s="22">
        <v>50</v>
      </c>
      <c r="G416" s="23" t="s">
        <v>99</v>
      </c>
      <c r="H416" s="22">
        <v>10</v>
      </c>
      <c r="I416" s="23" t="s">
        <v>278</v>
      </c>
      <c r="J416" s="24">
        <v>4300</v>
      </c>
      <c r="K416" s="21" t="s">
        <v>278</v>
      </c>
      <c r="L416" s="25">
        <v>0.125</v>
      </c>
      <c r="M416" s="25">
        <v>0.05</v>
      </c>
      <c r="N416" s="22"/>
      <c r="O416" s="23" t="s">
        <v>278</v>
      </c>
      <c r="P416" s="20">
        <f t="shared" si="128"/>
        <v>2500</v>
      </c>
      <c r="Q416" s="23" t="s">
        <v>278</v>
      </c>
      <c r="R416" s="24">
        <f t="shared" si="129"/>
        <v>8935937.5</v>
      </c>
      <c r="S416" s="24">
        <f t="shared" si="125"/>
        <v>8050394.144144143</v>
      </c>
    </row>
    <row r="417" spans="1:19" s="89" customFormat="1">
      <c r="A417" s="147" t="s">
        <v>283</v>
      </c>
      <c r="B417" s="89" t="s">
        <v>18</v>
      </c>
      <c r="C417" s="87"/>
      <c r="D417" s="90" t="s">
        <v>278</v>
      </c>
      <c r="E417" s="91"/>
      <c r="F417" s="92">
        <v>100</v>
      </c>
      <c r="G417" s="93" t="s">
        <v>99</v>
      </c>
      <c r="H417" s="92">
        <v>10</v>
      </c>
      <c r="I417" s="93" t="s">
        <v>278</v>
      </c>
      <c r="J417" s="94">
        <v>3000</v>
      </c>
      <c r="K417" s="90" t="s">
        <v>278</v>
      </c>
      <c r="L417" s="95">
        <v>0.125</v>
      </c>
      <c r="M417" s="95">
        <v>0.05</v>
      </c>
      <c r="N417" s="92"/>
      <c r="O417" s="93" t="s">
        <v>278</v>
      </c>
      <c r="P417" s="87">
        <f t="shared" si="128"/>
        <v>0</v>
      </c>
      <c r="Q417" s="93" t="s">
        <v>278</v>
      </c>
      <c r="R417" s="94">
        <f t="shared" si="129"/>
        <v>0</v>
      </c>
      <c r="S417" s="94">
        <f t="shared" si="125"/>
        <v>0</v>
      </c>
    </row>
    <row r="418" spans="1:19" s="89" customFormat="1">
      <c r="A418" s="147" t="s">
        <v>284</v>
      </c>
      <c r="B418" s="89" t="s">
        <v>18</v>
      </c>
      <c r="C418" s="87"/>
      <c r="D418" s="90" t="s">
        <v>278</v>
      </c>
      <c r="E418" s="91"/>
      <c r="F418" s="92">
        <v>100</v>
      </c>
      <c r="G418" s="93" t="s">
        <v>99</v>
      </c>
      <c r="H418" s="92">
        <v>10</v>
      </c>
      <c r="I418" s="93" t="s">
        <v>278</v>
      </c>
      <c r="J418" s="94">
        <v>3000</v>
      </c>
      <c r="K418" s="90" t="s">
        <v>278</v>
      </c>
      <c r="L418" s="95">
        <v>0.125</v>
      </c>
      <c r="M418" s="95">
        <v>0.05</v>
      </c>
      <c r="N418" s="92"/>
      <c r="O418" s="93" t="s">
        <v>278</v>
      </c>
      <c r="P418" s="87">
        <f t="shared" si="128"/>
        <v>0</v>
      </c>
      <c r="Q418" s="93" t="s">
        <v>278</v>
      </c>
      <c r="R418" s="94">
        <f t="shared" si="129"/>
        <v>0</v>
      </c>
      <c r="S418" s="94">
        <f t="shared" si="125"/>
        <v>0</v>
      </c>
    </row>
    <row r="419" spans="1:19" s="89" customFormat="1">
      <c r="A419" s="147" t="s">
        <v>285</v>
      </c>
      <c r="B419" s="89" t="s">
        <v>18</v>
      </c>
      <c r="C419" s="87"/>
      <c r="D419" s="90" t="s">
        <v>278</v>
      </c>
      <c r="E419" s="91"/>
      <c r="F419" s="92">
        <v>50</v>
      </c>
      <c r="G419" s="93" t="s">
        <v>99</v>
      </c>
      <c r="H419" s="92">
        <v>10</v>
      </c>
      <c r="I419" s="93" t="s">
        <v>278</v>
      </c>
      <c r="J419" s="94">
        <v>4300</v>
      </c>
      <c r="K419" s="90" t="s">
        <v>278</v>
      </c>
      <c r="L419" s="95">
        <v>0.125</v>
      </c>
      <c r="M419" s="95">
        <v>0.05</v>
      </c>
      <c r="N419" s="92"/>
      <c r="O419" s="93" t="s">
        <v>278</v>
      </c>
      <c r="P419" s="87">
        <f t="shared" si="128"/>
        <v>0</v>
      </c>
      <c r="Q419" s="93" t="s">
        <v>278</v>
      </c>
      <c r="R419" s="94">
        <f t="shared" si="129"/>
        <v>0</v>
      </c>
      <c r="S419" s="94">
        <f t="shared" si="125"/>
        <v>0</v>
      </c>
    </row>
    <row r="420" spans="1:19" s="89" customFormat="1">
      <c r="A420" s="147" t="s">
        <v>286</v>
      </c>
      <c r="B420" s="89" t="s">
        <v>18</v>
      </c>
      <c r="C420" s="87"/>
      <c r="D420" s="90" t="s">
        <v>99</v>
      </c>
      <c r="E420" s="91"/>
      <c r="F420" s="92">
        <v>1</v>
      </c>
      <c r="G420" s="93" t="s">
        <v>20</v>
      </c>
      <c r="H420" s="92">
        <v>50</v>
      </c>
      <c r="I420" s="93" t="s">
        <v>99</v>
      </c>
      <c r="J420" s="94">
        <v>15500</v>
      </c>
      <c r="K420" s="90" t="s">
        <v>99</v>
      </c>
      <c r="L420" s="95">
        <v>0.125</v>
      </c>
      <c r="M420" s="95">
        <v>0.05</v>
      </c>
      <c r="N420" s="92"/>
      <c r="O420" s="93" t="s">
        <v>99</v>
      </c>
      <c r="P420" s="87">
        <f t="shared" si="128"/>
        <v>0</v>
      </c>
      <c r="Q420" s="93" t="s">
        <v>99</v>
      </c>
      <c r="R420" s="94">
        <f t="shared" si="129"/>
        <v>0</v>
      </c>
      <c r="S420" s="94">
        <f t="shared" si="125"/>
        <v>0</v>
      </c>
    </row>
    <row r="421" spans="1:19" s="19" customFormat="1">
      <c r="A421" s="48"/>
      <c r="C421" s="20"/>
      <c r="D421" s="21"/>
      <c r="E421" s="26"/>
      <c r="F421" s="22"/>
      <c r="G421" s="23"/>
      <c r="H421" s="22"/>
      <c r="I421" s="23"/>
      <c r="J421" s="24"/>
      <c r="K421" s="21"/>
      <c r="L421" s="25"/>
      <c r="M421" s="25"/>
      <c r="N421" s="22"/>
      <c r="O421" s="23"/>
      <c r="P421" s="20"/>
      <c r="Q421" s="23"/>
      <c r="R421" s="24"/>
      <c r="S421" s="24"/>
    </row>
    <row r="422" spans="1:19" s="19" customFormat="1">
      <c r="A422" s="18" t="s">
        <v>287</v>
      </c>
      <c r="B422" s="19" t="s">
        <v>25</v>
      </c>
      <c r="C422" s="20">
        <v>290</v>
      </c>
      <c r="D422" s="21" t="s">
        <v>288</v>
      </c>
      <c r="E422" s="26">
        <v>5</v>
      </c>
      <c r="F422" s="22">
        <v>1</v>
      </c>
      <c r="G422" s="23" t="s">
        <v>20</v>
      </c>
      <c r="H422" s="22">
        <v>50</v>
      </c>
      <c r="I422" s="23" t="s">
        <v>288</v>
      </c>
      <c r="J422" s="24">
        <f>1050000/50</f>
        <v>21000</v>
      </c>
      <c r="K422" s="21" t="s">
        <v>288</v>
      </c>
      <c r="L422" s="25"/>
      <c r="M422" s="25">
        <v>0.17</v>
      </c>
      <c r="N422" s="22"/>
      <c r="O422" s="23" t="s">
        <v>288</v>
      </c>
      <c r="P422" s="20">
        <f>(C422+(E422*F422*H422))-N422</f>
        <v>540</v>
      </c>
      <c r="Q422" s="23" t="s">
        <v>288</v>
      </c>
      <c r="R422" s="24">
        <f>P422*(J422-(J422*L422)-((J422-(J422*L422))*M422))</f>
        <v>9412200</v>
      </c>
      <c r="S422" s="24">
        <f t="shared" si="125"/>
        <v>8479459.4594594594</v>
      </c>
    </row>
    <row r="423" spans="1:19" s="19" customFormat="1">
      <c r="A423" s="18" t="s">
        <v>289</v>
      </c>
      <c r="B423" s="19" t="s">
        <v>25</v>
      </c>
      <c r="C423" s="20">
        <v>175</v>
      </c>
      <c r="D423" s="21" t="s">
        <v>288</v>
      </c>
      <c r="E423" s="26"/>
      <c r="F423" s="22">
        <v>1</v>
      </c>
      <c r="G423" s="23" t="s">
        <v>20</v>
      </c>
      <c r="H423" s="22">
        <v>50</v>
      </c>
      <c r="I423" s="23" t="s">
        <v>288</v>
      </c>
      <c r="J423" s="24">
        <f>1350000/50</f>
        <v>27000</v>
      </c>
      <c r="K423" s="21" t="s">
        <v>288</v>
      </c>
      <c r="L423" s="25"/>
      <c r="M423" s="25">
        <v>0.17</v>
      </c>
      <c r="N423" s="22"/>
      <c r="O423" s="23" t="s">
        <v>288</v>
      </c>
      <c r="P423" s="20">
        <f>(C423+(E423*F423*H423))-N423</f>
        <v>175</v>
      </c>
      <c r="Q423" s="23" t="s">
        <v>288</v>
      </c>
      <c r="R423" s="24">
        <f>P423*(J423-(J423*L423)-((J423-(J423*L423))*M423))</f>
        <v>3921750</v>
      </c>
      <c r="S423" s="24">
        <f t="shared" si="125"/>
        <v>3533108.1081081079</v>
      </c>
    </row>
    <row r="424" spans="1:19" s="19" customFormat="1">
      <c r="A424" s="18"/>
      <c r="C424" s="20"/>
      <c r="D424" s="21"/>
      <c r="E424" s="26"/>
      <c r="F424" s="22"/>
      <c r="G424" s="23"/>
      <c r="H424" s="22"/>
      <c r="I424" s="23"/>
      <c r="J424" s="24"/>
      <c r="K424" s="21"/>
      <c r="L424" s="25"/>
      <c r="M424" s="25"/>
      <c r="N424" s="22"/>
      <c r="O424" s="23"/>
      <c r="P424" s="20"/>
      <c r="Q424" s="23"/>
      <c r="R424" s="24"/>
      <c r="S424" s="24"/>
    </row>
    <row r="425" spans="1:19" s="19" customFormat="1">
      <c r="A425" s="71" t="s">
        <v>290</v>
      </c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19" customFormat="1">
      <c r="A426" s="18" t="s">
        <v>291</v>
      </c>
      <c r="B426" s="19" t="s">
        <v>18</v>
      </c>
      <c r="C426" s="20">
        <v>2</v>
      </c>
      <c r="D426" s="21" t="s">
        <v>19</v>
      </c>
      <c r="E426" s="26">
        <v>13</v>
      </c>
      <c r="F426" s="22">
        <v>1</v>
      </c>
      <c r="G426" s="23" t="s">
        <v>20</v>
      </c>
      <c r="H426" s="22">
        <v>20</v>
      </c>
      <c r="I426" s="23" t="s">
        <v>19</v>
      </c>
      <c r="J426" s="24">
        <v>40500</v>
      </c>
      <c r="K426" s="21" t="s">
        <v>19</v>
      </c>
      <c r="L426" s="25">
        <v>0.125</v>
      </c>
      <c r="M426" s="25">
        <v>0.05</v>
      </c>
      <c r="N426" s="22"/>
      <c r="O426" s="23" t="s">
        <v>19</v>
      </c>
      <c r="P426" s="20">
        <f>(C426+(E426*F426*H426))-N426</f>
        <v>262</v>
      </c>
      <c r="Q426" s="23" t="s">
        <v>19</v>
      </c>
      <c r="R426" s="24">
        <f>P426*(J426-(J426*L426)-((J426-(J426*L426))*M426))</f>
        <v>8820393.75</v>
      </c>
      <c r="S426" s="24">
        <f t="shared" si="125"/>
        <v>7946300.6756756753</v>
      </c>
    </row>
    <row r="427" spans="1:19" s="106" customFormat="1">
      <c r="A427" s="98" t="s">
        <v>872</v>
      </c>
      <c r="B427" s="106" t="s">
        <v>18</v>
      </c>
      <c r="C427" s="107">
        <v>8</v>
      </c>
      <c r="D427" s="108" t="s">
        <v>19</v>
      </c>
      <c r="E427" s="109"/>
      <c r="F427" s="110">
        <v>1</v>
      </c>
      <c r="G427" s="111" t="s">
        <v>20</v>
      </c>
      <c r="H427" s="110">
        <v>20</v>
      </c>
      <c r="I427" s="111" t="s">
        <v>19</v>
      </c>
      <c r="J427" s="112">
        <v>94500</v>
      </c>
      <c r="K427" s="108" t="s">
        <v>19</v>
      </c>
      <c r="L427" s="113">
        <v>0.125</v>
      </c>
      <c r="M427" s="113">
        <v>0.05</v>
      </c>
      <c r="N427" s="110"/>
      <c r="O427" s="111" t="s">
        <v>19</v>
      </c>
      <c r="P427" s="107">
        <f>(C427+(E427*F427*H427))-N427</f>
        <v>8</v>
      </c>
      <c r="Q427" s="111" t="s">
        <v>19</v>
      </c>
      <c r="R427" s="112">
        <f>P427*(J427-(J427*L427)-((J427-(J427*L427))*M427))</f>
        <v>628425</v>
      </c>
      <c r="S427" s="112">
        <f t="shared" si="125"/>
        <v>566148.64864864864</v>
      </c>
    </row>
    <row r="428" spans="1:19" s="19" customFormat="1">
      <c r="A428" s="18"/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19" customFormat="1">
      <c r="A429" s="18" t="s">
        <v>292</v>
      </c>
      <c r="B429" s="19" t="s">
        <v>25</v>
      </c>
      <c r="C429" s="20">
        <v>34</v>
      </c>
      <c r="D429" s="21" t="s">
        <v>19</v>
      </c>
      <c r="E429" s="26">
        <v>4</v>
      </c>
      <c r="F429" s="22">
        <v>1</v>
      </c>
      <c r="G429" s="23" t="s">
        <v>20</v>
      </c>
      <c r="H429" s="22">
        <v>50</v>
      </c>
      <c r="I429" s="23" t="s">
        <v>19</v>
      </c>
      <c r="J429" s="24">
        <f>2250000/50</f>
        <v>45000</v>
      </c>
      <c r="K429" s="21" t="s">
        <v>19</v>
      </c>
      <c r="L429" s="25"/>
      <c r="M429" s="25">
        <v>0.17</v>
      </c>
      <c r="N429" s="22"/>
      <c r="O429" s="23" t="s">
        <v>19</v>
      </c>
      <c r="P429" s="20">
        <f>(C429+(E429*F429*H429))-N429</f>
        <v>234</v>
      </c>
      <c r="Q429" s="23" t="s">
        <v>19</v>
      </c>
      <c r="R429" s="24">
        <f>P429*(J429-(J429*L429)-((J429-(J429*L429))*M429))</f>
        <v>8739900</v>
      </c>
      <c r="S429" s="24">
        <f t="shared" si="125"/>
        <v>7873783.7837837832</v>
      </c>
    </row>
    <row r="430" spans="1:19" s="19" customFormat="1">
      <c r="A430" s="18" t="s">
        <v>293</v>
      </c>
      <c r="B430" s="19" t="s">
        <v>25</v>
      </c>
      <c r="C430" s="20"/>
      <c r="D430" s="21" t="s">
        <v>19</v>
      </c>
      <c r="E430" s="26">
        <v>1</v>
      </c>
      <c r="F430" s="22">
        <v>1</v>
      </c>
      <c r="G430" s="23" t="s">
        <v>20</v>
      </c>
      <c r="H430" s="22">
        <v>50</v>
      </c>
      <c r="I430" s="23" t="s">
        <v>19</v>
      </c>
      <c r="J430" s="24">
        <f>2750000/50</f>
        <v>55000</v>
      </c>
      <c r="K430" s="21" t="s">
        <v>19</v>
      </c>
      <c r="L430" s="25"/>
      <c r="M430" s="25">
        <v>0.17</v>
      </c>
      <c r="N430" s="22"/>
      <c r="O430" s="23" t="s">
        <v>19</v>
      </c>
      <c r="P430" s="20">
        <f>(C430+(E430*F430*H430))-N430</f>
        <v>50</v>
      </c>
      <c r="Q430" s="23" t="s">
        <v>19</v>
      </c>
      <c r="R430" s="24">
        <f>P430*(J430-(J430*L430)-((J430-(J430*L430))*M430))</f>
        <v>2282500</v>
      </c>
      <c r="S430" s="24">
        <f t="shared" si="125"/>
        <v>2056306.306306306</v>
      </c>
    </row>
    <row r="431" spans="1:19" s="19" customFormat="1">
      <c r="A431" s="49" t="s">
        <v>294</v>
      </c>
      <c r="B431" s="19" t="s">
        <v>25</v>
      </c>
      <c r="C431" s="20">
        <v>54</v>
      </c>
      <c r="D431" s="21" t="s">
        <v>19</v>
      </c>
      <c r="E431" s="26">
        <v>1</v>
      </c>
      <c r="F431" s="22">
        <v>1</v>
      </c>
      <c r="G431" s="23" t="s">
        <v>20</v>
      </c>
      <c r="H431" s="22">
        <v>50</v>
      </c>
      <c r="I431" s="23" t="s">
        <v>19</v>
      </c>
      <c r="J431" s="24">
        <f>4750000/50</f>
        <v>95000</v>
      </c>
      <c r="K431" s="21" t="s">
        <v>19</v>
      </c>
      <c r="L431" s="25"/>
      <c r="M431" s="25">
        <v>0.17</v>
      </c>
      <c r="N431" s="22"/>
      <c r="O431" s="23" t="s">
        <v>19</v>
      </c>
      <c r="P431" s="20">
        <f>(C431+(E431*F431*H431))-N431</f>
        <v>104</v>
      </c>
      <c r="Q431" s="23" t="s">
        <v>19</v>
      </c>
      <c r="R431" s="24">
        <f>P431*(J431-(J431*L431)-((J431-(J431*L431))*M431))</f>
        <v>8200400</v>
      </c>
      <c r="S431" s="24">
        <f t="shared" si="125"/>
        <v>7387747.7477477472</v>
      </c>
    </row>
    <row r="432" spans="1:19" s="19" customFormat="1">
      <c r="A432" s="18"/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19" customFormat="1" ht="15.75">
      <c r="A433" s="44" t="s">
        <v>295</v>
      </c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89" customFormat="1">
      <c r="A434" s="88" t="s">
        <v>787</v>
      </c>
      <c r="B434" s="89" t="s">
        <v>18</v>
      </c>
      <c r="C434" s="87"/>
      <c r="D434" s="90" t="s">
        <v>99</v>
      </c>
      <c r="E434" s="91"/>
      <c r="F434" s="92">
        <v>1</v>
      </c>
      <c r="G434" s="93" t="s">
        <v>20</v>
      </c>
      <c r="H434" s="92">
        <v>10</v>
      </c>
      <c r="I434" s="93" t="s">
        <v>99</v>
      </c>
      <c r="J434" s="94">
        <v>85000</v>
      </c>
      <c r="K434" s="90" t="s">
        <v>99</v>
      </c>
      <c r="L434" s="95">
        <v>0.125</v>
      </c>
      <c r="M434" s="95">
        <v>0.05</v>
      </c>
      <c r="N434" s="92"/>
      <c r="O434" s="93" t="s">
        <v>99</v>
      </c>
      <c r="P434" s="87">
        <f>(C434+(E434*F434*H434))-N434</f>
        <v>0</v>
      </c>
      <c r="Q434" s="93" t="s">
        <v>99</v>
      </c>
      <c r="R434" s="94">
        <f>P434*(J434-(J434*L434)-((J434-(J434*L434))*M434))</f>
        <v>0</v>
      </c>
      <c r="S434" s="94">
        <f t="shared" ref="S434:S435" si="133">R434/1.11</f>
        <v>0</v>
      </c>
    </row>
    <row r="435" spans="1:19" s="89" customFormat="1">
      <c r="A435" s="165" t="s">
        <v>296</v>
      </c>
      <c r="B435" s="89" t="s">
        <v>18</v>
      </c>
      <c r="C435" s="87"/>
      <c r="D435" s="90" t="s">
        <v>99</v>
      </c>
      <c r="E435" s="91">
        <v>2</v>
      </c>
      <c r="F435" s="92">
        <v>1</v>
      </c>
      <c r="G435" s="93" t="s">
        <v>20</v>
      </c>
      <c r="H435" s="92">
        <v>10</v>
      </c>
      <c r="I435" s="93" t="s">
        <v>99</v>
      </c>
      <c r="J435" s="94">
        <v>95000</v>
      </c>
      <c r="K435" s="90" t="s">
        <v>99</v>
      </c>
      <c r="L435" s="95">
        <v>0.125</v>
      </c>
      <c r="M435" s="95">
        <v>0.05</v>
      </c>
      <c r="N435" s="92"/>
      <c r="O435" s="93" t="s">
        <v>99</v>
      </c>
      <c r="P435" s="87">
        <f>(C435+(E435*F435*H435))-N435</f>
        <v>20</v>
      </c>
      <c r="Q435" s="93" t="s">
        <v>99</v>
      </c>
      <c r="R435" s="94">
        <f>P435*(J435-(J435*L435)-((J435-(J435*L435))*M435))</f>
        <v>1579375</v>
      </c>
      <c r="S435" s="94">
        <f t="shared" si="133"/>
        <v>1422860.3603603602</v>
      </c>
    </row>
    <row r="436" spans="1:19" s="89" customFormat="1">
      <c r="A436" s="88" t="s">
        <v>296</v>
      </c>
      <c r="B436" s="89" t="s">
        <v>18</v>
      </c>
      <c r="C436" s="87"/>
      <c r="D436" s="90" t="s">
        <v>99</v>
      </c>
      <c r="E436" s="91"/>
      <c r="F436" s="92">
        <v>1</v>
      </c>
      <c r="G436" s="93" t="s">
        <v>20</v>
      </c>
      <c r="H436" s="92">
        <v>10</v>
      </c>
      <c r="I436" s="93" t="s">
        <v>99</v>
      </c>
      <c r="J436" s="94">
        <v>104000</v>
      </c>
      <c r="K436" s="90" t="s">
        <v>99</v>
      </c>
      <c r="L436" s="95">
        <v>0.125</v>
      </c>
      <c r="M436" s="95">
        <v>0.05</v>
      </c>
      <c r="N436" s="92"/>
      <c r="O436" s="93" t="s">
        <v>99</v>
      </c>
      <c r="P436" s="87">
        <f>(C436+(E436*F436*H436))-N436</f>
        <v>0</v>
      </c>
      <c r="Q436" s="93" t="s">
        <v>99</v>
      </c>
      <c r="R436" s="94">
        <f>P436*(J436-(J436*L436)-((J436-(J436*L436))*M436))</f>
        <v>0</v>
      </c>
      <c r="S436" s="94">
        <f t="shared" si="125"/>
        <v>0</v>
      </c>
    </row>
    <row r="437" spans="1:19" s="19" customFormat="1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18" t="s">
        <v>297</v>
      </c>
      <c r="B438" s="19" t="s">
        <v>25</v>
      </c>
      <c r="C438" s="20">
        <v>100</v>
      </c>
      <c r="D438" s="21" t="s">
        <v>99</v>
      </c>
      <c r="E438" s="26">
        <v>10</v>
      </c>
      <c r="F438" s="22">
        <v>1</v>
      </c>
      <c r="G438" s="23" t="s">
        <v>20</v>
      </c>
      <c r="H438" s="22">
        <v>10</v>
      </c>
      <c r="I438" s="23" t="s">
        <v>99</v>
      </c>
      <c r="J438" s="24">
        <f>1150000/10</f>
        <v>115000</v>
      </c>
      <c r="K438" s="21" t="s">
        <v>99</v>
      </c>
      <c r="L438" s="25"/>
      <c r="M438" s="25">
        <v>0.17</v>
      </c>
      <c r="N438" s="22"/>
      <c r="O438" s="23" t="s">
        <v>99</v>
      </c>
      <c r="P438" s="20">
        <f>(C438+(E438*F438*H438))-N438</f>
        <v>200</v>
      </c>
      <c r="Q438" s="23" t="s">
        <v>99</v>
      </c>
      <c r="R438" s="24">
        <f>P438*(J438-(J438*L438)-((J438-(J438*L438))*M438))</f>
        <v>19090000</v>
      </c>
      <c r="S438" s="24">
        <f t="shared" si="125"/>
        <v>17198198.198198196</v>
      </c>
    </row>
    <row r="439" spans="1:19" s="19" customFormat="1">
      <c r="A439" s="18"/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19" customFormat="1" ht="15.75">
      <c r="A440" s="44" t="s">
        <v>298</v>
      </c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71" t="s">
        <v>299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89" customFormat="1">
      <c r="A442" s="88" t="s">
        <v>300</v>
      </c>
      <c r="B442" s="89" t="s">
        <v>18</v>
      </c>
      <c r="C442" s="87"/>
      <c r="D442" s="90" t="s">
        <v>40</v>
      </c>
      <c r="E442" s="91"/>
      <c r="F442" s="92">
        <v>48</v>
      </c>
      <c r="G442" s="93" t="s">
        <v>33</v>
      </c>
      <c r="H442" s="92">
        <v>1</v>
      </c>
      <c r="I442" s="93" t="s">
        <v>40</v>
      </c>
      <c r="J442" s="94">
        <f>1625*12</f>
        <v>19500</v>
      </c>
      <c r="K442" s="90" t="s">
        <v>40</v>
      </c>
      <c r="L442" s="95">
        <v>0.125</v>
      </c>
      <c r="M442" s="95">
        <v>0.05</v>
      </c>
      <c r="N442" s="92"/>
      <c r="O442" s="93" t="s">
        <v>40</v>
      </c>
      <c r="P442" s="87">
        <f t="shared" ref="P442:P447" si="134">(C442+(E442*F442*H442))-N442</f>
        <v>0</v>
      </c>
      <c r="Q442" s="93" t="s">
        <v>40</v>
      </c>
      <c r="R442" s="94">
        <f t="shared" ref="R442:R447" si="135">P442*(J442-(J442*L442)-((J442-(J442*L442))*M442))</f>
        <v>0</v>
      </c>
      <c r="S442" s="94">
        <f t="shared" si="125"/>
        <v>0</v>
      </c>
    </row>
    <row r="443" spans="1:19" s="19" customFormat="1">
      <c r="A443" s="18" t="s">
        <v>723</v>
      </c>
      <c r="B443" s="19" t="s">
        <v>18</v>
      </c>
      <c r="C443" s="20">
        <v>16</v>
      </c>
      <c r="D443" s="21" t="s">
        <v>40</v>
      </c>
      <c r="E443" s="26"/>
      <c r="F443" s="22">
        <v>24</v>
      </c>
      <c r="G443" s="23" t="s">
        <v>33</v>
      </c>
      <c r="H443" s="22">
        <v>1</v>
      </c>
      <c r="I443" s="23" t="s">
        <v>40</v>
      </c>
      <c r="J443" s="24">
        <f>2500*12</f>
        <v>30000</v>
      </c>
      <c r="K443" s="21" t="s">
        <v>40</v>
      </c>
      <c r="L443" s="25">
        <v>0.125</v>
      </c>
      <c r="M443" s="25">
        <v>0.05</v>
      </c>
      <c r="N443" s="22"/>
      <c r="O443" s="23" t="s">
        <v>40</v>
      </c>
      <c r="P443" s="20">
        <f t="shared" si="134"/>
        <v>16</v>
      </c>
      <c r="Q443" s="23" t="s">
        <v>40</v>
      </c>
      <c r="R443" s="24">
        <f t="shared" si="135"/>
        <v>399000</v>
      </c>
      <c r="S443" s="24">
        <f t="shared" si="125"/>
        <v>359459.45945945941</v>
      </c>
    </row>
    <row r="444" spans="1:19" s="19" customFormat="1">
      <c r="A444" s="48" t="s">
        <v>301</v>
      </c>
      <c r="B444" s="19" t="s">
        <v>18</v>
      </c>
      <c r="C444" s="20"/>
      <c r="D444" s="21" t="s">
        <v>40</v>
      </c>
      <c r="E444" s="26">
        <v>2</v>
      </c>
      <c r="F444" s="22">
        <v>48</v>
      </c>
      <c r="G444" s="23" t="s">
        <v>33</v>
      </c>
      <c r="H444" s="22">
        <v>1</v>
      </c>
      <c r="I444" s="23" t="s">
        <v>40</v>
      </c>
      <c r="J444" s="24">
        <f>1550*12</f>
        <v>18600</v>
      </c>
      <c r="K444" s="21" t="s">
        <v>40</v>
      </c>
      <c r="L444" s="25">
        <v>0.125</v>
      </c>
      <c r="M444" s="25">
        <v>0.05</v>
      </c>
      <c r="N444" s="22"/>
      <c r="O444" s="23" t="s">
        <v>40</v>
      </c>
      <c r="P444" s="20">
        <f t="shared" si="134"/>
        <v>96</v>
      </c>
      <c r="Q444" s="23" t="s">
        <v>40</v>
      </c>
      <c r="R444" s="24">
        <f t="shared" si="135"/>
        <v>1484280</v>
      </c>
      <c r="S444" s="24">
        <f t="shared" si="125"/>
        <v>1337189.1891891891</v>
      </c>
    </row>
    <row r="445" spans="1:19" s="19" customFormat="1">
      <c r="A445" s="48" t="s">
        <v>302</v>
      </c>
      <c r="B445" s="19" t="s">
        <v>18</v>
      </c>
      <c r="C445" s="20">
        <v>24</v>
      </c>
      <c r="D445" s="21" t="s">
        <v>40</v>
      </c>
      <c r="E445" s="26">
        <v>3</v>
      </c>
      <c r="F445" s="22">
        <v>24</v>
      </c>
      <c r="G445" s="23" t="s">
        <v>33</v>
      </c>
      <c r="H445" s="22">
        <v>1</v>
      </c>
      <c r="I445" s="23" t="s">
        <v>40</v>
      </c>
      <c r="J445" s="24">
        <f>2150*12</f>
        <v>25800</v>
      </c>
      <c r="K445" s="21" t="s">
        <v>40</v>
      </c>
      <c r="L445" s="25">
        <v>0.125</v>
      </c>
      <c r="M445" s="25">
        <v>0.05</v>
      </c>
      <c r="N445" s="22"/>
      <c r="O445" s="23" t="s">
        <v>40</v>
      </c>
      <c r="P445" s="20">
        <f t="shared" si="134"/>
        <v>96</v>
      </c>
      <c r="Q445" s="23" t="s">
        <v>40</v>
      </c>
      <c r="R445" s="24">
        <f t="shared" si="135"/>
        <v>2058840</v>
      </c>
      <c r="S445" s="24">
        <f t="shared" si="125"/>
        <v>1854810.8108108107</v>
      </c>
    </row>
    <row r="446" spans="1:19" s="19" customFormat="1">
      <c r="A446" s="48" t="s">
        <v>828</v>
      </c>
      <c r="B446" s="19" t="s">
        <v>18</v>
      </c>
      <c r="C446" s="20"/>
      <c r="D446" s="21" t="s">
        <v>40</v>
      </c>
      <c r="E446" s="26">
        <v>1</v>
      </c>
      <c r="F446" s="22">
        <v>24</v>
      </c>
      <c r="G446" s="23" t="s">
        <v>33</v>
      </c>
      <c r="H446" s="22">
        <v>1</v>
      </c>
      <c r="I446" s="23" t="s">
        <v>40</v>
      </c>
      <c r="J446" s="24">
        <v>31200</v>
      </c>
      <c r="K446" s="21" t="s">
        <v>40</v>
      </c>
      <c r="L446" s="25">
        <v>0.125</v>
      </c>
      <c r="M446" s="25">
        <v>0.05</v>
      </c>
      <c r="N446" s="22"/>
      <c r="O446" s="23" t="s">
        <v>40</v>
      </c>
      <c r="P446" s="20">
        <f t="shared" si="134"/>
        <v>24</v>
      </c>
      <c r="Q446" s="23" t="s">
        <v>40</v>
      </c>
      <c r="R446" s="24">
        <f t="shared" si="135"/>
        <v>622440</v>
      </c>
      <c r="S446" s="24">
        <f t="shared" ref="S446" si="136">R446/1.11</f>
        <v>560756.75675675669</v>
      </c>
    </row>
    <row r="447" spans="1:19" s="89" customFormat="1">
      <c r="A447" s="88" t="s">
        <v>303</v>
      </c>
      <c r="B447" s="89" t="s">
        <v>18</v>
      </c>
      <c r="C447" s="87"/>
      <c r="D447" s="90" t="s">
        <v>40</v>
      </c>
      <c r="E447" s="91"/>
      <c r="F447" s="92">
        <v>24</v>
      </c>
      <c r="G447" s="93" t="s">
        <v>33</v>
      </c>
      <c r="H447" s="92">
        <v>1</v>
      </c>
      <c r="I447" s="93" t="s">
        <v>40</v>
      </c>
      <c r="J447" s="94">
        <f>3000*12</f>
        <v>36000</v>
      </c>
      <c r="K447" s="90" t="s">
        <v>40</v>
      </c>
      <c r="L447" s="95">
        <v>0.125</v>
      </c>
      <c r="M447" s="95">
        <v>0.05</v>
      </c>
      <c r="N447" s="92"/>
      <c r="O447" s="93" t="s">
        <v>40</v>
      </c>
      <c r="P447" s="87">
        <f t="shared" si="134"/>
        <v>0</v>
      </c>
      <c r="Q447" s="93" t="s">
        <v>40</v>
      </c>
      <c r="R447" s="94">
        <f t="shared" si="135"/>
        <v>0</v>
      </c>
      <c r="S447" s="94">
        <f t="shared" si="125"/>
        <v>0</v>
      </c>
    </row>
    <row r="448" spans="1:19" s="19" customFormat="1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19" customFormat="1">
      <c r="A449" s="18" t="s">
        <v>304</v>
      </c>
      <c r="B449" s="19" t="s">
        <v>25</v>
      </c>
      <c r="C449" s="20">
        <v>40</v>
      </c>
      <c r="D449" s="21" t="s">
        <v>40</v>
      </c>
      <c r="E449" s="26">
        <v>8</v>
      </c>
      <c r="F449" s="22">
        <v>1</v>
      </c>
      <c r="G449" s="23" t="s">
        <v>20</v>
      </c>
      <c r="H449" s="22">
        <v>20</v>
      </c>
      <c r="I449" s="23" t="s">
        <v>40</v>
      </c>
      <c r="J449" s="24">
        <f>396000/20</f>
        <v>19800</v>
      </c>
      <c r="K449" s="21" t="s">
        <v>40</v>
      </c>
      <c r="L449" s="25"/>
      <c r="M449" s="25">
        <v>0.17</v>
      </c>
      <c r="N449" s="22"/>
      <c r="O449" s="23" t="s">
        <v>40</v>
      </c>
      <c r="P449" s="20">
        <f>(C449+(E449*F449*H449))-N449</f>
        <v>200</v>
      </c>
      <c r="Q449" s="23" t="s">
        <v>40</v>
      </c>
      <c r="R449" s="24">
        <f>P449*(J449-(J449*L449)-((J449-(J449*L449))*M449))</f>
        <v>3286800</v>
      </c>
      <c r="S449" s="24">
        <f t="shared" si="125"/>
        <v>2961081.0810810807</v>
      </c>
    </row>
    <row r="450" spans="1:19" s="19" customFormat="1">
      <c r="A450" s="18" t="s">
        <v>305</v>
      </c>
      <c r="B450" s="19" t="s">
        <v>25</v>
      </c>
      <c r="C450" s="20">
        <v>29</v>
      </c>
      <c r="D450" s="21" t="s">
        <v>40</v>
      </c>
      <c r="E450" s="26">
        <v>3</v>
      </c>
      <c r="F450" s="22">
        <v>1</v>
      </c>
      <c r="G450" s="23" t="s">
        <v>20</v>
      </c>
      <c r="H450" s="22">
        <v>20</v>
      </c>
      <c r="I450" s="23" t="s">
        <v>40</v>
      </c>
      <c r="J450" s="24">
        <f>504000/20</f>
        <v>25200</v>
      </c>
      <c r="K450" s="21" t="s">
        <v>40</v>
      </c>
      <c r="L450" s="25"/>
      <c r="M450" s="25">
        <v>0.17</v>
      </c>
      <c r="N450" s="22"/>
      <c r="O450" s="23" t="s">
        <v>40</v>
      </c>
      <c r="P450" s="20">
        <f>(C450+(E450*F450*H450))-N450</f>
        <v>89</v>
      </c>
      <c r="Q450" s="23" t="s">
        <v>40</v>
      </c>
      <c r="R450" s="24">
        <f>P450*(J450-(J450*L450)-((J450-(J450*L450))*M450))</f>
        <v>1861524</v>
      </c>
      <c r="S450" s="24">
        <f t="shared" si="125"/>
        <v>1677048.6486486485</v>
      </c>
    </row>
    <row r="451" spans="1:19" s="89" customFormat="1">
      <c r="A451" s="88" t="s">
        <v>306</v>
      </c>
      <c r="B451" s="89" t="s">
        <v>25</v>
      </c>
      <c r="C451" s="87"/>
      <c r="D451" s="90" t="s">
        <v>40</v>
      </c>
      <c r="E451" s="91"/>
      <c r="F451" s="92">
        <v>1</v>
      </c>
      <c r="G451" s="93" t="s">
        <v>20</v>
      </c>
      <c r="H451" s="92">
        <v>20</v>
      </c>
      <c r="I451" s="93" t="s">
        <v>40</v>
      </c>
      <c r="J451" s="94">
        <f>480000/20</f>
        <v>24000</v>
      </c>
      <c r="K451" s="90" t="s">
        <v>40</v>
      </c>
      <c r="L451" s="95"/>
      <c r="M451" s="95">
        <v>0.17</v>
      </c>
      <c r="N451" s="92"/>
      <c r="O451" s="93" t="s">
        <v>40</v>
      </c>
      <c r="P451" s="87">
        <f>(C451+(E451*F451*H451))-N451</f>
        <v>0</v>
      </c>
      <c r="Q451" s="93" t="s">
        <v>40</v>
      </c>
      <c r="R451" s="94">
        <f>P451*(J451-(J451*L451)-((J451-(J451*L451))*M451))</f>
        <v>0</v>
      </c>
      <c r="S451" s="94">
        <f t="shared" si="125"/>
        <v>0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18" t="s">
        <v>844</v>
      </c>
      <c r="B453" s="19" t="s">
        <v>838</v>
      </c>
      <c r="C453" s="20">
        <v>430</v>
      </c>
      <c r="D453" s="21" t="s">
        <v>839</v>
      </c>
      <c r="E453" s="26">
        <v>9</v>
      </c>
      <c r="F453" s="22">
        <v>1</v>
      </c>
      <c r="G453" s="23" t="s">
        <v>20</v>
      </c>
      <c r="H453" s="22">
        <v>432</v>
      </c>
      <c r="I453" s="23" t="s">
        <v>839</v>
      </c>
      <c r="J453" s="24">
        <v>1400</v>
      </c>
      <c r="K453" s="21" t="s">
        <v>839</v>
      </c>
      <c r="L453" s="25"/>
      <c r="M453" s="25">
        <v>0.05</v>
      </c>
      <c r="N453" s="22"/>
      <c r="O453" s="23" t="s">
        <v>839</v>
      </c>
      <c r="P453" s="20">
        <f>(C453+(E453*F453*H453))-N453</f>
        <v>4318</v>
      </c>
      <c r="Q453" s="23" t="s">
        <v>839</v>
      </c>
      <c r="R453" s="24">
        <f>P453*(J453-(J453*L453)-((J453-(J453*L453))*M453))</f>
        <v>5742940</v>
      </c>
      <c r="S453" s="24">
        <f t="shared" ref="S453" si="137">R453/1.11</f>
        <v>5173819.8198198192</v>
      </c>
    </row>
    <row r="454" spans="1:19" s="19" customFormat="1">
      <c r="A454" s="18"/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71" t="s">
        <v>307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>
        <f t="shared" si="125"/>
        <v>0</v>
      </c>
    </row>
    <row r="456" spans="1:19" s="19" customFormat="1">
      <c r="A456" s="18" t="s">
        <v>308</v>
      </c>
      <c r="B456" s="19" t="s">
        <v>18</v>
      </c>
      <c r="C456" s="20">
        <v>91</v>
      </c>
      <c r="D456" s="21" t="s">
        <v>33</v>
      </c>
      <c r="E456" s="26">
        <v>13</v>
      </c>
      <c r="F456" s="22">
        <v>1</v>
      </c>
      <c r="G456" s="23" t="s">
        <v>20</v>
      </c>
      <c r="H456" s="22">
        <v>64</v>
      </c>
      <c r="I456" s="23" t="s">
        <v>33</v>
      </c>
      <c r="J456" s="24">
        <f>2100*12</f>
        <v>25200</v>
      </c>
      <c r="K456" s="21" t="s">
        <v>33</v>
      </c>
      <c r="L456" s="25">
        <v>0.125</v>
      </c>
      <c r="M456" s="25">
        <v>0.05</v>
      </c>
      <c r="N456" s="22"/>
      <c r="O456" s="23" t="s">
        <v>33</v>
      </c>
      <c r="P456" s="20">
        <f t="shared" ref="P456:P463" si="138">(C456+(E456*F456*H456))-N456</f>
        <v>923</v>
      </c>
      <c r="Q456" s="23" t="s">
        <v>33</v>
      </c>
      <c r="R456" s="24">
        <f t="shared" ref="R456:R463" si="139">P456*(J456-(J456*L456)-((J456-(J456*L456))*M456))</f>
        <v>19334542.5</v>
      </c>
      <c r="S456" s="24">
        <f t="shared" si="125"/>
        <v>17418506.756756756</v>
      </c>
    </row>
    <row r="457" spans="1:19" s="19" customFormat="1">
      <c r="A457" s="18" t="s">
        <v>310</v>
      </c>
      <c r="B457" s="19" t="s">
        <v>18</v>
      </c>
      <c r="C457" s="20">
        <v>72</v>
      </c>
      <c r="D457" s="21" t="s">
        <v>33</v>
      </c>
      <c r="E457" s="26">
        <v>6</v>
      </c>
      <c r="F457" s="22">
        <v>1</v>
      </c>
      <c r="G457" s="23" t="s">
        <v>20</v>
      </c>
      <c r="H457" s="22">
        <v>36</v>
      </c>
      <c r="I457" s="23" t="s">
        <v>33</v>
      </c>
      <c r="J457" s="24">
        <f>2100*24</f>
        <v>50400</v>
      </c>
      <c r="K457" s="21" t="s">
        <v>33</v>
      </c>
      <c r="L457" s="25">
        <v>0.125</v>
      </c>
      <c r="M457" s="25">
        <v>0.05</v>
      </c>
      <c r="N457" s="22"/>
      <c r="O457" s="23" t="s">
        <v>33</v>
      </c>
      <c r="P457" s="20">
        <f t="shared" si="138"/>
        <v>288</v>
      </c>
      <c r="Q457" s="23" t="s">
        <v>33</v>
      </c>
      <c r="R457" s="24">
        <f t="shared" si="139"/>
        <v>12065760</v>
      </c>
      <c r="S457" s="24">
        <f>R457/1.11</f>
        <v>10870054.054054054</v>
      </c>
    </row>
    <row r="458" spans="1:19" s="89" customFormat="1">
      <c r="A458" s="148" t="s">
        <v>722</v>
      </c>
      <c r="B458" s="89" t="s">
        <v>18</v>
      </c>
      <c r="C458" s="87"/>
      <c r="D458" s="90" t="s">
        <v>33</v>
      </c>
      <c r="E458" s="91"/>
      <c r="F458" s="92">
        <v>1</v>
      </c>
      <c r="G458" s="93" t="s">
        <v>20</v>
      </c>
      <c r="H458" s="92">
        <v>36</v>
      </c>
      <c r="I458" s="93" t="s">
        <v>33</v>
      </c>
      <c r="J458" s="94">
        <f>2300*24</f>
        <v>55200</v>
      </c>
      <c r="K458" s="90" t="s">
        <v>33</v>
      </c>
      <c r="L458" s="95">
        <v>0.125</v>
      </c>
      <c r="M458" s="95">
        <v>0.05</v>
      </c>
      <c r="N458" s="92"/>
      <c r="O458" s="93" t="s">
        <v>33</v>
      </c>
      <c r="P458" s="87">
        <f t="shared" si="138"/>
        <v>0</v>
      </c>
      <c r="Q458" s="93" t="s">
        <v>33</v>
      </c>
      <c r="R458" s="94">
        <f t="shared" si="139"/>
        <v>0</v>
      </c>
      <c r="S458" s="94">
        <f>R458/1.11</f>
        <v>0</v>
      </c>
    </row>
    <row r="459" spans="1:19" s="89" customFormat="1">
      <c r="A459" s="88" t="s">
        <v>721</v>
      </c>
      <c r="B459" s="89" t="s">
        <v>18</v>
      </c>
      <c r="C459" s="87"/>
      <c r="D459" s="90" t="s">
        <v>33</v>
      </c>
      <c r="E459" s="91"/>
      <c r="F459" s="92">
        <v>1</v>
      </c>
      <c r="G459" s="93" t="s">
        <v>20</v>
      </c>
      <c r="H459" s="92">
        <v>32</v>
      </c>
      <c r="I459" s="93" t="s">
        <v>33</v>
      </c>
      <c r="J459" s="94">
        <f>1300*12</f>
        <v>15600</v>
      </c>
      <c r="K459" s="90" t="s">
        <v>33</v>
      </c>
      <c r="L459" s="95">
        <v>0.125</v>
      </c>
      <c r="M459" s="95">
        <v>0.05</v>
      </c>
      <c r="N459" s="92"/>
      <c r="O459" s="93" t="s">
        <v>33</v>
      </c>
      <c r="P459" s="87">
        <f t="shared" si="138"/>
        <v>0</v>
      </c>
      <c r="Q459" s="93" t="s">
        <v>33</v>
      </c>
      <c r="R459" s="94">
        <f t="shared" si="139"/>
        <v>0</v>
      </c>
      <c r="S459" s="94">
        <f>R459/1.11</f>
        <v>0</v>
      </c>
    </row>
    <row r="460" spans="1:19" s="19" customFormat="1">
      <c r="A460" s="18" t="s">
        <v>309</v>
      </c>
      <c r="B460" s="19" t="s">
        <v>18</v>
      </c>
      <c r="C460" s="20">
        <v>38</v>
      </c>
      <c r="D460" s="21" t="s">
        <v>33</v>
      </c>
      <c r="E460" s="26"/>
      <c r="F460" s="22">
        <v>1</v>
      </c>
      <c r="G460" s="23" t="s">
        <v>20</v>
      </c>
      <c r="H460" s="22">
        <v>54</v>
      </c>
      <c r="I460" s="23" t="s">
        <v>33</v>
      </c>
      <c r="J460" s="24">
        <f>3400*12</f>
        <v>40800</v>
      </c>
      <c r="K460" s="21" t="s">
        <v>33</v>
      </c>
      <c r="L460" s="25">
        <v>0.125</v>
      </c>
      <c r="M460" s="25">
        <v>0.05</v>
      </c>
      <c r="N460" s="22"/>
      <c r="O460" s="23" t="s">
        <v>33</v>
      </c>
      <c r="P460" s="20">
        <f t="shared" si="138"/>
        <v>38</v>
      </c>
      <c r="Q460" s="23" t="s">
        <v>33</v>
      </c>
      <c r="R460" s="24">
        <f t="shared" si="139"/>
        <v>1288770</v>
      </c>
      <c r="S460" s="24">
        <f t="shared" si="125"/>
        <v>1161054.054054054</v>
      </c>
    </row>
    <row r="461" spans="1:19" s="89" customFormat="1">
      <c r="A461" s="148" t="s">
        <v>764</v>
      </c>
      <c r="B461" s="89" t="s">
        <v>18</v>
      </c>
      <c r="C461" s="87"/>
      <c r="D461" s="90" t="s">
        <v>33</v>
      </c>
      <c r="E461" s="91"/>
      <c r="F461" s="92">
        <v>1</v>
      </c>
      <c r="G461" s="93" t="s">
        <v>20</v>
      </c>
      <c r="H461" s="92">
        <v>24</v>
      </c>
      <c r="I461" s="93" t="s">
        <v>33</v>
      </c>
      <c r="J461" s="94">
        <f>3300*24</f>
        <v>79200</v>
      </c>
      <c r="K461" s="90" t="s">
        <v>33</v>
      </c>
      <c r="L461" s="95">
        <v>0.125</v>
      </c>
      <c r="M461" s="95">
        <v>0.05</v>
      </c>
      <c r="N461" s="92"/>
      <c r="O461" s="93" t="s">
        <v>33</v>
      </c>
      <c r="P461" s="87">
        <f t="shared" si="138"/>
        <v>0</v>
      </c>
      <c r="Q461" s="93" t="s">
        <v>33</v>
      </c>
      <c r="R461" s="94">
        <f t="shared" si="139"/>
        <v>0</v>
      </c>
      <c r="S461" s="94">
        <f>R461/1.11</f>
        <v>0</v>
      </c>
    </row>
    <row r="462" spans="1:19" s="19" customFormat="1">
      <c r="A462" s="55" t="s">
        <v>311</v>
      </c>
      <c r="B462" s="19" t="s">
        <v>18</v>
      </c>
      <c r="C462" s="20"/>
      <c r="D462" s="21" t="s">
        <v>33</v>
      </c>
      <c r="E462" s="26">
        <v>12</v>
      </c>
      <c r="F462" s="22">
        <v>1</v>
      </c>
      <c r="G462" s="23" t="s">
        <v>20</v>
      </c>
      <c r="H462" s="22">
        <v>36</v>
      </c>
      <c r="I462" s="23" t="s">
        <v>33</v>
      </c>
      <c r="J462" s="24">
        <f>2450*24</f>
        <v>58800</v>
      </c>
      <c r="K462" s="21" t="s">
        <v>33</v>
      </c>
      <c r="L462" s="25">
        <v>0.125</v>
      </c>
      <c r="M462" s="25">
        <v>0.05</v>
      </c>
      <c r="N462" s="22"/>
      <c r="O462" s="23" t="s">
        <v>33</v>
      </c>
      <c r="P462" s="20">
        <f t="shared" si="138"/>
        <v>432</v>
      </c>
      <c r="Q462" s="23" t="s">
        <v>33</v>
      </c>
      <c r="R462" s="24">
        <f t="shared" si="139"/>
        <v>21115080</v>
      </c>
      <c r="S462" s="24">
        <f>R462/1.11</f>
        <v>19022594.594594594</v>
      </c>
    </row>
    <row r="463" spans="1:19" s="89" customFormat="1">
      <c r="A463" s="88" t="s">
        <v>718</v>
      </c>
      <c r="B463" s="89" t="s">
        <v>18</v>
      </c>
      <c r="C463" s="87"/>
      <c r="D463" s="90" t="s">
        <v>33</v>
      </c>
      <c r="E463" s="91"/>
      <c r="F463" s="92">
        <v>1</v>
      </c>
      <c r="G463" s="93" t="s">
        <v>20</v>
      </c>
      <c r="H463" s="92">
        <v>36</v>
      </c>
      <c r="I463" s="93" t="s">
        <v>33</v>
      </c>
      <c r="J463" s="94">
        <f>4600*12</f>
        <v>55200</v>
      </c>
      <c r="K463" s="90" t="s">
        <v>33</v>
      </c>
      <c r="L463" s="95">
        <v>0.125</v>
      </c>
      <c r="M463" s="95">
        <v>0.05</v>
      </c>
      <c r="N463" s="92"/>
      <c r="O463" s="93" t="s">
        <v>33</v>
      </c>
      <c r="P463" s="87">
        <f t="shared" si="138"/>
        <v>0</v>
      </c>
      <c r="Q463" s="93" t="s">
        <v>33</v>
      </c>
      <c r="R463" s="94">
        <f t="shared" si="139"/>
        <v>0</v>
      </c>
      <c r="S463" s="94">
        <f t="shared" ref="S463" si="140">R463/1.11</f>
        <v>0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19" s="19" customFormat="1">
      <c r="A465" s="18" t="s">
        <v>312</v>
      </c>
      <c r="B465" s="19" t="s">
        <v>25</v>
      </c>
      <c r="C465" s="20">
        <v>77</v>
      </c>
      <c r="D465" s="21" t="s">
        <v>33</v>
      </c>
      <c r="E465" s="26">
        <v>14</v>
      </c>
      <c r="F465" s="22">
        <v>1</v>
      </c>
      <c r="G465" s="23" t="s">
        <v>20</v>
      </c>
      <c r="H465" s="22">
        <v>36</v>
      </c>
      <c r="I465" s="23" t="s">
        <v>33</v>
      </c>
      <c r="J465" s="24">
        <f>2376000/36</f>
        <v>66000</v>
      </c>
      <c r="K465" s="21" t="s">
        <v>33</v>
      </c>
      <c r="L465" s="25"/>
      <c r="M465" s="25">
        <v>0.17</v>
      </c>
      <c r="N465" s="22"/>
      <c r="O465" s="23" t="s">
        <v>33</v>
      </c>
      <c r="P465" s="20">
        <f>(C465+(E465*F465*H465))-N465</f>
        <v>581</v>
      </c>
      <c r="Q465" s="23" t="s">
        <v>33</v>
      </c>
      <c r="R465" s="24">
        <f>P465*(J465-(J465*L465)-((J465-(J465*L465))*M465))</f>
        <v>31827180</v>
      </c>
      <c r="S465" s="24">
        <f t="shared" si="125"/>
        <v>28673135.135135133</v>
      </c>
    </row>
    <row r="466" spans="1:19" s="19" customFormat="1">
      <c r="A466" s="18" t="s">
        <v>313</v>
      </c>
      <c r="B466" s="19" t="s">
        <v>25</v>
      </c>
      <c r="C466" s="20">
        <v>300</v>
      </c>
      <c r="D466" s="21" t="s">
        <v>33</v>
      </c>
      <c r="E466" s="26">
        <v>8</v>
      </c>
      <c r="F466" s="22">
        <v>1</v>
      </c>
      <c r="G466" s="23" t="s">
        <v>20</v>
      </c>
      <c r="H466" s="22">
        <v>36</v>
      </c>
      <c r="I466" s="23" t="s">
        <v>33</v>
      </c>
      <c r="J466" s="24">
        <f>2592000/36</f>
        <v>72000</v>
      </c>
      <c r="K466" s="21" t="s">
        <v>33</v>
      </c>
      <c r="L466" s="25"/>
      <c r="M466" s="25">
        <v>0.17</v>
      </c>
      <c r="N466" s="22"/>
      <c r="O466" s="23" t="s">
        <v>33</v>
      </c>
      <c r="P466" s="20">
        <f>(C466+(E466*F466*H466))-N466</f>
        <v>588</v>
      </c>
      <c r="Q466" s="23" t="s">
        <v>33</v>
      </c>
      <c r="R466" s="24">
        <f>P466*(J466-(J466*L466)-((J466-(J466*L466))*M466))</f>
        <v>35138880</v>
      </c>
      <c r="S466" s="24">
        <f t="shared" si="125"/>
        <v>31656648.648648646</v>
      </c>
    </row>
    <row r="467" spans="1:19" s="19" customFormat="1">
      <c r="A467" s="18" t="s">
        <v>314</v>
      </c>
      <c r="B467" s="19" t="s">
        <v>25</v>
      </c>
      <c r="C467" s="20">
        <v>202</v>
      </c>
      <c r="D467" s="21" t="s">
        <v>33</v>
      </c>
      <c r="E467" s="26"/>
      <c r="F467" s="22">
        <v>1</v>
      </c>
      <c r="G467" s="23" t="s">
        <v>20</v>
      </c>
      <c r="H467" s="22">
        <v>36</v>
      </c>
      <c r="I467" s="23" t="s">
        <v>33</v>
      </c>
      <c r="J467" s="24">
        <f>2160000/36</f>
        <v>60000</v>
      </c>
      <c r="K467" s="21" t="s">
        <v>33</v>
      </c>
      <c r="L467" s="25"/>
      <c r="M467" s="25">
        <v>0.17</v>
      </c>
      <c r="N467" s="22"/>
      <c r="O467" s="23" t="s">
        <v>33</v>
      </c>
      <c r="P467" s="20">
        <f>(C467+(E467*F467*H467))-N467</f>
        <v>202</v>
      </c>
      <c r="Q467" s="23" t="s">
        <v>33</v>
      </c>
      <c r="R467" s="24">
        <f>P467*(J467-(J467*L467)-((J467-(J467*L467))*M467))</f>
        <v>10059600</v>
      </c>
      <c r="S467" s="24">
        <f t="shared" si="125"/>
        <v>9062702.7027027011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71" t="s">
        <v>770</v>
      </c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89" customFormat="1">
      <c r="A470" s="88" t="s">
        <v>315</v>
      </c>
      <c r="B470" s="89" t="s">
        <v>25</v>
      </c>
      <c r="C470" s="87"/>
      <c r="D470" s="90" t="s">
        <v>103</v>
      </c>
      <c r="E470" s="91"/>
      <c r="F470" s="92">
        <v>1</v>
      </c>
      <c r="G470" s="93" t="s">
        <v>20</v>
      </c>
      <c r="H470" s="92">
        <v>60</v>
      </c>
      <c r="I470" s="93" t="s">
        <v>103</v>
      </c>
      <c r="J470" s="94">
        <v>18600</v>
      </c>
      <c r="K470" s="90" t="s">
        <v>103</v>
      </c>
      <c r="L470" s="95"/>
      <c r="M470" s="95">
        <v>0.17</v>
      </c>
      <c r="N470" s="92"/>
      <c r="O470" s="93" t="s">
        <v>103</v>
      </c>
      <c r="P470" s="87">
        <f>(C470+(E470*F470*H470))-N470</f>
        <v>0</v>
      </c>
      <c r="Q470" s="93" t="s">
        <v>103</v>
      </c>
      <c r="R470" s="94">
        <f>P470*(J470-(J470*L470)-((J470-(J470*L470))*M470))</f>
        <v>0</v>
      </c>
      <c r="S470" s="94">
        <f t="shared" si="125"/>
        <v>0</v>
      </c>
    </row>
    <row r="471" spans="1:19" s="19" customFormat="1">
      <c r="A471" s="18"/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18" t="s">
        <v>771</v>
      </c>
      <c r="B472" s="18" t="s">
        <v>172</v>
      </c>
      <c r="C472" s="50">
        <v>800</v>
      </c>
      <c r="D472" s="51" t="s">
        <v>40</v>
      </c>
      <c r="E472" s="52"/>
      <c r="F472" s="53">
        <v>1</v>
      </c>
      <c r="G472" s="48" t="s">
        <v>20</v>
      </c>
      <c r="H472" s="53">
        <v>160</v>
      </c>
      <c r="I472" s="48" t="s">
        <v>40</v>
      </c>
      <c r="J472" s="29">
        <v>7750</v>
      </c>
      <c r="K472" s="51" t="s">
        <v>40</v>
      </c>
      <c r="L472" s="54">
        <v>0.05</v>
      </c>
      <c r="M472" s="54"/>
      <c r="N472" s="53"/>
      <c r="O472" s="48" t="s">
        <v>40</v>
      </c>
      <c r="P472" s="50">
        <f>(C472+(E472*F472*H472))-N472</f>
        <v>800</v>
      </c>
      <c r="Q472" s="48" t="s">
        <v>40</v>
      </c>
      <c r="R472" s="29">
        <f>P472*(J472-(J472*L472)-((J472-(J472*L472))*M472))</f>
        <v>5890000</v>
      </c>
      <c r="S472" s="29">
        <f t="shared" si="125"/>
        <v>5306306.3063063063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>
      <c r="A474" s="71" t="s">
        <v>316</v>
      </c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>
      <c r="A475" s="18" t="s">
        <v>317</v>
      </c>
      <c r="B475" s="19" t="s">
        <v>318</v>
      </c>
      <c r="C475" s="20">
        <v>145</v>
      </c>
      <c r="D475" s="21" t="s">
        <v>319</v>
      </c>
      <c r="E475" s="26"/>
      <c r="F475" s="22">
        <v>1</v>
      </c>
      <c r="G475" s="23" t="s">
        <v>20</v>
      </c>
      <c r="H475" s="22">
        <v>25</v>
      </c>
      <c r="I475" s="23" t="s">
        <v>319</v>
      </c>
      <c r="J475" s="24">
        <v>55000</v>
      </c>
      <c r="K475" s="21" t="s">
        <v>319</v>
      </c>
      <c r="L475" s="25"/>
      <c r="M475" s="25"/>
      <c r="N475" s="22"/>
      <c r="O475" s="23" t="s">
        <v>319</v>
      </c>
      <c r="P475" s="20">
        <f>(C475+(E475*F475*H475))-N475</f>
        <v>145</v>
      </c>
      <c r="Q475" s="23" t="s">
        <v>319</v>
      </c>
      <c r="R475" s="24">
        <f>P475*(J475-(J475*L475)-((J475-(J475*L475))*M475))</f>
        <v>7975000</v>
      </c>
      <c r="S475" s="24">
        <f t="shared" si="125"/>
        <v>7184684.6846846845</v>
      </c>
    </row>
    <row r="476" spans="1:19" s="19" customFormat="1">
      <c r="A476" s="18"/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19" customFormat="1" ht="15.75">
      <c r="A477" s="44" t="s">
        <v>320</v>
      </c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19" s="89" customFormat="1">
      <c r="A478" s="88" t="s">
        <v>321</v>
      </c>
      <c r="B478" s="89" t="s">
        <v>18</v>
      </c>
      <c r="C478" s="87"/>
      <c r="D478" s="90" t="s">
        <v>99</v>
      </c>
      <c r="E478" s="91"/>
      <c r="F478" s="92">
        <v>1</v>
      </c>
      <c r="G478" s="93" t="s">
        <v>20</v>
      </c>
      <c r="H478" s="92">
        <v>192</v>
      </c>
      <c r="I478" s="93" t="s">
        <v>99</v>
      </c>
      <c r="J478" s="94">
        <v>3450</v>
      </c>
      <c r="K478" s="90" t="s">
        <v>99</v>
      </c>
      <c r="L478" s="95">
        <v>0.125</v>
      </c>
      <c r="M478" s="95">
        <v>0.05</v>
      </c>
      <c r="N478" s="92"/>
      <c r="O478" s="93" t="s">
        <v>99</v>
      </c>
      <c r="P478" s="87">
        <f t="shared" ref="P478:P483" si="141">(C478+(E478*F478*H478))-N478</f>
        <v>0</v>
      </c>
      <c r="Q478" s="93" t="s">
        <v>99</v>
      </c>
      <c r="R478" s="94">
        <f t="shared" ref="R478:R483" si="142">P478*(J478-(J478*L478)-((J478-(J478*L478))*M478))</f>
        <v>0</v>
      </c>
      <c r="S478" s="94">
        <f t="shared" ref="S478:S561" si="143">R478/1.11</f>
        <v>0</v>
      </c>
    </row>
    <row r="479" spans="1:19" s="89" customFormat="1">
      <c r="A479" s="88" t="s">
        <v>322</v>
      </c>
      <c r="B479" s="89" t="s">
        <v>18</v>
      </c>
      <c r="C479" s="87"/>
      <c r="D479" s="90" t="s">
        <v>99</v>
      </c>
      <c r="E479" s="91"/>
      <c r="F479" s="92">
        <v>1</v>
      </c>
      <c r="G479" s="93" t="s">
        <v>20</v>
      </c>
      <c r="H479" s="92">
        <v>160</v>
      </c>
      <c r="I479" s="93" t="s">
        <v>99</v>
      </c>
      <c r="J479" s="94">
        <v>5400</v>
      </c>
      <c r="K479" s="90" t="s">
        <v>99</v>
      </c>
      <c r="L479" s="95">
        <v>0.125</v>
      </c>
      <c r="M479" s="95">
        <v>0.05</v>
      </c>
      <c r="N479" s="92"/>
      <c r="O479" s="93" t="s">
        <v>99</v>
      </c>
      <c r="P479" s="87">
        <f t="shared" si="141"/>
        <v>0</v>
      </c>
      <c r="Q479" s="93" t="s">
        <v>99</v>
      </c>
      <c r="R479" s="94">
        <f t="shared" si="142"/>
        <v>0</v>
      </c>
      <c r="S479" s="94">
        <f t="shared" si="143"/>
        <v>0</v>
      </c>
    </row>
    <row r="480" spans="1:19" s="19" customFormat="1">
      <c r="A480" s="18" t="s">
        <v>323</v>
      </c>
      <c r="B480" s="19" t="s">
        <v>18</v>
      </c>
      <c r="C480" s="20"/>
      <c r="D480" s="21" t="s">
        <v>99</v>
      </c>
      <c r="E480" s="26">
        <v>2</v>
      </c>
      <c r="F480" s="22">
        <v>1</v>
      </c>
      <c r="G480" s="23" t="s">
        <v>20</v>
      </c>
      <c r="H480" s="22">
        <v>192</v>
      </c>
      <c r="I480" s="23" t="s">
        <v>99</v>
      </c>
      <c r="J480" s="24">
        <v>3600</v>
      </c>
      <c r="K480" s="21" t="s">
        <v>99</v>
      </c>
      <c r="L480" s="25">
        <v>0.125</v>
      </c>
      <c r="M480" s="25">
        <v>0.05</v>
      </c>
      <c r="N480" s="22"/>
      <c r="O480" s="23" t="s">
        <v>99</v>
      </c>
      <c r="P480" s="20">
        <f t="shared" si="141"/>
        <v>384</v>
      </c>
      <c r="Q480" s="23" t="s">
        <v>99</v>
      </c>
      <c r="R480" s="24">
        <f t="shared" si="142"/>
        <v>1149120</v>
      </c>
      <c r="S480" s="24">
        <f t="shared" si="143"/>
        <v>1035243.2432432432</v>
      </c>
    </row>
    <row r="481" spans="1:20" s="19" customFormat="1">
      <c r="A481" s="18" t="s">
        <v>324</v>
      </c>
      <c r="B481" s="19" t="s">
        <v>18</v>
      </c>
      <c r="C481" s="20">
        <v>43</v>
      </c>
      <c r="D481" s="21" t="s">
        <v>99</v>
      </c>
      <c r="E481" s="26">
        <v>6</v>
      </c>
      <c r="F481" s="22">
        <v>1</v>
      </c>
      <c r="G481" s="23" t="s">
        <v>20</v>
      </c>
      <c r="H481" s="22">
        <v>96</v>
      </c>
      <c r="I481" s="23" t="s">
        <v>99</v>
      </c>
      <c r="J481" s="24">
        <v>7000</v>
      </c>
      <c r="K481" s="21" t="s">
        <v>99</v>
      </c>
      <c r="L481" s="25">
        <v>0.125</v>
      </c>
      <c r="M481" s="25">
        <v>0.05</v>
      </c>
      <c r="N481" s="22"/>
      <c r="O481" s="23" t="s">
        <v>99</v>
      </c>
      <c r="P481" s="20">
        <f t="shared" si="141"/>
        <v>619</v>
      </c>
      <c r="Q481" s="23" t="s">
        <v>99</v>
      </c>
      <c r="R481" s="24">
        <f t="shared" si="142"/>
        <v>3601806.25</v>
      </c>
      <c r="S481" s="24">
        <f t="shared" si="143"/>
        <v>3244870.4954954954</v>
      </c>
    </row>
    <row r="482" spans="1:20" s="89" customFormat="1">
      <c r="A482" s="88" t="s">
        <v>755</v>
      </c>
      <c r="B482" s="89" t="s">
        <v>18</v>
      </c>
      <c r="C482" s="87"/>
      <c r="D482" s="90" t="s">
        <v>99</v>
      </c>
      <c r="E482" s="91"/>
      <c r="F482" s="92">
        <v>1</v>
      </c>
      <c r="G482" s="93" t="s">
        <v>20</v>
      </c>
      <c r="H482" s="92">
        <v>160</v>
      </c>
      <c r="I482" s="93" t="s">
        <v>99</v>
      </c>
      <c r="J482" s="94">
        <v>5700</v>
      </c>
      <c r="K482" s="90" t="s">
        <v>99</v>
      </c>
      <c r="L482" s="95">
        <v>0.125</v>
      </c>
      <c r="M482" s="95">
        <v>0.05</v>
      </c>
      <c r="N482" s="92"/>
      <c r="O482" s="93" t="s">
        <v>99</v>
      </c>
      <c r="P482" s="87">
        <f t="shared" si="141"/>
        <v>0</v>
      </c>
      <c r="Q482" s="93" t="s">
        <v>99</v>
      </c>
      <c r="R482" s="94">
        <f t="shared" si="142"/>
        <v>0</v>
      </c>
      <c r="S482" s="94">
        <f t="shared" si="143"/>
        <v>0</v>
      </c>
    </row>
    <row r="483" spans="1:20" s="89" customFormat="1">
      <c r="A483" s="88" t="s">
        <v>325</v>
      </c>
      <c r="B483" s="89" t="s">
        <v>18</v>
      </c>
      <c r="C483" s="87"/>
      <c r="D483" s="90" t="s">
        <v>99</v>
      </c>
      <c r="E483" s="91">
        <v>1</v>
      </c>
      <c r="F483" s="92">
        <v>1</v>
      </c>
      <c r="G483" s="93" t="s">
        <v>20</v>
      </c>
      <c r="H483" s="92">
        <v>80</v>
      </c>
      <c r="I483" s="93" t="s">
        <v>99</v>
      </c>
      <c r="J483" s="94">
        <v>10800</v>
      </c>
      <c r="K483" s="90" t="s">
        <v>99</v>
      </c>
      <c r="L483" s="95">
        <v>0.125</v>
      </c>
      <c r="M483" s="95">
        <v>0.05</v>
      </c>
      <c r="N483" s="92"/>
      <c r="O483" s="93" t="s">
        <v>99</v>
      </c>
      <c r="P483" s="87">
        <f t="shared" si="141"/>
        <v>80</v>
      </c>
      <c r="Q483" s="93" t="s">
        <v>99</v>
      </c>
      <c r="R483" s="94">
        <f t="shared" si="142"/>
        <v>718200</v>
      </c>
      <c r="S483" s="94">
        <f t="shared" si="143"/>
        <v>647027.02702702698</v>
      </c>
    </row>
    <row r="484" spans="1:20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20" s="19" customFormat="1">
      <c r="A485" s="18" t="s">
        <v>326</v>
      </c>
      <c r="B485" s="19" t="s">
        <v>25</v>
      </c>
      <c r="C485" s="20">
        <v>910</v>
      </c>
      <c r="D485" s="21" t="s">
        <v>99</v>
      </c>
      <c r="E485" s="26">
        <v>2</v>
      </c>
      <c r="F485" s="22">
        <v>1</v>
      </c>
      <c r="G485" s="23" t="s">
        <v>20</v>
      </c>
      <c r="H485" s="22">
        <v>192</v>
      </c>
      <c r="I485" s="23" t="s">
        <v>99</v>
      </c>
      <c r="J485" s="24">
        <f>844800/192</f>
        <v>4400</v>
      </c>
      <c r="K485" s="21" t="s">
        <v>99</v>
      </c>
      <c r="L485" s="25"/>
      <c r="M485" s="25">
        <v>0.17</v>
      </c>
      <c r="N485" s="22"/>
      <c r="O485" s="23" t="s">
        <v>99</v>
      </c>
      <c r="P485" s="20">
        <f>(C485+(E485*F485*H485))-N485</f>
        <v>1294</v>
      </c>
      <c r="Q485" s="23" t="s">
        <v>99</v>
      </c>
      <c r="R485" s="24">
        <f>P485*(J485-(J485*L485)-((J485-(J485*L485))*M485))</f>
        <v>4725688</v>
      </c>
      <c r="S485" s="24">
        <f t="shared" si="143"/>
        <v>4257376.5765765766</v>
      </c>
    </row>
    <row r="486" spans="1:20" s="19" customFormat="1">
      <c r="A486" s="18" t="s">
        <v>327</v>
      </c>
      <c r="B486" s="19" t="s">
        <v>25</v>
      </c>
      <c r="C486" s="20"/>
      <c r="D486" s="21" t="s">
        <v>99</v>
      </c>
      <c r="E486" s="26">
        <v>3</v>
      </c>
      <c r="F486" s="22">
        <v>1</v>
      </c>
      <c r="G486" s="23" t="s">
        <v>20</v>
      </c>
      <c r="H486" s="22">
        <v>96</v>
      </c>
      <c r="I486" s="23" t="s">
        <v>99</v>
      </c>
      <c r="J486" s="24">
        <f>801600/96</f>
        <v>8350</v>
      </c>
      <c r="K486" s="21" t="s">
        <v>99</v>
      </c>
      <c r="L486" s="25"/>
      <c r="M486" s="25">
        <v>0.17</v>
      </c>
      <c r="N486" s="22"/>
      <c r="O486" s="23" t="s">
        <v>99</v>
      </c>
      <c r="P486" s="20">
        <f>(C486+(E486*F486*H486))-N486</f>
        <v>288</v>
      </c>
      <c r="Q486" s="23" t="s">
        <v>99</v>
      </c>
      <c r="R486" s="24">
        <f>P486*(J486-(J486*L486)-((J486-(J486*L486))*M486))</f>
        <v>1995984</v>
      </c>
      <c r="S486" s="24">
        <f t="shared" si="143"/>
        <v>1798183.7837837837</v>
      </c>
    </row>
    <row r="487" spans="1:20" s="19" customFormat="1">
      <c r="A487" s="18" t="s">
        <v>328</v>
      </c>
      <c r="B487" s="19" t="s">
        <v>25</v>
      </c>
      <c r="C487" s="20">
        <v>160</v>
      </c>
      <c r="D487" s="21" t="s">
        <v>99</v>
      </c>
      <c r="E487" s="26"/>
      <c r="F487" s="22">
        <v>1</v>
      </c>
      <c r="G487" s="23" t="s">
        <v>20</v>
      </c>
      <c r="H487" s="22">
        <v>160</v>
      </c>
      <c r="I487" s="23" t="s">
        <v>99</v>
      </c>
      <c r="J487" s="24">
        <f>1104000/160</f>
        <v>6900</v>
      </c>
      <c r="K487" s="21" t="s">
        <v>99</v>
      </c>
      <c r="L487" s="25"/>
      <c r="M487" s="25">
        <v>0.17</v>
      </c>
      <c r="N487" s="22"/>
      <c r="O487" s="23" t="s">
        <v>99</v>
      </c>
      <c r="P487" s="20">
        <f>(C487+(E487*F487*H487))-N487</f>
        <v>160</v>
      </c>
      <c r="Q487" s="23" t="s">
        <v>99</v>
      </c>
      <c r="R487" s="24">
        <f>P487*(J487-(J487*L487)-((J487-(J487*L487))*M487))</f>
        <v>916320</v>
      </c>
      <c r="S487" s="24">
        <f t="shared" si="143"/>
        <v>825513.51351351349</v>
      </c>
    </row>
    <row r="488" spans="1:20" s="19" customFormat="1">
      <c r="A488" s="18" t="s">
        <v>329</v>
      </c>
      <c r="B488" s="19" t="s">
        <v>25</v>
      </c>
      <c r="C488" s="20"/>
      <c r="D488" s="21" t="s">
        <v>99</v>
      </c>
      <c r="E488" s="26">
        <v>5</v>
      </c>
      <c r="F488" s="22">
        <v>1</v>
      </c>
      <c r="G488" s="23" t="s">
        <v>20</v>
      </c>
      <c r="H488" s="22">
        <v>80</v>
      </c>
      <c r="I488" s="23" t="s">
        <v>99</v>
      </c>
      <c r="J488" s="24">
        <f>1040000/80</f>
        <v>13000</v>
      </c>
      <c r="K488" s="21" t="s">
        <v>99</v>
      </c>
      <c r="L488" s="25"/>
      <c r="M488" s="25">
        <v>0.17</v>
      </c>
      <c r="N488" s="22"/>
      <c r="O488" s="23" t="s">
        <v>99</v>
      </c>
      <c r="P488" s="20">
        <f>(C488+(E488*F488*H488))-N488</f>
        <v>400</v>
      </c>
      <c r="Q488" s="23" t="s">
        <v>99</v>
      </c>
      <c r="R488" s="24">
        <f>P488*(J488-(J488*L488)-((J488-(J488*L488))*M488))</f>
        <v>4316000</v>
      </c>
      <c r="S488" s="24">
        <f t="shared" si="143"/>
        <v>3888288.2882882878</v>
      </c>
    </row>
    <row r="489" spans="1:20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20" s="19" customFormat="1" ht="15.75">
      <c r="A490" s="44" t="s">
        <v>776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73"/>
      <c r="M490" s="73"/>
      <c r="N490" s="22"/>
      <c r="O490" s="23"/>
      <c r="P490" s="20"/>
      <c r="Q490" s="23"/>
      <c r="R490" s="24"/>
      <c r="S490" s="24"/>
    </row>
    <row r="491" spans="1:20" s="19" customFormat="1">
      <c r="A491" s="18" t="s">
        <v>777</v>
      </c>
      <c r="B491" s="18" t="s">
        <v>172</v>
      </c>
      <c r="C491" s="50">
        <v>160</v>
      </c>
      <c r="D491" s="51" t="s">
        <v>19</v>
      </c>
      <c r="E491" s="52"/>
      <c r="F491" s="53">
        <v>1</v>
      </c>
      <c r="G491" s="48" t="s">
        <v>20</v>
      </c>
      <c r="H491" s="53">
        <v>10</v>
      </c>
      <c r="I491" s="48" t="s">
        <v>19</v>
      </c>
      <c r="J491" s="29">
        <v>55000</v>
      </c>
      <c r="K491" s="51" t="s">
        <v>19</v>
      </c>
      <c r="L491" s="54">
        <v>0.05</v>
      </c>
      <c r="M491" s="54"/>
      <c r="N491" s="53"/>
      <c r="O491" s="48" t="s">
        <v>19</v>
      </c>
      <c r="P491" s="50">
        <f>(C491+(E491*F491*H491))-N491</f>
        <v>160</v>
      </c>
      <c r="Q491" s="48" t="s">
        <v>19</v>
      </c>
      <c r="R491" s="29">
        <f>P491*(J491-(J491*L491)-((J491-(J491*L491))*M491))</f>
        <v>8360000</v>
      </c>
      <c r="S491" s="29">
        <f t="shared" ref="S491" si="144">R491/1.11</f>
        <v>7531531.5315315304</v>
      </c>
    </row>
    <row r="492" spans="1:20" s="19" customFormat="1">
      <c r="A492" s="18"/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20" s="19" customFormat="1" ht="15.75">
      <c r="A493" s="44" t="s">
        <v>330</v>
      </c>
      <c r="C493" s="20"/>
      <c r="D493" s="21"/>
      <c r="E493" s="26"/>
      <c r="F493" s="22"/>
      <c r="G493" s="23"/>
      <c r="H493" s="22"/>
      <c r="I493" s="23"/>
      <c r="J493" s="24"/>
      <c r="K493" s="21"/>
      <c r="L493" s="73"/>
      <c r="M493" s="73"/>
      <c r="N493" s="22"/>
      <c r="O493" s="23"/>
      <c r="P493" s="20"/>
      <c r="Q493" s="23"/>
      <c r="R493" s="24"/>
      <c r="S493" s="24"/>
    </row>
    <row r="494" spans="1:20" s="19" customFormat="1">
      <c r="A494" s="71" t="s">
        <v>331</v>
      </c>
      <c r="C494" s="20"/>
      <c r="D494" s="21"/>
      <c r="E494" s="26"/>
      <c r="F494" s="22"/>
      <c r="G494" s="23"/>
      <c r="H494" s="22"/>
      <c r="I494" s="23"/>
      <c r="J494" s="24"/>
      <c r="K494" s="21"/>
      <c r="L494" s="73"/>
      <c r="M494" s="73"/>
      <c r="N494" s="22"/>
      <c r="O494" s="23"/>
      <c r="P494" s="20"/>
      <c r="Q494" s="23"/>
      <c r="R494" s="24"/>
      <c r="S494" s="24"/>
    </row>
    <row r="495" spans="1:20" s="89" customFormat="1">
      <c r="A495" s="88" t="s">
        <v>332</v>
      </c>
      <c r="B495" s="89" t="s">
        <v>18</v>
      </c>
      <c r="C495" s="87"/>
      <c r="D495" s="90" t="s">
        <v>19</v>
      </c>
      <c r="E495" s="91"/>
      <c r="F495" s="92">
        <v>1</v>
      </c>
      <c r="G495" s="93" t="s">
        <v>20</v>
      </c>
      <c r="H495" s="92">
        <v>24</v>
      </c>
      <c r="I495" s="93" t="s">
        <v>19</v>
      </c>
      <c r="J495" s="94">
        <v>35000</v>
      </c>
      <c r="K495" s="90" t="s">
        <v>19</v>
      </c>
      <c r="L495" s="95">
        <v>0.125</v>
      </c>
      <c r="M495" s="95">
        <v>0.05</v>
      </c>
      <c r="N495" s="92"/>
      <c r="O495" s="93" t="s">
        <v>19</v>
      </c>
      <c r="P495" s="87">
        <f>(C495+(E495*F495*H495))-N495</f>
        <v>0</v>
      </c>
      <c r="Q495" s="93" t="s">
        <v>19</v>
      </c>
      <c r="R495" s="94">
        <f>P495*(J495-(J495*L495)-((J495-(J495*L495))*M495))</f>
        <v>0</v>
      </c>
      <c r="S495" s="94">
        <f t="shared" si="143"/>
        <v>0</v>
      </c>
    </row>
    <row r="496" spans="1:20" s="19" customFormat="1">
      <c r="A496" s="18" t="s">
        <v>333</v>
      </c>
      <c r="B496" s="19" t="s">
        <v>18</v>
      </c>
      <c r="C496" s="20">
        <v>162</v>
      </c>
      <c r="D496" s="21" t="s">
        <v>19</v>
      </c>
      <c r="E496" s="26">
        <v>15</v>
      </c>
      <c r="F496" s="22">
        <v>1</v>
      </c>
      <c r="G496" s="23" t="s">
        <v>20</v>
      </c>
      <c r="H496" s="22">
        <v>72</v>
      </c>
      <c r="I496" s="23" t="s">
        <v>19</v>
      </c>
      <c r="J496" s="24">
        <v>15800</v>
      </c>
      <c r="K496" s="21" t="s">
        <v>19</v>
      </c>
      <c r="L496" s="25">
        <v>0.125</v>
      </c>
      <c r="M496" s="25">
        <v>0.05</v>
      </c>
      <c r="N496" s="22"/>
      <c r="O496" s="23" t="s">
        <v>19</v>
      </c>
      <c r="P496" s="20">
        <f>(C496+(E496*F496*H496))-N496</f>
        <v>1242</v>
      </c>
      <c r="Q496" s="23" t="s">
        <v>19</v>
      </c>
      <c r="R496" s="24">
        <f>P496*(J496-(J496*L496)-((J496-(J496*L496))*M496))</f>
        <v>16312117.5</v>
      </c>
      <c r="S496" s="24">
        <f t="shared" si="143"/>
        <v>14695601.351351351</v>
      </c>
      <c r="T496" s="24"/>
    </row>
    <row r="497" spans="1:20" s="19" customFormat="1">
      <c r="A497" s="18" t="s">
        <v>334</v>
      </c>
      <c r="B497" s="19" t="s">
        <v>18</v>
      </c>
      <c r="C497" s="20">
        <v>216</v>
      </c>
      <c r="D497" s="21" t="s">
        <v>19</v>
      </c>
      <c r="E497" s="26"/>
      <c r="F497" s="22">
        <v>1</v>
      </c>
      <c r="G497" s="23" t="s">
        <v>20</v>
      </c>
      <c r="H497" s="22">
        <v>72</v>
      </c>
      <c r="I497" s="23" t="s">
        <v>19</v>
      </c>
      <c r="J497" s="24">
        <v>15800</v>
      </c>
      <c r="K497" s="21" t="s">
        <v>19</v>
      </c>
      <c r="L497" s="25">
        <v>0.125</v>
      </c>
      <c r="M497" s="25">
        <v>0.05</v>
      </c>
      <c r="N497" s="22"/>
      <c r="O497" s="23" t="s">
        <v>19</v>
      </c>
      <c r="P497" s="20">
        <f>(C497+(E497*F497*H497))-N497</f>
        <v>216</v>
      </c>
      <c r="Q497" s="23" t="s">
        <v>19</v>
      </c>
      <c r="R497" s="24">
        <f>P497*(J497-(J497*L497)-((J497-(J497*L497))*M497))</f>
        <v>2836890</v>
      </c>
      <c r="S497" s="24">
        <f t="shared" si="143"/>
        <v>2555756.7567567565</v>
      </c>
      <c r="T497" s="24"/>
    </row>
    <row r="498" spans="1:20" s="89" customFormat="1">
      <c r="A498" s="88" t="s">
        <v>335</v>
      </c>
      <c r="B498" s="89" t="s">
        <v>18</v>
      </c>
      <c r="C498" s="87"/>
      <c r="D498" s="90" t="s">
        <v>19</v>
      </c>
      <c r="E498" s="91"/>
      <c r="F498" s="92">
        <v>1</v>
      </c>
      <c r="G498" s="93" t="s">
        <v>20</v>
      </c>
      <c r="H498" s="92">
        <v>72</v>
      </c>
      <c r="I498" s="93" t="s">
        <v>19</v>
      </c>
      <c r="J498" s="94">
        <v>20700</v>
      </c>
      <c r="K498" s="90" t="s">
        <v>19</v>
      </c>
      <c r="L498" s="95">
        <v>0.125</v>
      </c>
      <c r="M498" s="95">
        <v>0.05</v>
      </c>
      <c r="N498" s="92"/>
      <c r="O498" s="93" t="s">
        <v>19</v>
      </c>
      <c r="P498" s="87">
        <f>(C498+(E498*F498*H498))-N498</f>
        <v>0</v>
      </c>
      <c r="Q498" s="93" t="s">
        <v>19</v>
      </c>
      <c r="R498" s="94">
        <f>P498*(J498-(J498*L498)-((J498-(J498*L498))*M498))</f>
        <v>0</v>
      </c>
      <c r="S498" s="94">
        <f t="shared" si="143"/>
        <v>0</v>
      </c>
    </row>
    <row r="499" spans="1:20" s="19" customFormat="1">
      <c r="A499" s="18" t="s">
        <v>336</v>
      </c>
      <c r="B499" s="19" t="s">
        <v>18</v>
      </c>
      <c r="C499" s="20">
        <v>36</v>
      </c>
      <c r="D499" s="21" t="s">
        <v>19</v>
      </c>
      <c r="E499" s="26"/>
      <c r="F499" s="22">
        <v>1</v>
      </c>
      <c r="G499" s="23" t="s">
        <v>20</v>
      </c>
      <c r="H499" s="22">
        <v>72</v>
      </c>
      <c r="I499" s="23" t="s">
        <v>19</v>
      </c>
      <c r="J499" s="24">
        <v>20700</v>
      </c>
      <c r="K499" s="21" t="s">
        <v>19</v>
      </c>
      <c r="L499" s="25">
        <v>0.125</v>
      </c>
      <c r="M499" s="25">
        <v>0.05</v>
      </c>
      <c r="N499" s="22"/>
      <c r="O499" s="23" t="s">
        <v>19</v>
      </c>
      <c r="P499" s="20">
        <f>(C499+(E499*F499*H499))-N499</f>
        <v>36</v>
      </c>
      <c r="Q499" s="23" t="s">
        <v>19</v>
      </c>
      <c r="R499" s="24">
        <f>P499*(J499-(J499*L499)-((J499-(J499*L499))*M499))</f>
        <v>619447.5</v>
      </c>
      <c r="S499" s="24">
        <f t="shared" si="143"/>
        <v>558060.81081081077</v>
      </c>
    </row>
    <row r="500" spans="1:20" s="19" customFormat="1">
      <c r="A500" s="18"/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20" s="89" customFormat="1">
      <c r="A501" s="88" t="s">
        <v>337</v>
      </c>
      <c r="B501" s="89" t="s">
        <v>25</v>
      </c>
      <c r="C501" s="87"/>
      <c r="D501" s="90" t="s">
        <v>19</v>
      </c>
      <c r="E501" s="91"/>
      <c r="F501" s="92">
        <v>1</v>
      </c>
      <c r="G501" s="93" t="s">
        <v>20</v>
      </c>
      <c r="H501" s="92">
        <v>72</v>
      </c>
      <c r="I501" s="93" t="s">
        <v>19</v>
      </c>
      <c r="J501" s="94">
        <f>1310400/72</f>
        <v>18200</v>
      </c>
      <c r="K501" s="90" t="s">
        <v>19</v>
      </c>
      <c r="L501" s="95"/>
      <c r="M501" s="95">
        <v>0.17</v>
      </c>
      <c r="N501" s="92"/>
      <c r="O501" s="93" t="s">
        <v>19</v>
      </c>
      <c r="P501" s="87">
        <f>(C501+(E501*F501*H501))-N501</f>
        <v>0</v>
      </c>
      <c r="Q501" s="93" t="s">
        <v>19</v>
      </c>
      <c r="R501" s="94">
        <f>P501*(J501-(J501*L501)-((J501-(J501*L501))*M501))</f>
        <v>0</v>
      </c>
      <c r="S501" s="94">
        <f t="shared" si="143"/>
        <v>0</v>
      </c>
    </row>
    <row r="502" spans="1:20" s="19" customFormat="1">
      <c r="A502" s="18" t="s">
        <v>338</v>
      </c>
      <c r="B502" s="19" t="s">
        <v>25</v>
      </c>
      <c r="C502" s="20">
        <v>36</v>
      </c>
      <c r="D502" s="21" t="s">
        <v>19</v>
      </c>
      <c r="E502" s="26"/>
      <c r="F502" s="22">
        <v>1</v>
      </c>
      <c r="G502" s="23" t="s">
        <v>20</v>
      </c>
      <c r="H502" s="22">
        <v>72</v>
      </c>
      <c r="I502" s="23" t="s">
        <v>19</v>
      </c>
      <c r="J502" s="24">
        <f>1512000/72</f>
        <v>21000</v>
      </c>
      <c r="K502" s="21" t="s">
        <v>19</v>
      </c>
      <c r="L502" s="25">
        <v>0.125</v>
      </c>
      <c r="M502" s="25">
        <v>0.05</v>
      </c>
      <c r="N502" s="22"/>
      <c r="O502" s="23" t="s">
        <v>19</v>
      </c>
      <c r="P502" s="20">
        <f>(C502+(E502*F502*H502))-N502</f>
        <v>36</v>
      </c>
      <c r="Q502" s="23" t="s">
        <v>19</v>
      </c>
      <c r="R502" s="24">
        <f>P502*(J502-(J502*L502)-((J502-(J502*L502))*M502))</f>
        <v>628425</v>
      </c>
      <c r="S502" s="24">
        <f t="shared" si="143"/>
        <v>566148.64864864864</v>
      </c>
    </row>
    <row r="503" spans="1:20" s="89" customFormat="1">
      <c r="A503" s="88" t="s">
        <v>782</v>
      </c>
      <c r="B503" s="89" t="s">
        <v>25</v>
      </c>
      <c r="C503" s="87"/>
      <c r="D503" s="90" t="s">
        <v>19</v>
      </c>
      <c r="E503" s="91"/>
      <c r="F503" s="92">
        <v>1</v>
      </c>
      <c r="G503" s="93" t="s">
        <v>20</v>
      </c>
      <c r="H503" s="92">
        <v>72</v>
      </c>
      <c r="I503" s="93" t="s">
        <v>19</v>
      </c>
      <c r="J503" s="94">
        <f>1224000/72</f>
        <v>17000</v>
      </c>
      <c r="K503" s="90" t="s">
        <v>19</v>
      </c>
      <c r="L503" s="95"/>
      <c r="M503" s="95">
        <v>0.17</v>
      </c>
      <c r="N503" s="92"/>
      <c r="O503" s="93" t="s">
        <v>19</v>
      </c>
      <c r="P503" s="87">
        <f>(C503+(E503*F503*H503))-N503</f>
        <v>0</v>
      </c>
      <c r="Q503" s="93" t="s">
        <v>19</v>
      </c>
      <c r="R503" s="94">
        <f>P503*(J503-(J503*L503)-((J503-(J503*L503))*M503))</f>
        <v>0</v>
      </c>
      <c r="S503" s="94">
        <f t="shared" si="143"/>
        <v>0</v>
      </c>
    </row>
    <row r="504" spans="1:20" s="89" customFormat="1">
      <c r="A504" s="88" t="s">
        <v>339</v>
      </c>
      <c r="B504" s="89" t="s">
        <v>25</v>
      </c>
      <c r="C504" s="87"/>
      <c r="D504" s="90" t="s">
        <v>19</v>
      </c>
      <c r="E504" s="91"/>
      <c r="F504" s="92">
        <v>1</v>
      </c>
      <c r="G504" s="93" t="s">
        <v>20</v>
      </c>
      <c r="H504" s="92">
        <v>120</v>
      </c>
      <c r="I504" s="93" t="s">
        <v>19</v>
      </c>
      <c r="J504" s="94">
        <v>9000</v>
      </c>
      <c r="K504" s="90" t="s">
        <v>19</v>
      </c>
      <c r="L504" s="95"/>
      <c r="M504" s="95">
        <v>0.17</v>
      </c>
      <c r="N504" s="92"/>
      <c r="O504" s="93" t="s">
        <v>19</v>
      </c>
      <c r="P504" s="87">
        <f>(C504+(E504*F504*H504))-N504</f>
        <v>0</v>
      </c>
      <c r="Q504" s="93" t="s">
        <v>19</v>
      </c>
      <c r="R504" s="94">
        <f>P504*(J504-(J504*L504)-((J504-(J504*L504))*M504))</f>
        <v>0</v>
      </c>
      <c r="S504" s="94">
        <f t="shared" si="143"/>
        <v>0</v>
      </c>
    </row>
    <row r="505" spans="1:20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20" s="19" customFormat="1">
      <c r="A506" s="71" t="s">
        <v>340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20" s="89" customFormat="1">
      <c r="A507" s="88" t="s">
        <v>341</v>
      </c>
      <c r="B507" s="89" t="s">
        <v>18</v>
      </c>
      <c r="C507" s="87"/>
      <c r="D507" s="90" t="s">
        <v>19</v>
      </c>
      <c r="E507" s="91"/>
      <c r="F507" s="92">
        <v>2</v>
      </c>
      <c r="G507" s="93" t="s">
        <v>33</v>
      </c>
      <c r="H507" s="92">
        <v>24</v>
      </c>
      <c r="I507" s="93" t="s">
        <v>19</v>
      </c>
      <c r="J507" s="94">
        <v>9200</v>
      </c>
      <c r="K507" s="90" t="s">
        <v>19</v>
      </c>
      <c r="L507" s="95">
        <v>0.125</v>
      </c>
      <c r="M507" s="95">
        <v>0.05</v>
      </c>
      <c r="N507" s="92"/>
      <c r="O507" s="93" t="s">
        <v>19</v>
      </c>
      <c r="P507" s="87">
        <f>(C507+(E507*F507*H507))-N507</f>
        <v>0</v>
      </c>
      <c r="Q507" s="93" t="s">
        <v>19</v>
      </c>
      <c r="R507" s="94">
        <f>P507*(J507-(J507*L507)-((J507-(J507*L507))*M507))</f>
        <v>0</v>
      </c>
      <c r="S507" s="94">
        <f t="shared" si="143"/>
        <v>0</v>
      </c>
    </row>
    <row r="508" spans="1:20" s="89" customFormat="1">
      <c r="A508" s="88" t="s">
        <v>732</v>
      </c>
      <c r="B508" s="89" t="s">
        <v>18</v>
      </c>
      <c r="C508" s="87"/>
      <c r="D508" s="90" t="s">
        <v>19</v>
      </c>
      <c r="E508" s="91"/>
      <c r="F508" s="92">
        <v>4</v>
      </c>
      <c r="G508" s="93" t="s">
        <v>33</v>
      </c>
      <c r="H508" s="92">
        <v>24</v>
      </c>
      <c r="I508" s="93" t="s">
        <v>19</v>
      </c>
      <c r="J508" s="94">
        <v>6300</v>
      </c>
      <c r="K508" s="90" t="s">
        <v>19</v>
      </c>
      <c r="L508" s="95">
        <v>0.125</v>
      </c>
      <c r="M508" s="95">
        <v>0.05</v>
      </c>
      <c r="N508" s="92"/>
      <c r="O508" s="93" t="s">
        <v>19</v>
      </c>
      <c r="P508" s="87">
        <f>(C508+(E508*F508*H508))-N508</f>
        <v>0</v>
      </c>
      <c r="Q508" s="93" t="s">
        <v>19</v>
      </c>
      <c r="R508" s="94">
        <f>P508*(J508-(J508*L508)-((J508-(J508*L508))*M508))</f>
        <v>0</v>
      </c>
      <c r="S508" s="94">
        <f t="shared" si="143"/>
        <v>0</v>
      </c>
    </row>
    <row r="509" spans="1:20" s="19" customFormat="1">
      <c r="A509" s="18"/>
      <c r="C509" s="20"/>
      <c r="D509" s="21"/>
      <c r="E509" s="26"/>
      <c r="F509" s="22"/>
      <c r="G509" s="23"/>
      <c r="H509" s="22"/>
      <c r="I509" s="23"/>
      <c r="J509" s="24"/>
      <c r="K509" s="21"/>
      <c r="L509" s="25"/>
      <c r="M509" s="25"/>
      <c r="N509" s="22"/>
      <c r="O509" s="23"/>
      <c r="P509" s="20"/>
      <c r="Q509" s="23"/>
      <c r="R509" s="24"/>
      <c r="S509" s="24"/>
    </row>
    <row r="510" spans="1:20" s="19" customFormat="1">
      <c r="A510" s="18" t="s">
        <v>342</v>
      </c>
      <c r="B510" s="19" t="s">
        <v>25</v>
      </c>
      <c r="C510" s="20"/>
      <c r="D510" s="21" t="s">
        <v>40</v>
      </c>
      <c r="E510" s="26">
        <v>7</v>
      </c>
      <c r="F510" s="22">
        <v>1</v>
      </c>
      <c r="G510" s="23" t="s">
        <v>20</v>
      </c>
      <c r="H510" s="22">
        <v>12</v>
      </c>
      <c r="I510" s="23" t="s">
        <v>40</v>
      </c>
      <c r="J510" s="24">
        <f>741600/12</f>
        <v>61800</v>
      </c>
      <c r="K510" s="21" t="s">
        <v>40</v>
      </c>
      <c r="L510" s="25"/>
      <c r="M510" s="25">
        <v>0.17</v>
      </c>
      <c r="N510" s="22"/>
      <c r="O510" s="23" t="s">
        <v>40</v>
      </c>
      <c r="P510" s="20">
        <f>(C510+(E510*F510*H510))-N510</f>
        <v>84</v>
      </c>
      <c r="Q510" s="23" t="s">
        <v>40</v>
      </c>
      <c r="R510" s="24">
        <f>P510*(J510-(J510*L510)-((J510-(J510*L510))*M510))</f>
        <v>4308696</v>
      </c>
      <c r="S510" s="24">
        <f t="shared" si="143"/>
        <v>3881708.1081081079</v>
      </c>
    </row>
    <row r="511" spans="1:20" s="19" customFormat="1">
      <c r="A511" s="18" t="s">
        <v>343</v>
      </c>
      <c r="B511" s="19" t="s">
        <v>25</v>
      </c>
      <c r="C511" s="20">
        <v>23</v>
      </c>
      <c r="D511" s="21" t="s">
        <v>40</v>
      </c>
      <c r="E511" s="26">
        <v>5</v>
      </c>
      <c r="F511" s="22">
        <v>1</v>
      </c>
      <c r="G511" s="23" t="s">
        <v>20</v>
      </c>
      <c r="H511" s="22">
        <v>20</v>
      </c>
      <c r="I511" s="23" t="s">
        <v>40</v>
      </c>
      <c r="J511" s="24">
        <f>804000/20</f>
        <v>40200</v>
      </c>
      <c r="K511" s="21" t="s">
        <v>40</v>
      </c>
      <c r="L511" s="25"/>
      <c r="M511" s="25">
        <v>0.17</v>
      </c>
      <c r="N511" s="22"/>
      <c r="O511" s="23" t="s">
        <v>40</v>
      </c>
      <c r="P511" s="20">
        <f>(C511+(E511*F511*H511))-N511</f>
        <v>123</v>
      </c>
      <c r="Q511" s="23" t="s">
        <v>40</v>
      </c>
      <c r="R511" s="24">
        <f>P511*(J511-(J511*L511)-((J511-(J511*L511))*M511))</f>
        <v>4104018</v>
      </c>
      <c r="S511" s="24">
        <f t="shared" si="143"/>
        <v>3697313.5135135134</v>
      </c>
    </row>
    <row r="512" spans="1:20" s="89" customFormat="1">
      <c r="A512" s="88" t="s">
        <v>344</v>
      </c>
      <c r="B512" s="89" t="s">
        <v>25</v>
      </c>
      <c r="C512" s="87"/>
      <c r="D512" s="90" t="s">
        <v>40</v>
      </c>
      <c r="E512" s="91">
        <v>1</v>
      </c>
      <c r="F512" s="92">
        <v>1</v>
      </c>
      <c r="G512" s="93" t="s">
        <v>20</v>
      </c>
      <c r="H512" s="92">
        <v>6</v>
      </c>
      <c r="I512" s="93" t="s">
        <v>40</v>
      </c>
      <c r="J512" s="94">
        <f>810000/6</f>
        <v>135000</v>
      </c>
      <c r="K512" s="90" t="s">
        <v>40</v>
      </c>
      <c r="L512" s="95"/>
      <c r="M512" s="95">
        <v>0.17</v>
      </c>
      <c r="N512" s="92"/>
      <c r="O512" s="93" t="s">
        <v>40</v>
      </c>
      <c r="P512" s="87">
        <f>(C512+(E512*F512*H512))-N512</f>
        <v>6</v>
      </c>
      <c r="Q512" s="93" t="s">
        <v>40</v>
      </c>
      <c r="R512" s="94">
        <f>P512*(J512-(J512*L512)-((J512-(J512*L512))*M512))</f>
        <v>672300</v>
      </c>
      <c r="S512" s="94">
        <f t="shared" si="143"/>
        <v>605675.67567567562</v>
      </c>
    </row>
    <row r="513" spans="1:20" s="19" customFormat="1">
      <c r="A513" s="18"/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20" s="19" customFormat="1">
      <c r="A514" s="71" t="s">
        <v>345</v>
      </c>
      <c r="C514" s="20"/>
      <c r="D514" s="21"/>
      <c r="E514" s="26"/>
      <c r="F514" s="22"/>
      <c r="G514" s="23"/>
      <c r="H514" s="22"/>
      <c r="I514" s="23"/>
      <c r="J514" s="24"/>
      <c r="K514" s="21"/>
      <c r="L514" s="73"/>
      <c r="M514" s="73"/>
      <c r="N514" s="22"/>
      <c r="O514" s="23"/>
      <c r="P514" s="20"/>
      <c r="Q514" s="23"/>
      <c r="R514" s="24"/>
      <c r="S514" s="24"/>
    </row>
    <row r="515" spans="1:20" s="89" customFormat="1">
      <c r="A515" s="88" t="s">
        <v>346</v>
      </c>
      <c r="B515" s="89" t="s">
        <v>18</v>
      </c>
      <c r="C515" s="87"/>
      <c r="D515" s="90" t="s">
        <v>152</v>
      </c>
      <c r="E515" s="91"/>
      <c r="F515" s="92">
        <v>36</v>
      </c>
      <c r="G515" s="93" t="s">
        <v>33</v>
      </c>
      <c r="H515" s="92">
        <v>30</v>
      </c>
      <c r="I515" s="93" t="s">
        <v>152</v>
      </c>
      <c r="J515" s="94">
        <v>3200</v>
      </c>
      <c r="K515" s="90" t="s">
        <v>152</v>
      </c>
      <c r="L515" s="95">
        <v>0.125</v>
      </c>
      <c r="M515" s="95">
        <v>0.05</v>
      </c>
      <c r="N515" s="92"/>
      <c r="O515" s="93" t="s">
        <v>152</v>
      </c>
      <c r="P515" s="87">
        <f>(C515+(E515*F515*H515))-N515</f>
        <v>0</v>
      </c>
      <c r="Q515" s="93" t="s">
        <v>152</v>
      </c>
      <c r="R515" s="94">
        <f>P515*(J515-(J515*L515)-((J515-(J515*L515))*M515))</f>
        <v>0</v>
      </c>
      <c r="S515" s="94">
        <f t="shared" si="143"/>
        <v>0</v>
      </c>
      <c r="T515" s="94"/>
    </row>
    <row r="516" spans="1:20" s="89" customFormat="1">
      <c r="A516" s="88" t="s">
        <v>347</v>
      </c>
      <c r="B516" s="89" t="s">
        <v>18</v>
      </c>
      <c r="C516" s="87"/>
      <c r="D516" s="90" t="s">
        <v>152</v>
      </c>
      <c r="E516" s="91"/>
      <c r="F516" s="92">
        <v>36</v>
      </c>
      <c r="G516" s="93" t="s">
        <v>33</v>
      </c>
      <c r="H516" s="92">
        <v>30</v>
      </c>
      <c r="I516" s="93" t="s">
        <v>152</v>
      </c>
      <c r="J516" s="94">
        <v>2900</v>
      </c>
      <c r="K516" s="90" t="s">
        <v>152</v>
      </c>
      <c r="L516" s="95">
        <v>0.125</v>
      </c>
      <c r="M516" s="95">
        <v>0.05</v>
      </c>
      <c r="N516" s="92"/>
      <c r="O516" s="93" t="s">
        <v>152</v>
      </c>
      <c r="P516" s="87">
        <f>(C516+(E516*F516*H516))-N516</f>
        <v>0</v>
      </c>
      <c r="Q516" s="93" t="s">
        <v>152</v>
      </c>
      <c r="R516" s="94">
        <f>P516*(J516-(J516*L516)-((J516-(J516*L516))*M516))</f>
        <v>0</v>
      </c>
      <c r="S516" s="94">
        <f t="shared" si="143"/>
        <v>0</v>
      </c>
      <c r="T516" s="94"/>
    </row>
    <row r="517" spans="1:20" s="19" customFormat="1">
      <c r="A517" s="18"/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20" s="19" customFormat="1" ht="15.75">
      <c r="A518" s="44" t="s">
        <v>348</v>
      </c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20" s="19" customFormat="1">
      <c r="A519" s="49" t="s">
        <v>351</v>
      </c>
      <c r="B519" s="19" t="s">
        <v>18</v>
      </c>
      <c r="C519" s="20"/>
      <c r="D519" s="21" t="s">
        <v>99</v>
      </c>
      <c r="E519" s="26">
        <v>2</v>
      </c>
      <c r="F519" s="22">
        <v>1</v>
      </c>
      <c r="G519" s="23" t="s">
        <v>20</v>
      </c>
      <c r="H519" s="22">
        <v>100</v>
      </c>
      <c r="I519" s="23" t="s">
        <v>99</v>
      </c>
      <c r="J519" s="24">
        <v>8400</v>
      </c>
      <c r="K519" s="21" t="s">
        <v>99</v>
      </c>
      <c r="L519" s="25">
        <v>0.125</v>
      </c>
      <c r="M519" s="25">
        <v>0.05</v>
      </c>
      <c r="N519" s="22"/>
      <c r="O519" s="23" t="s">
        <v>99</v>
      </c>
      <c r="P519" s="20">
        <f>(C519+(E519*F519*H519))-N519</f>
        <v>200</v>
      </c>
      <c r="Q519" s="23" t="s">
        <v>99</v>
      </c>
      <c r="R519" s="24">
        <f>P519*(J519-(J519*L519)-((J519-(J519*L519))*M519))</f>
        <v>1396500</v>
      </c>
      <c r="S519" s="24">
        <f>R519/1.11</f>
        <v>1258108.1081081079</v>
      </c>
      <c r="T519" s="24"/>
    </row>
    <row r="520" spans="1:20" s="19" customFormat="1">
      <c r="A520" s="49" t="s">
        <v>352</v>
      </c>
      <c r="B520" s="19" t="s">
        <v>18</v>
      </c>
      <c r="C520" s="20"/>
      <c r="D520" s="21" t="s">
        <v>99</v>
      </c>
      <c r="E520" s="26">
        <v>2</v>
      </c>
      <c r="F520" s="22">
        <v>1</v>
      </c>
      <c r="G520" s="23" t="s">
        <v>20</v>
      </c>
      <c r="H520" s="22">
        <v>100</v>
      </c>
      <c r="I520" s="23" t="s">
        <v>99</v>
      </c>
      <c r="J520" s="24">
        <v>8400</v>
      </c>
      <c r="K520" s="21" t="s">
        <v>99</v>
      </c>
      <c r="L520" s="25">
        <v>0.125</v>
      </c>
      <c r="M520" s="25">
        <v>0.05</v>
      </c>
      <c r="N520" s="22"/>
      <c r="O520" s="23" t="s">
        <v>99</v>
      </c>
      <c r="P520" s="20">
        <f>(C520+(E520*F520*H520))-N520</f>
        <v>200</v>
      </c>
      <c r="Q520" s="23" t="s">
        <v>99</v>
      </c>
      <c r="R520" s="24">
        <f>P520*(J520-(J520*L520)-((J520-(J520*L520))*M520))</f>
        <v>1396500</v>
      </c>
      <c r="S520" s="24">
        <f>R520/1.11</f>
        <v>1258108.1081081079</v>
      </c>
      <c r="T520" s="24"/>
    </row>
    <row r="521" spans="1:20" s="19" customFormat="1">
      <c r="A521" s="49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  <c r="T521" s="24"/>
    </row>
    <row r="522" spans="1:20" s="19" customFormat="1">
      <c r="A522" s="49" t="s">
        <v>349</v>
      </c>
      <c r="B522" s="19" t="s">
        <v>25</v>
      </c>
      <c r="C522" s="20">
        <v>60</v>
      </c>
      <c r="D522" s="21" t="s">
        <v>33</v>
      </c>
      <c r="E522" s="26"/>
      <c r="F522" s="22">
        <v>10</v>
      </c>
      <c r="G522" s="23" t="s">
        <v>99</v>
      </c>
      <c r="H522" s="22">
        <v>10</v>
      </c>
      <c r="I522" s="23" t="s">
        <v>33</v>
      </c>
      <c r="J522" s="24">
        <f>980000/100</f>
        <v>9800</v>
      </c>
      <c r="K522" s="21" t="s">
        <v>33</v>
      </c>
      <c r="L522" s="25"/>
      <c r="M522" s="25">
        <v>0.17</v>
      </c>
      <c r="N522" s="22"/>
      <c r="O522" s="23" t="s">
        <v>33</v>
      </c>
      <c r="P522" s="20">
        <f>(C522+(E522*F522*H522))-N522</f>
        <v>60</v>
      </c>
      <c r="Q522" s="23" t="s">
        <v>33</v>
      </c>
      <c r="R522" s="24">
        <f>P522*(J522-(J522*L522)-((J522-(J522*L522))*M522))</f>
        <v>488040</v>
      </c>
      <c r="S522" s="24">
        <f t="shared" si="143"/>
        <v>439675.67567567562</v>
      </c>
    </row>
    <row r="523" spans="1:20" s="89" customFormat="1">
      <c r="A523" s="145" t="s">
        <v>350</v>
      </c>
      <c r="B523" s="89" t="s">
        <v>25</v>
      </c>
      <c r="C523" s="87"/>
      <c r="D523" s="90" t="s">
        <v>33</v>
      </c>
      <c r="E523" s="91">
        <v>1</v>
      </c>
      <c r="F523" s="92">
        <v>10</v>
      </c>
      <c r="G523" s="93" t="s">
        <v>99</v>
      </c>
      <c r="H523" s="92">
        <v>10</v>
      </c>
      <c r="I523" s="93" t="s">
        <v>33</v>
      </c>
      <c r="J523" s="94">
        <f>980000/100</f>
        <v>9800</v>
      </c>
      <c r="K523" s="90" t="s">
        <v>33</v>
      </c>
      <c r="L523" s="95"/>
      <c r="M523" s="95">
        <v>0.17</v>
      </c>
      <c r="N523" s="92"/>
      <c r="O523" s="93" t="s">
        <v>33</v>
      </c>
      <c r="P523" s="87">
        <f>(C523+(E523*F523*H523))-N523</f>
        <v>100</v>
      </c>
      <c r="Q523" s="93" t="s">
        <v>33</v>
      </c>
      <c r="R523" s="94">
        <f>P523*(J523-(J523*L523)-((J523-(J523*L523))*M523))</f>
        <v>813400</v>
      </c>
      <c r="S523" s="94">
        <f t="shared" si="143"/>
        <v>732792.79279279278</v>
      </c>
    </row>
    <row r="524" spans="1:20" s="19" customFormat="1">
      <c r="A524" s="18"/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20" s="19" customFormat="1" ht="15.75">
      <c r="A525" s="44" t="s">
        <v>353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20" s="19" customFormat="1">
      <c r="A526" s="71" t="s">
        <v>354</v>
      </c>
      <c r="C526" s="20"/>
      <c r="D526" s="21"/>
      <c r="E526" s="26"/>
      <c r="F526" s="22"/>
      <c r="G526" s="23"/>
      <c r="H526" s="22"/>
      <c r="I526" s="23"/>
      <c r="J526" s="24"/>
      <c r="K526" s="21"/>
      <c r="L526" s="25"/>
      <c r="M526" s="25"/>
      <c r="N526" s="22"/>
      <c r="O526" s="23"/>
      <c r="P526" s="20"/>
      <c r="Q526" s="23"/>
      <c r="R526" s="24"/>
      <c r="S526" s="24"/>
    </row>
    <row r="527" spans="1:20" s="89" customFormat="1">
      <c r="A527" s="88" t="s">
        <v>355</v>
      </c>
      <c r="B527" s="89" t="s">
        <v>18</v>
      </c>
      <c r="C527" s="87"/>
      <c r="D527" s="90" t="s">
        <v>40</v>
      </c>
      <c r="E527" s="91"/>
      <c r="F527" s="92">
        <v>1</v>
      </c>
      <c r="G527" s="93" t="s">
        <v>20</v>
      </c>
      <c r="H527" s="92">
        <v>144</v>
      </c>
      <c r="I527" s="93" t="s">
        <v>40</v>
      </c>
      <c r="J527" s="94">
        <v>28200</v>
      </c>
      <c r="K527" s="90" t="s">
        <v>40</v>
      </c>
      <c r="L527" s="95">
        <v>0.125</v>
      </c>
      <c r="M527" s="95">
        <v>0.05</v>
      </c>
      <c r="N527" s="92"/>
      <c r="O527" s="93" t="s">
        <v>40</v>
      </c>
      <c r="P527" s="87">
        <f t="shared" ref="P527:P537" si="145">(C527+(E527*F527*H527))-N527</f>
        <v>0</v>
      </c>
      <c r="Q527" s="93" t="s">
        <v>40</v>
      </c>
      <c r="R527" s="94">
        <f t="shared" ref="R527:R536" si="146">P527*(J527-(J527*L527)-((J527-(J527*L527))*M527))</f>
        <v>0</v>
      </c>
      <c r="S527" s="94">
        <f t="shared" si="143"/>
        <v>0</v>
      </c>
    </row>
    <row r="528" spans="1:20" s="89" customFormat="1">
      <c r="A528" s="88" t="s">
        <v>356</v>
      </c>
      <c r="B528" s="89" t="s">
        <v>18</v>
      </c>
      <c r="C528" s="87"/>
      <c r="D528" s="90" t="s">
        <v>40</v>
      </c>
      <c r="E528" s="91"/>
      <c r="F528" s="92">
        <v>1</v>
      </c>
      <c r="G528" s="93" t="s">
        <v>20</v>
      </c>
      <c r="H528" s="92">
        <v>144</v>
      </c>
      <c r="I528" s="93" t="s">
        <v>40</v>
      </c>
      <c r="J528" s="94">
        <v>7800</v>
      </c>
      <c r="K528" s="90" t="s">
        <v>40</v>
      </c>
      <c r="L528" s="95">
        <v>0.1</v>
      </c>
      <c r="M528" s="95">
        <v>0.05</v>
      </c>
      <c r="N528" s="92"/>
      <c r="O528" s="93" t="s">
        <v>40</v>
      </c>
      <c r="P528" s="87">
        <f t="shared" si="145"/>
        <v>0</v>
      </c>
      <c r="Q528" s="93" t="s">
        <v>40</v>
      </c>
      <c r="R528" s="94">
        <f t="shared" si="146"/>
        <v>0</v>
      </c>
      <c r="S528" s="94">
        <f t="shared" si="143"/>
        <v>0</v>
      </c>
    </row>
    <row r="529" spans="1:19" s="19" customFormat="1">
      <c r="A529" s="18" t="s">
        <v>357</v>
      </c>
      <c r="B529" s="19" t="s">
        <v>18</v>
      </c>
      <c r="C529" s="20">
        <v>300</v>
      </c>
      <c r="D529" s="21" t="s">
        <v>40</v>
      </c>
      <c r="E529" s="26"/>
      <c r="F529" s="22">
        <v>1</v>
      </c>
      <c r="G529" s="23" t="s">
        <v>20</v>
      </c>
      <c r="H529" s="22">
        <v>144</v>
      </c>
      <c r="I529" s="23" t="s">
        <v>40</v>
      </c>
      <c r="J529" s="24">
        <v>6900</v>
      </c>
      <c r="K529" s="21" t="s">
        <v>40</v>
      </c>
      <c r="L529" s="25">
        <v>0.125</v>
      </c>
      <c r="M529" s="25">
        <v>0.05</v>
      </c>
      <c r="N529" s="22"/>
      <c r="O529" s="23" t="s">
        <v>40</v>
      </c>
      <c r="P529" s="20">
        <f t="shared" si="145"/>
        <v>300</v>
      </c>
      <c r="Q529" s="23" t="s">
        <v>40</v>
      </c>
      <c r="R529" s="24">
        <f t="shared" si="146"/>
        <v>1720687.5</v>
      </c>
      <c r="S529" s="24">
        <f t="shared" si="143"/>
        <v>1550168.9189189188</v>
      </c>
    </row>
    <row r="530" spans="1:19" s="89" customFormat="1">
      <c r="A530" s="88" t="s">
        <v>754</v>
      </c>
      <c r="B530" s="89" t="s">
        <v>18</v>
      </c>
      <c r="C530" s="87"/>
      <c r="D530" s="90" t="s">
        <v>40</v>
      </c>
      <c r="E530" s="91"/>
      <c r="F530" s="92">
        <v>1</v>
      </c>
      <c r="G530" s="93" t="s">
        <v>20</v>
      </c>
      <c r="H530" s="92">
        <v>144</v>
      </c>
      <c r="I530" s="93" t="s">
        <v>40</v>
      </c>
      <c r="J530" s="94">
        <v>7020</v>
      </c>
      <c r="K530" s="90" t="s">
        <v>40</v>
      </c>
      <c r="L530" s="95">
        <v>0.125</v>
      </c>
      <c r="M530" s="95">
        <v>0.05</v>
      </c>
      <c r="N530" s="92"/>
      <c r="O530" s="93" t="s">
        <v>40</v>
      </c>
      <c r="P530" s="87">
        <f t="shared" si="145"/>
        <v>0</v>
      </c>
      <c r="Q530" s="93" t="s">
        <v>40</v>
      </c>
      <c r="R530" s="94">
        <f t="shared" si="146"/>
        <v>0</v>
      </c>
      <c r="S530" s="94">
        <f t="shared" si="143"/>
        <v>0</v>
      </c>
    </row>
    <row r="531" spans="1:19" s="106" customFormat="1">
      <c r="A531" s="166" t="s">
        <v>358</v>
      </c>
      <c r="B531" s="106" t="s">
        <v>18</v>
      </c>
      <c r="C531" s="107"/>
      <c r="D531" s="108" t="s">
        <v>40</v>
      </c>
      <c r="E531" s="109">
        <v>1</v>
      </c>
      <c r="F531" s="110">
        <v>1</v>
      </c>
      <c r="G531" s="111" t="s">
        <v>20</v>
      </c>
      <c r="H531" s="110">
        <v>144</v>
      </c>
      <c r="I531" s="111" t="s">
        <v>40</v>
      </c>
      <c r="J531" s="112">
        <v>7200</v>
      </c>
      <c r="K531" s="108" t="s">
        <v>40</v>
      </c>
      <c r="L531" s="113">
        <v>0.125</v>
      </c>
      <c r="M531" s="113">
        <v>0.05</v>
      </c>
      <c r="N531" s="110"/>
      <c r="O531" s="111" t="s">
        <v>40</v>
      </c>
      <c r="P531" s="107">
        <f t="shared" ref="P531" si="147">(C531+(E531*F531*H531))-N531</f>
        <v>144</v>
      </c>
      <c r="Q531" s="111" t="s">
        <v>40</v>
      </c>
      <c r="R531" s="112">
        <f t="shared" ref="R531" si="148">P531*(J531-(J531*L531)-((J531-(J531*L531))*M531))</f>
        <v>861840</v>
      </c>
      <c r="S531" s="112">
        <f t="shared" ref="S531" si="149">R531/1.11</f>
        <v>776432.43243243231</v>
      </c>
    </row>
    <row r="532" spans="1:19" s="89" customFormat="1">
      <c r="A532" s="88" t="s">
        <v>358</v>
      </c>
      <c r="B532" s="89" t="s">
        <v>18</v>
      </c>
      <c r="C532" s="87"/>
      <c r="D532" s="90" t="s">
        <v>40</v>
      </c>
      <c r="E532" s="91"/>
      <c r="F532" s="92">
        <v>1</v>
      </c>
      <c r="G532" s="93" t="s">
        <v>20</v>
      </c>
      <c r="H532" s="92">
        <v>144</v>
      </c>
      <c r="I532" s="93" t="s">
        <v>40</v>
      </c>
      <c r="J532" s="94">
        <v>7020</v>
      </c>
      <c r="K532" s="90" t="s">
        <v>40</v>
      </c>
      <c r="L532" s="95">
        <v>0.125</v>
      </c>
      <c r="M532" s="95">
        <v>0.05</v>
      </c>
      <c r="N532" s="92"/>
      <c r="O532" s="93" t="s">
        <v>40</v>
      </c>
      <c r="P532" s="87">
        <f t="shared" si="145"/>
        <v>0</v>
      </c>
      <c r="Q532" s="93" t="s">
        <v>40</v>
      </c>
      <c r="R532" s="94">
        <f t="shared" si="146"/>
        <v>0</v>
      </c>
      <c r="S532" s="94">
        <f t="shared" si="143"/>
        <v>0</v>
      </c>
    </row>
    <row r="533" spans="1:19" s="89" customFormat="1">
      <c r="A533" s="88" t="s">
        <v>720</v>
      </c>
      <c r="B533" s="89" t="s">
        <v>18</v>
      </c>
      <c r="C533" s="87"/>
      <c r="D533" s="90" t="s">
        <v>40</v>
      </c>
      <c r="E533" s="91"/>
      <c r="F533" s="92">
        <v>1</v>
      </c>
      <c r="G533" s="93" t="s">
        <v>20</v>
      </c>
      <c r="H533" s="92">
        <v>144</v>
      </c>
      <c r="I533" s="93" t="s">
        <v>40</v>
      </c>
      <c r="J533" s="94">
        <v>6600</v>
      </c>
      <c r="K533" s="90" t="s">
        <v>40</v>
      </c>
      <c r="L533" s="95">
        <v>0.125</v>
      </c>
      <c r="M533" s="95">
        <v>0.05</v>
      </c>
      <c r="N533" s="92"/>
      <c r="O533" s="93" t="s">
        <v>40</v>
      </c>
      <c r="P533" s="87">
        <f t="shared" si="145"/>
        <v>0</v>
      </c>
      <c r="Q533" s="93" t="s">
        <v>40</v>
      </c>
      <c r="R533" s="94">
        <f t="shared" si="146"/>
        <v>0</v>
      </c>
      <c r="S533" s="94">
        <f t="shared" si="143"/>
        <v>0</v>
      </c>
    </row>
    <row r="534" spans="1:19" s="19" customFormat="1">
      <c r="A534" s="18" t="s">
        <v>650</v>
      </c>
      <c r="B534" s="19" t="s">
        <v>18</v>
      </c>
      <c r="C534" s="20"/>
      <c r="D534" s="21" t="s">
        <v>40</v>
      </c>
      <c r="E534" s="26">
        <v>1</v>
      </c>
      <c r="F534" s="22">
        <v>1</v>
      </c>
      <c r="G534" s="23" t="s">
        <v>20</v>
      </c>
      <c r="H534" s="22">
        <v>144</v>
      </c>
      <c r="I534" s="23" t="s">
        <v>40</v>
      </c>
      <c r="J534" s="24">
        <v>6120</v>
      </c>
      <c r="K534" s="21" t="s">
        <v>40</v>
      </c>
      <c r="L534" s="25">
        <v>0.125</v>
      </c>
      <c r="M534" s="25">
        <v>0.05</v>
      </c>
      <c r="N534" s="22"/>
      <c r="O534" s="23" t="s">
        <v>40</v>
      </c>
      <c r="P534" s="20">
        <f t="shared" ref="P534" si="150">(C534+(E534*F534*H534))-N534</f>
        <v>144</v>
      </c>
      <c r="Q534" s="23" t="s">
        <v>40</v>
      </c>
      <c r="R534" s="24">
        <f t="shared" ref="R534" si="151">P534*(J534-(J534*L534)-((J534-(J534*L534))*M534))</f>
        <v>732564</v>
      </c>
      <c r="S534" s="24">
        <f t="shared" ref="S534" si="152">R534/1.11</f>
        <v>659967.56756756746</v>
      </c>
    </row>
    <row r="535" spans="1:19" s="89" customFormat="1">
      <c r="A535" s="88" t="s">
        <v>696</v>
      </c>
      <c r="B535" s="89" t="s">
        <v>18</v>
      </c>
      <c r="C535" s="87"/>
      <c r="D535" s="90" t="s">
        <v>40</v>
      </c>
      <c r="E535" s="91"/>
      <c r="F535" s="92">
        <v>1</v>
      </c>
      <c r="G535" s="93" t="s">
        <v>20</v>
      </c>
      <c r="H535" s="92">
        <v>144</v>
      </c>
      <c r="I535" s="93" t="s">
        <v>40</v>
      </c>
      <c r="J535" s="94">
        <v>6000</v>
      </c>
      <c r="K535" s="90" t="s">
        <v>40</v>
      </c>
      <c r="L535" s="95">
        <v>0.125</v>
      </c>
      <c r="M535" s="95">
        <v>0.05</v>
      </c>
      <c r="N535" s="92"/>
      <c r="O535" s="93" t="s">
        <v>40</v>
      </c>
      <c r="P535" s="87">
        <f t="shared" si="145"/>
        <v>0</v>
      </c>
      <c r="Q535" s="93" t="s">
        <v>40</v>
      </c>
      <c r="R535" s="94">
        <f t="shared" si="146"/>
        <v>0</v>
      </c>
      <c r="S535" s="94">
        <f t="shared" si="143"/>
        <v>0</v>
      </c>
    </row>
    <row r="536" spans="1:19" s="19" customFormat="1">
      <c r="A536" s="18" t="s">
        <v>359</v>
      </c>
      <c r="B536" s="19" t="s">
        <v>18</v>
      </c>
      <c r="C536" s="20">
        <v>864</v>
      </c>
      <c r="D536" s="21" t="s">
        <v>40</v>
      </c>
      <c r="E536" s="26"/>
      <c r="F536" s="22">
        <v>1</v>
      </c>
      <c r="G536" s="23" t="s">
        <v>20</v>
      </c>
      <c r="H536" s="22">
        <v>144</v>
      </c>
      <c r="I536" s="23" t="s">
        <v>40</v>
      </c>
      <c r="J536" s="24">
        <v>5100</v>
      </c>
      <c r="K536" s="21" t="s">
        <v>40</v>
      </c>
      <c r="L536" s="25">
        <v>0.125</v>
      </c>
      <c r="M536" s="25">
        <v>0.05</v>
      </c>
      <c r="N536" s="22"/>
      <c r="O536" s="23" t="s">
        <v>40</v>
      </c>
      <c r="P536" s="20">
        <f t="shared" si="145"/>
        <v>864</v>
      </c>
      <c r="Q536" s="23" t="s">
        <v>40</v>
      </c>
      <c r="R536" s="24">
        <f t="shared" si="146"/>
        <v>3662820</v>
      </c>
      <c r="S536" s="24">
        <f t="shared" si="143"/>
        <v>3299837.8378378376</v>
      </c>
    </row>
    <row r="537" spans="1:19" s="19" customFormat="1">
      <c r="A537" s="31" t="s">
        <v>835</v>
      </c>
      <c r="B537" s="32" t="s">
        <v>18</v>
      </c>
      <c r="C537" s="76">
        <v>36</v>
      </c>
      <c r="D537" s="34" t="s">
        <v>40</v>
      </c>
      <c r="E537" s="35"/>
      <c r="F537" s="36">
        <v>1</v>
      </c>
      <c r="G537" s="37" t="s">
        <v>20</v>
      </c>
      <c r="H537" s="36">
        <v>144</v>
      </c>
      <c r="I537" s="37" t="s">
        <v>40</v>
      </c>
      <c r="J537" s="38"/>
      <c r="K537" s="34" t="s">
        <v>40</v>
      </c>
      <c r="L537" s="39">
        <v>0.1</v>
      </c>
      <c r="M537" s="39">
        <v>0.05</v>
      </c>
      <c r="N537" s="36"/>
      <c r="O537" s="37" t="s">
        <v>40</v>
      </c>
      <c r="P537" s="33">
        <f t="shared" si="145"/>
        <v>36</v>
      </c>
      <c r="Q537" s="37" t="s">
        <v>40</v>
      </c>
      <c r="R537" s="38">
        <f>P537*(J537-(J537*L537)-((J537-(J537*L537))*M537))</f>
        <v>0</v>
      </c>
      <c r="S537" s="38">
        <f t="shared" ref="S537" si="153">R537/1.11</f>
        <v>0</v>
      </c>
    </row>
    <row r="538" spans="1:19" s="19" customFormat="1">
      <c r="A538" s="31" t="s">
        <v>360</v>
      </c>
      <c r="B538" s="32" t="s">
        <v>18</v>
      </c>
      <c r="C538" s="76"/>
      <c r="D538" s="34" t="s">
        <v>40</v>
      </c>
      <c r="E538" s="35">
        <v>3</v>
      </c>
      <c r="F538" s="36">
        <v>1</v>
      </c>
      <c r="G538" s="37" t="s">
        <v>20</v>
      </c>
      <c r="H538" s="36">
        <v>144</v>
      </c>
      <c r="I538" s="37" t="s">
        <v>40</v>
      </c>
      <c r="J538" s="38">
        <v>12600</v>
      </c>
      <c r="K538" s="34" t="s">
        <v>40</v>
      </c>
      <c r="L538" s="39">
        <v>0.125</v>
      </c>
      <c r="M538" s="39">
        <v>0.05</v>
      </c>
      <c r="N538" s="36"/>
      <c r="O538" s="37" t="s">
        <v>40</v>
      </c>
      <c r="P538" s="33">
        <f>(C538+(E538*F538*H538))-N538</f>
        <v>432</v>
      </c>
      <c r="Q538" s="37" t="s">
        <v>40</v>
      </c>
      <c r="R538" s="38">
        <f>P538*(J538-(J538*L538)-((J538-(J538*L538))*M538))</f>
        <v>4524660</v>
      </c>
      <c r="S538" s="38">
        <f>R538/1.11</f>
        <v>4076270.2702702698</v>
      </c>
    </row>
    <row r="539" spans="1:19" s="19" customFormat="1">
      <c r="A539" s="18"/>
      <c r="C539" s="57"/>
      <c r="D539" s="21"/>
      <c r="E539" s="26"/>
      <c r="F539" s="22"/>
      <c r="G539" s="23"/>
      <c r="H539" s="22"/>
      <c r="I539" s="23"/>
      <c r="J539" s="24"/>
      <c r="K539" s="21"/>
      <c r="L539" s="25"/>
      <c r="M539" s="25"/>
      <c r="N539" s="22"/>
      <c r="O539" s="23"/>
      <c r="P539" s="20"/>
      <c r="Q539" s="23"/>
      <c r="R539" s="24"/>
      <c r="S539" s="24"/>
    </row>
    <row r="540" spans="1:19" s="89" customFormat="1">
      <c r="A540" s="145" t="s">
        <v>361</v>
      </c>
      <c r="B540" s="89" t="s">
        <v>25</v>
      </c>
      <c r="C540" s="87"/>
      <c r="D540" s="90" t="s">
        <v>40</v>
      </c>
      <c r="E540" s="91"/>
      <c r="F540" s="92">
        <v>1</v>
      </c>
      <c r="G540" s="93" t="s">
        <v>20</v>
      </c>
      <c r="H540" s="92">
        <v>144</v>
      </c>
      <c r="I540" s="93" t="s">
        <v>40</v>
      </c>
      <c r="J540" s="94">
        <v>22200</v>
      </c>
      <c r="K540" s="90" t="s">
        <v>40</v>
      </c>
      <c r="L540" s="95"/>
      <c r="M540" s="95">
        <v>0.17</v>
      </c>
      <c r="N540" s="92"/>
      <c r="O540" s="93" t="s">
        <v>40</v>
      </c>
      <c r="P540" s="87">
        <f t="shared" ref="P540:P546" si="154">(C540+(E540*F540*H540))-N540</f>
        <v>0</v>
      </c>
      <c r="Q540" s="93" t="s">
        <v>40</v>
      </c>
      <c r="R540" s="94">
        <f t="shared" ref="R540:R546" si="155">P540*(J540-(J540*L540)-((J540-(J540*L540))*M540))</f>
        <v>0</v>
      </c>
      <c r="S540" s="94">
        <f t="shared" si="143"/>
        <v>0</v>
      </c>
    </row>
    <row r="541" spans="1:19" s="89" customFormat="1">
      <c r="A541" s="145" t="s">
        <v>362</v>
      </c>
      <c r="B541" s="89" t="s">
        <v>25</v>
      </c>
      <c r="C541" s="87"/>
      <c r="D541" s="90" t="s">
        <v>40</v>
      </c>
      <c r="E541" s="91"/>
      <c r="F541" s="92">
        <v>1</v>
      </c>
      <c r="G541" s="93" t="s">
        <v>20</v>
      </c>
      <c r="H541" s="92">
        <v>144</v>
      </c>
      <c r="I541" s="93" t="s">
        <v>40</v>
      </c>
      <c r="J541" s="94">
        <f>1728000/144</f>
        <v>12000</v>
      </c>
      <c r="K541" s="90" t="s">
        <v>40</v>
      </c>
      <c r="L541" s="95"/>
      <c r="M541" s="95">
        <v>0.17</v>
      </c>
      <c r="N541" s="92"/>
      <c r="O541" s="93" t="s">
        <v>40</v>
      </c>
      <c r="P541" s="87">
        <f t="shared" si="154"/>
        <v>0</v>
      </c>
      <c r="Q541" s="93" t="s">
        <v>40</v>
      </c>
      <c r="R541" s="94">
        <f t="shared" si="155"/>
        <v>0</v>
      </c>
      <c r="S541" s="94">
        <f t="shared" si="143"/>
        <v>0</v>
      </c>
    </row>
    <row r="542" spans="1:19" s="89" customFormat="1">
      <c r="A542" s="145" t="s">
        <v>363</v>
      </c>
      <c r="B542" s="89" t="s">
        <v>25</v>
      </c>
      <c r="C542" s="87"/>
      <c r="D542" s="90" t="s">
        <v>40</v>
      </c>
      <c r="E542" s="91"/>
      <c r="F542" s="92">
        <v>1</v>
      </c>
      <c r="G542" s="93" t="s">
        <v>20</v>
      </c>
      <c r="H542" s="92">
        <v>144</v>
      </c>
      <c r="I542" s="93" t="s">
        <v>40</v>
      </c>
      <c r="J542" s="94">
        <v>13800</v>
      </c>
      <c r="K542" s="90" t="s">
        <v>40</v>
      </c>
      <c r="L542" s="95"/>
      <c r="M542" s="95">
        <v>0.17</v>
      </c>
      <c r="N542" s="92"/>
      <c r="O542" s="93" t="s">
        <v>40</v>
      </c>
      <c r="P542" s="87">
        <f t="shared" si="154"/>
        <v>0</v>
      </c>
      <c r="Q542" s="93" t="s">
        <v>40</v>
      </c>
      <c r="R542" s="94">
        <f t="shared" si="155"/>
        <v>0</v>
      </c>
      <c r="S542" s="94">
        <f t="shared" si="143"/>
        <v>0</v>
      </c>
    </row>
    <row r="543" spans="1:19" s="89" customFormat="1">
      <c r="A543" s="145" t="s">
        <v>364</v>
      </c>
      <c r="B543" s="89" t="s">
        <v>25</v>
      </c>
      <c r="C543" s="87"/>
      <c r="D543" s="90" t="s">
        <v>40</v>
      </c>
      <c r="E543" s="91"/>
      <c r="F543" s="92">
        <v>1</v>
      </c>
      <c r="G543" s="93" t="s">
        <v>20</v>
      </c>
      <c r="H543" s="92">
        <v>144</v>
      </c>
      <c r="I543" s="93" t="s">
        <v>40</v>
      </c>
      <c r="J543" s="94">
        <v>13800</v>
      </c>
      <c r="K543" s="90" t="s">
        <v>40</v>
      </c>
      <c r="L543" s="95"/>
      <c r="M543" s="95">
        <v>0.17</v>
      </c>
      <c r="N543" s="92"/>
      <c r="O543" s="93" t="s">
        <v>40</v>
      </c>
      <c r="P543" s="87">
        <f t="shared" si="154"/>
        <v>0</v>
      </c>
      <c r="Q543" s="93" t="s">
        <v>40</v>
      </c>
      <c r="R543" s="94">
        <f t="shared" si="155"/>
        <v>0</v>
      </c>
      <c r="S543" s="94">
        <f t="shared" si="143"/>
        <v>0</v>
      </c>
    </row>
    <row r="544" spans="1:19" s="89" customFormat="1">
      <c r="A544" s="145" t="s">
        <v>365</v>
      </c>
      <c r="B544" s="89" t="s">
        <v>25</v>
      </c>
      <c r="C544" s="87"/>
      <c r="D544" s="90" t="s">
        <v>40</v>
      </c>
      <c r="E544" s="91"/>
      <c r="F544" s="92">
        <v>1</v>
      </c>
      <c r="G544" s="93" t="s">
        <v>20</v>
      </c>
      <c r="H544" s="92">
        <v>144</v>
      </c>
      <c r="I544" s="93" t="s">
        <v>40</v>
      </c>
      <c r="J544" s="94">
        <v>13800</v>
      </c>
      <c r="K544" s="90" t="s">
        <v>40</v>
      </c>
      <c r="L544" s="95"/>
      <c r="M544" s="95">
        <v>0.17</v>
      </c>
      <c r="N544" s="92"/>
      <c r="O544" s="93" t="s">
        <v>40</v>
      </c>
      <c r="P544" s="87">
        <f t="shared" si="154"/>
        <v>0</v>
      </c>
      <c r="Q544" s="93" t="s">
        <v>40</v>
      </c>
      <c r="R544" s="94">
        <f t="shared" si="155"/>
        <v>0</v>
      </c>
      <c r="S544" s="94">
        <f t="shared" si="143"/>
        <v>0</v>
      </c>
    </row>
    <row r="545" spans="1:19" s="89" customFormat="1">
      <c r="A545" s="145" t="s">
        <v>366</v>
      </c>
      <c r="B545" s="89" t="s">
        <v>25</v>
      </c>
      <c r="C545" s="87"/>
      <c r="D545" s="90" t="s">
        <v>40</v>
      </c>
      <c r="E545" s="91"/>
      <c r="F545" s="92">
        <v>1</v>
      </c>
      <c r="G545" s="93" t="s">
        <v>20</v>
      </c>
      <c r="H545" s="92">
        <v>144</v>
      </c>
      <c r="I545" s="93" t="s">
        <v>40</v>
      </c>
      <c r="J545" s="94">
        <f>1987200/144</f>
        <v>13800</v>
      </c>
      <c r="K545" s="90" t="s">
        <v>40</v>
      </c>
      <c r="L545" s="95"/>
      <c r="M545" s="95">
        <v>0.17</v>
      </c>
      <c r="N545" s="92"/>
      <c r="O545" s="93" t="s">
        <v>40</v>
      </c>
      <c r="P545" s="87">
        <f t="shared" si="154"/>
        <v>0</v>
      </c>
      <c r="Q545" s="93" t="s">
        <v>40</v>
      </c>
      <c r="R545" s="94">
        <f t="shared" si="155"/>
        <v>0</v>
      </c>
      <c r="S545" s="94">
        <f t="shared" si="143"/>
        <v>0</v>
      </c>
    </row>
    <row r="546" spans="1:19" s="19" customFormat="1">
      <c r="A546" s="49" t="s">
        <v>367</v>
      </c>
      <c r="B546" s="19" t="s">
        <v>25</v>
      </c>
      <c r="C546" s="20">
        <v>108</v>
      </c>
      <c r="D546" s="21" t="s">
        <v>40</v>
      </c>
      <c r="E546" s="26"/>
      <c r="F546" s="22">
        <v>1</v>
      </c>
      <c r="G546" s="23" t="s">
        <v>20</v>
      </c>
      <c r="H546" s="22">
        <v>144</v>
      </c>
      <c r="I546" s="23" t="s">
        <v>40</v>
      </c>
      <c r="J546" s="24">
        <f>2073600/12/12</f>
        <v>14400</v>
      </c>
      <c r="K546" s="21" t="s">
        <v>40</v>
      </c>
      <c r="L546" s="25"/>
      <c r="M546" s="25">
        <v>0.17</v>
      </c>
      <c r="N546" s="22"/>
      <c r="O546" s="23" t="s">
        <v>40</v>
      </c>
      <c r="P546" s="20">
        <f t="shared" si="154"/>
        <v>108</v>
      </c>
      <c r="Q546" s="23" t="s">
        <v>40</v>
      </c>
      <c r="R546" s="24">
        <f t="shared" si="155"/>
        <v>1290816</v>
      </c>
      <c r="S546" s="24">
        <f t="shared" si="143"/>
        <v>1162897.2972972973</v>
      </c>
    </row>
    <row r="547" spans="1:19" s="19" customFormat="1">
      <c r="A547" s="49"/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</row>
    <row r="548" spans="1:19" s="19" customFormat="1">
      <c r="A548" s="71" t="s">
        <v>368</v>
      </c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19" s="19" customFormat="1">
      <c r="A549" s="18" t="s">
        <v>369</v>
      </c>
      <c r="B549" s="19" t="s">
        <v>182</v>
      </c>
      <c r="C549" s="20">
        <v>2109</v>
      </c>
      <c r="D549" s="21" t="s">
        <v>40</v>
      </c>
      <c r="E549" s="26"/>
      <c r="F549" s="22">
        <v>1</v>
      </c>
      <c r="G549" s="23" t="s">
        <v>20</v>
      </c>
      <c r="H549" s="22">
        <v>240</v>
      </c>
      <c r="I549" s="23" t="s">
        <v>40</v>
      </c>
      <c r="J549" s="24">
        <v>10000</v>
      </c>
      <c r="K549" s="21" t="s">
        <v>40</v>
      </c>
      <c r="L549" s="25"/>
      <c r="M549" s="25"/>
      <c r="N549" s="22"/>
      <c r="O549" s="23" t="s">
        <v>40</v>
      </c>
      <c r="P549" s="20">
        <f>(C549+(E549*F549*H549))-N549</f>
        <v>2109</v>
      </c>
      <c r="Q549" s="23" t="s">
        <v>40</v>
      </c>
      <c r="R549" s="24">
        <f>P549*(J549-(J549*L549)-((J549-(J549*L549))*M549))</f>
        <v>21090000</v>
      </c>
      <c r="S549" s="24">
        <f t="shared" si="143"/>
        <v>19000000</v>
      </c>
    </row>
    <row r="550" spans="1:19" s="19" customFormat="1">
      <c r="A550" s="18" t="s">
        <v>370</v>
      </c>
      <c r="B550" s="19" t="s">
        <v>182</v>
      </c>
      <c r="C550" s="20">
        <v>1472</v>
      </c>
      <c r="D550" s="21" t="s">
        <v>40</v>
      </c>
      <c r="E550" s="26"/>
      <c r="F550" s="22">
        <v>1</v>
      </c>
      <c r="G550" s="23" t="s">
        <v>20</v>
      </c>
      <c r="H550" s="22">
        <v>240</v>
      </c>
      <c r="I550" s="23" t="s">
        <v>40</v>
      </c>
      <c r="J550" s="24">
        <v>10000</v>
      </c>
      <c r="K550" s="21" t="s">
        <v>40</v>
      </c>
      <c r="L550" s="25"/>
      <c r="M550" s="25"/>
      <c r="N550" s="22"/>
      <c r="O550" s="23" t="s">
        <v>40</v>
      </c>
      <c r="P550" s="20">
        <f>(C550+(E550*F550*H550))-N550</f>
        <v>1472</v>
      </c>
      <c r="Q550" s="23" t="s">
        <v>40</v>
      </c>
      <c r="R550" s="24">
        <f>P550*(J550-(J550*L550)-((J550-(J550*L550))*M550))</f>
        <v>14720000</v>
      </c>
      <c r="S550" s="24">
        <f t="shared" si="143"/>
        <v>13261261.26126126</v>
      </c>
    </row>
    <row r="551" spans="1:19" s="19" customFormat="1">
      <c r="A551" s="18" t="s">
        <v>371</v>
      </c>
      <c r="B551" s="19" t="s">
        <v>182</v>
      </c>
      <c r="C551" s="20">
        <v>1145</v>
      </c>
      <c r="D551" s="21" t="s">
        <v>40</v>
      </c>
      <c r="E551" s="26"/>
      <c r="F551" s="22">
        <v>1</v>
      </c>
      <c r="G551" s="23" t="s">
        <v>20</v>
      </c>
      <c r="H551" s="22">
        <v>240</v>
      </c>
      <c r="I551" s="23" t="s">
        <v>40</v>
      </c>
      <c r="J551" s="24">
        <v>10000</v>
      </c>
      <c r="K551" s="21" t="s">
        <v>40</v>
      </c>
      <c r="L551" s="25"/>
      <c r="M551" s="25"/>
      <c r="N551" s="22"/>
      <c r="O551" s="23" t="s">
        <v>40</v>
      </c>
      <c r="P551" s="20">
        <f>(C551+(E551*F551*H551))-N551</f>
        <v>1145</v>
      </c>
      <c r="Q551" s="23" t="s">
        <v>40</v>
      </c>
      <c r="R551" s="24">
        <f>P551*(J551-(J551*L551)-((J551-(J551*L551))*M551))</f>
        <v>11450000</v>
      </c>
      <c r="S551" s="24">
        <f t="shared" si="143"/>
        <v>10315315.315315314</v>
      </c>
    </row>
    <row r="552" spans="1:19" s="19" customFormat="1">
      <c r="A552" s="18" t="s">
        <v>372</v>
      </c>
      <c r="B552" s="19" t="s">
        <v>182</v>
      </c>
      <c r="C552" s="20">
        <v>19</v>
      </c>
      <c r="D552" s="21" t="s">
        <v>40</v>
      </c>
      <c r="E552" s="26"/>
      <c r="F552" s="22">
        <v>1</v>
      </c>
      <c r="G552" s="23" t="s">
        <v>20</v>
      </c>
      <c r="H552" s="22">
        <v>240</v>
      </c>
      <c r="I552" s="23" t="s">
        <v>40</v>
      </c>
      <c r="J552" s="24">
        <v>10000</v>
      </c>
      <c r="K552" s="21" t="s">
        <v>40</v>
      </c>
      <c r="L552" s="25"/>
      <c r="M552" s="25"/>
      <c r="N552" s="22"/>
      <c r="O552" s="23" t="s">
        <v>40</v>
      </c>
      <c r="P552" s="20">
        <f>(C552+(E552*F552*H552))-N552</f>
        <v>19</v>
      </c>
      <c r="Q552" s="23" t="s">
        <v>40</v>
      </c>
      <c r="R552" s="24">
        <f>P552*(J552-(J552*L552)-((J552-(J552*L552))*M552))</f>
        <v>190000</v>
      </c>
      <c r="S552" s="24">
        <f t="shared" si="143"/>
        <v>171171.17117117115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89" customFormat="1">
      <c r="A554" s="88" t="s">
        <v>402</v>
      </c>
      <c r="B554" s="89" t="s">
        <v>261</v>
      </c>
      <c r="C554" s="87"/>
      <c r="D554" s="90" t="s">
        <v>40</v>
      </c>
      <c r="E554" s="91"/>
      <c r="F554" s="92">
        <v>1</v>
      </c>
      <c r="G554" s="93" t="s">
        <v>20</v>
      </c>
      <c r="H554" s="92">
        <v>120</v>
      </c>
      <c r="I554" s="93" t="s">
        <v>40</v>
      </c>
      <c r="J554" s="94">
        <v>25500</v>
      </c>
      <c r="K554" s="90" t="s">
        <v>40</v>
      </c>
      <c r="L554" s="95"/>
      <c r="M554" s="95"/>
      <c r="N554" s="92"/>
      <c r="O554" s="93" t="s">
        <v>40</v>
      </c>
      <c r="P554" s="87">
        <f>(C554+(E554*F554*H554))-N554</f>
        <v>0</v>
      </c>
      <c r="Q554" s="93" t="s">
        <v>40</v>
      </c>
      <c r="R554" s="94">
        <f>P554*(J554-(J554*L554)-((J554-(J554*L554))*M554))</f>
        <v>0</v>
      </c>
      <c r="S554" s="94">
        <f>R554/1.11</f>
        <v>0</v>
      </c>
    </row>
    <row r="555" spans="1:19" s="89" customFormat="1">
      <c r="A555" s="88" t="s">
        <v>743</v>
      </c>
      <c r="B555" s="89" t="s">
        <v>261</v>
      </c>
      <c r="C555" s="87"/>
      <c r="D555" s="90" t="s">
        <v>40</v>
      </c>
      <c r="E555" s="91"/>
      <c r="F555" s="92">
        <v>1</v>
      </c>
      <c r="G555" s="93" t="s">
        <v>20</v>
      </c>
      <c r="H555" s="92">
        <v>120</v>
      </c>
      <c r="I555" s="93" t="s">
        <v>40</v>
      </c>
      <c r="J555" s="94">
        <v>19000</v>
      </c>
      <c r="K555" s="90" t="s">
        <v>40</v>
      </c>
      <c r="L555" s="95"/>
      <c r="M555" s="95"/>
      <c r="N555" s="92"/>
      <c r="O555" s="93" t="s">
        <v>40</v>
      </c>
      <c r="P555" s="87">
        <f>(C555+(E555*F555*H555))-N555</f>
        <v>0</v>
      </c>
      <c r="Q555" s="93" t="s">
        <v>40</v>
      </c>
      <c r="R555" s="94">
        <f>P555*(J555-(J555*L555)-((J555-(J555*L555))*M555))</f>
        <v>0</v>
      </c>
      <c r="S555" s="94">
        <f t="shared" ref="S555" si="156">R555/1.11</f>
        <v>0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89" customFormat="1">
      <c r="A557" s="88" t="s">
        <v>373</v>
      </c>
      <c r="B557" s="89" t="s">
        <v>18</v>
      </c>
      <c r="C557" s="87"/>
      <c r="D557" s="90" t="s">
        <v>40</v>
      </c>
      <c r="E557" s="91"/>
      <c r="F557" s="92">
        <v>1</v>
      </c>
      <c r="G557" s="93" t="s">
        <v>20</v>
      </c>
      <c r="H557" s="92">
        <v>144</v>
      </c>
      <c r="I557" s="93" t="s">
        <v>40</v>
      </c>
      <c r="J557" s="94">
        <v>19800</v>
      </c>
      <c r="K557" s="90" t="s">
        <v>40</v>
      </c>
      <c r="L557" s="95">
        <v>0.125</v>
      </c>
      <c r="M557" s="95">
        <v>0.05</v>
      </c>
      <c r="N557" s="92"/>
      <c r="O557" s="93" t="s">
        <v>40</v>
      </c>
      <c r="P557" s="87">
        <f t="shared" ref="P557:P573" si="157">(C557+(E557*F557*H557))-N557</f>
        <v>0</v>
      </c>
      <c r="Q557" s="93" t="s">
        <v>40</v>
      </c>
      <c r="R557" s="94">
        <f t="shared" ref="R557:R573" si="158">P557*(J557-(J557*L557)-((J557-(J557*L557))*M557))</f>
        <v>0</v>
      </c>
      <c r="S557" s="94">
        <f t="shared" si="143"/>
        <v>0</v>
      </c>
    </row>
    <row r="558" spans="1:19" s="89" customFormat="1">
      <c r="A558" s="88" t="s">
        <v>374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20400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si="157"/>
        <v>0</v>
      </c>
      <c r="Q558" s="93" t="s">
        <v>40</v>
      </c>
      <c r="R558" s="94">
        <f t="shared" si="158"/>
        <v>0</v>
      </c>
      <c r="S558" s="94">
        <f t="shared" si="143"/>
        <v>0</v>
      </c>
    </row>
    <row r="559" spans="1:19" s="89" customFormat="1">
      <c r="A559" s="145" t="s">
        <v>659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69600</v>
      </c>
      <c r="K559" s="90" t="s">
        <v>40</v>
      </c>
      <c r="L559" s="95">
        <v>0.125</v>
      </c>
      <c r="M559" s="95">
        <v>0.05</v>
      </c>
      <c r="N559" s="92"/>
      <c r="O559" s="93" t="s">
        <v>40</v>
      </c>
      <c r="P559" s="87">
        <f t="shared" si="157"/>
        <v>0</v>
      </c>
      <c r="Q559" s="93" t="s">
        <v>40</v>
      </c>
      <c r="R559" s="94">
        <f t="shared" si="158"/>
        <v>0</v>
      </c>
      <c r="S559" s="94">
        <f t="shared" si="143"/>
        <v>0</v>
      </c>
    </row>
    <row r="560" spans="1:19" s="89" customFormat="1">
      <c r="A560" s="145" t="s">
        <v>790</v>
      </c>
      <c r="B560" s="89" t="s">
        <v>18</v>
      </c>
      <c r="C560" s="87"/>
      <c r="D560" s="90" t="s">
        <v>40</v>
      </c>
      <c r="E560" s="91"/>
      <c r="F560" s="92">
        <v>1</v>
      </c>
      <c r="G560" s="93" t="s">
        <v>20</v>
      </c>
      <c r="H560" s="92">
        <v>144</v>
      </c>
      <c r="I560" s="93" t="s">
        <v>40</v>
      </c>
      <c r="J560" s="94">
        <v>32400</v>
      </c>
      <c r="K560" s="90" t="s">
        <v>40</v>
      </c>
      <c r="L560" s="95">
        <v>0.125</v>
      </c>
      <c r="M560" s="95">
        <v>0.05</v>
      </c>
      <c r="N560" s="92"/>
      <c r="O560" s="93" t="s">
        <v>40</v>
      </c>
      <c r="P560" s="87">
        <f t="shared" si="157"/>
        <v>0</v>
      </c>
      <c r="Q560" s="93" t="s">
        <v>40</v>
      </c>
      <c r="R560" s="94">
        <f t="shared" si="158"/>
        <v>0</v>
      </c>
      <c r="S560" s="94">
        <f t="shared" si="143"/>
        <v>0</v>
      </c>
    </row>
    <row r="561" spans="1:19" s="89" customFormat="1">
      <c r="A561" s="145" t="s">
        <v>375</v>
      </c>
      <c r="B561" s="89" t="s">
        <v>18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v>27000</v>
      </c>
      <c r="K561" s="90" t="s">
        <v>40</v>
      </c>
      <c r="L561" s="95">
        <v>0.125</v>
      </c>
      <c r="M561" s="95">
        <v>0.05</v>
      </c>
      <c r="N561" s="92"/>
      <c r="O561" s="93" t="s">
        <v>40</v>
      </c>
      <c r="P561" s="87">
        <f t="shared" si="157"/>
        <v>0</v>
      </c>
      <c r="Q561" s="93" t="s">
        <v>40</v>
      </c>
      <c r="R561" s="94">
        <f t="shared" si="158"/>
        <v>0</v>
      </c>
      <c r="S561" s="94">
        <f t="shared" si="143"/>
        <v>0</v>
      </c>
    </row>
    <row r="562" spans="1:19" s="89" customFormat="1">
      <c r="A562" s="145" t="s">
        <v>715</v>
      </c>
      <c r="B562" s="89" t="s">
        <v>18</v>
      </c>
      <c r="C562" s="87"/>
      <c r="D562" s="90" t="s">
        <v>40</v>
      </c>
      <c r="E562" s="91"/>
      <c r="F562" s="92">
        <v>1</v>
      </c>
      <c r="G562" s="93" t="s">
        <v>20</v>
      </c>
      <c r="H562" s="92">
        <v>144</v>
      </c>
      <c r="I562" s="93" t="s">
        <v>40</v>
      </c>
      <c r="J562" s="94">
        <v>21600</v>
      </c>
      <c r="K562" s="90" t="s">
        <v>40</v>
      </c>
      <c r="L562" s="95">
        <v>0.125</v>
      </c>
      <c r="M562" s="95">
        <v>0.05</v>
      </c>
      <c r="N562" s="92"/>
      <c r="O562" s="93" t="s">
        <v>40</v>
      </c>
      <c r="P562" s="87">
        <f t="shared" si="157"/>
        <v>0</v>
      </c>
      <c r="Q562" s="93" t="s">
        <v>40</v>
      </c>
      <c r="R562" s="94">
        <f t="shared" si="158"/>
        <v>0</v>
      </c>
      <c r="S562" s="94">
        <f t="shared" ref="S562:S621" si="159">R562/1.11</f>
        <v>0</v>
      </c>
    </row>
    <row r="563" spans="1:19" s="89" customFormat="1">
      <c r="A563" s="145" t="s">
        <v>376</v>
      </c>
      <c r="B563" s="89" t="s">
        <v>18</v>
      </c>
      <c r="C563" s="87"/>
      <c r="D563" s="90" t="s">
        <v>40</v>
      </c>
      <c r="E563" s="91"/>
      <c r="F563" s="92">
        <v>1</v>
      </c>
      <c r="G563" s="93" t="s">
        <v>20</v>
      </c>
      <c r="H563" s="92">
        <v>144</v>
      </c>
      <c r="I563" s="93" t="s">
        <v>40</v>
      </c>
      <c r="J563" s="94">
        <v>43200</v>
      </c>
      <c r="K563" s="90" t="s">
        <v>40</v>
      </c>
      <c r="L563" s="95">
        <v>0.125</v>
      </c>
      <c r="M563" s="95">
        <v>0.05</v>
      </c>
      <c r="N563" s="92"/>
      <c r="O563" s="93" t="s">
        <v>40</v>
      </c>
      <c r="P563" s="87">
        <f t="shared" si="157"/>
        <v>0</v>
      </c>
      <c r="Q563" s="93" t="s">
        <v>40</v>
      </c>
      <c r="R563" s="94">
        <f t="shared" si="158"/>
        <v>0</v>
      </c>
      <c r="S563" s="94">
        <f t="shared" si="159"/>
        <v>0</v>
      </c>
    </row>
    <row r="564" spans="1:19" s="89" customFormat="1">
      <c r="A564" s="145" t="s">
        <v>377</v>
      </c>
      <c r="B564" s="89" t="s">
        <v>18</v>
      </c>
      <c r="C564" s="87"/>
      <c r="D564" s="90" t="s">
        <v>40</v>
      </c>
      <c r="E564" s="91"/>
      <c r="F564" s="92">
        <v>1</v>
      </c>
      <c r="G564" s="93" t="s">
        <v>20</v>
      </c>
      <c r="H564" s="92">
        <v>144</v>
      </c>
      <c r="I564" s="93" t="s">
        <v>40</v>
      </c>
      <c r="J564" s="94">
        <v>22800</v>
      </c>
      <c r="K564" s="90" t="s">
        <v>40</v>
      </c>
      <c r="L564" s="95">
        <v>0.125</v>
      </c>
      <c r="M564" s="95">
        <v>0.05</v>
      </c>
      <c r="N564" s="92"/>
      <c r="O564" s="93" t="s">
        <v>40</v>
      </c>
      <c r="P564" s="87">
        <f t="shared" si="157"/>
        <v>0</v>
      </c>
      <c r="Q564" s="93" t="s">
        <v>40</v>
      </c>
      <c r="R564" s="94">
        <f t="shared" si="158"/>
        <v>0</v>
      </c>
      <c r="S564" s="94">
        <f t="shared" si="159"/>
        <v>0</v>
      </c>
    </row>
    <row r="565" spans="1:19" s="19" customFormat="1">
      <c r="A565" s="149" t="s">
        <v>378</v>
      </c>
      <c r="B565" s="32" t="s">
        <v>18</v>
      </c>
      <c r="C565" s="33"/>
      <c r="D565" s="34" t="s">
        <v>40</v>
      </c>
      <c r="E565" s="35">
        <v>1</v>
      </c>
      <c r="F565" s="36">
        <v>1</v>
      </c>
      <c r="G565" s="37" t="s">
        <v>20</v>
      </c>
      <c r="H565" s="36">
        <v>144</v>
      </c>
      <c r="I565" s="37" t="s">
        <v>40</v>
      </c>
      <c r="J565" s="38">
        <v>28200</v>
      </c>
      <c r="K565" s="34" t="s">
        <v>40</v>
      </c>
      <c r="L565" s="39">
        <v>0.125</v>
      </c>
      <c r="M565" s="39">
        <v>0.05</v>
      </c>
      <c r="N565" s="36"/>
      <c r="O565" s="150" t="s">
        <v>40</v>
      </c>
      <c r="P565" s="33">
        <f t="shared" ref="P565:P566" si="160">(C565+(E565*F565*H565))-N565</f>
        <v>144</v>
      </c>
      <c r="Q565" s="37" t="s">
        <v>40</v>
      </c>
      <c r="R565" s="38">
        <f t="shared" ref="R565:R566" si="161">P565*(J565-(J565*L565)-((J565-(J565*L565))*M565))</f>
        <v>3375540</v>
      </c>
      <c r="S565" s="38">
        <f t="shared" ref="S565:S566" si="162">R565/1.11</f>
        <v>3041027.0270270268</v>
      </c>
    </row>
    <row r="566" spans="1:19" s="19" customFormat="1">
      <c r="A566" s="149" t="s">
        <v>378</v>
      </c>
      <c r="B566" s="32" t="s">
        <v>18</v>
      </c>
      <c r="C566" s="33">
        <v>312</v>
      </c>
      <c r="D566" s="34" t="s">
        <v>40</v>
      </c>
      <c r="E566" s="35"/>
      <c r="F566" s="36">
        <v>1</v>
      </c>
      <c r="G566" s="37" t="s">
        <v>20</v>
      </c>
      <c r="H566" s="36">
        <v>144</v>
      </c>
      <c r="I566" s="37" t="s">
        <v>40</v>
      </c>
      <c r="J566" s="38">
        <v>26400</v>
      </c>
      <c r="K566" s="34" t="s">
        <v>40</v>
      </c>
      <c r="L566" s="39">
        <v>0.125</v>
      </c>
      <c r="M566" s="39">
        <v>0.05</v>
      </c>
      <c r="N566" s="36"/>
      <c r="O566" s="150" t="s">
        <v>40</v>
      </c>
      <c r="P566" s="33">
        <f t="shared" si="160"/>
        <v>312</v>
      </c>
      <c r="Q566" s="37" t="s">
        <v>40</v>
      </c>
      <c r="R566" s="38">
        <f t="shared" si="161"/>
        <v>6846840</v>
      </c>
      <c r="S566" s="38">
        <f t="shared" si="162"/>
        <v>6168324.3243243238</v>
      </c>
    </row>
    <row r="567" spans="1:19" s="19" customFormat="1">
      <c r="A567" s="149" t="s">
        <v>873</v>
      </c>
      <c r="B567" s="32" t="s">
        <v>18</v>
      </c>
      <c r="C567" s="33">
        <v>351</v>
      </c>
      <c r="D567" s="34" t="s">
        <v>40</v>
      </c>
      <c r="E567" s="35"/>
      <c r="F567" s="36">
        <v>1</v>
      </c>
      <c r="G567" s="37" t="s">
        <v>20</v>
      </c>
      <c r="H567" s="36">
        <v>144</v>
      </c>
      <c r="I567" s="37" t="s">
        <v>40</v>
      </c>
      <c r="J567" s="38"/>
      <c r="K567" s="34" t="s">
        <v>40</v>
      </c>
      <c r="L567" s="39">
        <v>0.125</v>
      </c>
      <c r="M567" s="39">
        <v>0.05</v>
      </c>
      <c r="N567" s="36"/>
      <c r="O567" s="150" t="s">
        <v>40</v>
      </c>
      <c r="P567" s="33">
        <f t="shared" si="157"/>
        <v>351</v>
      </c>
      <c r="Q567" s="37" t="s">
        <v>40</v>
      </c>
      <c r="R567" s="38">
        <f t="shared" si="158"/>
        <v>0</v>
      </c>
      <c r="S567" s="38">
        <f t="shared" si="159"/>
        <v>0</v>
      </c>
    </row>
    <row r="568" spans="1:19" s="19" customFormat="1">
      <c r="A568" s="49" t="s">
        <v>379</v>
      </c>
      <c r="B568" s="19" t="s">
        <v>18</v>
      </c>
      <c r="C568" s="20">
        <v>233</v>
      </c>
      <c r="D568" s="21" t="s">
        <v>40</v>
      </c>
      <c r="E568" s="26">
        <v>1</v>
      </c>
      <c r="F568" s="22">
        <v>1</v>
      </c>
      <c r="G568" s="23" t="s">
        <v>20</v>
      </c>
      <c r="H568" s="22">
        <v>144</v>
      </c>
      <c r="I568" s="23" t="s">
        <v>40</v>
      </c>
      <c r="J568" s="24">
        <v>27600</v>
      </c>
      <c r="K568" s="21" t="s">
        <v>40</v>
      </c>
      <c r="L568" s="25">
        <v>0.125</v>
      </c>
      <c r="M568" s="25">
        <v>0.05</v>
      </c>
      <c r="N568" s="22"/>
      <c r="O568" s="23" t="s">
        <v>40</v>
      </c>
      <c r="P568" s="20">
        <f t="shared" si="157"/>
        <v>377</v>
      </c>
      <c r="Q568" s="23" t="s">
        <v>40</v>
      </c>
      <c r="R568" s="24">
        <f t="shared" si="158"/>
        <v>8649322.5</v>
      </c>
      <c r="S568" s="24">
        <f t="shared" si="159"/>
        <v>7792182.4324324317</v>
      </c>
    </row>
    <row r="569" spans="1:19" s="80" customFormat="1">
      <c r="A569" s="145" t="s">
        <v>380</v>
      </c>
      <c r="B569" s="80" t="s">
        <v>18</v>
      </c>
      <c r="C569" s="81"/>
      <c r="D569" s="82" t="s">
        <v>40</v>
      </c>
      <c r="E569" s="83"/>
      <c r="F569" s="84">
        <v>1</v>
      </c>
      <c r="G569" s="85" t="s">
        <v>20</v>
      </c>
      <c r="H569" s="84">
        <v>144</v>
      </c>
      <c r="I569" s="85" t="s">
        <v>40</v>
      </c>
      <c r="J569" s="16">
        <v>25800</v>
      </c>
      <c r="K569" s="82" t="s">
        <v>40</v>
      </c>
      <c r="L569" s="86">
        <v>0.125</v>
      </c>
      <c r="M569" s="86">
        <v>0.05</v>
      </c>
      <c r="N569" s="84"/>
      <c r="O569" s="85" t="s">
        <v>40</v>
      </c>
      <c r="P569" s="81">
        <f t="shared" si="157"/>
        <v>0</v>
      </c>
      <c r="Q569" s="85" t="s">
        <v>40</v>
      </c>
      <c r="R569" s="16">
        <f t="shared" si="158"/>
        <v>0</v>
      </c>
      <c r="S569" s="16">
        <f t="shared" si="159"/>
        <v>0</v>
      </c>
    </row>
    <row r="570" spans="1:19">
      <c r="A570" s="17" t="s">
        <v>381</v>
      </c>
      <c r="B570" s="2" t="s">
        <v>18</v>
      </c>
      <c r="D570" s="4" t="s">
        <v>40</v>
      </c>
      <c r="E570" s="5">
        <v>4</v>
      </c>
      <c r="F570" s="6">
        <v>1</v>
      </c>
      <c r="G570" s="7" t="s">
        <v>20</v>
      </c>
      <c r="H570" s="6">
        <v>144</v>
      </c>
      <c r="I570" s="7" t="s">
        <v>40</v>
      </c>
      <c r="J570" s="8">
        <v>14100</v>
      </c>
      <c r="K570" s="4" t="s">
        <v>40</v>
      </c>
      <c r="L570" s="9">
        <v>0.125</v>
      </c>
      <c r="M570" s="9">
        <v>0.05</v>
      </c>
      <c r="O570" s="7" t="s">
        <v>40</v>
      </c>
      <c r="P570" s="3">
        <f t="shared" si="157"/>
        <v>576</v>
      </c>
      <c r="Q570" s="7" t="s">
        <v>40</v>
      </c>
      <c r="R570" s="8">
        <f t="shared" si="158"/>
        <v>6751080</v>
      </c>
      <c r="S570" s="8">
        <f t="shared" si="159"/>
        <v>6082054.0540540535</v>
      </c>
    </row>
    <row r="571" spans="1:19" s="80" customFormat="1">
      <c r="A571" s="79" t="s">
        <v>702</v>
      </c>
      <c r="B571" s="80" t="s">
        <v>18</v>
      </c>
      <c r="C571" s="81"/>
      <c r="D571" s="82" t="s">
        <v>40</v>
      </c>
      <c r="E571" s="83"/>
      <c r="F571" s="84">
        <v>1</v>
      </c>
      <c r="G571" s="85" t="s">
        <v>20</v>
      </c>
      <c r="H571" s="84">
        <v>144</v>
      </c>
      <c r="I571" s="85" t="s">
        <v>40</v>
      </c>
      <c r="J571" s="16">
        <v>25800</v>
      </c>
      <c r="K571" s="82" t="s">
        <v>40</v>
      </c>
      <c r="L571" s="86">
        <v>0.125</v>
      </c>
      <c r="M571" s="86">
        <v>0.05</v>
      </c>
      <c r="N571" s="84"/>
      <c r="O571" s="85" t="s">
        <v>40</v>
      </c>
      <c r="P571" s="81">
        <f t="shared" si="157"/>
        <v>0</v>
      </c>
      <c r="Q571" s="85" t="s">
        <v>40</v>
      </c>
      <c r="R571" s="16">
        <f t="shared" si="158"/>
        <v>0</v>
      </c>
      <c r="S571" s="16">
        <f t="shared" si="159"/>
        <v>0</v>
      </c>
    </row>
    <row r="572" spans="1:19">
      <c r="A572" s="17" t="s">
        <v>382</v>
      </c>
      <c r="B572" s="2" t="s">
        <v>18</v>
      </c>
      <c r="C572" s="3">
        <v>432</v>
      </c>
      <c r="D572" s="4" t="s">
        <v>40</v>
      </c>
      <c r="E572" s="5">
        <v>3</v>
      </c>
      <c r="F572" s="6">
        <v>1</v>
      </c>
      <c r="G572" s="7" t="s">
        <v>20</v>
      </c>
      <c r="H572" s="6">
        <v>144</v>
      </c>
      <c r="I572" s="7" t="s">
        <v>40</v>
      </c>
      <c r="J572" s="8">
        <v>20400</v>
      </c>
      <c r="K572" s="4" t="s">
        <v>40</v>
      </c>
      <c r="L572" s="9">
        <v>0.125</v>
      </c>
      <c r="M572" s="9">
        <v>0.05</v>
      </c>
      <c r="O572" s="7" t="s">
        <v>40</v>
      </c>
      <c r="P572" s="3">
        <f t="shared" si="157"/>
        <v>864</v>
      </c>
      <c r="Q572" s="7" t="s">
        <v>40</v>
      </c>
      <c r="R572" s="8">
        <f t="shared" si="158"/>
        <v>14651280</v>
      </c>
      <c r="S572" s="8">
        <f t="shared" si="159"/>
        <v>13199351.351351351</v>
      </c>
    </row>
    <row r="573" spans="1:19" s="80" customFormat="1">
      <c r="A573" s="79" t="s">
        <v>799</v>
      </c>
      <c r="B573" s="80" t="s">
        <v>18</v>
      </c>
      <c r="C573" s="81"/>
      <c r="D573" s="82" t="s">
        <v>40</v>
      </c>
      <c r="E573" s="83"/>
      <c r="F573" s="84">
        <v>1</v>
      </c>
      <c r="G573" s="85" t="s">
        <v>20</v>
      </c>
      <c r="H573" s="84">
        <v>144</v>
      </c>
      <c r="I573" s="85" t="s">
        <v>40</v>
      </c>
      <c r="J573" s="16">
        <v>17400</v>
      </c>
      <c r="K573" s="82" t="s">
        <v>40</v>
      </c>
      <c r="L573" s="86">
        <v>0.125</v>
      </c>
      <c r="M573" s="86">
        <v>0.1</v>
      </c>
      <c r="N573" s="84"/>
      <c r="O573" s="85" t="s">
        <v>40</v>
      </c>
      <c r="P573" s="81">
        <f t="shared" si="157"/>
        <v>0</v>
      </c>
      <c r="Q573" s="85" t="s">
        <v>40</v>
      </c>
      <c r="R573" s="16">
        <f t="shared" si="158"/>
        <v>0</v>
      </c>
      <c r="S573" s="16">
        <f t="shared" si="159"/>
        <v>0</v>
      </c>
    </row>
    <row r="575" spans="1:19" s="80" customFormat="1">
      <c r="A575" s="79" t="s">
        <v>383</v>
      </c>
      <c r="B575" s="80" t="s">
        <v>25</v>
      </c>
      <c r="C575" s="87"/>
      <c r="D575" s="82" t="s">
        <v>40</v>
      </c>
      <c r="E575" s="83"/>
      <c r="F575" s="84">
        <v>1</v>
      </c>
      <c r="G575" s="85" t="s">
        <v>20</v>
      </c>
      <c r="H575" s="84">
        <v>144</v>
      </c>
      <c r="I575" s="85" t="s">
        <v>40</v>
      </c>
      <c r="J575" s="16">
        <v>25200</v>
      </c>
      <c r="K575" s="82" t="s">
        <v>40</v>
      </c>
      <c r="L575" s="86"/>
      <c r="M575" s="86">
        <v>0.17</v>
      </c>
      <c r="N575" s="84"/>
      <c r="O575" s="85" t="s">
        <v>40</v>
      </c>
      <c r="P575" s="81">
        <f t="shared" ref="P575:P603" si="163">(C575+(E575*F575*H575))-N575</f>
        <v>0</v>
      </c>
      <c r="Q575" s="85" t="s">
        <v>40</v>
      </c>
      <c r="R575" s="16">
        <f t="shared" ref="R575:R603" si="164">P575*(J575-(J575*L575)-((J575-(J575*L575))*M575))</f>
        <v>0</v>
      </c>
      <c r="S575" s="16">
        <f t="shared" si="159"/>
        <v>0</v>
      </c>
    </row>
    <row r="576" spans="1:19">
      <c r="A576" s="17" t="s">
        <v>675</v>
      </c>
      <c r="B576" s="2" t="s">
        <v>25</v>
      </c>
      <c r="C576" s="3">
        <v>432</v>
      </c>
      <c r="D576" s="4" t="s">
        <v>40</v>
      </c>
      <c r="E576" s="5">
        <v>2</v>
      </c>
      <c r="F576" s="6">
        <v>1</v>
      </c>
      <c r="G576" s="7" t="s">
        <v>20</v>
      </c>
      <c r="H576" s="6">
        <v>144</v>
      </c>
      <c r="I576" s="7" t="s">
        <v>40</v>
      </c>
      <c r="J576" s="8">
        <f>3758400/144</f>
        <v>26100</v>
      </c>
      <c r="K576" s="4" t="s">
        <v>40</v>
      </c>
      <c r="M576" s="9">
        <v>0.17</v>
      </c>
      <c r="O576" s="7" t="s">
        <v>40</v>
      </c>
      <c r="P576" s="3">
        <f t="shared" si="163"/>
        <v>720</v>
      </c>
      <c r="Q576" s="7" t="s">
        <v>40</v>
      </c>
      <c r="R576" s="8">
        <f t="shared" si="164"/>
        <v>15597360</v>
      </c>
      <c r="S576" s="8">
        <f t="shared" si="159"/>
        <v>14051675.675675675</v>
      </c>
    </row>
    <row r="577" spans="1:19">
      <c r="A577" s="17" t="s">
        <v>384</v>
      </c>
      <c r="B577" s="2" t="s">
        <v>25</v>
      </c>
      <c r="C577" s="3">
        <v>60</v>
      </c>
      <c r="D577" s="4" t="s">
        <v>40</v>
      </c>
      <c r="F577" s="6">
        <v>1</v>
      </c>
      <c r="G577" s="7" t="s">
        <v>20</v>
      </c>
      <c r="H577" s="6">
        <v>144</v>
      </c>
      <c r="I577" s="7" t="s">
        <v>40</v>
      </c>
      <c r="J577" s="8">
        <f>3715200/144</f>
        <v>25800</v>
      </c>
      <c r="K577" s="4" t="s">
        <v>40</v>
      </c>
      <c r="M577" s="9">
        <v>0.17</v>
      </c>
      <c r="O577" s="7" t="s">
        <v>40</v>
      </c>
      <c r="P577" s="3">
        <f t="shared" si="163"/>
        <v>60</v>
      </c>
      <c r="Q577" s="7" t="s">
        <v>40</v>
      </c>
      <c r="R577" s="8">
        <f t="shared" si="164"/>
        <v>1284840</v>
      </c>
      <c r="S577" s="8">
        <f t="shared" si="159"/>
        <v>1157513.5135135134</v>
      </c>
    </row>
    <row r="578" spans="1:19" s="80" customFormat="1">
      <c r="A578" s="79" t="s">
        <v>395</v>
      </c>
      <c r="B578" s="80" t="s">
        <v>25</v>
      </c>
      <c r="C578" s="87"/>
      <c r="D578" s="82" t="s">
        <v>40</v>
      </c>
      <c r="E578" s="83"/>
      <c r="F578" s="84">
        <v>1</v>
      </c>
      <c r="G578" s="85" t="s">
        <v>20</v>
      </c>
      <c r="H578" s="84">
        <v>144</v>
      </c>
      <c r="I578" s="85" t="s">
        <v>40</v>
      </c>
      <c r="J578" s="16">
        <v>25800</v>
      </c>
      <c r="K578" s="82" t="s">
        <v>40</v>
      </c>
      <c r="L578" s="86"/>
      <c r="M578" s="86">
        <v>0.17</v>
      </c>
      <c r="N578" s="84"/>
      <c r="O578" s="85" t="s">
        <v>40</v>
      </c>
      <c r="P578" s="81">
        <f t="shared" si="163"/>
        <v>0</v>
      </c>
      <c r="Q578" s="85" t="s">
        <v>40</v>
      </c>
      <c r="R578" s="16">
        <f t="shared" si="164"/>
        <v>0</v>
      </c>
      <c r="S578" s="16">
        <f>R578/1.11</f>
        <v>0</v>
      </c>
    </row>
    <row r="579" spans="1:19">
      <c r="A579" s="49" t="s">
        <v>779</v>
      </c>
      <c r="B579" s="2" t="s">
        <v>25</v>
      </c>
      <c r="C579" s="3">
        <v>288</v>
      </c>
      <c r="D579" s="4" t="s">
        <v>40</v>
      </c>
      <c r="F579" s="6">
        <v>1</v>
      </c>
      <c r="G579" s="7" t="s">
        <v>20</v>
      </c>
      <c r="H579" s="6">
        <v>144</v>
      </c>
      <c r="I579" s="7" t="s">
        <v>40</v>
      </c>
      <c r="J579" s="8">
        <f>3628800/144</f>
        <v>25200</v>
      </c>
      <c r="K579" s="4" t="s">
        <v>40</v>
      </c>
      <c r="M579" s="9">
        <v>0.17</v>
      </c>
      <c r="O579" s="7" t="s">
        <v>40</v>
      </c>
      <c r="P579" s="3">
        <f t="shared" si="163"/>
        <v>288</v>
      </c>
      <c r="Q579" s="7" t="s">
        <v>40</v>
      </c>
      <c r="R579" s="8">
        <f t="shared" si="164"/>
        <v>6023808</v>
      </c>
      <c r="S579" s="8">
        <f t="shared" ref="S579" si="165">R579/1.11</f>
        <v>5426854.0540540535</v>
      </c>
    </row>
    <row r="580" spans="1:19">
      <c r="A580" s="49" t="s">
        <v>385</v>
      </c>
      <c r="B580" s="2" t="s">
        <v>25</v>
      </c>
      <c r="C580" s="3">
        <f>21408/12</f>
        <v>1784</v>
      </c>
      <c r="D580" s="4" t="s">
        <v>40</v>
      </c>
      <c r="E580" s="5">
        <v>20</v>
      </c>
      <c r="F580" s="6">
        <v>1</v>
      </c>
      <c r="G580" s="7" t="s">
        <v>20</v>
      </c>
      <c r="H580" s="6">
        <v>144</v>
      </c>
      <c r="I580" s="7" t="s">
        <v>40</v>
      </c>
      <c r="J580" s="8">
        <f>3758400/144</f>
        <v>26100</v>
      </c>
      <c r="K580" s="4" t="s">
        <v>40</v>
      </c>
      <c r="M580" s="9">
        <v>0.17</v>
      </c>
      <c r="O580" s="7" t="s">
        <v>40</v>
      </c>
      <c r="P580" s="3">
        <f t="shared" si="163"/>
        <v>4664</v>
      </c>
      <c r="Q580" s="7" t="s">
        <v>40</v>
      </c>
      <c r="R580" s="8">
        <f t="shared" si="164"/>
        <v>101036232</v>
      </c>
      <c r="S580" s="8">
        <f t="shared" si="159"/>
        <v>91023632.432432428</v>
      </c>
    </row>
    <row r="581" spans="1:19" s="80" customFormat="1">
      <c r="A581" s="145" t="s">
        <v>386</v>
      </c>
      <c r="B581" s="80" t="s">
        <v>25</v>
      </c>
      <c r="C581" s="87"/>
      <c r="D581" s="82" t="s">
        <v>40</v>
      </c>
      <c r="E581" s="83"/>
      <c r="F581" s="84">
        <v>1</v>
      </c>
      <c r="G581" s="85" t="s">
        <v>20</v>
      </c>
      <c r="H581" s="84">
        <v>144</v>
      </c>
      <c r="I581" s="85" t="s">
        <v>40</v>
      </c>
      <c r="J581" s="16">
        <f>3628800/144</f>
        <v>25200</v>
      </c>
      <c r="K581" s="82" t="s">
        <v>40</v>
      </c>
      <c r="L581" s="86"/>
      <c r="M581" s="86">
        <v>0.17</v>
      </c>
      <c r="N581" s="84"/>
      <c r="O581" s="85" t="s">
        <v>40</v>
      </c>
      <c r="P581" s="81">
        <f t="shared" si="163"/>
        <v>0</v>
      </c>
      <c r="Q581" s="85" t="s">
        <v>40</v>
      </c>
      <c r="R581" s="16">
        <f t="shared" si="164"/>
        <v>0</v>
      </c>
      <c r="S581" s="16">
        <f t="shared" si="159"/>
        <v>0</v>
      </c>
    </row>
    <row r="582" spans="1:19" s="80" customFormat="1">
      <c r="A582" s="145" t="s">
        <v>387</v>
      </c>
      <c r="B582" s="80" t="s">
        <v>25</v>
      </c>
      <c r="C582" s="87"/>
      <c r="D582" s="82" t="s">
        <v>40</v>
      </c>
      <c r="E582" s="83"/>
      <c r="F582" s="84">
        <v>1</v>
      </c>
      <c r="G582" s="85" t="s">
        <v>20</v>
      </c>
      <c r="H582" s="84">
        <v>144</v>
      </c>
      <c r="I582" s="85" t="s">
        <v>40</v>
      </c>
      <c r="J582" s="16">
        <f>3628800/144</f>
        <v>25200</v>
      </c>
      <c r="K582" s="82" t="s">
        <v>40</v>
      </c>
      <c r="L582" s="86"/>
      <c r="M582" s="86">
        <v>0.17</v>
      </c>
      <c r="N582" s="84"/>
      <c r="O582" s="85" t="s">
        <v>40</v>
      </c>
      <c r="P582" s="81">
        <f t="shared" si="163"/>
        <v>0</v>
      </c>
      <c r="Q582" s="85" t="s">
        <v>40</v>
      </c>
      <c r="R582" s="16">
        <f t="shared" si="164"/>
        <v>0</v>
      </c>
      <c r="S582" s="16">
        <f t="shared" si="159"/>
        <v>0</v>
      </c>
    </row>
    <row r="583" spans="1:19" s="89" customFormat="1">
      <c r="A583" s="88" t="s">
        <v>874</v>
      </c>
      <c r="B583" s="89" t="s">
        <v>25</v>
      </c>
      <c r="C583" s="151"/>
      <c r="D583" s="90" t="s">
        <v>40</v>
      </c>
      <c r="E583" s="91"/>
      <c r="F583" s="92">
        <v>1</v>
      </c>
      <c r="G583" s="93" t="s">
        <v>20</v>
      </c>
      <c r="H583" s="92">
        <v>144</v>
      </c>
      <c r="I583" s="93" t="s">
        <v>40</v>
      </c>
      <c r="J583" s="94">
        <f>5875200/144</f>
        <v>40800</v>
      </c>
      <c r="K583" s="90" t="s">
        <v>40</v>
      </c>
      <c r="L583" s="95"/>
      <c r="M583" s="95">
        <v>0.17</v>
      </c>
      <c r="N583" s="92"/>
      <c r="O583" s="93" t="s">
        <v>40</v>
      </c>
      <c r="P583" s="87">
        <f t="shared" si="163"/>
        <v>0</v>
      </c>
      <c r="Q583" s="93" t="s">
        <v>40</v>
      </c>
      <c r="R583" s="94">
        <f t="shared" si="164"/>
        <v>0</v>
      </c>
      <c r="S583" s="94">
        <f t="shared" si="159"/>
        <v>0</v>
      </c>
    </row>
    <row r="584" spans="1:19" s="19" customFormat="1">
      <c r="A584" s="18" t="s">
        <v>388</v>
      </c>
      <c r="B584" s="19" t="s">
        <v>25</v>
      </c>
      <c r="C584" s="20"/>
      <c r="D584" s="21" t="s">
        <v>40</v>
      </c>
      <c r="E584" s="26">
        <v>123</v>
      </c>
      <c r="F584" s="22">
        <v>1</v>
      </c>
      <c r="G584" s="23" t="s">
        <v>20</v>
      </c>
      <c r="H584" s="22">
        <v>144</v>
      </c>
      <c r="I584" s="23" t="s">
        <v>40</v>
      </c>
      <c r="J584" s="24">
        <f>5616000/144</f>
        <v>39000</v>
      </c>
      <c r="K584" s="21" t="s">
        <v>40</v>
      </c>
      <c r="L584" s="25">
        <v>2.5000000000000001E-2</v>
      </c>
      <c r="M584" s="25">
        <v>0.17</v>
      </c>
      <c r="N584" s="22"/>
      <c r="O584" s="23" t="s">
        <v>40</v>
      </c>
      <c r="P584" s="20">
        <f t="shared" ref="P584" si="166">(C584+(E584*F584*H584))-N584</f>
        <v>17712</v>
      </c>
      <c r="Q584" s="23" t="s">
        <v>40</v>
      </c>
      <c r="R584" s="24">
        <f t="shared" ref="R584" si="167">P584*(J584-(J584*L584)-((J584-(J584*L584))*M584))</f>
        <v>559004004</v>
      </c>
      <c r="S584" s="24">
        <f t="shared" ref="S584" si="168">R584/1.11</f>
        <v>503607210.81081074</v>
      </c>
    </row>
    <row r="585" spans="1:19" s="19" customFormat="1">
      <c r="A585" s="164" t="s">
        <v>388</v>
      </c>
      <c r="B585" s="19" t="s">
        <v>25</v>
      </c>
      <c r="C585" s="20">
        <v>1965</v>
      </c>
      <c r="D585" s="21" t="s">
        <v>40</v>
      </c>
      <c r="E585" s="26">
        <v>22</v>
      </c>
      <c r="F585" s="22">
        <v>1</v>
      </c>
      <c r="G585" s="23" t="s">
        <v>20</v>
      </c>
      <c r="H585" s="22">
        <v>144</v>
      </c>
      <c r="I585" s="23" t="s">
        <v>40</v>
      </c>
      <c r="J585" s="24">
        <f>5616000/144</f>
        <v>39000</v>
      </c>
      <c r="K585" s="21" t="s">
        <v>40</v>
      </c>
      <c r="L585" s="25"/>
      <c r="M585" s="25">
        <v>0.17</v>
      </c>
      <c r="N585" s="22"/>
      <c r="O585" s="23" t="s">
        <v>40</v>
      </c>
      <c r="P585" s="20">
        <f t="shared" si="163"/>
        <v>5133</v>
      </c>
      <c r="Q585" s="23" t="s">
        <v>40</v>
      </c>
      <c r="R585" s="24">
        <f t="shared" si="164"/>
        <v>166155210</v>
      </c>
      <c r="S585" s="24">
        <f t="shared" si="159"/>
        <v>149689378.37837836</v>
      </c>
    </row>
    <row r="586" spans="1:19" s="80" customFormat="1">
      <c r="A586" s="165" t="s">
        <v>389</v>
      </c>
      <c r="B586" s="80" t="s">
        <v>25</v>
      </c>
      <c r="C586" s="87"/>
      <c r="D586" s="82" t="s">
        <v>40</v>
      </c>
      <c r="E586" s="83">
        <v>58</v>
      </c>
      <c r="F586" s="84">
        <v>1</v>
      </c>
      <c r="G586" s="85" t="s">
        <v>20</v>
      </c>
      <c r="H586" s="84">
        <v>144</v>
      </c>
      <c r="I586" s="85" t="s">
        <v>40</v>
      </c>
      <c r="J586" s="16">
        <v>39000</v>
      </c>
      <c r="K586" s="82" t="s">
        <v>40</v>
      </c>
      <c r="L586" s="86">
        <v>2.5000000000000001E-2</v>
      </c>
      <c r="M586" s="86">
        <v>0.17</v>
      </c>
      <c r="N586" s="84"/>
      <c r="O586" s="85" t="s">
        <v>40</v>
      </c>
      <c r="P586" s="81">
        <f t="shared" ref="P586" si="169">(C586+(E586*F586*H586))-N586</f>
        <v>8352</v>
      </c>
      <c r="Q586" s="85" t="s">
        <v>40</v>
      </c>
      <c r="R586" s="16">
        <f t="shared" ref="R586" si="170">P586*(J586-(J586*L586)-((J586-(J586*L586))*M586))</f>
        <v>263595384</v>
      </c>
      <c r="S586" s="16">
        <f t="shared" ref="S586" si="171">R586/1.11</f>
        <v>237473318.91891891</v>
      </c>
    </row>
    <row r="587" spans="1:19" s="80" customFormat="1">
      <c r="A587" s="79" t="s">
        <v>389</v>
      </c>
      <c r="B587" s="80" t="s">
        <v>25</v>
      </c>
      <c r="C587" s="87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16">
        <f>5356800/144</f>
        <v>37200</v>
      </c>
      <c r="K587" s="82" t="s">
        <v>40</v>
      </c>
      <c r="L587" s="86"/>
      <c r="M587" s="86">
        <v>0.17</v>
      </c>
      <c r="N587" s="84"/>
      <c r="O587" s="85" t="s">
        <v>40</v>
      </c>
      <c r="P587" s="81">
        <f t="shared" si="163"/>
        <v>0</v>
      </c>
      <c r="Q587" s="85" t="s">
        <v>40</v>
      </c>
      <c r="R587" s="16">
        <f t="shared" si="164"/>
        <v>0</v>
      </c>
      <c r="S587" s="16">
        <f t="shared" si="159"/>
        <v>0</v>
      </c>
    </row>
    <row r="588" spans="1:19" s="80" customFormat="1">
      <c r="A588" s="165" t="s">
        <v>877</v>
      </c>
      <c r="B588" s="80" t="s">
        <v>25</v>
      </c>
      <c r="C588" s="87"/>
      <c r="D588" s="82" t="s">
        <v>40</v>
      </c>
      <c r="E588" s="83">
        <v>1</v>
      </c>
      <c r="F588" s="84">
        <v>1</v>
      </c>
      <c r="G588" s="85" t="s">
        <v>20</v>
      </c>
      <c r="H588" s="84">
        <v>144</v>
      </c>
      <c r="I588" s="85" t="s">
        <v>40</v>
      </c>
      <c r="J588" s="16">
        <v>39000</v>
      </c>
      <c r="K588" s="82" t="s">
        <v>40</v>
      </c>
      <c r="L588" s="86"/>
      <c r="M588" s="86">
        <v>0.17</v>
      </c>
      <c r="N588" s="84"/>
      <c r="O588" s="85" t="s">
        <v>40</v>
      </c>
      <c r="P588" s="81">
        <f t="shared" si="163"/>
        <v>144</v>
      </c>
      <c r="Q588" s="85" t="s">
        <v>40</v>
      </c>
      <c r="R588" s="24">
        <f t="shared" ref="R588" si="172">P588*(J588-(J588*L588)-((J588-(J588*L588))*M588))</f>
        <v>4661280</v>
      </c>
      <c r="S588" s="24">
        <f t="shared" ref="S588" si="173">R588/1.11</f>
        <v>4199351.3513513505</v>
      </c>
    </row>
    <row r="589" spans="1:19" s="19" customFormat="1">
      <c r="A589" s="18" t="s">
        <v>390</v>
      </c>
      <c r="B589" s="19" t="s">
        <v>25</v>
      </c>
      <c r="C589" s="20">
        <v>537</v>
      </c>
      <c r="D589" s="21" t="s">
        <v>40</v>
      </c>
      <c r="E589" s="26"/>
      <c r="F589" s="22">
        <v>1</v>
      </c>
      <c r="G589" s="23" t="s">
        <v>20</v>
      </c>
      <c r="H589" s="22">
        <v>144</v>
      </c>
      <c r="I589" s="23" t="s">
        <v>40</v>
      </c>
      <c r="J589" s="24">
        <f>5356800/144</f>
        <v>37200</v>
      </c>
      <c r="K589" s="21" t="s">
        <v>40</v>
      </c>
      <c r="L589" s="25"/>
      <c r="M589" s="25">
        <v>0.17</v>
      </c>
      <c r="N589" s="22"/>
      <c r="O589" s="23" t="s">
        <v>40</v>
      </c>
      <c r="P589" s="20">
        <f t="shared" si="163"/>
        <v>537</v>
      </c>
      <c r="Q589" s="23" t="s">
        <v>40</v>
      </c>
      <c r="R589" s="24">
        <f t="shared" si="164"/>
        <v>16580412</v>
      </c>
      <c r="S589" s="24">
        <f t="shared" si="159"/>
        <v>14937308.108108107</v>
      </c>
    </row>
    <row r="590" spans="1:19" s="19" customFormat="1">
      <c r="A590" s="18" t="s">
        <v>747</v>
      </c>
      <c r="B590" s="19" t="s">
        <v>25</v>
      </c>
      <c r="C590" s="20">
        <v>566</v>
      </c>
      <c r="D590" s="21" t="s">
        <v>40</v>
      </c>
      <c r="E590" s="26"/>
      <c r="F590" s="22">
        <v>1</v>
      </c>
      <c r="G590" s="23" t="s">
        <v>20</v>
      </c>
      <c r="H590" s="22">
        <v>144</v>
      </c>
      <c r="I590" s="23" t="s">
        <v>40</v>
      </c>
      <c r="J590" s="24">
        <f>5702400/144</f>
        <v>39600</v>
      </c>
      <c r="K590" s="21" t="s">
        <v>40</v>
      </c>
      <c r="L590" s="25"/>
      <c r="M590" s="25">
        <v>0.17</v>
      </c>
      <c r="N590" s="22"/>
      <c r="O590" s="23" t="s">
        <v>40</v>
      </c>
      <c r="P590" s="20">
        <f t="shared" si="163"/>
        <v>566</v>
      </c>
      <c r="Q590" s="23" t="s">
        <v>40</v>
      </c>
      <c r="R590" s="24">
        <f t="shared" si="164"/>
        <v>18603288</v>
      </c>
      <c r="S590" s="24">
        <f t="shared" si="159"/>
        <v>16759718.918918917</v>
      </c>
    </row>
    <row r="591" spans="1:19" s="19" customFormat="1">
      <c r="A591" s="18" t="s">
        <v>748</v>
      </c>
      <c r="B591" s="19" t="s">
        <v>25</v>
      </c>
      <c r="C591" s="57"/>
      <c r="D591" s="21" t="s">
        <v>40</v>
      </c>
      <c r="E591" s="26">
        <v>1</v>
      </c>
      <c r="F591" s="22">
        <v>1</v>
      </c>
      <c r="G591" s="23" t="s">
        <v>20</v>
      </c>
      <c r="H591" s="22">
        <v>144</v>
      </c>
      <c r="I591" s="23" t="s">
        <v>40</v>
      </c>
      <c r="J591" s="24">
        <f>5702400/144</f>
        <v>39600</v>
      </c>
      <c r="K591" s="21" t="s">
        <v>40</v>
      </c>
      <c r="L591" s="25"/>
      <c r="M591" s="25">
        <v>0.17</v>
      </c>
      <c r="N591" s="22"/>
      <c r="O591" s="23" t="s">
        <v>40</v>
      </c>
      <c r="P591" s="20">
        <f t="shared" si="163"/>
        <v>144</v>
      </c>
      <c r="Q591" s="23" t="s">
        <v>40</v>
      </c>
      <c r="R591" s="24">
        <f t="shared" si="164"/>
        <v>4732992</v>
      </c>
      <c r="S591" s="24">
        <f t="shared" si="159"/>
        <v>4263956.7567567565</v>
      </c>
    </row>
    <row r="592" spans="1:19" s="19" customFormat="1">
      <c r="A592" s="18" t="s">
        <v>391</v>
      </c>
      <c r="B592" s="19" t="s">
        <v>25</v>
      </c>
      <c r="C592" s="20">
        <v>318</v>
      </c>
      <c r="D592" s="21" t="s">
        <v>40</v>
      </c>
      <c r="E592" s="26">
        <v>7</v>
      </c>
      <c r="F592" s="22">
        <v>1</v>
      </c>
      <c r="G592" s="23" t="s">
        <v>20</v>
      </c>
      <c r="H592" s="22">
        <v>144</v>
      </c>
      <c r="I592" s="23" t="s">
        <v>40</v>
      </c>
      <c r="J592" s="24">
        <f>5702400/144</f>
        <v>39600</v>
      </c>
      <c r="K592" s="21" t="s">
        <v>40</v>
      </c>
      <c r="L592" s="25"/>
      <c r="M592" s="25">
        <v>0.17</v>
      </c>
      <c r="N592" s="22"/>
      <c r="O592" s="23" t="s">
        <v>40</v>
      </c>
      <c r="P592" s="20">
        <f t="shared" si="163"/>
        <v>1326</v>
      </c>
      <c r="Q592" s="23" t="s">
        <v>40</v>
      </c>
      <c r="R592" s="24">
        <f t="shared" si="164"/>
        <v>43582968</v>
      </c>
      <c r="S592" s="24">
        <f t="shared" si="159"/>
        <v>39263935.135135129</v>
      </c>
    </row>
    <row r="593" spans="1:19">
      <c r="A593" s="17" t="s">
        <v>392</v>
      </c>
      <c r="B593" s="2" t="s">
        <v>25</v>
      </c>
      <c r="C593" s="3">
        <v>738</v>
      </c>
      <c r="D593" s="4" t="s">
        <v>40</v>
      </c>
      <c r="E593" s="5">
        <v>3</v>
      </c>
      <c r="F593" s="6">
        <v>1</v>
      </c>
      <c r="G593" s="7" t="s">
        <v>20</v>
      </c>
      <c r="H593" s="6">
        <v>144</v>
      </c>
      <c r="I593" s="7" t="s">
        <v>40</v>
      </c>
      <c r="J593" s="8">
        <f>2764800/144</f>
        <v>19200</v>
      </c>
      <c r="K593" s="4" t="s">
        <v>40</v>
      </c>
      <c r="M593" s="9">
        <v>0.17</v>
      </c>
      <c r="O593" s="7" t="s">
        <v>40</v>
      </c>
      <c r="P593" s="3">
        <f t="shared" si="163"/>
        <v>1170</v>
      </c>
      <c r="Q593" s="7" t="s">
        <v>40</v>
      </c>
      <c r="R593" s="8">
        <f t="shared" si="164"/>
        <v>18645120</v>
      </c>
      <c r="S593" s="8">
        <f t="shared" si="159"/>
        <v>16797405.405405402</v>
      </c>
    </row>
    <row r="594" spans="1:19" s="80" customFormat="1">
      <c r="A594" s="79" t="s">
        <v>393</v>
      </c>
      <c r="B594" s="80" t="s">
        <v>25</v>
      </c>
      <c r="C594" s="81"/>
      <c r="D594" s="82" t="s">
        <v>40</v>
      </c>
      <c r="E594" s="83"/>
      <c r="F594" s="84">
        <v>1</v>
      </c>
      <c r="G594" s="85" t="s">
        <v>20</v>
      </c>
      <c r="H594" s="84">
        <v>144</v>
      </c>
      <c r="I594" s="85" t="s">
        <v>40</v>
      </c>
      <c r="J594" s="16">
        <f>2764800/144</f>
        <v>19200</v>
      </c>
      <c r="K594" s="82" t="s">
        <v>40</v>
      </c>
      <c r="L594" s="86"/>
      <c r="M594" s="86">
        <v>0.17</v>
      </c>
      <c r="N594" s="84"/>
      <c r="O594" s="85" t="s">
        <v>40</v>
      </c>
      <c r="P594" s="81">
        <f t="shared" si="163"/>
        <v>0</v>
      </c>
      <c r="Q594" s="85" t="s">
        <v>40</v>
      </c>
      <c r="R594" s="16">
        <f t="shared" si="164"/>
        <v>0</v>
      </c>
      <c r="S594" s="16">
        <f t="shared" si="159"/>
        <v>0</v>
      </c>
    </row>
    <row r="595" spans="1:19" s="80" customFormat="1">
      <c r="A595" s="79" t="s">
        <v>394</v>
      </c>
      <c r="B595" s="80" t="s">
        <v>25</v>
      </c>
      <c r="C595" s="81"/>
      <c r="D595" s="82" t="s">
        <v>40</v>
      </c>
      <c r="E595" s="83"/>
      <c r="F595" s="84">
        <v>1</v>
      </c>
      <c r="G595" s="85" t="s">
        <v>20</v>
      </c>
      <c r="H595" s="84">
        <v>144</v>
      </c>
      <c r="I595" s="85" t="s">
        <v>40</v>
      </c>
      <c r="J595" s="16">
        <v>23400</v>
      </c>
      <c r="K595" s="82" t="s">
        <v>40</v>
      </c>
      <c r="L595" s="86"/>
      <c r="M595" s="86">
        <v>0.17</v>
      </c>
      <c r="N595" s="84"/>
      <c r="O595" s="85" t="s">
        <v>40</v>
      </c>
      <c r="P595" s="81">
        <f t="shared" si="163"/>
        <v>0</v>
      </c>
      <c r="Q595" s="85" t="s">
        <v>40</v>
      </c>
      <c r="R595" s="16">
        <f t="shared" si="164"/>
        <v>0</v>
      </c>
      <c r="S595" s="16">
        <f t="shared" si="159"/>
        <v>0</v>
      </c>
    </row>
    <row r="596" spans="1:19" s="19" customFormat="1">
      <c r="A596" s="18" t="s">
        <v>396</v>
      </c>
      <c r="B596" s="19" t="s">
        <v>25</v>
      </c>
      <c r="C596" s="20">
        <v>423</v>
      </c>
      <c r="D596" s="21" t="s">
        <v>40</v>
      </c>
      <c r="E596" s="26">
        <v>1</v>
      </c>
      <c r="F596" s="22">
        <v>1</v>
      </c>
      <c r="G596" s="23" t="s">
        <v>20</v>
      </c>
      <c r="H596" s="22">
        <v>144</v>
      </c>
      <c r="I596" s="23" t="s">
        <v>40</v>
      </c>
      <c r="J596" s="24">
        <f>3542400/144</f>
        <v>24600</v>
      </c>
      <c r="K596" s="21" t="s">
        <v>40</v>
      </c>
      <c r="L596" s="25"/>
      <c r="M596" s="25">
        <v>0.17</v>
      </c>
      <c r="N596" s="22"/>
      <c r="O596" s="23" t="s">
        <v>40</v>
      </c>
      <c r="P596" s="20">
        <f t="shared" si="163"/>
        <v>567</v>
      </c>
      <c r="Q596" s="23" t="s">
        <v>40</v>
      </c>
      <c r="R596" s="24">
        <f t="shared" si="164"/>
        <v>11577006</v>
      </c>
      <c r="S596" s="24">
        <f t="shared" si="159"/>
        <v>10429735.135135135</v>
      </c>
    </row>
    <row r="597" spans="1:19" s="19" customFormat="1">
      <c r="A597" s="18" t="s">
        <v>397</v>
      </c>
      <c r="B597" s="19" t="s">
        <v>25</v>
      </c>
      <c r="C597" s="20">
        <v>2721</v>
      </c>
      <c r="D597" s="21" t="s">
        <v>40</v>
      </c>
      <c r="E597" s="26">
        <v>24</v>
      </c>
      <c r="F597" s="22">
        <v>1</v>
      </c>
      <c r="G597" s="23" t="s">
        <v>20</v>
      </c>
      <c r="H597" s="22">
        <v>144</v>
      </c>
      <c r="I597" s="23" t="s">
        <v>40</v>
      </c>
      <c r="J597" s="24">
        <f>3110400/144</f>
        <v>21600</v>
      </c>
      <c r="K597" s="21" t="s">
        <v>40</v>
      </c>
      <c r="L597" s="25"/>
      <c r="M597" s="25">
        <v>0.17</v>
      </c>
      <c r="N597" s="22"/>
      <c r="O597" s="23" t="s">
        <v>40</v>
      </c>
      <c r="P597" s="20">
        <f t="shared" si="163"/>
        <v>6177</v>
      </c>
      <c r="Q597" s="23" t="s">
        <v>40</v>
      </c>
      <c r="R597" s="24">
        <f t="shared" si="164"/>
        <v>110741256</v>
      </c>
      <c r="S597" s="24">
        <f t="shared" si="159"/>
        <v>99766897.297297284</v>
      </c>
    </row>
    <row r="598" spans="1:19" s="19" customFormat="1">
      <c r="A598" s="18" t="s">
        <v>781</v>
      </c>
      <c r="B598" s="19" t="s">
        <v>25</v>
      </c>
      <c r="C598" s="20"/>
      <c r="D598" s="21" t="s">
        <v>40</v>
      </c>
      <c r="E598" s="26">
        <v>4</v>
      </c>
      <c r="F598" s="22">
        <v>1</v>
      </c>
      <c r="G598" s="23" t="s">
        <v>20</v>
      </c>
      <c r="H598" s="22">
        <v>144</v>
      </c>
      <c r="I598" s="23" t="s">
        <v>40</v>
      </c>
      <c r="J598" s="24">
        <f>3456000/144</f>
        <v>24000</v>
      </c>
      <c r="K598" s="21" t="s">
        <v>40</v>
      </c>
      <c r="L598" s="25"/>
      <c r="M598" s="25">
        <v>0.17</v>
      </c>
      <c r="N598" s="22"/>
      <c r="O598" s="23" t="s">
        <v>40</v>
      </c>
      <c r="P598" s="20">
        <f t="shared" si="163"/>
        <v>576</v>
      </c>
      <c r="Q598" s="23" t="s">
        <v>40</v>
      </c>
      <c r="R598" s="24">
        <f t="shared" si="164"/>
        <v>11473920</v>
      </c>
      <c r="S598" s="24">
        <f t="shared" si="159"/>
        <v>10336864.864864863</v>
      </c>
    </row>
    <row r="599" spans="1:19" s="19" customFormat="1">
      <c r="A599" s="18" t="s">
        <v>398</v>
      </c>
      <c r="B599" s="19" t="s">
        <v>25</v>
      </c>
      <c r="C599" s="20">
        <v>576</v>
      </c>
      <c r="D599" s="21" t="s">
        <v>40</v>
      </c>
      <c r="E599" s="26">
        <v>3</v>
      </c>
      <c r="F599" s="22">
        <v>1</v>
      </c>
      <c r="G599" s="23" t="s">
        <v>20</v>
      </c>
      <c r="H599" s="22">
        <v>144</v>
      </c>
      <c r="I599" s="23" t="s">
        <v>40</v>
      </c>
      <c r="J599" s="24">
        <f>3758400/144</f>
        <v>26100</v>
      </c>
      <c r="K599" s="21" t="s">
        <v>40</v>
      </c>
      <c r="L599" s="25"/>
      <c r="M599" s="25">
        <v>0.17</v>
      </c>
      <c r="N599" s="22"/>
      <c r="O599" s="23" t="s">
        <v>40</v>
      </c>
      <c r="P599" s="20">
        <f t="shared" si="163"/>
        <v>1008</v>
      </c>
      <c r="Q599" s="23" t="s">
        <v>40</v>
      </c>
      <c r="R599" s="24">
        <f t="shared" si="164"/>
        <v>21836304</v>
      </c>
      <c r="S599" s="24">
        <f t="shared" si="159"/>
        <v>19672345.945945945</v>
      </c>
    </row>
    <row r="600" spans="1:19" s="19" customFormat="1">
      <c r="A600" s="18" t="s">
        <v>710</v>
      </c>
      <c r="B600" s="19" t="s">
        <v>25</v>
      </c>
      <c r="C600" s="20">
        <v>27</v>
      </c>
      <c r="D600" s="21" t="s">
        <v>40</v>
      </c>
      <c r="E600" s="26"/>
      <c r="F600" s="22">
        <v>1</v>
      </c>
      <c r="G600" s="23" t="s">
        <v>20</v>
      </c>
      <c r="H600" s="22">
        <v>144</v>
      </c>
      <c r="I600" s="23" t="s">
        <v>40</v>
      </c>
      <c r="J600" s="24">
        <f>5616000/144</f>
        <v>39000</v>
      </c>
      <c r="K600" s="21" t="s">
        <v>40</v>
      </c>
      <c r="L600" s="25"/>
      <c r="M600" s="25">
        <v>0.17</v>
      </c>
      <c r="N600" s="22"/>
      <c r="O600" s="23" t="s">
        <v>40</v>
      </c>
      <c r="P600" s="20">
        <f t="shared" si="163"/>
        <v>27</v>
      </c>
      <c r="Q600" s="23" t="s">
        <v>40</v>
      </c>
      <c r="R600" s="24">
        <f t="shared" si="164"/>
        <v>873990</v>
      </c>
      <c r="S600" s="24">
        <f t="shared" si="159"/>
        <v>787378.37837837834</v>
      </c>
    </row>
    <row r="601" spans="1:19" s="19" customFormat="1">
      <c r="A601" s="18" t="s">
        <v>399</v>
      </c>
      <c r="B601" s="19" t="s">
        <v>25</v>
      </c>
      <c r="C601" s="20"/>
      <c r="D601" s="21" t="s">
        <v>40</v>
      </c>
      <c r="E601" s="26">
        <v>2</v>
      </c>
      <c r="F601" s="22">
        <v>1</v>
      </c>
      <c r="G601" s="23" t="s">
        <v>20</v>
      </c>
      <c r="H601" s="22">
        <v>144</v>
      </c>
      <c r="I601" s="23" t="s">
        <v>40</v>
      </c>
      <c r="J601" s="24">
        <f>5270400/144</f>
        <v>36600</v>
      </c>
      <c r="K601" s="21" t="s">
        <v>40</v>
      </c>
      <c r="L601" s="25"/>
      <c r="M601" s="25">
        <v>0.17</v>
      </c>
      <c r="N601" s="22"/>
      <c r="O601" s="23" t="s">
        <v>40</v>
      </c>
      <c r="P601" s="20">
        <f t="shared" si="163"/>
        <v>288</v>
      </c>
      <c r="Q601" s="23" t="s">
        <v>40</v>
      </c>
      <c r="R601" s="24">
        <f t="shared" si="164"/>
        <v>8748864</v>
      </c>
      <c r="S601" s="24">
        <f t="shared" si="159"/>
        <v>7881859.4594594585</v>
      </c>
    </row>
    <row r="602" spans="1:19" s="89" customFormat="1">
      <c r="A602" s="88" t="s">
        <v>400</v>
      </c>
      <c r="B602" s="89" t="s">
        <v>25</v>
      </c>
      <c r="C602" s="87"/>
      <c r="D602" s="90" t="s">
        <v>40</v>
      </c>
      <c r="E602" s="91"/>
      <c r="F602" s="92">
        <v>1</v>
      </c>
      <c r="G602" s="93" t="s">
        <v>20</v>
      </c>
      <c r="H602" s="92">
        <v>144</v>
      </c>
      <c r="I602" s="93" t="s">
        <v>40</v>
      </c>
      <c r="J602" s="94">
        <f>5616000/144</f>
        <v>39000</v>
      </c>
      <c r="K602" s="90" t="s">
        <v>40</v>
      </c>
      <c r="L602" s="95"/>
      <c r="M602" s="95">
        <v>0.17</v>
      </c>
      <c r="N602" s="92"/>
      <c r="O602" s="93" t="s">
        <v>40</v>
      </c>
      <c r="P602" s="87">
        <f t="shared" si="163"/>
        <v>0</v>
      </c>
      <c r="Q602" s="93" t="s">
        <v>40</v>
      </c>
      <c r="R602" s="94">
        <f t="shared" si="164"/>
        <v>0</v>
      </c>
      <c r="S602" s="94">
        <f t="shared" si="159"/>
        <v>0</v>
      </c>
    </row>
    <row r="603" spans="1:19">
      <c r="A603" s="17" t="s">
        <v>401</v>
      </c>
      <c r="B603" s="2" t="s">
        <v>25</v>
      </c>
      <c r="D603" s="4" t="s">
        <v>40</v>
      </c>
      <c r="E603" s="5">
        <v>2</v>
      </c>
      <c r="F603" s="6">
        <v>1</v>
      </c>
      <c r="G603" s="7" t="s">
        <v>20</v>
      </c>
      <c r="H603" s="6">
        <v>144</v>
      </c>
      <c r="I603" s="7" t="s">
        <v>40</v>
      </c>
      <c r="J603" s="8">
        <f>5616000/144</f>
        <v>39000</v>
      </c>
      <c r="K603" s="4" t="s">
        <v>40</v>
      </c>
      <c r="M603" s="9">
        <v>0.17</v>
      </c>
      <c r="O603" s="7" t="s">
        <v>40</v>
      </c>
      <c r="P603" s="3">
        <f t="shared" si="163"/>
        <v>288</v>
      </c>
      <c r="Q603" s="7" t="s">
        <v>40</v>
      </c>
      <c r="R603" s="8">
        <f t="shared" si="164"/>
        <v>9322560</v>
      </c>
      <c r="S603" s="8">
        <f t="shared" si="159"/>
        <v>8398702.7027027011</v>
      </c>
    </row>
    <row r="605" spans="1:19" s="19" customFormat="1">
      <c r="A605" s="18" t="s">
        <v>403</v>
      </c>
      <c r="B605" s="19" t="s">
        <v>261</v>
      </c>
      <c r="C605" s="20">
        <v>2304</v>
      </c>
      <c r="D605" s="21" t="s">
        <v>40</v>
      </c>
      <c r="E605" s="26"/>
      <c r="F605" s="22">
        <v>1</v>
      </c>
      <c r="G605" s="23" t="s">
        <v>20</v>
      </c>
      <c r="H605" s="22">
        <v>144</v>
      </c>
      <c r="I605" s="23" t="s">
        <v>40</v>
      </c>
      <c r="J605" s="24">
        <v>22500</v>
      </c>
      <c r="K605" s="21" t="s">
        <v>40</v>
      </c>
      <c r="L605" s="25"/>
      <c r="M605" s="25"/>
      <c r="N605" s="22"/>
      <c r="O605" s="23" t="s">
        <v>40</v>
      </c>
      <c r="P605" s="20">
        <f t="shared" ref="P605:P610" si="174">(C605+(E605*F605*H605))-N605</f>
        <v>2304</v>
      </c>
      <c r="Q605" s="23" t="s">
        <v>40</v>
      </c>
      <c r="R605" s="24">
        <f t="shared" ref="R605:R610" si="175">P605*(J605-(J605*L605)-((J605-(J605*L605))*M605))</f>
        <v>51840000</v>
      </c>
      <c r="S605" s="24">
        <f t="shared" si="159"/>
        <v>46702702.702702701</v>
      </c>
    </row>
    <row r="606" spans="1:19" s="80" customFormat="1">
      <c r="A606" s="79" t="s">
        <v>404</v>
      </c>
      <c r="B606" s="80" t="s">
        <v>261</v>
      </c>
      <c r="C606" s="81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16">
        <v>26000</v>
      </c>
      <c r="K606" s="82" t="s">
        <v>40</v>
      </c>
      <c r="L606" s="86"/>
      <c r="M606" s="86"/>
      <c r="N606" s="84"/>
      <c r="O606" s="85" t="s">
        <v>40</v>
      </c>
      <c r="P606" s="81">
        <f t="shared" si="174"/>
        <v>0</v>
      </c>
      <c r="Q606" s="85" t="s">
        <v>40</v>
      </c>
      <c r="R606" s="16">
        <f t="shared" si="175"/>
        <v>0</v>
      </c>
      <c r="S606" s="16">
        <f t="shared" si="159"/>
        <v>0</v>
      </c>
    </row>
    <row r="607" spans="1:19" s="19" customFormat="1">
      <c r="A607" s="18" t="s">
        <v>405</v>
      </c>
      <c r="B607" s="19" t="s">
        <v>261</v>
      </c>
      <c r="C607" s="20">
        <v>90</v>
      </c>
      <c r="D607" s="21" t="s">
        <v>40</v>
      </c>
      <c r="E607" s="26">
        <v>3</v>
      </c>
      <c r="F607" s="22">
        <v>1</v>
      </c>
      <c r="G607" s="23" t="s">
        <v>20</v>
      </c>
      <c r="H607" s="22">
        <v>96</v>
      </c>
      <c r="I607" s="23" t="s">
        <v>40</v>
      </c>
      <c r="J607" s="24">
        <v>31500</v>
      </c>
      <c r="K607" s="21" t="s">
        <v>40</v>
      </c>
      <c r="L607" s="25"/>
      <c r="M607" s="25"/>
      <c r="N607" s="22"/>
      <c r="O607" s="23" t="s">
        <v>40</v>
      </c>
      <c r="P607" s="20">
        <f t="shared" si="174"/>
        <v>378</v>
      </c>
      <c r="Q607" s="23" t="s">
        <v>40</v>
      </c>
      <c r="R607" s="24">
        <f t="shared" si="175"/>
        <v>11907000</v>
      </c>
      <c r="S607" s="24">
        <f t="shared" si="159"/>
        <v>10727027.027027026</v>
      </c>
    </row>
    <row r="608" spans="1:19" s="80" customFormat="1">
      <c r="A608" s="79" t="s">
        <v>716</v>
      </c>
      <c r="B608" s="80" t="s">
        <v>261</v>
      </c>
      <c r="C608" s="81"/>
      <c r="D608" s="82" t="s">
        <v>40</v>
      </c>
      <c r="E608" s="83"/>
      <c r="F608" s="84">
        <v>1</v>
      </c>
      <c r="G608" s="85" t="s">
        <v>20</v>
      </c>
      <c r="H608" s="84">
        <v>144</v>
      </c>
      <c r="I608" s="85" t="s">
        <v>40</v>
      </c>
      <c r="J608" s="16">
        <f>31818+(31818*10%)</f>
        <v>34999.800000000003</v>
      </c>
      <c r="K608" s="82" t="s">
        <v>40</v>
      </c>
      <c r="L608" s="86"/>
      <c r="M608" s="86"/>
      <c r="N608" s="84"/>
      <c r="O608" s="85" t="s">
        <v>40</v>
      </c>
      <c r="P608" s="81">
        <f t="shared" si="174"/>
        <v>0</v>
      </c>
      <c r="Q608" s="85" t="s">
        <v>40</v>
      </c>
      <c r="R608" s="16">
        <f t="shared" si="175"/>
        <v>0</v>
      </c>
      <c r="S608" s="16">
        <f t="shared" si="159"/>
        <v>0</v>
      </c>
    </row>
    <row r="609" spans="1:19">
      <c r="A609" s="17" t="s">
        <v>836</v>
      </c>
      <c r="B609" s="2" t="s">
        <v>261</v>
      </c>
      <c r="C609" s="3">
        <f>115+69+60+144</f>
        <v>388</v>
      </c>
      <c r="D609" s="4" t="s">
        <v>40</v>
      </c>
      <c r="F609" s="6">
        <v>1</v>
      </c>
      <c r="G609" s="7" t="s">
        <v>20</v>
      </c>
      <c r="H609" s="6">
        <v>144</v>
      </c>
      <c r="I609" s="7" t="s">
        <v>40</v>
      </c>
      <c r="J609" s="8">
        <v>16175</v>
      </c>
      <c r="K609" s="4" t="s">
        <v>40</v>
      </c>
      <c r="O609" s="7" t="s">
        <v>40</v>
      </c>
      <c r="P609" s="3">
        <f t="shared" si="174"/>
        <v>388</v>
      </c>
      <c r="Q609" s="7" t="s">
        <v>40</v>
      </c>
      <c r="R609" s="8">
        <f t="shared" si="175"/>
        <v>6275900</v>
      </c>
      <c r="S609" s="8">
        <f t="shared" si="159"/>
        <v>5653963.9639639631</v>
      </c>
    </row>
    <row r="610" spans="1:19" s="19" customFormat="1">
      <c r="A610" s="18" t="s">
        <v>819</v>
      </c>
      <c r="B610" s="19" t="s">
        <v>261</v>
      </c>
      <c r="C610" s="20"/>
      <c r="D610" s="21" t="s">
        <v>40</v>
      </c>
      <c r="E610" s="26">
        <v>1</v>
      </c>
      <c r="F610" s="22">
        <v>1</v>
      </c>
      <c r="G610" s="23" t="s">
        <v>20</v>
      </c>
      <c r="H610" s="22">
        <v>120</v>
      </c>
      <c r="I610" s="23" t="s">
        <v>40</v>
      </c>
      <c r="J610" s="24">
        <v>18250</v>
      </c>
      <c r="K610" s="21" t="s">
        <v>40</v>
      </c>
      <c r="L610" s="25"/>
      <c r="M610" s="25"/>
      <c r="N610" s="22"/>
      <c r="O610" s="23" t="s">
        <v>40</v>
      </c>
      <c r="P610" s="20">
        <f t="shared" si="174"/>
        <v>120</v>
      </c>
      <c r="Q610" s="23" t="s">
        <v>40</v>
      </c>
      <c r="R610" s="24">
        <f t="shared" si="175"/>
        <v>2190000</v>
      </c>
      <c r="S610" s="24">
        <f t="shared" si="159"/>
        <v>1972972.9729729728</v>
      </c>
    </row>
    <row r="611" spans="1:19" s="19" customFormat="1">
      <c r="A611" s="18" t="s">
        <v>820</v>
      </c>
      <c r="B611" s="19" t="s">
        <v>261</v>
      </c>
      <c r="C611" s="20"/>
      <c r="D611" s="21" t="s">
        <v>40</v>
      </c>
      <c r="E611" s="26">
        <v>1</v>
      </c>
      <c r="F611" s="22">
        <v>1</v>
      </c>
      <c r="G611" s="23" t="s">
        <v>20</v>
      </c>
      <c r="H611" s="22">
        <v>120</v>
      </c>
      <c r="I611" s="23" t="s">
        <v>40</v>
      </c>
      <c r="J611" s="24">
        <v>18250</v>
      </c>
      <c r="K611" s="21" t="s">
        <v>40</v>
      </c>
      <c r="L611" s="25"/>
      <c r="M611" s="25"/>
      <c r="N611" s="22"/>
      <c r="O611" s="23" t="s">
        <v>40</v>
      </c>
      <c r="P611" s="20">
        <f t="shared" ref="P611:P613" si="176">(C611+(E611*F611*H611))-N611</f>
        <v>120</v>
      </c>
      <c r="Q611" s="23" t="s">
        <v>40</v>
      </c>
      <c r="R611" s="24">
        <f t="shared" ref="R611:R613" si="177">P611*(J611-(J611*L611)-((J611-(J611*L611))*M611))</f>
        <v>2190000</v>
      </c>
      <c r="S611" s="24">
        <f t="shared" ref="S611:S613" si="178">R611/1.11</f>
        <v>1972972.9729729728</v>
      </c>
    </row>
    <row r="612" spans="1:19" s="19" customFormat="1">
      <c r="A612" s="18" t="s">
        <v>821</v>
      </c>
      <c r="B612" s="19" t="s">
        <v>261</v>
      </c>
      <c r="C612" s="20"/>
      <c r="D612" s="21" t="s">
        <v>40</v>
      </c>
      <c r="E612" s="26">
        <v>1</v>
      </c>
      <c r="F612" s="22">
        <v>1</v>
      </c>
      <c r="G612" s="23" t="s">
        <v>20</v>
      </c>
      <c r="H612" s="22">
        <v>120</v>
      </c>
      <c r="I612" s="23" t="s">
        <v>40</v>
      </c>
      <c r="J612" s="24">
        <v>18250</v>
      </c>
      <c r="K612" s="21" t="s">
        <v>40</v>
      </c>
      <c r="L612" s="25"/>
      <c r="M612" s="25"/>
      <c r="N612" s="22"/>
      <c r="O612" s="23" t="s">
        <v>40</v>
      </c>
      <c r="P612" s="20">
        <f t="shared" si="176"/>
        <v>120</v>
      </c>
      <c r="Q612" s="23" t="s">
        <v>40</v>
      </c>
      <c r="R612" s="24">
        <f t="shared" si="177"/>
        <v>2190000</v>
      </c>
      <c r="S612" s="24">
        <f t="shared" si="178"/>
        <v>1972972.9729729728</v>
      </c>
    </row>
    <row r="613" spans="1:19" s="19" customFormat="1">
      <c r="A613" s="18" t="s">
        <v>822</v>
      </c>
      <c r="B613" s="19" t="s">
        <v>261</v>
      </c>
      <c r="C613" s="20"/>
      <c r="D613" s="21" t="s">
        <v>40</v>
      </c>
      <c r="E613" s="26">
        <v>1</v>
      </c>
      <c r="F613" s="22">
        <v>1</v>
      </c>
      <c r="G613" s="23" t="s">
        <v>20</v>
      </c>
      <c r="H613" s="22">
        <v>120</v>
      </c>
      <c r="I613" s="23" t="s">
        <v>40</v>
      </c>
      <c r="J613" s="24">
        <v>18250</v>
      </c>
      <c r="K613" s="21" t="s">
        <v>40</v>
      </c>
      <c r="L613" s="25"/>
      <c r="M613" s="25"/>
      <c r="N613" s="22"/>
      <c r="O613" s="23" t="s">
        <v>40</v>
      </c>
      <c r="P613" s="20">
        <f t="shared" si="176"/>
        <v>120</v>
      </c>
      <c r="Q613" s="23" t="s">
        <v>40</v>
      </c>
      <c r="R613" s="24">
        <f t="shared" si="177"/>
        <v>2190000</v>
      </c>
      <c r="S613" s="24">
        <f t="shared" si="178"/>
        <v>1972972.9729729728</v>
      </c>
    </row>
    <row r="615" spans="1:19">
      <c r="A615" s="17" t="s">
        <v>705</v>
      </c>
      <c r="B615" s="2" t="s">
        <v>691</v>
      </c>
      <c r="C615" s="3">
        <v>43</v>
      </c>
      <c r="D615" s="4" t="s">
        <v>40</v>
      </c>
      <c r="F615" s="6">
        <v>1</v>
      </c>
      <c r="G615" s="7" t="s">
        <v>20</v>
      </c>
      <c r="H615" s="6">
        <v>96</v>
      </c>
      <c r="I615" s="7" t="s">
        <v>40</v>
      </c>
      <c r="J615" s="8">
        <v>26500</v>
      </c>
      <c r="K615" s="4" t="s">
        <v>40</v>
      </c>
      <c r="O615" s="7" t="s">
        <v>40</v>
      </c>
      <c r="P615" s="3">
        <f>(C615+(E615*F615*H615))-N615</f>
        <v>43</v>
      </c>
      <c r="Q615" s="7" t="s">
        <v>40</v>
      </c>
      <c r="R615" s="8">
        <f>P615*(J615-(J615*L615)-((J615-(J615*L615))*M615))</f>
        <v>1139500</v>
      </c>
      <c r="S615" s="8">
        <f t="shared" si="159"/>
        <v>1026576.5765765765</v>
      </c>
    </row>
    <row r="617" spans="1:19">
      <c r="A617" s="17" t="s">
        <v>744</v>
      </c>
      <c r="B617" s="2" t="s">
        <v>172</v>
      </c>
      <c r="C617" s="3">
        <v>249</v>
      </c>
      <c r="D617" s="4" t="s">
        <v>40</v>
      </c>
      <c r="F617" s="6">
        <v>1</v>
      </c>
      <c r="G617" s="7" t="s">
        <v>20</v>
      </c>
      <c r="H617" s="6">
        <v>144</v>
      </c>
      <c r="I617" s="7" t="s">
        <v>40</v>
      </c>
      <c r="J617" s="8">
        <v>19000</v>
      </c>
      <c r="K617" s="4" t="s">
        <v>40</v>
      </c>
      <c r="L617" s="9">
        <v>0.02</v>
      </c>
      <c r="O617" s="7" t="s">
        <v>40</v>
      </c>
      <c r="P617" s="3">
        <f>(C617+(E617*F617*H617))-N617</f>
        <v>249</v>
      </c>
      <c r="Q617" s="7" t="s">
        <v>40</v>
      </c>
      <c r="R617" s="8">
        <f>P617*(J617-(J617*L617)-((J617-(J617*L617))*M617))</f>
        <v>4636380</v>
      </c>
      <c r="S617" s="8">
        <f t="shared" ref="S617" si="179">R617/1.11</f>
        <v>4176918.9189189184</v>
      </c>
    </row>
    <row r="618" spans="1:19">
      <c r="A618" s="17" t="s">
        <v>406</v>
      </c>
      <c r="B618" s="2" t="s">
        <v>172</v>
      </c>
      <c r="C618" s="3">
        <v>360</v>
      </c>
      <c r="D618" s="4" t="s">
        <v>40</v>
      </c>
      <c r="F618" s="6">
        <v>1</v>
      </c>
      <c r="G618" s="7" t="s">
        <v>20</v>
      </c>
      <c r="H618" s="6">
        <v>192</v>
      </c>
      <c r="I618" s="7" t="s">
        <v>40</v>
      </c>
      <c r="J618" s="8">
        <v>12750</v>
      </c>
      <c r="K618" s="4" t="s">
        <v>40</v>
      </c>
      <c r="L618" s="9">
        <v>0.05</v>
      </c>
      <c r="O618" s="7" t="s">
        <v>40</v>
      </c>
      <c r="P618" s="3">
        <f>(C618+(E618*F618*H618))-N618</f>
        <v>360</v>
      </c>
      <c r="Q618" s="7" t="s">
        <v>40</v>
      </c>
      <c r="R618" s="8">
        <f>P618*(J618-(J618*L618)-((J618-(J618*L618))*M618))</f>
        <v>4360500</v>
      </c>
      <c r="S618" s="8">
        <f t="shared" si="159"/>
        <v>3928378.3783783782</v>
      </c>
    </row>
    <row r="620" spans="1:19">
      <c r="A620" s="15" t="s">
        <v>407</v>
      </c>
    </row>
    <row r="621" spans="1:19" s="89" customFormat="1">
      <c r="A621" s="152" t="s">
        <v>408</v>
      </c>
      <c r="B621" s="89" t="s">
        <v>18</v>
      </c>
      <c r="C621" s="87"/>
      <c r="D621" s="90" t="s">
        <v>152</v>
      </c>
      <c r="E621" s="91"/>
      <c r="F621" s="92">
        <v>8</v>
      </c>
      <c r="G621" s="93" t="s">
        <v>33</v>
      </c>
      <c r="H621" s="92">
        <v>24</v>
      </c>
      <c r="I621" s="93" t="s">
        <v>152</v>
      </c>
      <c r="J621" s="94">
        <v>16500</v>
      </c>
      <c r="K621" s="90" t="s">
        <v>152</v>
      </c>
      <c r="L621" s="95">
        <v>0.125</v>
      </c>
      <c r="M621" s="95">
        <v>0.05</v>
      </c>
      <c r="N621" s="92"/>
      <c r="O621" s="93" t="s">
        <v>152</v>
      </c>
      <c r="P621" s="87">
        <f t="shared" ref="P621:P626" si="180">(C621+(E621*F621*H621))-N621</f>
        <v>0</v>
      </c>
      <c r="Q621" s="93" t="s">
        <v>152</v>
      </c>
      <c r="R621" s="94">
        <f t="shared" ref="R621:R626" si="181">P621*(J621-(J621*L621)-((J621-(J621*L621))*M621))</f>
        <v>0</v>
      </c>
      <c r="S621" s="94">
        <f t="shared" si="159"/>
        <v>0</v>
      </c>
    </row>
    <row r="622" spans="1:19" s="80" customFormat="1">
      <c r="A622" s="152" t="s">
        <v>800</v>
      </c>
      <c r="B622" s="80" t="s">
        <v>18</v>
      </c>
      <c r="C622" s="81"/>
      <c r="D622" s="82" t="s">
        <v>152</v>
      </c>
      <c r="E622" s="83"/>
      <c r="F622" s="84">
        <v>12</v>
      </c>
      <c r="G622" s="85" t="s">
        <v>33</v>
      </c>
      <c r="H622" s="84">
        <v>24</v>
      </c>
      <c r="I622" s="85" t="s">
        <v>152</v>
      </c>
      <c r="J622" s="16">
        <v>14400</v>
      </c>
      <c r="K622" s="82" t="s">
        <v>152</v>
      </c>
      <c r="L622" s="86">
        <v>0.125</v>
      </c>
      <c r="M622" s="86">
        <v>0.05</v>
      </c>
      <c r="N622" s="84"/>
      <c r="O622" s="85" t="s">
        <v>152</v>
      </c>
      <c r="P622" s="81">
        <f t="shared" si="180"/>
        <v>0</v>
      </c>
      <c r="Q622" s="85" t="s">
        <v>152</v>
      </c>
      <c r="R622" s="16">
        <f t="shared" si="181"/>
        <v>0</v>
      </c>
      <c r="S622" s="16">
        <f t="shared" ref="S622:S725" si="182">R622/1.11</f>
        <v>0</v>
      </c>
    </row>
    <row r="623" spans="1:19">
      <c r="A623" s="58" t="s">
        <v>409</v>
      </c>
      <c r="B623" s="2" t="s">
        <v>18</v>
      </c>
      <c r="C623" s="3">
        <v>7</v>
      </c>
      <c r="D623" s="4" t="s">
        <v>152</v>
      </c>
      <c r="F623" s="6">
        <v>8</v>
      </c>
      <c r="G623" s="7" t="s">
        <v>33</v>
      </c>
      <c r="H623" s="6">
        <v>30</v>
      </c>
      <c r="I623" s="7" t="s">
        <v>152</v>
      </c>
      <c r="K623" s="4" t="s">
        <v>152</v>
      </c>
      <c r="L623" s="9">
        <v>0.1</v>
      </c>
      <c r="M623" s="9">
        <v>0.05</v>
      </c>
      <c r="O623" s="7" t="s">
        <v>152</v>
      </c>
      <c r="P623" s="3">
        <f t="shared" si="180"/>
        <v>7</v>
      </c>
      <c r="Q623" s="7" t="s">
        <v>152</v>
      </c>
      <c r="R623" s="8">
        <f t="shared" si="181"/>
        <v>0</v>
      </c>
      <c r="S623" s="8">
        <f t="shared" si="182"/>
        <v>0</v>
      </c>
    </row>
    <row r="624" spans="1:19" s="80" customFormat="1">
      <c r="A624" s="152" t="s">
        <v>410</v>
      </c>
      <c r="B624" s="80" t="s">
        <v>18</v>
      </c>
      <c r="C624" s="81"/>
      <c r="D624" s="82" t="s">
        <v>152</v>
      </c>
      <c r="E624" s="83"/>
      <c r="F624" s="84">
        <v>8</v>
      </c>
      <c r="G624" s="85" t="s">
        <v>33</v>
      </c>
      <c r="H624" s="84">
        <v>24</v>
      </c>
      <c r="I624" s="85" t="s">
        <v>152</v>
      </c>
      <c r="J624" s="16">
        <v>21000</v>
      </c>
      <c r="K624" s="82" t="s">
        <v>152</v>
      </c>
      <c r="L624" s="86">
        <v>0.125</v>
      </c>
      <c r="M624" s="86">
        <v>0.05</v>
      </c>
      <c r="N624" s="84"/>
      <c r="O624" s="85" t="s">
        <v>152</v>
      </c>
      <c r="P624" s="81">
        <f t="shared" si="180"/>
        <v>0</v>
      </c>
      <c r="Q624" s="85" t="s">
        <v>152</v>
      </c>
      <c r="R624" s="16">
        <f t="shared" si="181"/>
        <v>0</v>
      </c>
      <c r="S624" s="16">
        <f t="shared" si="182"/>
        <v>0</v>
      </c>
    </row>
    <row r="625" spans="1:19" s="80" customFormat="1">
      <c r="A625" s="152" t="s">
        <v>411</v>
      </c>
      <c r="B625" s="80" t="s">
        <v>18</v>
      </c>
      <c r="C625" s="81"/>
      <c r="D625" s="82" t="s">
        <v>152</v>
      </c>
      <c r="E625" s="83">
        <v>3</v>
      </c>
      <c r="F625" s="84">
        <v>8</v>
      </c>
      <c r="G625" s="85" t="s">
        <v>33</v>
      </c>
      <c r="H625" s="84">
        <v>24</v>
      </c>
      <c r="I625" s="85" t="s">
        <v>152</v>
      </c>
      <c r="J625" s="16">
        <v>16800</v>
      </c>
      <c r="K625" s="82" t="s">
        <v>152</v>
      </c>
      <c r="L625" s="86">
        <v>0.125</v>
      </c>
      <c r="M625" s="86">
        <v>0.05</v>
      </c>
      <c r="N625" s="84"/>
      <c r="O625" s="85" t="s">
        <v>152</v>
      </c>
      <c r="P625" s="81">
        <f t="shared" si="180"/>
        <v>576</v>
      </c>
      <c r="Q625" s="85" t="s">
        <v>152</v>
      </c>
      <c r="R625" s="16">
        <f t="shared" si="181"/>
        <v>8043840</v>
      </c>
      <c r="S625" s="16">
        <f t="shared" si="182"/>
        <v>7246702.702702702</v>
      </c>
    </row>
    <row r="626" spans="1:19" s="80" customFormat="1">
      <c r="A626" s="152" t="s">
        <v>412</v>
      </c>
      <c r="B626" s="80" t="s">
        <v>18</v>
      </c>
      <c r="C626" s="81"/>
      <c r="D626" s="82" t="s">
        <v>152</v>
      </c>
      <c r="E626" s="83"/>
      <c r="F626" s="84">
        <v>6</v>
      </c>
      <c r="G626" s="85" t="s">
        <v>33</v>
      </c>
      <c r="H626" s="84">
        <v>24</v>
      </c>
      <c r="I626" s="85" t="s">
        <v>152</v>
      </c>
      <c r="J626" s="16">
        <v>21000</v>
      </c>
      <c r="K626" s="82" t="s">
        <v>152</v>
      </c>
      <c r="L626" s="86">
        <v>0.125</v>
      </c>
      <c r="M626" s="86">
        <v>0.05</v>
      </c>
      <c r="N626" s="84"/>
      <c r="O626" s="85" t="s">
        <v>152</v>
      </c>
      <c r="P626" s="81">
        <f t="shared" si="180"/>
        <v>0</v>
      </c>
      <c r="Q626" s="85" t="s">
        <v>152</v>
      </c>
      <c r="R626" s="16">
        <f t="shared" si="181"/>
        <v>0</v>
      </c>
      <c r="S626" s="16">
        <f t="shared" si="182"/>
        <v>0</v>
      </c>
    </row>
    <row r="627" spans="1:19" s="80" customFormat="1">
      <c r="A627" s="153"/>
      <c r="C627" s="81"/>
      <c r="D627" s="82"/>
      <c r="E627" s="83"/>
      <c r="F627" s="84"/>
      <c r="G627" s="85"/>
      <c r="H627" s="84"/>
      <c r="I627" s="85"/>
      <c r="J627" s="16"/>
      <c r="K627" s="82"/>
      <c r="L627" s="86"/>
      <c r="M627" s="86"/>
      <c r="N627" s="84"/>
      <c r="O627" s="85"/>
      <c r="P627" s="81"/>
      <c r="Q627" s="85"/>
      <c r="R627" s="16"/>
      <c r="S627" s="16"/>
    </row>
    <row r="628" spans="1:19" s="80" customFormat="1">
      <c r="A628" s="79" t="s">
        <v>413</v>
      </c>
      <c r="B628" s="80" t="s">
        <v>25</v>
      </c>
      <c r="C628" s="81"/>
      <c r="D628" s="82" t="s">
        <v>152</v>
      </c>
      <c r="E628" s="83"/>
      <c r="F628" s="84">
        <v>8</v>
      </c>
      <c r="G628" s="85" t="s">
        <v>33</v>
      </c>
      <c r="H628" s="84">
        <v>30</v>
      </c>
      <c r="I628" s="85" t="s">
        <v>152</v>
      </c>
      <c r="J628" s="16">
        <f>4800000/8/30</f>
        <v>20000</v>
      </c>
      <c r="K628" s="82" t="s">
        <v>152</v>
      </c>
      <c r="L628" s="86"/>
      <c r="M628" s="86">
        <v>0.17</v>
      </c>
      <c r="N628" s="84"/>
      <c r="O628" s="85" t="s">
        <v>152</v>
      </c>
      <c r="P628" s="81">
        <f>(C628+(E628*F628*H628))-N628</f>
        <v>0</v>
      </c>
      <c r="Q628" s="85" t="s">
        <v>152</v>
      </c>
      <c r="R628" s="16">
        <f>P628*(J628-(J628*L628)-((J628-(J628*L628))*M628))</f>
        <v>0</v>
      </c>
      <c r="S628" s="16">
        <f t="shared" si="182"/>
        <v>0</v>
      </c>
    </row>
    <row r="629" spans="1:19" s="80" customFormat="1">
      <c r="A629" s="79" t="s">
        <v>676</v>
      </c>
      <c r="B629" s="80" t="s">
        <v>25</v>
      </c>
      <c r="C629" s="81"/>
      <c r="D629" s="82" t="s">
        <v>152</v>
      </c>
      <c r="E629" s="83"/>
      <c r="F629" s="84">
        <v>6</v>
      </c>
      <c r="G629" s="85" t="s">
        <v>33</v>
      </c>
      <c r="H629" s="84">
        <v>30</v>
      </c>
      <c r="I629" s="85" t="s">
        <v>152</v>
      </c>
      <c r="J629" s="16">
        <f>2664000/6/30</f>
        <v>14800</v>
      </c>
      <c r="K629" s="82" t="s">
        <v>152</v>
      </c>
      <c r="L629" s="86"/>
      <c r="M629" s="86">
        <v>0.17</v>
      </c>
      <c r="N629" s="84"/>
      <c r="O629" s="85" t="s">
        <v>152</v>
      </c>
      <c r="P629" s="81">
        <f>(C629+(E629*F629*H629))-N629</f>
        <v>0</v>
      </c>
      <c r="Q629" s="85" t="s">
        <v>152</v>
      </c>
      <c r="R629" s="16">
        <f>P629*(J629-(J629*L629)-((J629-(J629*L629))*M629))</f>
        <v>0</v>
      </c>
      <c r="S629" s="16">
        <f t="shared" si="182"/>
        <v>0</v>
      </c>
    </row>
    <row r="631" spans="1:19">
      <c r="A631" s="15" t="s">
        <v>414</v>
      </c>
    </row>
    <row r="632" spans="1:19" s="80" customFormat="1">
      <c r="A632" s="79" t="s">
        <v>415</v>
      </c>
      <c r="B632" s="80" t="s">
        <v>18</v>
      </c>
      <c r="C632" s="81"/>
      <c r="D632" s="82" t="s">
        <v>40</v>
      </c>
      <c r="E632" s="83"/>
      <c r="F632" s="84">
        <v>48</v>
      </c>
      <c r="G632" s="85" t="s">
        <v>33</v>
      </c>
      <c r="H632" s="84">
        <v>12</v>
      </c>
      <c r="I632" s="85" t="s">
        <v>19</v>
      </c>
      <c r="J632" s="16">
        <v>5800</v>
      </c>
      <c r="K632" s="82" t="s">
        <v>19</v>
      </c>
      <c r="L632" s="86">
        <v>0.125</v>
      </c>
      <c r="M632" s="86">
        <v>0.05</v>
      </c>
      <c r="N632" s="84"/>
      <c r="O632" s="85" t="s">
        <v>19</v>
      </c>
      <c r="P632" s="81">
        <f>(C632+(E632*F632*H632))-N632</f>
        <v>0</v>
      </c>
      <c r="Q632" s="85" t="s">
        <v>19</v>
      </c>
      <c r="R632" s="16">
        <f>P632*(J632-(J632*L632)-((J632-(J632*L632))*M632))</f>
        <v>0</v>
      </c>
      <c r="S632" s="16">
        <f>R632/1.11</f>
        <v>0</v>
      </c>
    </row>
    <row r="634" spans="1:19">
      <c r="A634" s="58" t="s">
        <v>772</v>
      </c>
      <c r="B634" s="2" t="s">
        <v>25</v>
      </c>
      <c r="C634" s="3">
        <v>576</v>
      </c>
      <c r="D634" s="4" t="s">
        <v>19</v>
      </c>
      <c r="F634" s="6">
        <v>24</v>
      </c>
      <c r="G634" s="7" t="s">
        <v>33</v>
      </c>
      <c r="H634" s="6">
        <v>24</v>
      </c>
      <c r="I634" s="7" t="s">
        <v>19</v>
      </c>
      <c r="J634" s="8">
        <f>2822400/24/24</f>
        <v>4900</v>
      </c>
      <c r="K634" s="4" t="s">
        <v>19</v>
      </c>
      <c r="M634" s="9">
        <v>0.17</v>
      </c>
      <c r="O634" s="7" t="s">
        <v>19</v>
      </c>
      <c r="P634" s="3">
        <f>(C634+(E634*F634*H634))-N634</f>
        <v>576</v>
      </c>
      <c r="Q634" s="7" t="s">
        <v>19</v>
      </c>
      <c r="R634" s="8">
        <f>P634*(J634-(J634*L634)-((J634-(J634*L634))*M634))</f>
        <v>2342592</v>
      </c>
      <c r="S634" s="8">
        <f t="shared" si="182"/>
        <v>2110443.2432432431</v>
      </c>
    </row>
    <row r="635" spans="1:19">
      <c r="A635" s="58" t="s">
        <v>773</v>
      </c>
      <c r="B635" s="2" t="s">
        <v>25</v>
      </c>
      <c r="C635" s="3">
        <v>4</v>
      </c>
      <c r="D635" s="4" t="s">
        <v>40</v>
      </c>
      <c r="F635" s="6">
        <v>24</v>
      </c>
      <c r="G635" s="7" t="s">
        <v>33</v>
      </c>
      <c r="H635" s="6">
        <v>2</v>
      </c>
      <c r="I635" s="7" t="s">
        <v>40</v>
      </c>
      <c r="J635" s="8">
        <f>2592000/24/2</f>
        <v>54000</v>
      </c>
      <c r="K635" s="4" t="s">
        <v>40</v>
      </c>
      <c r="M635" s="9">
        <v>0.17</v>
      </c>
      <c r="O635" s="7" t="s">
        <v>40</v>
      </c>
      <c r="P635" s="3">
        <f>(C635+(E635*F635*H635))-N635</f>
        <v>4</v>
      </c>
      <c r="Q635" s="7" t="s">
        <v>40</v>
      </c>
      <c r="R635" s="8">
        <f>P635*(J635-(J635*L635)-((J635-(J635*L635))*M635))</f>
        <v>179280</v>
      </c>
      <c r="S635" s="8">
        <f t="shared" si="182"/>
        <v>161513.51351351349</v>
      </c>
    </row>
    <row r="636" spans="1:19">
      <c r="A636" s="58" t="s">
        <v>774</v>
      </c>
      <c r="B636" s="2" t="s">
        <v>25</v>
      </c>
      <c r="C636" s="3">
        <v>576</v>
      </c>
      <c r="D636" s="4" t="s">
        <v>19</v>
      </c>
      <c r="F636" s="6">
        <v>24</v>
      </c>
      <c r="G636" s="7" t="s">
        <v>33</v>
      </c>
      <c r="H636" s="6">
        <v>24</v>
      </c>
      <c r="I636" s="7" t="s">
        <v>19</v>
      </c>
      <c r="J636" s="8">
        <f>1900800/24/24</f>
        <v>3300</v>
      </c>
      <c r="K636" s="4" t="s">
        <v>19</v>
      </c>
      <c r="M636" s="9">
        <v>0.17</v>
      </c>
      <c r="O636" s="7" t="s">
        <v>19</v>
      </c>
      <c r="P636" s="3">
        <f>(C636+(E636*F636*H636))-N636</f>
        <v>576</v>
      </c>
      <c r="Q636" s="7" t="s">
        <v>19</v>
      </c>
      <c r="R636" s="8">
        <f>P636*(J636-(J636*L636)-((J636-(J636*L636))*M636))</f>
        <v>1577664</v>
      </c>
      <c r="S636" s="8">
        <f t="shared" si="182"/>
        <v>1421318.9189189188</v>
      </c>
    </row>
    <row r="637" spans="1:19">
      <c r="A637" s="59"/>
    </row>
    <row r="638" spans="1:19">
      <c r="A638" s="15" t="s">
        <v>416</v>
      </c>
    </row>
    <row r="639" spans="1:19" s="80" customFormat="1">
      <c r="A639" s="79" t="s">
        <v>417</v>
      </c>
      <c r="B639" s="80" t="s">
        <v>18</v>
      </c>
      <c r="C639" s="81"/>
      <c r="D639" s="82" t="s">
        <v>99</v>
      </c>
      <c r="E639" s="83"/>
      <c r="F639" s="84">
        <v>18</v>
      </c>
      <c r="G639" s="85" t="s">
        <v>33</v>
      </c>
      <c r="H639" s="84">
        <v>12</v>
      </c>
      <c r="I639" s="85" t="s">
        <v>99</v>
      </c>
      <c r="J639" s="16">
        <f>36000/12</f>
        <v>3000</v>
      </c>
      <c r="K639" s="82" t="s">
        <v>99</v>
      </c>
      <c r="L639" s="86">
        <v>0.125</v>
      </c>
      <c r="M639" s="86">
        <v>0.05</v>
      </c>
      <c r="N639" s="84"/>
      <c r="O639" s="85" t="s">
        <v>99</v>
      </c>
      <c r="P639" s="81">
        <f>(C639+(E639*F639*H639))-N639</f>
        <v>0</v>
      </c>
      <c r="Q639" s="85" t="s">
        <v>99</v>
      </c>
      <c r="R639" s="16">
        <f>P639*(J639-(J639*L639)-((J639-(J639*L639))*M639))</f>
        <v>0</v>
      </c>
      <c r="S639" s="16">
        <f t="shared" si="182"/>
        <v>0</v>
      </c>
    </row>
    <row r="640" spans="1:19" s="80" customFormat="1">
      <c r="A640" s="79" t="s">
        <v>418</v>
      </c>
      <c r="B640" s="80" t="s">
        <v>18</v>
      </c>
      <c r="C640" s="81"/>
      <c r="D640" s="82" t="s">
        <v>40</v>
      </c>
      <c r="E640" s="83"/>
      <c r="F640" s="84">
        <v>18</v>
      </c>
      <c r="G640" s="85" t="s">
        <v>33</v>
      </c>
      <c r="H640" s="84">
        <v>24</v>
      </c>
      <c r="I640" s="85" t="s">
        <v>40</v>
      </c>
      <c r="J640" s="16">
        <v>27600</v>
      </c>
      <c r="K640" s="82" t="s">
        <v>40</v>
      </c>
      <c r="L640" s="86">
        <v>0.125</v>
      </c>
      <c r="M640" s="86">
        <v>0.05</v>
      </c>
      <c r="N640" s="84"/>
      <c r="O640" s="85" t="s">
        <v>40</v>
      </c>
      <c r="P640" s="81">
        <f>(C640+(E640*F640*H640))-N640</f>
        <v>0</v>
      </c>
      <c r="Q640" s="85" t="s">
        <v>40</v>
      </c>
      <c r="R640" s="16">
        <f>P640*(J640-(J640*L640)-((J640-(J640*L640))*M640))</f>
        <v>0</v>
      </c>
      <c r="S640" s="16">
        <f t="shared" si="182"/>
        <v>0</v>
      </c>
    </row>
    <row r="641" spans="1:19" s="80" customFormat="1">
      <c r="A641" s="79"/>
      <c r="C641" s="81"/>
      <c r="D641" s="82"/>
      <c r="E641" s="83"/>
      <c r="F641" s="84"/>
      <c r="G641" s="85"/>
      <c r="H641" s="84"/>
      <c r="I641" s="85"/>
      <c r="J641" s="16"/>
      <c r="K641" s="82"/>
      <c r="L641" s="86"/>
      <c r="M641" s="86"/>
      <c r="N641" s="84"/>
      <c r="O641" s="85"/>
      <c r="P641" s="81"/>
      <c r="Q641" s="85"/>
      <c r="R641" s="16"/>
      <c r="S641" s="16"/>
    </row>
    <row r="642" spans="1:19" s="80" customFormat="1">
      <c r="A642" s="79" t="s">
        <v>419</v>
      </c>
      <c r="B642" s="80" t="s">
        <v>261</v>
      </c>
      <c r="C642" s="81"/>
      <c r="D642" s="82" t="s">
        <v>40</v>
      </c>
      <c r="E642" s="83"/>
      <c r="F642" s="84">
        <v>1</v>
      </c>
      <c r="G642" s="85" t="s">
        <v>20</v>
      </c>
      <c r="H642" s="84">
        <v>96</v>
      </c>
      <c r="I642" s="85" t="s">
        <v>40</v>
      </c>
      <c r="J642" s="16">
        <v>9500</v>
      </c>
      <c r="K642" s="82" t="s">
        <v>40</v>
      </c>
      <c r="L642" s="86"/>
      <c r="M642" s="86"/>
      <c r="N642" s="84"/>
      <c r="O642" s="85" t="s">
        <v>40</v>
      </c>
      <c r="P642" s="81">
        <f>(C642+(E642*F642*H642))-N642</f>
        <v>0</v>
      </c>
      <c r="Q642" s="85" t="s">
        <v>40</v>
      </c>
      <c r="R642" s="16">
        <f>P642*(J642-(J642*L642)-((J642-(J642*L642))*M642))</f>
        <v>0</v>
      </c>
      <c r="S642" s="16">
        <f t="shared" si="182"/>
        <v>0</v>
      </c>
    </row>
    <row r="643" spans="1:19" s="96" customFormat="1">
      <c r="A643" s="115" t="s">
        <v>883</v>
      </c>
      <c r="B643" s="96" t="s">
        <v>261</v>
      </c>
      <c r="C643" s="99"/>
      <c r="D643" s="100" t="s">
        <v>99</v>
      </c>
      <c r="E643" s="101">
        <v>2</v>
      </c>
      <c r="F643" s="102">
        <v>1</v>
      </c>
      <c r="G643" s="103" t="s">
        <v>20</v>
      </c>
      <c r="H643" s="102">
        <v>80</v>
      </c>
      <c r="I643" s="103" t="s">
        <v>99</v>
      </c>
      <c r="J643" s="104">
        <v>22500</v>
      </c>
      <c r="K643" s="100" t="s">
        <v>99</v>
      </c>
      <c r="L643" s="105"/>
      <c r="M643" s="105"/>
      <c r="N643" s="102"/>
      <c r="O643" s="103" t="s">
        <v>99</v>
      </c>
      <c r="P643" s="99">
        <f>(C643+(E643*F643*H643))-N643</f>
        <v>160</v>
      </c>
      <c r="Q643" s="103" t="s">
        <v>99</v>
      </c>
      <c r="R643" s="104">
        <f>P643*(J643-(J643*L643)-((J643-(J643*L643))*M643))</f>
        <v>3600000</v>
      </c>
      <c r="S643" s="104">
        <f t="shared" ref="S643" si="183">R643/1.11</f>
        <v>3243243.2432432431</v>
      </c>
    </row>
    <row r="645" spans="1:19">
      <c r="A645" s="17" t="s">
        <v>420</v>
      </c>
      <c r="B645" s="2" t="s">
        <v>25</v>
      </c>
      <c r="C645" s="3">
        <v>417</v>
      </c>
      <c r="D645" s="4" t="s">
        <v>19</v>
      </c>
      <c r="F645" s="6">
        <v>144</v>
      </c>
      <c r="G645" s="7" t="s">
        <v>33</v>
      </c>
      <c r="H645" s="6">
        <v>2</v>
      </c>
      <c r="I645" s="7" t="s">
        <v>40</v>
      </c>
      <c r="J645" s="8">
        <f>6739200/144/2</f>
        <v>23400</v>
      </c>
      <c r="K645" s="4" t="s">
        <v>40</v>
      </c>
      <c r="M645" s="9">
        <v>0.17</v>
      </c>
      <c r="O645" s="7" t="s">
        <v>40</v>
      </c>
      <c r="P645" s="3">
        <f>(C645+(E645*F645*H645))-N645</f>
        <v>417</v>
      </c>
      <c r="Q645" s="7" t="s">
        <v>40</v>
      </c>
      <c r="R645" s="8">
        <f>P645*(J645-(J645*L645)-((J645-(J645*L645))*M645))</f>
        <v>8098974</v>
      </c>
      <c r="S645" s="8">
        <f t="shared" si="182"/>
        <v>7296372.9729729723</v>
      </c>
    </row>
    <row r="646" spans="1:19" s="80" customFormat="1">
      <c r="A646" s="79" t="s">
        <v>421</v>
      </c>
      <c r="B646" s="80" t="s">
        <v>25</v>
      </c>
      <c r="C646" s="81"/>
      <c r="D646" s="82" t="s">
        <v>33</v>
      </c>
      <c r="E646" s="83">
        <v>1</v>
      </c>
      <c r="F646" s="84">
        <v>1</v>
      </c>
      <c r="G646" s="85" t="s">
        <v>20</v>
      </c>
      <c r="H646" s="84">
        <v>120</v>
      </c>
      <c r="I646" s="85" t="s">
        <v>33</v>
      </c>
      <c r="J646" s="16">
        <f>2160000/120</f>
        <v>18000</v>
      </c>
      <c r="K646" s="82" t="s">
        <v>33</v>
      </c>
      <c r="L646" s="86"/>
      <c r="M646" s="86">
        <v>0.17</v>
      </c>
      <c r="N646" s="84"/>
      <c r="O646" s="85" t="s">
        <v>33</v>
      </c>
      <c r="P646" s="81">
        <f>(C646+(E646*F646*H646))-N646</f>
        <v>120</v>
      </c>
      <c r="Q646" s="85" t="s">
        <v>33</v>
      </c>
      <c r="R646" s="16">
        <f>P646*(J646-(J646*L646)-((J646-(J646*L646))*M646))</f>
        <v>1792800</v>
      </c>
      <c r="S646" s="16">
        <f t="shared" si="182"/>
        <v>1615135.1351351349</v>
      </c>
    </row>
    <row r="648" spans="1:19">
      <c r="A648" s="17" t="s">
        <v>422</v>
      </c>
      <c r="B648" s="2" t="s">
        <v>182</v>
      </c>
      <c r="C648" s="3">
        <v>2400</v>
      </c>
      <c r="D648" s="4" t="s">
        <v>33</v>
      </c>
      <c r="F648" s="6">
        <v>1</v>
      </c>
      <c r="G648" s="7" t="s">
        <v>20</v>
      </c>
      <c r="H648" s="6">
        <v>240</v>
      </c>
      <c r="I648" s="7" t="s">
        <v>33</v>
      </c>
      <c r="J648" s="8">
        <v>5500</v>
      </c>
      <c r="K648" s="4" t="s">
        <v>33</v>
      </c>
      <c r="O648" s="7" t="s">
        <v>33</v>
      </c>
      <c r="P648" s="3">
        <f>(C648+(E648*F648*H648))-N648</f>
        <v>2400</v>
      </c>
      <c r="Q648" s="7" t="s">
        <v>33</v>
      </c>
      <c r="R648" s="8">
        <f>P648*(J648-(J648*L648)-((J648-(J648*L648))*M648))</f>
        <v>13200000</v>
      </c>
      <c r="S648" s="8">
        <f t="shared" si="182"/>
        <v>11891891.891891891</v>
      </c>
    </row>
    <row r="650" spans="1:19">
      <c r="A650" s="15" t="s">
        <v>513</v>
      </c>
    </row>
    <row r="651" spans="1:19" s="19" customFormat="1">
      <c r="A651" s="18" t="s">
        <v>807</v>
      </c>
      <c r="B651" s="19" t="s">
        <v>18</v>
      </c>
      <c r="C651" s="20">
        <f>1440+420+(1620-1440)</f>
        <v>2040</v>
      </c>
      <c r="D651" s="21" t="s">
        <v>19</v>
      </c>
      <c r="E651" s="26"/>
      <c r="F651" s="22">
        <v>48</v>
      </c>
      <c r="G651" s="23" t="s">
        <v>33</v>
      </c>
      <c r="H651" s="22">
        <v>12</v>
      </c>
      <c r="I651" s="23" t="s">
        <v>19</v>
      </c>
      <c r="J651" s="24">
        <v>2350</v>
      </c>
      <c r="K651" s="21" t="s">
        <v>19</v>
      </c>
      <c r="L651" s="25">
        <v>0.1</v>
      </c>
      <c r="M651" s="25">
        <v>0.05</v>
      </c>
      <c r="N651" s="22"/>
      <c r="O651" s="23" t="s">
        <v>19</v>
      </c>
      <c r="P651" s="20">
        <f>(C651+(E651*F651*H651))-N651</f>
        <v>2040</v>
      </c>
      <c r="Q651" s="23" t="s">
        <v>19</v>
      </c>
      <c r="R651" s="24">
        <f>P651*(J651-(J651*L651)-((J651-(J651*L651))*M651))</f>
        <v>4098870</v>
      </c>
      <c r="S651" s="8">
        <f>R651/1.11</f>
        <v>3692675.6756756753</v>
      </c>
    </row>
    <row r="652" spans="1:19" s="19" customFormat="1">
      <c r="A652" s="18" t="s">
        <v>807</v>
      </c>
      <c r="B652" s="19" t="s">
        <v>18</v>
      </c>
      <c r="C652" s="20">
        <f>192+468+72+312</f>
        <v>1044</v>
      </c>
      <c r="D652" s="21" t="s">
        <v>19</v>
      </c>
      <c r="E652" s="26"/>
      <c r="F652" s="22">
        <v>48</v>
      </c>
      <c r="G652" s="23" t="s">
        <v>33</v>
      </c>
      <c r="H652" s="22">
        <v>12</v>
      </c>
      <c r="I652" s="23" t="s">
        <v>19</v>
      </c>
      <c r="J652" s="24">
        <v>2350</v>
      </c>
      <c r="K652" s="21" t="s">
        <v>19</v>
      </c>
      <c r="L652" s="25">
        <v>0.125</v>
      </c>
      <c r="M652" s="25">
        <v>0.05</v>
      </c>
      <c r="N652" s="22"/>
      <c r="O652" s="23" t="s">
        <v>19</v>
      </c>
      <c r="P652" s="20">
        <f>(C652+(E652*F652*H652))-N652</f>
        <v>1044</v>
      </c>
      <c r="Q652" s="23" t="s">
        <v>19</v>
      </c>
      <c r="R652" s="24">
        <f>P652*(J652-(J652*L652)-((J652-(J652*L652))*M652))</f>
        <v>2039388.75</v>
      </c>
      <c r="S652" s="8">
        <f>R652/1.11</f>
        <v>1837287.1621621619</v>
      </c>
    </row>
    <row r="653" spans="1:19" s="19" customFormat="1">
      <c r="A653" s="18"/>
      <c r="C653" s="20"/>
      <c r="D653" s="21"/>
      <c r="E653" s="26"/>
      <c r="F653" s="22"/>
      <c r="G653" s="23"/>
      <c r="H653" s="22"/>
      <c r="I653" s="23"/>
      <c r="J653" s="24"/>
      <c r="K653" s="21"/>
      <c r="L653" s="25"/>
      <c r="M653" s="25"/>
      <c r="N653" s="22"/>
      <c r="O653" s="23"/>
      <c r="P653" s="20"/>
      <c r="Q653" s="23"/>
      <c r="R653" s="24"/>
      <c r="S653" s="8"/>
    </row>
    <row r="654" spans="1:19" s="80" customFormat="1">
      <c r="A654" s="148" t="s">
        <v>514</v>
      </c>
      <c r="B654" s="80" t="s">
        <v>25</v>
      </c>
      <c r="C654" s="81"/>
      <c r="D654" s="82" t="s">
        <v>40</v>
      </c>
      <c r="E654" s="83"/>
      <c r="F654" s="84">
        <v>1</v>
      </c>
      <c r="G654" s="85" t="s">
        <v>20</v>
      </c>
      <c r="H654" s="84">
        <v>60</v>
      </c>
      <c r="I654" s="85" t="s">
        <v>40</v>
      </c>
      <c r="J654" s="16">
        <f>2160000/60</f>
        <v>36000</v>
      </c>
      <c r="K654" s="82" t="s">
        <v>40</v>
      </c>
      <c r="L654" s="86"/>
      <c r="M654" s="86">
        <v>0.17</v>
      </c>
      <c r="N654" s="84"/>
      <c r="O654" s="85" t="s">
        <v>40</v>
      </c>
      <c r="P654" s="81">
        <f>(C654+(E654*F654*H654))-N654</f>
        <v>0</v>
      </c>
      <c r="Q654" s="85" t="s">
        <v>40</v>
      </c>
      <c r="R654" s="16">
        <f>P654*(J654-(J654*L654)-((J654-(J654*L654))*M654))</f>
        <v>0</v>
      </c>
      <c r="S654" s="16">
        <f>R654/1.11</f>
        <v>0</v>
      </c>
    </row>
    <row r="655" spans="1:19">
      <c r="A655" s="55" t="s">
        <v>515</v>
      </c>
      <c r="B655" s="2" t="s">
        <v>25</v>
      </c>
      <c r="C655" s="3">
        <v>175</v>
      </c>
      <c r="D655" s="4" t="s">
        <v>40</v>
      </c>
      <c r="F655" s="6">
        <v>12</v>
      </c>
      <c r="G655" s="7" t="s">
        <v>84</v>
      </c>
      <c r="H655" s="6">
        <v>12</v>
      </c>
      <c r="I655" s="7" t="s">
        <v>40</v>
      </c>
      <c r="J655" s="8">
        <f>1555200/144</f>
        <v>10800</v>
      </c>
      <c r="K655" s="4" t="s">
        <v>40</v>
      </c>
      <c r="L655" s="9">
        <v>0.05</v>
      </c>
      <c r="M655" s="9">
        <v>0.17</v>
      </c>
      <c r="O655" s="7" t="s">
        <v>40</v>
      </c>
      <c r="P655" s="3">
        <f>(C655+(E655*F655*H655))-N655</f>
        <v>175</v>
      </c>
      <c r="Q655" s="7" t="s">
        <v>40</v>
      </c>
      <c r="R655" s="8">
        <f>P655*(J655-(J655*L655)-((J655-(J655*L655))*M655))</f>
        <v>1490264.9999999998</v>
      </c>
      <c r="S655" s="8">
        <f>R655/1.11</f>
        <v>1342581.0810810807</v>
      </c>
    </row>
    <row r="656" spans="1:19">
      <c r="A656" s="49"/>
    </row>
    <row r="657" spans="1:19">
      <c r="A657" s="15" t="s">
        <v>516</v>
      </c>
    </row>
    <row r="658" spans="1:19" s="80" customFormat="1">
      <c r="A658" s="148" t="s">
        <v>517</v>
      </c>
      <c r="B658" s="80" t="s">
        <v>25</v>
      </c>
      <c r="C658" s="81"/>
      <c r="D658" s="82" t="s">
        <v>40</v>
      </c>
      <c r="E658" s="83"/>
      <c r="F658" s="84">
        <v>1</v>
      </c>
      <c r="G658" s="85" t="s">
        <v>20</v>
      </c>
      <c r="H658" s="84">
        <v>60</v>
      </c>
      <c r="I658" s="85" t="s">
        <v>40</v>
      </c>
      <c r="J658" s="16">
        <f>2268000/60</f>
        <v>37800</v>
      </c>
      <c r="K658" s="82" t="s">
        <v>40</v>
      </c>
      <c r="L658" s="86"/>
      <c r="M658" s="86">
        <v>0.17</v>
      </c>
      <c r="N658" s="84"/>
      <c r="O658" s="85" t="s">
        <v>40</v>
      </c>
      <c r="P658" s="81">
        <f>(C658+(E658*F658*H658))-N658</f>
        <v>0</v>
      </c>
      <c r="Q658" s="85" t="s">
        <v>40</v>
      </c>
      <c r="R658" s="16">
        <f>P658*(J658-(J658*L658)-((J658-(J658*L658))*M658))</f>
        <v>0</v>
      </c>
      <c r="S658" s="16">
        <f>R658/1.11</f>
        <v>0</v>
      </c>
    </row>
    <row r="660" spans="1:19" s="19" customFormat="1">
      <c r="A660" s="31" t="s">
        <v>740</v>
      </c>
      <c r="B660" s="32" t="s">
        <v>598</v>
      </c>
      <c r="C660" s="33">
        <v>12</v>
      </c>
      <c r="D660" s="34" t="s">
        <v>152</v>
      </c>
      <c r="E660" s="35"/>
      <c r="F660" s="36">
        <v>1</v>
      </c>
      <c r="G660" s="37" t="s">
        <v>152</v>
      </c>
      <c r="H660" s="36">
        <v>1</v>
      </c>
      <c r="I660" s="37" t="s">
        <v>152</v>
      </c>
      <c r="J660" s="38">
        <v>4000</v>
      </c>
      <c r="K660" s="34" t="s">
        <v>19</v>
      </c>
      <c r="L660" s="39"/>
      <c r="M660" s="39">
        <v>1.0999999999999999E-2</v>
      </c>
      <c r="N660" s="36"/>
      <c r="O660" s="37" t="s">
        <v>19</v>
      </c>
      <c r="P660" s="33">
        <f>(C660+(E660*F660*H660))-N660</f>
        <v>12</v>
      </c>
      <c r="Q660" s="37" t="s">
        <v>19</v>
      </c>
      <c r="R660" s="38">
        <f>P660*(J660-(J660*L660)-((J660-(J660*L660))*M660))</f>
        <v>47472</v>
      </c>
      <c r="S660" s="38">
        <f t="shared" ref="S660" si="184">R660/1.11</f>
        <v>42767.567567567567</v>
      </c>
    </row>
    <row r="661" spans="1:19" s="19" customFormat="1">
      <c r="A661" s="31" t="s">
        <v>875</v>
      </c>
      <c r="B661" s="32" t="s">
        <v>598</v>
      </c>
      <c r="C661" s="33">
        <v>48</v>
      </c>
      <c r="D661" s="34" t="s">
        <v>152</v>
      </c>
      <c r="E661" s="35"/>
      <c r="F661" s="36">
        <v>1</v>
      </c>
      <c r="G661" s="37" t="s">
        <v>152</v>
      </c>
      <c r="H661" s="36">
        <v>1</v>
      </c>
      <c r="I661" s="37" t="s">
        <v>152</v>
      </c>
      <c r="J661" s="38"/>
      <c r="K661" s="34" t="s">
        <v>19</v>
      </c>
      <c r="L661" s="39"/>
      <c r="M661" s="39">
        <v>1.0999999999999999E-2</v>
      </c>
      <c r="N661" s="36"/>
      <c r="O661" s="37" t="s">
        <v>19</v>
      </c>
      <c r="P661" s="33">
        <f>(C661+(E661*F661*H661))-N661</f>
        <v>48</v>
      </c>
      <c r="Q661" s="37" t="s">
        <v>19</v>
      </c>
      <c r="R661" s="38">
        <f>P661*(J661-(J661*L661)-((J661-(J661*L661))*M661))</f>
        <v>0</v>
      </c>
      <c r="S661" s="38">
        <f t="shared" ref="S661" si="185">R661/1.11</f>
        <v>0</v>
      </c>
    </row>
    <row r="662" spans="1:19">
      <c r="A662" s="49"/>
    </row>
    <row r="663" spans="1:19">
      <c r="A663" s="15" t="s">
        <v>518</v>
      </c>
    </row>
    <row r="664" spans="1:19" s="89" customFormat="1">
      <c r="A664" s="88" t="s">
        <v>519</v>
      </c>
      <c r="B664" s="89" t="s">
        <v>18</v>
      </c>
      <c r="C664" s="87"/>
      <c r="D664" s="90" t="s">
        <v>152</v>
      </c>
      <c r="E664" s="91"/>
      <c r="F664" s="92">
        <v>8</v>
      </c>
      <c r="G664" s="93" t="s">
        <v>33</v>
      </c>
      <c r="H664" s="92">
        <v>12</v>
      </c>
      <c r="I664" s="93" t="s">
        <v>152</v>
      </c>
      <c r="J664" s="94">
        <v>17000</v>
      </c>
      <c r="K664" s="90" t="s">
        <v>152</v>
      </c>
      <c r="L664" s="95">
        <v>0.125</v>
      </c>
      <c r="M664" s="95">
        <v>0.05</v>
      </c>
      <c r="N664" s="92"/>
      <c r="O664" s="93" t="s">
        <v>152</v>
      </c>
      <c r="P664" s="87">
        <f>(C664+(E664*F664*H664))-N664</f>
        <v>0</v>
      </c>
      <c r="Q664" s="93" t="s">
        <v>152</v>
      </c>
      <c r="R664" s="94">
        <f>P664*(J664-(J664*L664)-((J664-(J664*L664))*M664))</f>
        <v>0</v>
      </c>
      <c r="S664" s="16">
        <f>R664/1.11</f>
        <v>0</v>
      </c>
    </row>
    <row r="665" spans="1:19" s="89" customFormat="1">
      <c r="A665" s="88" t="s">
        <v>520</v>
      </c>
      <c r="B665" s="89" t="s">
        <v>18</v>
      </c>
      <c r="C665" s="87"/>
      <c r="D665" s="90" t="s">
        <v>152</v>
      </c>
      <c r="E665" s="91"/>
      <c r="F665" s="92">
        <v>8</v>
      </c>
      <c r="G665" s="93" t="s">
        <v>33</v>
      </c>
      <c r="H665" s="92">
        <v>6</v>
      </c>
      <c r="I665" s="93" t="s">
        <v>152</v>
      </c>
      <c r="J665" s="94">
        <v>34000</v>
      </c>
      <c r="K665" s="90" t="s">
        <v>152</v>
      </c>
      <c r="L665" s="95">
        <v>0.125</v>
      </c>
      <c r="M665" s="95">
        <v>0.05</v>
      </c>
      <c r="N665" s="92"/>
      <c r="O665" s="93" t="s">
        <v>152</v>
      </c>
      <c r="P665" s="87">
        <f>(C665+(E665*F665*H665))-N665</f>
        <v>0</v>
      </c>
      <c r="Q665" s="93" t="s">
        <v>152</v>
      </c>
      <c r="R665" s="94">
        <f>P665*(J665-(J665*L665)-((J665-(J665*L665))*M665))</f>
        <v>0</v>
      </c>
      <c r="S665" s="16">
        <f>R665/1.11</f>
        <v>0</v>
      </c>
    </row>
    <row r="666" spans="1:19" s="19" customFormat="1">
      <c r="A666" s="18" t="s">
        <v>521</v>
      </c>
      <c r="B666" s="19" t="s">
        <v>18</v>
      </c>
      <c r="C666" s="20">
        <v>62</v>
      </c>
      <c r="D666" s="21" t="s">
        <v>152</v>
      </c>
      <c r="E666" s="26">
        <v>1</v>
      </c>
      <c r="F666" s="22">
        <v>6</v>
      </c>
      <c r="G666" s="23" t="s">
        <v>33</v>
      </c>
      <c r="H666" s="22">
        <v>24</v>
      </c>
      <c r="I666" s="23" t="s">
        <v>152</v>
      </c>
      <c r="J666" s="24">
        <v>31500</v>
      </c>
      <c r="K666" s="21" t="s">
        <v>152</v>
      </c>
      <c r="L666" s="25">
        <v>0.125</v>
      </c>
      <c r="M666" s="25">
        <v>0.05</v>
      </c>
      <c r="N666" s="22"/>
      <c r="O666" s="23" t="s">
        <v>152</v>
      </c>
      <c r="P666" s="20">
        <f>(C666+(E666*F666*H666))-N666</f>
        <v>206</v>
      </c>
      <c r="Q666" s="23" t="s">
        <v>152</v>
      </c>
      <c r="R666" s="24">
        <f>P666*(J666-(J666*L666)-((J666-(J666*L666))*M666))</f>
        <v>5393981.25</v>
      </c>
      <c r="S666" s="8">
        <f>R666/1.11</f>
        <v>4859442.5675675673</v>
      </c>
    </row>
    <row r="667" spans="1:19" s="89" customFormat="1">
      <c r="A667" s="88" t="s">
        <v>522</v>
      </c>
      <c r="B667" s="89" t="s">
        <v>18</v>
      </c>
      <c r="C667" s="87"/>
      <c r="D667" s="90" t="s">
        <v>152</v>
      </c>
      <c r="E667" s="91"/>
      <c r="F667" s="92">
        <v>6</v>
      </c>
      <c r="G667" s="93" t="s">
        <v>33</v>
      </c>
      <c r="H667" s="92">
        <v>12</v>
      </c>
      <c r="I667" s="93" t="s">
        <v>152</v>
      </c>
      <c r="J667" s="94">
        <v>63000</v>
      </c>
      <c r="K667" s="90" t="s">
        <v>152</v>
      </c>
      <c r="L667" s="95">
        <v>0.125</v>
      </c>
      <c r="M667" s="95">
        <v>0.05</v>
      </c>
      <c r="N667" s="92"/>
      <c r="O667" s="93" t="s">
        <v>152</v>
      </c>
      <c r="P667" s="87">
        <f>(C667+(E667*F667*H667))-N667</f>
        <v>0</v>
      </c>
      <c r="Q667" s="93" t="s">
        <v>152</v>
      </c>
      <c r="R667" s="94">
        <f>P667*(J667-(J667*L667)-((J667-(J667*L667))*M667))</f>
        <v>0</v>
      </c>
      <c r="S667" s="16">
        <f>R667/1.11</f>
        <v>0</v>
      </c>
    </row>
    <row r="668" spans="1:19" s="89" customFormat="1">
      <c r="A668" s="88" t="s">
        <v>523</v>
      </c>
      <c r="B668" s="89" t="s">
        <v>18</v>
      </c>
      <c r="C668" s="87"/>
      <c r="D668" s="90" t="s">
        <v>152</v>
      </c>
      <c r="E668" s="91"/>
      <c r="F668" s="92">
        <v>6</v>
      </c>
      <c r="G668" s="93" t="s">
        <v>33</v>
      </c>
      <c r="H668" s="92">
        <v>24</v>
      </c>
      <c r="I668" s="93" t="s">
        <v>152</v>
      </c>
      <c r="J668" s="94"/>
      <c r="K668" s="90" t="s">
        <v>152</v>
      </c>
      <c r="L668" s="95">
        <v>0.1</v>
      </c>
      <c r="M668" s="95">
        <v>0.05</v>
      </c>
      <c r="N668" s="92"/>
      <c r="O668" s="93" t="s">
        <v>152</v>
      </c>
      <c r="P668" s="87">
        <f>(C668+(E668*F668*H668))-N668</f>
        <v>0</v>
      </c>
      <c r="Q668" s="93" t="s">
        <v>152</v>
      </c>
      <c r="R668" s="94">
        <f>P668*(J668-(J668*L668)-((J668-(J668*L668))*M668))</f>
        <v>0</v>
      </c>
      <c r="S668" s="16">
        <f>R668/1.11</f>
        <v>0</v>
      </c>
    </row>
    <row r="669" spans="1:19" s="89" customFormat="1">
      <c r="A669" s="88"/>
      <c r="C669" s="87"/>
      <c r="D669" s="90"/>
      <c r="E669" s="91"/>
      <c r="F669" s="92"/>
      <c r="G669" s="93"/>
      <c r="H669" s="92"/>
      <c r="I669" s="93"/>
      <c r="J669" s="94"/>
      <c r="K669" s="90"/>
      <c r="L669" s="95"/>
      <c r="M669" s="95"/>
      <c r="N669" s="92"/>
      <c r="O669" s="93"/>
      <c r="P669" s="87"/>
      <c r="Q669" s="93"/>
      <c r="R669" s="94"/>
      <c r="S669" s="16"/>
    </row>
    <row r="670" spans="1:19" s="106" customFormat="1">
      <c r="A670" s="166" t="s">
        <v>879</v>
      </c>
      <c r="B670" s="106" t="s">
        <v>25</v>
      </c>
      <c r="C670" s="107"/>
      <c r="D670" s="108" t="s">
        <v>152</v>
      </c>
      <c r="E670" s="109">
        <v>5</v>
      </c>
      <c r="F670" s="110">
        <v>6</v>
      </c>
      <c r="G670" s="111" t="s">
        <v>33</v>
      </c>
      <c r="H670" s="110">
        <v>24</v>
      </c>
      <c r="I670" s="111" t="s">
        <v>152</v>
      </c>
      <c r="J670" s="112">
        <v>25000</v>
      </c>
      <c r="K670" s="108" t="s">
        <v>152</v>
      </c>
      <c r="L670" s="113">
        <v>0.05</v>
      </c>
      <c r="M670" s="113">
        <v>0.17</v>
      </c>
      <c r="N670" s="110"/>
      <c r="O670" s="111" t="s">
        <v>152</v>
      </c>
      <c r="P670" s="107">
        <f>(C670+(E670*F670*H670))-N670</f>
        <v>720</v>
      </c>
      <c r="Q670" s="111" t="s">
        <v>152</v>
      </c>
      <c r="R670" s="112">
        <f>P670*(J670-(J670*L670)-((J670-(J670*L670))*M670))</f>
        <v>14193000</v>
      </c>
      <c r="S670" s="104">
        <f>R670/1.11</f>
        <v>12786486.486486485</v>
      </c>
    </row>
    <row r="672" spans="1:19" ht="15.75">
      <c r="A672" s="14" t="s">
        <v>423</v>
      </c>
    </row>
    <row r="673" spans="1:19" s="19" customFormat="1">
      <c r="A673" s="18" t="s">
        <v>424</v>
      </c>
      <c r="B673" s="19" t="s">
        <v>18</v>
      </c>
      <c r="C673" s="20">
        <v>59</v>
      </c>
      <c r="D673" s="21" t="s">
        <v>84</v>
      </c>
      <c r="E673" s="26">
        <v>45</v>
      </c>
      <c r="F673" s="22">
        <v>1</v>
      </c>
      <c r="G673" s="23" t="s">
        <v>20</v>
      </c>
      <c r="H673" s="22">
        <v>30</v>
      </c>
      <c r="I673" s="23" t="s">
        <v>84</v>
      </c>
      <c r="J673" s="24">
        <v>104400</v>
      </c>
      <c r="K673" s="21" t="s">
        <v>84</v>
      </c>
      <c r="L673" s="25">
        <v>0.125</v>
      </c>
      <c r="M673" s="25">
        <v>0.05</v>
      </c>
      <c r="N673" s="22"/>
      <c r="O673" s="23" t="s">
        <v>84</v>
      </c>
      <c r="P673" s="20">
        <f t="shared" ref="P673:P679" si="186">(C673+(E673*F673*H673))-N673</f>
        <v>1409</v>
      </c>
      <c r="Q673" s="23" t="s">
        <v>84</v>
      </c>
      <c r="R673" s="24">
        <f t="shared" ref="R673:R679" si="187">P673*(J673-(J673*L673)-((J673-(J673*L673))*M673))</f>
        <v>122276542.5</v>
      </c>
      <c r="S673" s="24">
        <f t="shared" si="182"/>
        <v>110159047.29729728</v>
      </c>
    </row>
    <row r="674" spans="1:19" s="89" customFormat="1">
      <c r="A674" s="88" t="s">
        <v>655</v>
      </c>
      <c r="B674" s="89" t="s">
        <v>18</v>
      </c>
      <c r="C674" s="87"/>
      <c r="D674" s="90" t="s">
        <v>84</v>
      </c>
      <c r="E674" s="91"/>
      <c r="F674" s="92">
        <v>1</v>
      </c>
      <c r="G674" s="93" t="s">
        <v>20</v>
      </c>
      <c r="H674" s="92">
        <v>30</v>
      </c>
      <c r="I674" s="93" t="s">
        <v>84</v>
      </c>
      <c r="J674" s="94">
        <v>102000</v>
      </c>
      <c r="K674" s="90" t="s">
        <v>84</v>
      </c>
      <c r="L674" s="95">
        <v>0.125</v>
      </c>
      <c r="M674" s="95">
        <v>0.05</v>
      </c>
      <c r="N674" s="92"/>
      <c r="O674" s="93" t="s">
        <v>84</v>
      </c>
      <c r="P674" s="87">
        <f t="shared" si="186"/>
        <v>0</v>
      </c>
      <c r="Q674" s="93" t="s">
        <v>84</v>
      </c>
      <c r="R674" s="94">
        <f t="shared" si="187"/>
        <v>0</v>
      </c>
      <c r="S674" s="94">
        <f t="shared" si="182"/>
        <v>0</v>
      </c>
    </row>
    <row r="675" spans="1:19" s="80" customFormat="1">
      <c r="A675" s="79" t="s">
        <v>425</v>
      </c>
      <c r="B675" s="80" t="s">
        <v>18</v>
      </c>
      <c r="C675" s="81"/>
      <c r="D675" s="82" t="s">
        <v>84</v>
      </c>
      <c r="E675" s="83"/>
      <c r="F675" s="84">
        <v>1</v>
      </c>
      <c r="G675" s="85" t="s">
        <v>20</v>
      </c>
      <c r="H675" s="84">
        <v>30</v>
      </c>
      <c r="I675" s="85" t="s">
        <v>84</v>
      </c>
      <c r="J675" s="16">
        <v>99000</v>
      </c>
      <c r="K675" s="82" t="s">
        <v>84</v>
      </c>
      <c r="L675" s="86">
        <v>0.125</v>
      </c>
      <c r="M675" s="86">
        <v>0.05</v>
      </c>
      <c r="N675" s="84"/>
      <c r="O675" s="85" t="s">
        <v>84</v>
      </c>
      <c r="P675" s="81">
        <f t="shared" si="186"/>
        <v>0</v>
      </c>
      <c r="Q675" s="85" t="s">
        <v>84</v>
      </c>
      <c r="R675" s="16">
        <f t="shared" si="187"/>
        <v>0</v>
      </c>
      <c r="S675" s="16">
        <f t="shared" si="182"/>
        <v>0</v>
      </c>
    </row>
    <row r="676" spans="1:19">
      <c r="A676" s="17" t="s">
        <v>426</v>
      </c>
      <c r="B676" s="2" t="s">
        <v>18</v>
      </c>
      <c r="D676" s="4" t="s">
        <v>84</v>
      </c>
      <c r="E676" s="5">
        <v>2</v>
      </c>
      <c r="F676" s="6">
        <v>1</v>
      </c>
      <c r="G676" s="7" t="s">
        <v>20</v>
      </c>
      <c r="H676" s="6">
        <v>30</v>
      </c>
      <c r="I676" s="7" t="s">
        <v>84</v>
      </c>
      <c r="J676" s="8">
        <v>96000</v>
      </c>
      <c r="K676" s="4" t="s">
        <v>84</v>
      </c>
      <c r="L676" s="9">
        <v>0.125</v>
      </c>
      <c r="M676" s="9">
        <v>0.05</v>
      </c>
      <c r="O676" s="7" t="s">
        <v>84</v>
      </c>
      <c r="P676" s="3">
        <f t="shared" si="186"/>
        <v>60</v>
      </c>
      <c r="Q676" s="7" t="s">
        <v>84</v>
      </c>
      <c r="R676" s="8">
        <f t="shared" si="187"/>
        <v>4788000</v>
      </c>
      <c r="S676" s="8">
        <f t="shared" si="182"/>
        <v>4313513.5135135129</v>
      </c>
    </row>
    <row r="677" spans="1:19" s="80" customFormat="1">
      <c r="A677" s="79" t="s">
        <v>427</v>
      </c>
      <c r="B677" s="80" t="s">
        <v>18</v>
      </c>
      <c r="C677" s="81"/>
      <c r="D677" s="82" t="s">
        <v>84</v>
      </c>
      <c r="E677" s="83"/>
      <c r="F677" s="84">
        <v>1</v>
      </c>
      <c r="G677" s="85" t="s">
        <v>20</v>
      </c>
      <c r="H677" s="84">
        <v>30</v>
      </c>
      <c r="I677" s="85" t="s">
        <v>84</v>
      </c>
      <c r="J677" s="16">
        <v>109000</v>
      </c>
      <c r="K677" s="82" t="s">
        <v>84</v>
      </c>
      <c r="L677" s="86">
        <v>0.125</v>
      </c>
      <c r="M677" s="86">
        <v>0.05</v>
      </c>
      <c r="N677" s="84"/>
      <c r="O677" s="85" t="s">
        <v>84</v>
      </c>
      <c r="P677" s="81">
        <f t="shared" si="186"/>
        <v>0</v>
      </c>
      <c r="Q677" s="85" t="s">
        <v>84</v>
      </c>
      <c r="R677" s="16">
        <f t="shared" si="187"/>
        <v>0</v>
      </c>
      <c r="S677" s="16">
        <f t="shared" si="182"/>
        <v>0</v>
      </c>
    </row>
    <row r="678" spans="1:19" s="80" customFormat="1">
      <c r="A678" s="79" t="s">
        <v>798</v>
      </c>
      <c r="B678" s="80" t="s">
        <v>18</v>
      </c>
      <c r="C678" s="81"/>
      <c r="D678" s="82" t="s">
        <v>84</v>
      </c>
      <c r="E678" s="83"/>
      <c r="F678" s="84">
        <v>1</v>
      </c>
      <c r="G678" s="85" t="s">
        <v>20</v>
      </c>
      <c r="H678" s="84">
        <v>30</v>
      </c>
      <c r="I678" s="85" t="s">
        <v>84</v>
      </c>
      <c r="J678" s="16">
        <v>144000</v>
      </c>
      <c r="K678" s="82" t="s">
        <v>84</v>
      </c>
      <c r="L678" s="86">
        <v>0.125</v>
      </c>
      <c r="M678" s="86">
        <v>0.05</v>
      </c>
      <c r="N678" s="84"/>
      <c r="O678" s="85" t="s">
        <v>84</v>
      </c>
      <c r="P678" s="81">
        <f t="shared" si="186"/>
        <v>0</v>
      </c>
      <c r="Q678" s="85" t="s">
        <v>84</v>
      </c>
      <c r="R678" s="16">
        <f t="shared" si="187"/>
        <v>0</v>
      </c>
      <c r="S678" s="16">
        <f t="shared" si="182"/>
        <v>0</v>
      </c>
    </row>
    <row r="679" spans="1:19" s="80" customFormat="1">
      <c r="A679" s="79" t="s">
        <v>734</v>
      </c>
      <c r="B679" s="80" t="s">
        <v>18</v>
      </c>
      <c r="C679" s="81"/>
      <c r="D679" s="82" t="s">
        <v>84</v>
      </c>
      <c r="E679" s="83"/>
      <c r="F679" s="84">
        <v>1</v>
      </c>
      <c r="G679" s="85" t="s">
        <v>20</v>
      </c>
      <c r="H679" s="84">
        <v>30</v>
      </c>
      <c r="I679" s="85" t="s">
        <v>84</v>
      </c>
      <c r="J679" s="16">
        <v>144000</v>
      </c>
      <c r="K679" s="82" t="s">
        <v>84</v>
      </c>
      <c r="L679" s="86">
        <v>0.125</v>
      </c>
      <c r="M679" s="86">
        <v>0.05</v>
      </c>
      <c r="N679" s="84"/>
      <c r="O679" s="85" t="s">
        <v>84</v>
      </c>
      <c r="P679" s="81">
        <f t="shared" si="186"/>
        <v>0</v>
      </c>
      <c r="Q679" s="85" t="s">
        <v>84</v>
      </c>
      <c r="R679" s="16">
        <f t="shared" si="187"/>
        <v>0</v>
      </c>
      <c r="S679" s="16">
        <f t="shared" si="182"/>
        <v>0</v>
      </c>
    </row>
    <row r="681" spans="1:19" s="17" customFormat="1">
      <c r="A681" s="49" t="s">
        <v>753</v>
      </c>
      <c r="B681" s="17" t="s">
        <v>25</v>
      </c>
      <c r="C681" s="60">
        <v>5</v>
      </c>
      <c r="D681" s="61" t="s">
        <v>84</v>
      </c>
      <c r="E681" s="41"/>
      <c r="F681" s="62">
        <v>1</v>
      </c>
      <c r="G681" s="63" t="s">
        <v>20</v>
      </c>
      <c r="H681" s="62">
        <v>20</v>
      </c>
      <c r="I681" s="63" t="s">
        <v>84</v>
      </c>
      <c r="J681" s="64">
        <f>2448000/20</f>
        <v>122400</v>
      </c>
      <c r="K681" s="61" t="s">
        <v>84</v>
      </c>
      <c r="L681" s="65"/>
      <c r="M681" s="65">
        <v>0.17</v>
      </c>
      <c r="N681" s="62"/>
      <c r="O681" s="63" t="s">
        <v>84</v>
      </c>
      <c r="P681" s="60">
        <f t="shared" ref="P681:P699" si="188">(C681+(E681*F681*H681))-N681</f>
        <v>5</v>
      </c>
      <c r="Q681" s="63" t="s">
        <v>84</v>
      </c>
      <c r="R681" s="64">
        <f t="shared" ref="R681:R699" si="189">P681*(J681-(J681*L681)-((J681-(J681*L681))*M681))</f>
        <v>507960</v>
      </c>
      <c r="S681" s="8">
        <f t="shared" ref="S681:S682" si="190">R681/1.11</f>
        <v>457621.6216216216</v>
      </c>
    </row>
    <row r="682" spans="1:19" s="18" customFormat="1">
      <c r="A682" s="49" t="s">
        <v>428</v>
      </c>
      <c r="B682" s="18" t="s">
        <v>25</v>
      </c>
      <c r="C682" s="50">
        <v>40</v>
      </c>
      <c r="D682" s="51" t="s">
        <v>84</v>
      </c>
      <c r="E682" s="52">
        <v>1</v>
      </c>
      <c r="F682" s="53">
        <v>1</v>
      </c>
      <c r="G682" s="48" t="s">
        <v>20</v>
      </c>
      <c r="H682" s="53">
        <v>20</v>
      </c>
      <c r="I682" s="48" t="s">
        <v>84</v>
      </c>
      <c r="J682" s="29">
        <v>115200</v>
      </c>
      <c r="K682" s="51" t="s">
        <v>84</v>
      </c>
      <c r="L682" s="54"/>
      <c r="M682" s="54">
        <v>0.17</v>
      </c>
      <c r="N682" s="53"/>
      <c r="O682" s="48" t="s">
        <v>84</v>
      </c>
      <c r="P682" s="50">
        <f t="shared" ref="P682" si="191">(C682+(E682*F682*H682))-N682</f>
        <v>60</v>
      </c>
      <c r="Q682" s="48" t="s">
        <v>84</v>
      </c>
      <c r="R682" s="29">
        <f t="shared" ref="R682" si="192">P682*(J682-(J682*L682)-((J682-(J682*L682))*M682))</f>
        <v>5736960</v>
      </c>
      <c r="S682" s="24">
        <f t="shared" si="190"/>
        <v>5168432.4324324317</v>
      </c>
    </row>
    <row r="683" spans="1:19" s="79" customFormat="1">
      <c r="A683" s="145" t="s">
        <v>745</v>
      </c>
      <c r="B683" s="79" t="s">
        <v>25</v>
      </c>
      <c r="C683" s="154"/>
      <c r="D683" s="155" t="s">
        <v>84</v>
      </c>
      <c r="E683" s="156"/>
      <c r="F683" s="157">
        <v>1</v>
      </c>
      <c r="G683" s="158" t="s">
        <v>20</v>
      </c>
      <c r="H683" s="157">
        <v>20</v>
      </c>
      <c r="I683" s="158" t="s">
        <v>84</v>
      </c>
      <c r="J683" s="159">
        <f>2880000/20</f>
        <v>144000</v>
      </c>
      <c r="K683" s="155" t="s">
        <v>84</v>
      </c>
      <c r="L683" s="160"/>
      <c r="M683" s="160">
        <v>0.17</v>
      </c>
      <c r="N683" s="157"/>
      <c r="O683" s="158" t="s">
        <v>84</v>
      </c>
      <c r="P683" s="154">
        <f t="shared" si="188"/>
        <v>0</v>
      </c>
      <c r="Q683" s="158" t="s">
        <v>84</v>
      </c>
      <c r="R683" s="159">
        <f t="shared" si="189"/>
        <v>0</v>
      </c>
      <c r="S683" s="16">
        <f t="shared" si="182"/>
        <v>0</v>
      </c>
    </row>
    <row r="684" spans="1:19" s="17" customFormat="1">
      <c r="A684" s="49" t="s">
        <v>658</v>
      </c>
      <c r="B684" s="17" t="s">
        <v>25</v>
      </c>
      <c r="C684" s="60">
        <v>60</v>
      </c>
      <c r="D684" s="61" t="s">
        <v>84</v>
      </c>
      <c r="E684" s="41"/>
      <c r="F684" s="62">
        <v>1</v>
      </c>
      <c r="G684" s="63" t="s">
        <v>20</v>
      </c>
      <c r="H684" s="62">
        <v>20</v>
      </c>
      <c r="I684" s="63" t="s">
        <v>84</v>
      </c>
      <c r="J684" s="64">
        <f>2448000/20</f>
        <v>122400</v>
      </c>
      <c r="K684" s="61" t="s">
        <v>84</v>
      </c>
      <c r="L684" s="65"/>
      <c r="M684" s="65">
        <v>0.17</v>
      </c>
      <c r="N684" s="62"/>
      <c r="O684" s="63" t="s">
        <v>84</v>
      </c>
      <c r="P684" s="60">
        <f t="shared" si="188"/>
        <v>60</v>
      </c>
      <c r="Q684" s="63" t="s">
        <v>84</v>
      </c>
      <c r="R684" s="64">
        <f t="shared" si="189"/>
        <v>6095520</v>
      </c>
      <c r="S684" s="8">
        <f t="shared" si="182"/>
        <v>5491459.4594594594</v>
      </c>
    </row>
    <row r="685" spans="1:19" s="17" customFormat="1">
      <c r="A685" s="49" t="s">
        <v>429</v>
      </c>
      <c r="B685" s="17" t="s">
        <v>25</v>
      </c>
      <c r="C685" s="60">
        <v>20</v>
      </c>
      <c r="D685" s="61" t="s">
        <v>84</v>
      </c>
      <c r="E685" s="41">
        <v>13</v>
      </c>
      <c r="F685" s="62">
        <v>1</v>
      </c>
      <c r="G685" s="63" t="s">
        <v>20</v>
      </c>
      <c r="H685" s="62">
        <v>20</v>
      </c>
      <c r="I685" s="63" t="s">
        <v>84</v>
      </c>
      <c r="J685" s="64">
        <f>2112000/20</f>
        <v>105600</v>
      </c>
      <c r="K685" s="61" t="s">
        <v>84</v>
      </c>
      <c r="L685" s="65"/>
      <c r="M685" s="65">
        <v>0.17</v>
      </c>
      <c r="N685" s="62"/>
      <c r="O685" s="63" t="s">
        <v>84</v>
      </c>
      <c r="P685" s="60">
        <f t="shared" si="188"/>
        <v>280</v>
      </c>
      <c r="Q685" s="63" t="s">
        <v>84</v>
      </c>
      <c r="R685" s="64">
        <f t="shared" si="189"/>
        <v>24541440</v>
      </c>
      <c r="S685" s="8">
        <f t="shared" si="182"/>
        <v>22109405.405405402</v>
      </c>
    </row>
    <row r="686" spans="1:19" s="17" customFormat="1">
      <c r="A686" s="49" t="s">
        <v>430</v>
      </c>
      <c r="B686" s="17" t="s">
        <v>25</v>
      </c>
      <c r="C686" s="60"/>
      <c r="D686" s="61" t="s">
        <v>84</v>
      </c>
      <c r="E686" s="41">
        <v>2</v>
      </c>
      <c r="F686" s="62">
        <v>1</v>
      </c>
      <c r="G686" s="63" t="s">
        <v>20</v>
      </c>
      <c r="H686" s="62">
        <v>20</v>
      </c>
      <c r="I686" s="63" t="s">
        <v>84</v>
      </c>
      <c r="J686" s="64">
        <f>2448000/20</f>
        <v>122400</v>
      </c>
      <c r="K686" s="61" t="s">
        <v>84</v>
      </c>
      <c r="L686" s="65"/>
      <c r="M686" s="65">
        <v>0.17</v>
      </c>
      <c r="N686" s="62"/>
      <c r="O686" s="63" t="s">
        <v>84</v>
      </c>
      <c r="P686" s="60">
        <f t="shared" si="188"/>
        <v>40</v>
      </c>
      <c r="Q686" s="63" t="s">
        <v>84</v>
      </c>
      <c r="R686" s="64">
        <f t="shared" si="189"/>
        <v>4063680</v>
      </c>
      <c r="S686" s="8">
        <f t="shared" si="182"/>
        <v>3660972.9729729728</v>
      </c>
    </row>
    <row r="687" spans="1:19" s="17" customFormat="1">
      <c r="A687" s="49" t="s">
        <v>431</v>
      </c>
      <c r="B687" s="17" t="s">
        <v>25</v>
      </c>
      <c r="C687" s="60">
        <v>20</v>
      </c>
      <c r="D687" s="61" t="s">
        <v>84</v>
      </c>
      <c r="E687" s="41"/>
      <c r="F687" s="62">
        <v>1</v>
      </c>
      <c r="G687" s="63" t="s">
        <v>20</v>
      </c>
      <c r="H687" s="62">
        <v>20</v>
      </c>
      <c r="I687" s="63" t="s">
        <v>84</v>
      </c>
      <c r="J687" s="64">
        <f>2256000/20</f>
        <v>112800</v>
      </c>
      <c r="K687" s="61" t="s">
        <v>84</v>
      </c>
      <c r="L687" s="65"/>
      <c r="M687" s="65">
        <v>0.17</v>
      </c>
      <c r="N687" s="62"/>
      <c r="O687" s="63" t="s">
        <v>84</v>
      </c>
      <c r="P687" s="60">
        <f t="shared" si="188"/>
        <v>20</v>
      </c>
      <c r="Q687" s="63" t="s">
        <v>84</v>
      </c>
      <c r="R687" s="64">
        <f t="shared" si="189"/>
        <v>1872480</v>
      </c>
      <c r="S687" s="8">
        <f t="shared" si="182"/>
        <v>1686918.9189189188</v>
      </c>
    </row>
    <row r="688" spans="1:19" s="17" customFormat="1">
      <c r="A688" s="49" t="s">
        <v>432</v>
      </c>
      <c r="B688" s="17" t="s">
        <v>25</v>
      </c>
      <c r="C688" s="50"/>
      <c r="D688" s="61" t="s">
        <v>84</v>
      </c>
      <c r="E688" s="41">
        <v>1</v>
      </c>
      <c r="F688" s="62">
        <v>1</v>
      </c>
      <c r="G688" s="63" t="s">
        <v>20</v>
      </c>
      <c r="H688" s="62">
        <v>20</v>
      </c>
      <c r="I688" s="63" t="s">
        <v>84</v>
      </c>
      <c r="J688" s="64">
        <f>8500*12</f>
        <v>102000</v>
      </c>
      <c r="K688" s="61" t="s">
        <v>84</v>
      </c>
      <c r="L688" s="65"/>
      <c r="M688" s="65">
        <v>0.17</v>
      </c>
      <c r="N688" s="66"/>
      <c r="O688" s="63" t="s">
        <v>84</v>
      </c>
      <c r="P688" s="60">
        <f t="shared" si="188"/>
        <v>20</v>
      </c>
      <c r="Q688" s="63" t="s">
        <v>84</v>
      </c>
      <c r="R688" s="64">
        <f t="shared" si="189"/>
        <v>1693200</v>
      </c>
      <c r="S688" s="8">
        <f t="shared" si="182"/>
        <v>1525405.4054054052</v>
      </c>
    </row>
    <row r="689" spans="1:19" s="79" customFormat="1">
      <c r="A689" s="145" t="s">
        <v>433</v>
      </c>
      <c r="B689" s="79" t="s">
        <v>25</v>
      </c>
      <c r="C689" s="161"/>
      <c r="D689" s="155" t="s">
        <v>84</v>
      </c>
      <c r="E689" s="156"/>
      <c r="F689" s="157">
        <v>1</v>
      </c>
      <c r="G689" s="158" t="s">
        <v>20</v>
      </c>
      <c r="H689" s="157">
        <v>20</v>
      </c>
      <c r="I689" s="158" t="s">
        <v>84</v>
      </c>
      <c r="J689" s="159">
        <v>103200</v>
      </c>
      <c r="K689" s="155" t="s">
        <v>84</v>
      </c>
      <c r="L689" s="160"/>
      <c r="M689" s="160">
        <v>0.17</v>
      </c>
      <c r="N689" s="157"/>
      <c r="O689" s="158" t="s">
        <v>84</v>
      </c>
      <c r="P689" s="154">
        <f t="shared" si="188"/>
        <v>0</v>
      </c>
      <c r="Q689" s="158" t="s">
        <v>84</v>
      </c>
      <c r="R689" s="159">
        <f t="shared" si="189"/>
        <v>0</v>
      </c>
      <c r="S689" s="16">
        <f t="shared" si="182"/>
        <v>0</v>
      </c>
    </row>
    <row r="690" spans="1:19" s="80" customFormat="1">
      <c r="A690" s="79" t="s">
        <v>434</v>
      </c>
      <c r="B690" s="80" t="s">
        <v>25</v>
      </c>
      <c r="C690" s="87"/>
      <c r="D690" s="82" t="s">
        <v>84</v>
      </c>
      <c r="E690" s="83"/>
      <c r="F690" s="84">
        <v>1</v>
      </c>
      <c r="G690" s="85" t="s">
        <v>20</v>
      </c>
      <c r="H690" s="84">
        <v>20</v>
      </c>
      <c r="I690" s="85" t="s">
        <v>84</v>
      </c>
      <c r="J690" s="16">
        <f>1980000/20</f>
        <v>99000</v>
      </c>
      <c r="K690" s="82" t="s">
        <v>84</v>
      </c>
      <c r="L690" s="86"/>
      <c r="M690" s="86">
        <v>0.17</v>
      </c>
      <c r="N690" s="84"/>
      <c r="O690" s="85" t="s">
        <v>84</v>
      </c>
      <c r="P690" s="81">
        <f t="shared" si="188"/>
        <v>0</v>
      </c>
      <c r="Q690" s="85" t="s">
        <v>84</v>
      </c>
      <c r="R690" s="16">
        <f t="shared" si="189"/>
        <v>0</v>
      </c>
      <c r="S690" s="16">
        <f t="shared" si="182"/>
        <v>0</v>
      </c>
    </row>
    <row r="691" spans="1:19" s="18" customFormat="1">
      <c r="A691" s="49" t="s">
        <v>435</v>
      </c>
      <c r="B691" s="18" t="s">
        <v>25</v>
      </c>
      <c r="C691" s="50">
        <v>115</v>
      </c>
      <c r="D691" s="51" t="s">
        <v>84</v>
      </c>
      <c r="E691" s="52">
        <v>2</v>
      </c>
      <c r="F691" s="53">
        <v>1</v>
      </c>
      <c r="G691" s="48" t="s">
        <v>20</v>
      </c>
      <c r="H691" s="53">
        <v>20</v>
      </c>
      <c r="I691" s="48" t="s">
        <v>84</v>
      </c>
      <c r="J691" s="29">
        <f>2208000/20</f>
        <v>110400</v>
      </c>
      <c r="K691" s="51" t="s">
        <v>84</v>
      </c>
      <c r="L691" s="54"/>
      <c r="M691" s="54">
        <v>0.17</v>
      </c>
      <c r="N691" s="53"/>
      <c r="O691" s="48" t="s">
        <v>84</v>
      </c>
      <c r="P691" s="50">
        <f t="shared" si="188"/>
        <v>155</v>
      </c>
      <c r="Q691" s="48" t="s">
        <v>84</v>
      </c>
      <c r="R691" s="29">
        <f t="shared" si="189"/>
        <v>14202960</v>
      </c>
      <c r="S691" s="24">
        <f t="shared" si="182"/>
        <v>12795459.459459458</v>
      </c>
    </row>
    <row r="692" spans="1:19" s="18" customFormat="1">
      <c r="A692" s="49" t="s">
        <v>436</v>
      </c>
      <c r="B692" s="18" t="s">
        <v>25</v>
      </c>
      <c r="C692" s="50">
        <v>96</v>
      </c>
      <c r="D692" s="51" t="s">
        <v>84</v>
      </c>
      <c r="E692" s="52">
        <v>1</v>
      </c>
      <c r="F692" s="53">
        <v>1</v>
      </c>
      <c r="G692" s="48" t="s">
        <v>20</v>
      </c>
      <c r="H692" s="53">
        <v>20</v>
      </c>
      <c r="I692" s="48" t="s">
        <v>84</v>
      </c>
      <c r="J692" s="29">
        <f>2208000/20</f>
        <v>110400</v>
      </c>
      <c r="K692" s="51" t="s">
        <v>84</v>
      </c>
      <c r="L692" s="54"/>
      <c r="M692" s="54">
        <v>0.17</v>
      </c>
      <c r="N692" s="53"/>
      <c r="O692" s="48" t="s">
        <v>84</v>
      </c>
      <c r="P692" s="50">
        <f t="shared" si="188"/>
        <v>116</v>
      </c>
      <c r="Q692" s="48" t="s">
        <v>84</v>
      </c>
      <c r="R692" s="29">
        <f t="shared" si="189"/>
        <v>10629312</v>
      </c>
      <c r="S692" s="24">
        <f t="shared" si="182"/>
        <v>9575956.7567567565</v>
      </c>
    </row>
    <row r="693" spans="1:19" s="17" customFormat="1">
      <c r="A693" s="49" t="s">
        <v>437</v>
      </c>
      <c r="B693" s="17" t="s">
        <v>25</v>
      </c>
      <c r="C693" s="60">
        <v>19</v>
      </c>
      <c r="D693" s="61" t="s">
        <v>84</v>
      </c>
      <c r="E693" s="41"/>
      <c r="F693" s="62">
        <v>1</v>
      </c>
      <c r="G693" s="63" t="s">
        <v>20</v>
      </c>
      <c r="H693" s="62">
        <v>20</v>
      </c>
      <c r="I693" s="63" t="s">
        <v>84</v>
      </c>
      <c r="J693" s="64">
        <f>2112000/20</f>
        <v>105600</v>
      </c>
      <c r="K693" s="61" t="s">
        <v>84</v>
      </c>
      <c r="L693" s="65"/>
      <c r="M693" s="65">
        <v>0.17</v>
      </c>
      <c r="N693" s="62"/>
      <c r="O693" s="63" t="s">
        <v>84</v>
      </c>
      <c r="P693" s="60">
        <f t="shared" si="188"/>
        <v>19</v>
      </c>
      <c r="Q693" s="63" t="s">
        <v>84</v>
      </c>
      <c r="R693" s="64">
        <f t="shared" si="189"/>
        <v>1665312</v>
      </c>
      <c r="S693" s="8">
        <f t="shared" si="182"/>
        <v>1500281.0810810809</v>
      </c>
    </row>
    <row r="694" spans="1:19" s="79" customFormat="1">
      <c r="A694" s="145" t="s">
        <v>438</v>
      </c>
      <c r="B694" s="79" t="s">
        <v>25</v>
      </c>
      <c r="C694" s="154"/>
      <c r="D694" s="155" t="s">
        <v>84</v>
      </c>
      <c r="E694" s="156"/>
      <c r="F694" s="157">
        <v>1</v>
      </c>
      <c r="G694" s="158" t="s">
        <v>20</v>
      </c>
      <c r="H694" s="157">
        <v>20</v>
      </c>
      <c r="I694" s="158" t="s">
        <v>84</v>
      </c>
      <c r="J694" s="159">
        <f>2160000/20</f>
        <v>108000</v>
      </c>
      <c r="K694" s="155" t="s">
        <v>84</v>
      </c>
      <c r="L694" s="160"/>
      <c r="M694" s="160">
        <v>0.17</v>
      </c>
      <c r="N694" s="157"/>
      <c r="O694" s="158" t="s">
        <v>84</v>
      </c>
      <c r="P694" s="154">
        <f t="shared" si="188"/>
        <v>0</v>
      </c>
      <c r="Q694" s="158" t="s">
        <v>84</v>
      </c>
      <c r="R694" s="159">
        <f t="shared" si="189"/>
        <v>0</v>
      </c>
      <c r="S694" s="16">
        <f t="shared" si="182"/>
        <v>0</v>
      </c>
    </row>
    <row r="695" spans="1:19" s="17" customFormat="1">
      <c r="A695" s="49" t="s">
        <v>439</v>
      </c>
      <c r="B695" s="17" t="s">
        <v>25</v>
      </c>
      <c r="C695" s="60"/>
      <c r="D695" s="61" t="s">
        <v>84</v>
      </c>
      <c r="E695" s="41">
        <v>12</v>
      </c>
      <c r="F695" s="62">
        <v>1</v>
      </c>
      <c r="G695" s="63" t="s">
        <v>20</v>
      </c>
      <c r="H695" s="62">
        <v>20</v>
      </c>
      <c r="I695" s="63" t="s">
        <v>84</v>
      </c>
      <c r="J695" s="64">
        <f>2160000/20</f>
        <v>108000</v>
      </c>
      <c r="K695" s="61" t="s">
        <v>84</v>
      </c>
      <c r="L695" s="65"/>
      <c r="M695" s="65">
        <v>0.17</v>
      </c>
      <c r="N695" s="62"/>
      <c r="O695" s="63" t="s">
        <v>84</v>
      </c>
      <c r="P695" s="60">
        <f t="shared" si="188"/>
        <v>240</v>
      </c>
      <c r="Q695" s="63" t="s">
        <v>84</v>
      </c>
      <c r="R695" s="64">
        <f t="shared" si="189"/>
        <v>21513600</v>
      </c>
      <c r="S695" s="8">
        <f t="shared" si="182"/>
        <v>19381621.62162162</v>
      </c>
    </row>
    <row r="696" spans="1:19" s="79" customFormat="1">
      <c r="A696" s="145" t="s">
        <v>711</v>
      </c>
      <c r="B696" s="79" t="s">
        <v>25</v>
      </c>
      <c r="C696" s="154"/>
      <c r="D696" s="155" t="s">
        <v>84</v>
      </c>
      <c r="E696" s="156"/>
      <c r="F696" s="157">
        <v>1</v>
      </c>
      <c r="G696" s="158" t="s">
        <v>20</v>
      </c>
      <c r="H696" s="157">
        <v>20</v>
      </c>
      <c r="I696" s="158" t="s">
        <v>84</v>
      </c>
      <c r="J696" s="159">
        <f>2256000/20</f>
        <v>112800</v>
      </c>
      <c r="K696" s="155" t="s">
        <v>84</v>
      </c>
      <c r="L696" s="160"/>
      <c r="M696" s="160">
        <v>0.17</v>
      </c>
      <c r="N696" s="157"/>
      <c r="O696" s="158" t="s">
        <v>84</v>
      </c>
      <c r="P696" s="154">
        <f t="shared" si="188"/>
        <v>0</v>
      </c>
      <c r="Q696" s="158" t="s">
        <v>84</v>
      </c>
      <c r="R696" s="159">
        <f t="shared" si="189"/>
        <v>0</v>
      </c>
      <c r="S696" s="16">
        <f t="shared" si="182"/>
        <v>0</v>
      </c>
    </row>
    <row r="697" spans="1:19" s="17" customFormat="1">
      <c r="A697" s="49" t="s">
        <v>440</v>
      </c>
      <c r="B697" s="17" t="s">
        <v>25</v>
      </c>
      <c r="C697" s="60"/>
      <c r="D697" s="61" t="s">
        <v>84</v>
      </c>
      <c r="E697" s="41">
        <v>1</v>
      </c>
      <c r="F697" s="62">
        <v>1</v>
      </c>
      <c r="G697" s="63" t="s">
        <v>20</v>
      </c>
      <c r="H697" s="62">
        <v>20</v>
      </c>
      <c r="I697" s="63" t="s">
        <v>84</v>
      </c>
      <c r="J697" s="64">
        <f>2112000/20</f>
        <v>105600</v>
      </c>
      <c r="K697" s="61" t="s">
        <v>84</v>
      </c>
      <c r="L697" s="65"/>
      <c r="M697" s="65">
        <v>0.17</v>
      </c>
      <c r="N697" s="62"/>
      <c r="O697" s="63" t="s">
        <v>84</v>
      </c>
      <c r="P697" s="60">
        <f t="shared" si="188"/>
        <v>20</v>
      </c>
      <c r="Q697" s="63" t="s">
        <v>84</v>
      </c>
      <c r="R697" s="64">
        <f t="shared" si="189"/>
        <v>1752960</v>
      </c>
      <c r="S697" s="8">
        <f t="shared" si="182"/>
        <v>1579243.2432432431</v>
      </c>
    </row>
    <row r="698" spans="1:19" s="79" customFormat="1">
      <c r="A698" s="145" t="s">
        <v>441</v>
      </c>
      <c r="B698" s="79" t="s">
        <v>25</v>
      </c>
      <c r="C698" s="154"/>
      <c r="D698" s="155" t="s">
        <v>84</v>
      </c>
      <c r="E698" s="156"/>
      <c r="F698" s="157">
        <v>1</v>
      </c>
      <c r="G698" s="158" t="s">
        <v>20</v>
      </c>
      <c r="H698" s="157">
        <v>20</v>
      </c>
      <c r="I698" s="158" t="s">
        <v>84</v>
      </c>
      <c r="J698" s="159">
        <f>2352000/20</f>
        <v>117600</v>
      </c>
      <c r="K698" s="155" t="s">
        <v>84</v>
      </c>
      <c r="L698" s="160"/>
      <c r="M698" s="160">
        <v>0.17</v>
      </c>
      <c r="N698" s="157"/>
      <c r="O698" s="158" t="s">
        <v>84</v>
      </c>
      <c r="P698" s="154">
        <f t="shared" si="188"/>
        <v>0</v>
      </c>
      <c r="Q698" s="158" t="s">
        <v>84</v>
      </c>
      <c r="R698" s="159">
        <f t="shared" si="189"/>
        <v>0</v>
      </c>
      <c r="S698" s="16">
        <f t="shared" si="182"/>
        <v>0</v>
      </c>
    </row>
    <row r="699" spans="1:19" s="17" customFormat="1">
      <c r="A699" s="49" t="s">
        <v>746</v>
      </c>
      <c r="B699" s="17" t="s">
        <v>25</v>
      </c>
      <c r="C699" s="60"/>
      <c r="D699" s="61" t="s">
        <v>84</v>
      </c>
      <c r="E699" s="41">
        <v>1</v>
      </c>
      <c r="F699" s="62">
        <v>1</v>
      </c>
      <c r="G699" s="63" t="s">
        <v>20</v>
      </c>
      <c r="H699" s="62">
        <v>20</v>
      </c>
      <c r="I699" s="63" t="s">
        <v>84</v>
      </c>
      <c r="J699" s="64">
        <f>2256000/20</f>
        <v>112800</v>
      </c>
      <c r="K699" s="61" t="s">
        <v>84</v>
      </c>
      <c r="L699" s="65"/>
      <c r="M699" s="65">
        <v>0.17</v>
      </c>
      <c r="N699" s="62"/>
      <c r="O699" s="63" t="s">
        <v>84</v>
      </c>
      <c r="P699" s="60">
        <f t="shared" si="188"/>
        <v>20</v>
      </c>
      <c r="Q699" s="63" t="s">
        <v>84</v>
      </c>
      <c r="R699" s="64">
        <f t="shared" si="189"/>
        <v>1872480</v>
      </c>
      <c r="S699" s="8">
        <f t="shared" si="182"/>
        <v>1686918.9189189188</v>
      </c>
    </row>
    <row r="700" spans="1:19" s="17" customFormat="1">
      <c r="A700" s="49"/>
      <c r="C700" s="60"/>
      <c r="D700" s="61"/>
      <c r="E700" s="41"/>
      <c r="F700" s="62"/>
      <c r="G700" s="63"/>
      <c r="H700" s="62"/>
      <c r="I700" s="63"/>
      <c r="J700" s="64"/>
      <c r="K700" s="61"/>
      <c r="L700" s="65"/>
      <c r="M700" s="65"/>
      <c r="N700" s="62"/>
      <c r="O700" s="63"/>
      <c r="P700" s="60"/>
      <c r="Q700" s="63"/>
      <c r="R700" s="64"/>
      <c r="S700" s="8"/>
    </row>
    <row r="701" spans="1:19" s="17" customFormat="1">
      <c r="A701" s="49" t="s">
        <v>442</v>
      </c>
      <c r="B701" s="17" t="s">
        <v>182</v>
      </c>
      <c r="C701" s="60">
        <v>181</v>
      </c>
      <c r="D701" s="61" t="s">
        <v>84</v>
      </c>
      <c r="E701" s="41"/>
      <c r="F701" s="62">
        <v>1</v>
      </c>
      <c r="G701" s="63" t="s">
        <v>20</v>
      </c>
      <c r="H701" s="62">
        <v>30</v>
      </c>
      <c r="I701" s="63" t="s">
        <v>84</v>
      </c>
      <c r="J701" s="64">
        <v>155000</v>
      </c>
      <c r="K701" s="61" t="s">
        <v>84</v>
      </c>
      <c r="L701" s="65"/>
      <c r="M701" s="65"/>
      <c r="N701" s="62"/>
      <c r="O701" s="63" t="s">
        <v>84</v>
      </c>
      <c r="P701" s="60">
        <f>(C701+(E701*F701*H701))-N701</f>
        <v>181</v>
      </c>
      <c r="Q701" s="63" t="s">
        <v>84</v>
      </c>
      <c r="R701" s="64">
        <f>P701*(J701-(J701*L701)-((J701-(J701*L701))*M701))</f>
        <v>28055000</v>
      </c>
      <c r="S701" s="8">
        <f t="shared" si="182"/>
        <v>25274774.774774771</v>
      </c>
    </row>
    <row r="702" spans="1:19" s="17" customFormat="1">
      <c r="A702" s="49"/>
      <c r="C702" s="60"/>
      <c r="D702" s="61"/>
      <c r="E702" s="41"/>
      <c r="F702" s="62"/>
      <c r="G702" s="63"/>
      <c r="H702" s="62"/>
      <c r="I702" s="63"/>
      <c r="J702" s="64"/>
      <c r="K702" s="61"/>
      <c r="L702" s="65"/>
      <c r="M702" s="65"/>
      <c r="N702" s="62"/>
      <c r="O702" s="63"/>
      <c r="P702" s="60"/>
      <c r="Q702" s="63"/>
      <c r="R702" s="64"/>
      <c r="S702" s="8"/>
    </row>
    <row r="703" spans="1:19">
      <c r="A703" s="15" t="s">
        <v>443</v>
      </c>
    </row>
    <row r="704" spans="1:19">
      <c r="A704" s="17" t="s">
        <v>444</v>
      </c>
      <c r="B704" s="2" t="s">
        <v>182</v>
      </c>
      <c r="C704" s="3">
        <v>103</v>
      </c>
      <c r="D704" s="4" t="s">
        <v>33</v>
      </c>
      <c r="F704" s="6">
        <v>1</v>
      </c>
      <c r="G704" s="7" t="s">
        <v>20</v>
      </c>
      <c r="H704" s="6">
        <v>40</v>
      </c>
      <c r="I704" s="7" t="s">
        <v>33</v>
      </c>
      <c r="J704" s="8">
        <v>33600</v>
      </c>
      <c r="K704" s="4" t="s">
        <v>33</v>
      </c>
      <c r="O704" s="7" t="s">
        <v>33</v>
      </c>
      <c r="P704" s="3">
        <f>(C704+(E704*F704*H704))-N704</f>
        <v>103</v>
      </c>
      <c r="Q704" s="7" t="s">
        <v>33</v>
      </c>
      <c r="R704" s="8">
        <f>P704*(J704-(J704*L704)-((J704-(J704*L704))*M704))</f>
        <v>3460800</v>
      </c>
      <c r="S704" s="8">
        <f t="shared" si="182"/>
        <v>3117837.8378378376</v>
      </c>
    </row>
    <row r="705" spans="1:19">
      <c r="A705" s="17" t="s">
        <v>445</v>
      </c>
      <c r="B705" s="2" t="s">
        <v>182</v>
      </c>
      <c r="C705" s="3">
        <v>118</v>
      </c>
      <c r="D705" s="4" t="s">
        <v>33</v>
      </c>
      <c r="F705" s="6">
        <v>1</v>
      </c>
      <c r="G705" s="7" t="s">
        <v>20</v>
      </c>
      <c r="H705" s="6">
        <v>40</v>
      </c>
      <c r="I705" s="7" t="s">
        <v>33</v>
      </c>
      <c r="J705" s="8">
        <v>33600</v>
      </c>
      <c r="K705" s="4" t="s">
        <v>33</v>
      </c>
      <c r="O705" s="7" t="s">
        <v>33</v>
      </c>
      <c r="P705" s="3">
        <f>(C705+(E705*F705*H705))-N705</f>
        <v>118</v>
      </c>
      <c r="Q705" s="7" t="s">
        <v>33</v>
      </c>
      <c r="R705" s="8">
        <f>P705*(J705-(J705*L705)-((J705-(J705*L705))*M705))</f>
        <v>3964800</v>
      </c>
      <c r="S705" s="8">
        <f t="shared" si="182"/>
        <v>3571891.8918918916</v>
      </c>
    </row>
    <row r="706" spans="1:19">
      <c r="A706" s="17" t="s">
        <v>446</v>
      </c>
      <c r="B706" s="2" t="s">
        <v>182</v>
      </c>
      <c r="C706" s="3">
        <v>318</v>
      </c>
      <c r="D706" s="4" t="s">
        <v>33</v>
      </c>
      <c r="F706" s="6">
        <v>1</v>
      </c>
      <c r="G706" s="7" t="s">
        <v>20</v>
      </c>
      <c r="H706" s="6">
        <v>40</v>
      </c>
      <c r="I706" s="7" t="s">
        <v>33</v>
      </c>
      <c r="J706" s="8">
        <v>33600</v>
      </c>
      <c r="K706" s="4" t="s">
        <v>33</v>
      </c>
      <c r="O706" s="7" t="s">
        <v>33</v>
      </c>
      <c r="P706" s="3">
        <f>(C706+(E706*F706*H706))-N706</f>
        <v>318</v>
      </c>
      <c r="Q706" s="7" t="s">
        <v>33</v>
      </c>
      <c r="R706" s="8">
        <f>P706*(J706-(J706*L706)-((J706-(J706*L706))*M706))</f>
        <v>10684800</v>
      </c>
      <c r="S706" s="8">
        <f t="shared" si="182"/>
        <v>9625945.9459459446</v>
      </c>
    </row>
    <row r="707" spans="1:19" s="80" customFormat="1">
      <c r="A707" s="79" t="s">
        <v>447</v>
      </c>
      <c r="B707" s="80" t="s">
        <v>182</v>
      </c>
      <c r="C707" s="87"/>
      <c r="D707" s="82" t="s">
        <v>33</v>
      </c>
      <c r="E707" s="83"/>
      <c r="F707" s="84">
        <v>1</v>
      </c>
      <c r="G707" s="85" t="s">
        <v>20</v>
      </c>
      <c r="H707" s="84">
        <v>40</v>
      </c>
      <c r="I707" s="85" t="s">
        <v>33</v>
      </c>
      <c r="J707" s="16">
        <v>33600</v>
      </c>
      <c r="K707" s="82" t="s">
        <v>33</v>
      </c>
      <c r="L707" s="86"/>
      <c r="M707" s="86"/>
      <c r="N707" s="84"/>
      <c r="O707" s="85" t="s">
        <v>33</v>
      </c>
      <c r="P707" s="81">
        <f>(C707+(E707*F707*H707))-N707</f>
        <v>0</v>
      </c>
      <c r="Q707" s="85" t="s">
        <v>33</v>
      </c>
      <c r="R707" s="16">
        <f>P707*(J707-(J707*L707)-((J707-(J707*L707))*M707))</f>
        <v>0</v>
      </c>
      <c r="S707" s="16">
        <f t="shared" si="182"/>
        <v>0</v>
      </c>
    </row>
    <row r="708" spans="1:19" s="80" customFormat="1">
      <c r="A708" s="79" t="s">
        <v>448</v>
      </c>
      <c r="B708" s="80" t="s">
        <v>182</v>
      </c>
      <c r="C708" s="87"/>
      <c r="D708" s="82" t="s">
        <v>33</v>
      </c>
      <c r="E708" s="83"/>
      <c r="F708" s="84">
        <v>1</v>
      </c>
      <c r="G708" s="85" t="s">
        <v>20</v>
      </c>
      <c r="H708" s="84">
        <v>24</v>
      </c>
      <c r="I708" s="85" t="s">
        <v>33</v>
      </c>
      <c r="J708" s="16">
        <v>38400</v>
      </c>
      <c r="K708" s="82" t="s">
        <v>33</v>
      </c>
      <c r="L708" s="86"/>
      <c r="M708" s="86"/>
      <c r="N708" s="84"/>
      <c r="O708" s="85" t="s">
        <v>33</v>
      </c>
      <c r="P708" s="81">
        <f>(C708+(E708*F708*H708))-N708</f>
        <v>0</v>
      </c>
      <c r="Q708" s="85" t="s">
        <v>33</v>
      </c>
      <c r="R708" s="16">
        <f>P708*(J708-(J708*L708)-((J708-(J708*L708))*M708))</f>
        <v>0</v>
      </c>
      <c r="S708" s="16">
        <f t="shared" si="182"/>
        <v>0</v>
      </c>
    </row>
    <row r="709" spans="1:19">
      <c r="C709" s="20"/>
    </row>
    <row r="710" spans="1:19">
      <c r="A710" s="15" t="s">
        <v>449</v>
      </c>
      <c r="C710" s="20"/>
    </row>
    <row r="711" spans="1:19">
      <c r="A711" s="59" t="s">
        <v>450</v>
      </c>
      <c r="B711" s="2" t="s">
        <v>18</v>
      </c>
      <c r="C711" s="20">
        <v>698</v>
      </c>
      <c r="D711" s="4" t="s">
        <v>84</v>
      </c>
      <c r="F711" s="6">
        <v>1</v>
      </c>
      <c r="G711" s="7" t="s">
        <v>20</v>
      </c>
      <c r="H711" s="6">
        <v>12</v>
      </c>
      <c r="I711" s="7" t="s">
        <v>84</v>
      </c>
      <c r="J711" s="8">
        <v>255600</v>
      </c>
      <c r="K711" s="4" t="s">
        <v>84</v>
      </c>
      <c r="L711" s="9">
        <v>0.125</v>
      </c>
      <c r="M711" s="9">
        <v>0.05</v>
      </c>
      <c r="O711" s="7" t="s">
        <v>84</v>
      </c>
      <c r="P711" s="3">
        <f>(C711+(E711*F711*H711))-N711</f>
        <v>698</v>
      </c>
      <c r="Q711" s="7" t="s">
        <v>84</v>
      </c>
      <c r="R711" s="8">
        <f>P711*(J711-(J711*L711)-((J711-(J711*L711))*M711))</f>
        <v>148302315</v>
      </c>
      <c r="S711" s="8">
        <f t="shared" ref="S711:S712" si="193">R711/1.11</f>
        <v>133605689.18918918</v>
      </c>
    </row>
    <row r="712" spans="1:19" s="80" customFormat="1">
      <c r="A712" s="153" t="s">
        <v>451</v>
      </c>
      <c r="B712" s="80" t="s">
        <v>25</v>
      </c>
      <c r="C712" s="87"/>
      <c r="D712" s="82" t="s">
        <v>40</v>
      </c>
      <c r="E712" s="83"/>
      <c r="F712" s="84">
        <v>12</v>
      </c>
      <c r="G712" s="85" t="s">
        <v>33</v>
      </c>
      <c r="H712" s="84">
        <v>6</v>
      </c>
      <c r="I712" s="85" t="s">
        <v>40</v>
      </c>
      <c r="J712" s="16">
        <v>21000</v>
      </c>
      <c r="K712" s="82" t="s">
        <v>40</v>
      </c>
      <c r="L712" s="86"/>
      <c r="M712" s="86">
        <v>0.17</v>
      </c>
      <c r="N712" s="84"/>
      <c r="O712" s="85" t="s">
        <v>40</v>
      </c>
      <c r="P712" s="81">
        <f>(C712+(E712*F712*H712))-N712</f>
        <v>0</v>
      </c>
      <c r="Q712" s="85" t="s">
        <v>40</v>
      </c>
      <c r="R712" s="16">
        <f>P712*(J712-(J712*L712)-((J712-(J712*L712))*M712))</f>
        <v>0</v>
      </c>
      <c r="S712" s="16">
        <f t="shared" si="193"/>
        <v>0</v>
      </c>
    </row>
    <row r="713" spans="1:19">
      <c r="A713" s="59"/>
      <c r="C713" s="20"/>
    </row>
    <row r="714" spans="1:19">
      <c r="A714" s="15" t="s">
        <v>452</v>
      </c>
      <c r="C714" s="20"/>
    </row>
    <row r="715" spans="1:19" s="80" customFormat="1">
      <c r="A715" s="153" t="s">
        <v>453</v>
      </c>
      <c r="B715" s="80" t="s">
        <v>18</v>
      </c>
      <c r="C715" s="87"/>
      <c r="D715" s="82" t="s">
        <v>40</v>
      </c>
      <c r="E715" s="83"/>
      <c r="F715" s="84">
        <v>1</v>
      </c>
      <c r="G715" s="85" t="s">
        <v>20</v>
      </c>
      <c r="H715" s="84">
        <v>144</v>
      </c>
      <c r="I715" s="85" t="s">
        <v>40</v>
      </c>
      <c r="J715" s="16">
        <v>49200</v>
      </c>
      <c r="K715" s="82" t="s">
        <v>40</v>
      </c>
      <c r="L715" s="86">
        <v>0.125</v>
      </c>
      <c r="M715" s="86">
        <v>0.05</v>
      </c>
      <c r="N715" s="84"/>
      <c r="O715" s="85" t="s">
        <v>40</v>
      </c>
      <c r="P715" s="81">
        <f t="shared" ref="P715:P721" si="194">(C715+(E715*F715*H715))-N715</f>
        <v>0</v>
      </c>
      <c r="Q715" s="85" t="s">
        <v>40</v>
      </c>
      <c r="R715" s="16">
        <f t="shared" ref="R715:R721" si="195">P715*(J715-(J715*L715)-((J715-(J715*L715))*M715))</f>
        <v>0</v>
      </c>
      <c r="S715" s="16">
        <f t="shared" si="182"/>
        <v>0</v>
      </c>
    </row>
    <row r="716" spans="1:19" s="89" customFormat="1">
      <c r="A716" s="153" t="s">
        <v>454</v>
      </c>
      <c r="B716" s="89" t="s">
        <v>18</v>
      </c>
      <c r="C716" s="87"/>
      <c r="D716" s="90" t="s">
        <v>40</v>
      </c>
      <c r="E716" s="91"/>
      <c r="F716" s="92">
        <v>1</v>
      </c>
      <c r="G716" s="93" t="s">
        <v>20</v>
      </c>
      <c r="H716" s="92">
        <v>120</v>
      </c>
      <c r="I716" s="93" t="s">
        <v>40</v>
      </c>
      <c r="J716" s="94">
        <v>30600</v>
      </c>
      <c r="K716" s="90" t="s">
        <v>40</v>
      </c>
      <c r="L716" s="95">
        <v>0.125</v>
      </c>
      <c r="M716" s="95">
        <v>0.05</v>
      </c>
      <c r="N716" s="92"/>
      <c r="O716" s="93" t="s">
        <v>40</v>
      </c>
      <c r="P716" s="87">
        <f t="shared" si="194"/>
        <v>0</v>
      </c>
      <c r="Q716" s="93" t="s">
        <v>40</v>
      </c>
      <c r="R716" s="94">
        <f t="shared" si="195"/>
        <v>0</v>
      </c>
      <c r="S716" s="94">
        <f t="shared" si="182"/>
        <v>0</v>
      </c>
    </row>
    <row r="717" spans="1:19">
      <c r="A717" s="59" t="s">
        <v>455</v>
      </c>
      <c r="B717" s="2" t="s">
        <v>18</v>
      </c>
      <c r="C717" s="3">
        <v>108</v>
      </c>
      <c r="D717" s="4" t="s">
        <v>40</v>
      </c>
      <c r="F717" s="6">
        <v>1</v>
      </c>
      <c r="G717" s="7" t="s">
        <v>20</v>
      </c>
      <c r="H717" s="6">
        <v>144</v>
      </c>
      <c r="I717" s="7" t="s">
        <v>40</v>
      </c>
      <c r="J717" s="8">
        <v>23400</v>
      </c>
      <c r="K717" s="4" t="s">
        <v>40</v>
      </c>
      <c r="L717" s="9">
        <v>0.125</v>
      </c>
      <c r="M717" s="9">
        <v>0.05</v>
      </c>
      <c r="O717" s="7" t="s">
        <v>40</v>
      </c>
      <c r="P717" s="3">
        <f t="shared" si="194"/>
        <v>108</v>
      </c>
      <c r="Q717" s="7" t="s">
        <v>40</v>
      </c>
      <c r="R717" s="8">
        <f t="shared" si="195"/>
        <v>2100735</v>
      </c>
      <c r="S717" s="8">
        <f t="shared" si="182"/>
        <v>1892554.054054054</v>
      </c>
    </row>
    <row r="718" spans="1:19" s="80" customFormat="1">
      <c r="A718" s="153" t="s">
        <v>456</v>
      </c>
      <c r="B718" s="80" t="s">
        <v>18</v>
      </c>
      <c r="C718" s="81"/>
      <c r="D718" s="82" t="s">
        <v>40</v>
      </c>
      <c r="E718" s="83"/>
      <c r="F718" s="84">
        <v>1</v>
      </c>
      <c r="G718" s="85" t="s">
        <v>20</v>
      </c>
      <c r="H718" s="84">
        <v>144</v>
      </c>
      <c r="I718" s="85" t="s">
        <v>40</v>
      </c>
      <c r="J718" s="16">
        <v>40800</v>
      </c>
      <c r="K718" s="82" t="s">
        <v>40</v>
      </c>
      <c r="L718" s="86">
        <v>0.125</v>
      </c>
      <c r="M718" s="86">
        <v>0.05</v>
      </c>
      <c r="N718" s="84"/>
      <c r="O718" s="85" t="s">
        <v>40</v>
      </c>
      <c r="P718" s="81">
        <f t="shared" si="194"/>
        <v>0</v>
      </c>
      <c r="Q718" s="85" t="s">
        <v>40</v>
      </c>
      <c r="R718" s="16">
        <f t="shared" si="195"/>
        <v>0</v>
      </c>
      <c r="S718" s="16">
        <f t="shared" si="182"/>
        <v>0</v>
      </c>
    </row>
    <row r="719" spans="1:19">
      <c r="A719" s="59" t="s">
        <v>735</v>
      </c>
      <c r="B719" s="2" t="s">
        <v>18</v>
      </c>
      <c r="C719" s="3">
        <v>144</v>
      </c>
      <c r="D719" s="4" t="s">
        <v>40</v>
      </c>
      <c r="F719" s="6">
        <v>1</v>
      </c>
      <c r="G719" s="7" t="s">
        <v>20</v>
      </c>
      <c r="H719" s="6">
        <v>144</v>
      </c>
      <c r="I719" s="7" t="s">
        <v>40</v>
      </c>
      <c r="J719" s="8">
        <v>40800</v>
      </c>
      <c r="K719" s="4" t="s">
        <v>40</v>
      </c>
      <c r="L719" s="9">
        <v>0.125</v>
      </c>
      <c r="M719" s="9">
        <v>0.05</v>
      </c>
      <c r="O719" s="7" t="s">
        <v>40</v>
      </c>
      <c r="P719" s="3">
        <f t="shared" si="194"/>
        <v>144</v>
      </c>
      <c r="Q719" s="7" t="s">
        <v>40</v>
      </c>
      <c r="R719" s="8">
        <f t="shared" si="195"/>
        <v>4883760</v>
      </c>
      <c r="S719" s="8">
        <f t="shared" si="182"/>
        <v>4399783.7837837832</v>
      </c>
    </row>
    <row r="720" spans="1:19" s="19" customFormat="1">
      <c r="A720" s="59" t="s">
        <v>457</v>
      </c>
      <c r="B720" s="19" t="s">
        <v>18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144</v>
      </c>
      <c r="I720" s="23" t="s">
        <v>40</v>
      </c>
      <c r="J720" s="24">
        <v>40800</v>
      </c>
      <c r="K720" s="21" t="s">
        <v>40</v>
      </c>
      <c r="L720" s="25">
        <v>0.125</v>
      </c>
      <c r="M720" s="25">
        <v>0.05</v>
      </c>
      <c r="N720" s="22"/>
      <c r="O720" s="23" t="s">
        <v>40</v>
      </c>
      <c r="P720" s="20">
        <f t="shared" ref="P720" si="196">(C720+(E720*F720*H720))-N720</f>
        <v>144</v>
      </c>
      <c r="Q720" s="23" t="s">
        <v>40</v>
      </c>
      <c r="R720" s="24">
        <f t="shared" ref="R720" si="197">P720*(J720-(J720*L720)-((J720-(J720*L720))*M720))</f>
        <v>4883760</v>
      </c>
      <c r="S720" s="24">
        <f t="shared" ref="S720" si="198">R720/1.11</f>
        <v>4399783.7837837832</v>
      </c>
    </row>
    <row r="721" spans="1:19" s="80" customFormat="1">
      <c r="A721" s="153" t="s">
        <v>795</v>
      </c>
      <c r="B721" s="80" t="s">
        <v>18</v>
      </c>
      <c r="C721" s="81"/>
      <c r="D721" s="82" t="s">
        <v>40</v>
      </c>
      <c r="E721" s="83"/>
      <c r="F721" s="84">
        <v>1</v>
      </c>
      <c r="G721" s="85" t="s">
        <v>20</v>
      </c>
      <c r="H721" s="84">
        <v>144</v>
      </c>
      <c r="I721" s="85" t="s">
        <v>40</v>
      </c>
      <c r="J721" s="16">
        <v>25200</v>
      </c>
      <c r="K721" s="82" t="s">
        <v>40</v>
      </c>
      <c r="L721" s="86">
        <v>0.125</v>
      </c>
      <c r="M721" s="86">
        <v>0.05</v>
      </c>
      <c r="N721" s="84"/>
      <c r="O721" s="85" t="s">
        <v>40</v>
      </c>
      <c r="P721" s="81">
        <f t="shared" si="194"/>
        <v>0</v>
      </c>
      <c r="Q721" s="85" t="s">
        <v>40</v>
      </c>
      <c r="R721" s="16">
        <f t="shared" si="195"/>
        <v>0</v>
      </c>
      <c r="S721" s="16">
        <f t="shared" si="182"/>
        <v>0</v>
      </c>
    </row>
    <row r="722" spans="1:19">
      <c r="A722" s="59"/>
    </row>
    <row r="723" spans="1:19">
      <c r="A723" s="17" t="s">
        <v>458</v>
      </c>
      <c r="B723" s="2" t="s">
        <v>25</v>
      </c>
      <c r="C723" s="3">
        <v>142</v>
      </c>
      <c r="D723" s="4" t="s">
        <v>40</v>
      </c>
      <c r="F723" s="6">
        <v>1</v>
      </c>
      <c r="G723" s="7" t="s">
        <v>20</v>
      </c>
      <c r="H723" s="6">
        <v>144</v>
      </c>
      <c r="I723" s="7" t="s">
        <v>40</v>
      </c>
      <c r="J723" s="8">
        <f>6739200/144</f>
        <v>46800</v>
      </c>
      <c r="K723" s="4" t="s">
        <v>40</v>
      </c>
      <c r="M723" s="9">
        <v>0.17</v>
      </c>
      <c r="O723" s="7" t="s">
        <v>40</v>
      </c>
      <c r="P723" s="3">
        <f>(C723+(E723*F723*H723))-N723</f>
        <v>142</v>
      </c>
      <c r="Q723" s="7" t="s">
        <v>40</v>
      </c>
      <c r="R723" s="8">
        <f>P723*(J723-(J723*L723)-((J723-(J723*L723))*M723))</f>
        <v>5515848</v>
      </c>
      <c r="S723" s="8">
        <f t="shared" si="182"/>
        <v>4969232.4324324317</v>
      </c>
    </row>
    <row r="724" spans="1:19" s="80" customFormat="1">
      <c r="A724" s="79" t="s">
        <v>459</v>
      </c>
      <c r="B724" s="80" t="s">
        <v>25</v>
      </c>
      <c r="C724" s="87"/>
      <c r="D724" s="82" t="s">
        <v>40</v>
      </c>
      <c r="E724" s="83"/>
      <c r="F724" s="84">
        <v>1</v>
      </c>
      <c r="G724" s="85" t="s">
        <v>20</v>
      </c>
      <c r="H724" s="84">
        <v>144</v>
      </c>
      <c r="I724" s="85" t="s">
        <v>40</v>
      </c>
      <c r="J724" s="16">
        <f>4492800/144</f>
        <v>31200</v>
      </c>
      <c r="K724" s="82" t="s">
        <v>40</v>
      </c>
      <c r="L724" s="86"/>
      <c r="M724" s="86">
        <v>0.17</v>
      </c>
      <c r="N724" s="84"/>
      <c r="O724" s="85" t="s">
        <v>40</v>
      </c>
      <c r="P724" s="81">
        <f>(C724+(E724*F724*H724))-N724</f>
        <v>0</v>
      </c>
      <c r="Q724" s="85" t="s">
        <v>40</v>
      </c>
      <c r="R724" s="16">
        <f>P724*(J724-(J724*L724)-((J724-(J724*L724))*M724))</f>
        <v>0</v>
      </c>
      <c r="S724" s="16">
        <f t="shared" si="182"/>
        <v>0</v>
      </c>
    </row>
    <row r="725" spans="1:19" s="80" customFormat="1">
      <c r="A725" s="79" t="s">
        <v>460</v>
      </c>
      <c r="B725" s="80" t="s">
        <v>25</v>
      </c>
      <c r="C725" s="87"/>
      <c r="D725" s="82" t="s">
        <v>40</v>
      </c>
      <c r="E725" s="83"/>
      <c r="F725" s="84">
        <v>1</v>
      </c>
      <c r="G725" s="85" t="s">
        <v>20</v>
      </c>
      <c r="H725" s="84">
        <v>144</v>
      </c>
      <c r="I725" s="85" t="s">
        <v>40</v>
      </c>
      <c r="J725" s="16">
        <v>29400</v>
      </c>
      <c r="K725" s="82" t="s">
        <v>40</v>
      </c>
      <c r="L725" s="86"/>
      <c r="M725" s="86">
        <v>0.17</v>
      </c>
      <c r="N725" s="84"/>
      <c r="O725" s="85" t="s">
        <v>40</v>
      </c>
      <c r="P725" s="81">
        <f>(C725+(E725*F725*H725))-N725</f>
        <v>0</v>
      </c>
      <c r="Q725" s="85" t="s">
        <v>40</v>
      </c>
      <c r="R725" s="16">
        <f>P725*(J725-(J725*L725)-((J725-(J725*L725))*M725))</f>
        <v>0</v>
      </c>
      <c r="S725" s="16">
        <f t="shared" si="182"/>
        <v>0</v>
      </c>
    </row>
    <row r="726" spans="1:19" s="80" customFormat="1">
      <c r="A726" s="79" t="s">
        <v>461</v>
      </c>
      <c r="B726" s="80" t="s">
        <v>25</v>
      </c>
      <c r="C726" s="87"/>
      <c r="D726" s="82" t="s">
        <v>40</v>
      </c>
      <c r="E726" s="83"/>
      <c r="F726" s="84">
        <v>1</v>
      </c>
      <c r="G726" s="85" t="s">
        <v>20</v>
      </c>
      <c r="H726" s="84">
        <v>144</v>
      </c>
      <c r="I726" s="85" t="s">
        <v>40</v>
      </c>
      <c r="J726" s="16">
        <f>2764800/144</f>
        <v>19200</v>
      </c>
      <c r="K726" s="82" t="s">
        <v>40</v>
      </c>
      <c r="L726" s="86"/>
      <c r="M726" s="86">
        <v>0.17</v>
      </c>
      <c r="N726" s="84"/>
      <c r="O726" s="85" t="s">
        <v>40</v>
      </c>
      <c r="P726" s="81">
        <f>(C726+(E726*F726*H726))-N726</f>
        <v>0</v>
      </c>
      <c r="Q726" s="85" t="s">
        <v>40</v>
      </c>
      <c r="R726" s="16">
        <f>P726*(J726-(J726*L726)-((J726-(J726*L726))*M726))</f>
        <v>0</v>
      </c>
      <c r="S726" s="16">
        <f t="shared" ref="S726:S827" si="199">R726/1.11</f>
        <v>0</v>
      </c>
    </row>
    <row r="727" spans="1:19" s="80" customFormat="1">
      <c r="A727" s="79" t="s">
        <v>462</v>
      </c>
      <c r="B727" s="80" t="s">
        <v>25</v>
      </c>
      <c r="C727" s="87"/>
      <c r="D727" s="82" t="s">
        <v>40</v>
      </c>
      <c r="E727" s="83"/>
      <c r="F727" s="84">
        <v>1</v>
      </c>
      <c r="G727" s="85" t="s">
        <v>20</v>
      </c>
      <c r="H727" s="84">
        <v>144</v>
      </c>
      <c r="I727" s="85" t="s">
        <v>40</v>
      </c>
      <c r="J727" s="16">
        <f>3369600/144</f>
        <v>23400</v>
      </c>
      <c r="K727" s="82" t="s">
        <v>40</v>
      </c>
      <c r="L727" s="86"/>
      <c r="M727" s="86">
        <v>0.17</v>
      </c>
      <c r="N727" s="84"/>
      <c r="O727" s="85" t="s">
        <v>40</v>
      </c>
      <c r="P727" s="81">
        <f>(C727+(E727*F727*H727))-N727</f>
        <v>0</v>
      </c>
      <c r="Q727" s="85" t="s">
        <v>40</v>
      </c>
      <c r="R727" s="16">
        <f>P727*(J727-(J727*L727)-((J727-(J727*L727))*M727))</f>
        <v>0</v>
      </c>
      <c r="S727" s="16">
        <f t="shared" si="199"/>
        <v>0</v>
      </c>
    </row>
    <row r="728" spans="1:19" s="80" customFormat="1">
      <c r="A728" s="79"/>
      <c r="C728" s="87"/>
      <c r="D728" s="82"/>
      <c r="E728" s="83"/>
      <c r="F728" s="84"/>
      <c r="G728" s="85"/>
      <c r="H728" s="84"/>
      <c r="I728" s="85"/>
      <c r="J728" s="16"/>
      <c r="K728" s="82"/>
      <c r="L728" s="86"/>
      <c r="M728" s="86"/>
      <c r="N728" s="84"/>
      <c r="O728" s="85"/>
      <c r="P728" s="81"/>
      <c r="Q728" s="85"/>
      <c r="R728" s="16"/>
      <c r="S728" s="16"/>
    </row>
    <row r="729" spans="1:19" s="80" customFormat="1">
      <c r="A729" s="79" t="s">
        <v>463</v>
      </c>
      <c r="B729" s="80" t="s">
        <v>261</v>
      </c>
      <c r="C729" s="87"/>
      <c r="D729" s="82" t="s">
        <v>40</v>
      </c>
      <c r="E729" s="83"/>
      <c r="F729" s="84">
        <v>1</v>
      </c>
      <c r="G729" s="85" t="s">
        <v>20</v>
      </c>
      <c r="H729" s="84">
        <v>144</v>
      </c>
      <c r="I729" s="85" t="s">
        <v>40</v>
      </c>
      <c r="J729" s="16">
        <v>12500</v>
      </c>
      <c r="K729" s="82" t="s">
        <v>40</v>
      </c>
      <c r="L729" s="86"/>
      <c r="M729" s="86"/>
      <c r="N729" s="84"/>
      <c r="O729" s="85" t="s">
        <v>40</v>
      </c>
      <c r="P729" s="81">
        <f>(C729+(E729*F729*H729))-N729</f>
        <v>0</v>
      </c>
      <c r="Q729" s="85" t="s">
        <v>40</v>
      </c>
      <c r="R729" s="16">
        <f>P729*(J729-(J729*L729)-((J729-(J729*L729))*M729))</f>
        <v>0</v>
      </c>
      <c r="S729" s="16">
        <f>R729/1.11</f>
        <v>0</v>
      </c>
    </row>
    <row r="730" spans="1:19" s="80" customFormat="1">
      <c r="A730" s="79" t="s">
        <v>464</v>
      </c>
      <c r="B730" s="80" t="s">
        <v>261</v>
      </c>
      <c r="C730" s="87"/>
      <c r="D730" s="82" t="s">
        <v>40</v>
      </c>
      <c r="E730" s="83"/>
      <c r="F730" s="84">
        <v>1</v>
      </c>
      <c r="G730" s="85" t="s">
        <v>20</v>
      </c>
      <c r="H730" s="84">
        <v>144</v>
      </c>
      <c r="I730" s="85" t="s">
        <v>40</v>
      </c>
      <c r="J730" s="16">
        <v>12500</v>
      </c>
      <c r="K730" s="82" t="s">
        <v>40</v>
      </c>
      <c r="L730" s="86"/>
      <c r="M730" s="86"/>
      <c r="N730" s="84"/>
      <c r="O730" s="85" t="s">
        <v>40</v>
      </c>
      <c r="P730" s="81">
        <f>(C730+(E730*F730*H730))-N730</f>
        <v>0</v>
      </c>
      <c r="Q730" s="85" t="s">
        <v>40</v>
      </c>
      <c r="R730" s="16">
        <f>P730*(J730-(J730*L730)-((J730-(J730*L730))*M730))</f>
        <v>0</v>
      </c>
      <c r="S730" s="16">
        <f>R730/1.11</f>
        <v>0</v>
      </c>
    </row>
    <row r="731" spans="1:19">
      <c r="A731" s="17" t="s">
        <v>465</v>
      </c>
      <c r="B731" s="2" t="s">
        <v>261</v>
      </c>
      <c r="C731" s="3">
        <v>96</v>
      </c>
      <c r="D731" s="4" t="s">
        <v>40</v>
      </c>
      <c r="F731" s="6">
        <v>1</v>
      </c>
      <c r="G731" s="7" t="s">
        <v>20</v>
      </c>
      <c r="H731" s="6">
        <v>96</v>
      </c>
      <c r="I731" s="7" t="s">
        <v>40</v>
      </c>
      <c r="J731" s="8">
        <v>27500</v>
      </c>
      <c r="K731" s="4" t="s">
        <v>40</v>
      </c>
      <c r="O731" s="7" t="s">
        <v>40</v>
      </c>
      <c r="P731" s="3">
        <f>(C731+(E731*F731*H731))-N731</f>
        <v>96</v>
      </c>
      <c r="Q731" s="7" t="s">
        <v>40</v>
      </c>
      <c r="R731" s="8">
        <f>P731*(J731-(J731*L731)-((J731-(J731*L731))*M731))</f>
        <v>2640000</v>
      </c>
      <c r="S731" s="8">
        <f>R731/1.11</f>
        <v>2378378.3783783782</v>
      </c>
    </row>
    <row r="733" spans="1:19">
      <c r="A733" s="15" t="s">
        <v>666</v>
      </c>
    </row>
    <row r="734" spans="1:19">
      <c r="A734" s="59" t="s">
        <v>667</v>
      </c>
      <c r="B734" s="2" t="s">
        <v>18</v>
      </c>
      <c r="D734" s="4" t="s">
        <v>84</v>
      </c>
      <c r="E734" s="5">
        <v>8</v>
      </c>
      <c r="F734" s="6">
        <v>1</v>
      </c>
      <c r="G734" s="7" t="s">
        <v>20</v>
      </c>
      <c r="H734" s="6">
        <v>12</v>
      </c>
      <c r="I734" s="7" t="s">
        <v>84</v>
      </c>
      <c r="J734" s="8">
        <v>176400</v>
      </c>
      <c r="K734" s="4" t="s">
        <v>84</v>
      </c>
      <c r="L734" s="9">
        <v>0.125</v>
      </c>
      <c r="M734" s="9">
        <v>0.05</v>
      </c>
      <c r="O734" s="7" t="s">
        <v>84</v>
      </c>
      <c r="P734" s="3">
        <f t="shared" ref="P734:P739" si="200">(C734+(E734*F734*H734))-N734</f>
        <v>96</v>
      </c>
      <c r="Q734" s="7" t="s">
        <v>84</v>
      </c>
      <c r="R734" s="8">
        <f t="shared" ref="R734:R739" si="201">P734*(J734-(J734*L734)-((J734-(J734*L734))*M734))</f>
        <v>14076720</v>
      </c>
      <c r="S734" s="8">
        <f t="shared" si="199"/>
        <v>12681729.729729729</v>
      </c>
    </row>
    <row r="735" spans="1:19" s="80" customFormat="1">
      <c r="A735" s="153" t="s">
        <v>668</v>
      </c>
      <c r="B735" s="80" t="s">
        <v>18</v>
      </c>
      <c r="C735" s="81"/>
      <c r="D735" s="82" t="s">
        <v>84</v>
      </c>
      <c r="E735" s="83"/>
      <c r="F735" s="84">
        <v>12</v>
      </c>
      <c r="G735" s="85" t="s">
        <v>33</v>
      </c>
      <c r="H735" s="84">
        <v>1</v>
      </c>
      <c r="I735" s="85" t="s">
        <v>84</v>
      </c>
      <c r="J735" s="16">
        <v>183600</v>
      </c>
      <c r="K735" s="82" t="s">
        <v>84</v>
      </c>
      <c r="L735" s="86">
        <v>0.125</v>
      </c>
      <c r="M735" s="86">
        <v>0.05</v>
      </c>
      <c r="N735" s="84"/>
      <c r="O735" s="85" t="s">
        <v>84</v>
      </c>
      <c r="P735" s="81">
        <f t="shared" si="200"/>
        <v>0</v>
      </c>
      <c r="Q735" s="85" t="s">
        <v>84</v>
      </c>
      <c r="R735" s="16">
        <f t="shared" si="201"/>
        <v>0</v>
      </c>
      <c r="S735" s="16">
        <f t="shared" si="199"/>
        <v>0</v>
      </c>
    </row>
    <row r="736" spans="1:19" s="19" customFormat="1">
      <c r="A736" s="59" t="s">
        <v>669</v>
      </c>
      <c r="B736" s="19" t="s">
        <v>18</v>
      </c>
      <c r="C736" s="20"/>
      <c r="D736" s="21" t="s">
        <v>40</v>
      </c>
      <c r="E736" s="26">
        <v>6</v>
      </c>
      <c r="F736" s="22">
        <v>12</v>
      </c>
      <c r="G736" s="23" t="s">
        <v>84</v>
      </c>
      <c r="H736" s="22">
        <v>12</v>
      </c>
      <c r="I736" s="23" t="s">
        <v>40</v>
      </c>
      <c r="J736" s="24">
        <v>19800</v>
      </c>
      <c r="K736" s="21" t="s">
        <v>40</v>
      </c>
      <c r="L736" s="25">
        <v>0.125</v>
      </c>
      <c r="M736" s="25">
        <v>0.05</v>
      </c>
      <c r="N736" s="22"/>
      <c r="O736" s="23" t="s">
        <v>40</v>
      </c>
      <c r="P736" s="20">
        <f t="shared" ref="P736" si="202">(C736+(E736*F736*H736))-N736</f>
        <v>864</v>
      </c>
      <c r="Q736" s="23" t="s">
        <v>40</v>
      </c>
      <c r="R736" s="24">
        <f t="shared" ref="R736" si="203">P736*(J736-(J736*L736)-((J736-(J736*L736))*M736))</f>
        <v>14220360</v>
      </c>
      <c r="S736" s="24">
        <f t="shared" ref="S736" si="204">R736/1.11</f>
        <v>12811135.135135135</v>
      </c>
    </row>
    <row r="737" spans="1:19" s="19" customFormat="1">
      <c r="A737" s="59" t="s">
        <v>670</v>
      </c>
      <c r="B737" s="19" t="s">
        <v>18</v>
      </c>
      <c r="C737" s="20">
        <v>144</v>
      </c>
      <c r="D737" s="21" t="s">
        <v>40</v>
      </c>
      <c r="E737" s="26">
        <v>12</v>
      </c>
      <c r="F737" s="22">
        <v>12</v>
      </c>
      <c r="G737" s="23" t="s">
        <v>84</v>
      </c>
      <c r="H737" s="22">
        <v>6</v>
      </c>
      <c r="I737" s="23" t="s">
        <v>40</v>
      </c>
      <c r="J737" s="24">
        <f>3100*12</f>
        <v>37200</v>
      </c>
      <c r="K737" s="21" t="s">
        <v>40</v>
      </c>
      <c r="L737" s="25">
        <v>0.125</v>
      </c>
      <c r="M737" s="25">
        <v>0.05</v>
      </c>
      <c r="N737" s="22"/>
      <c r="O737" s="23" t="s">
        <v>40</v>
      </c>
      <c r="P737" s="20">
        <f t="shared" ref="P737" si="205">(C737+(E737*F737*H737))-N737</f>
        <v>1008</v>
      </c>
      <c r="Q737" s="23" t="s">
        <v>40</v>
      </c>
      <c r="R737" s="24">
        <f t="shared" ref="R737" si="206">P737*(J737-(J737*L737)-((J737-(J737*L737))*M737))</f>
        <v>31169880</v>
      </c>
      <c r="S737" s="24">
        <f t="shared" ref="S737" si="207">R737/1.11</f>
        <v>28080972.97297297</v>
      </c>
    </row>
    <row r="738" spans="1:19" s="19" customFormat="1">
      <c r="A738" s="59" t="s">
        <v>671</v>
      </c>
      <c r="B738" s="19" t="s">
        <v>18</v>
      </c>
      <c r="C738" s="20">
        <v>12</v>
      </c>
      <c r="D738" s="21" t="s">
        <v>84</v>
      </c>
      <c r="E738" s="26">
        <v>1</v>
      </c>
      <c r="F738" s="22">
        <v>1</v>
      </c>
      <c r="G738" s="23" t="s">
        <v>20</v>
      </c>
      <c r="H738" s="22">
        <v>12</v>
      </c>
      <c r="I738" s="23" t="s">
        <v>84</v>
      </c>
      <c r="J738" s="24">
        <v>198000</v>
      </c>
      <c r="K738" s="21" t="s">
        <v>84</v>
      </c>
      <c r="L738" s="25">
        <v>0.125</v>
      </c>
      <c r="M738" s="25">
        <v>0.05</v>
      </c>
      <c r="N738" s="22"/>
      <c r="O738" s="23" t="s">
        <v>84</v>
      </c>
      <c r="P738" s="20">
        <f t="shared" ref="P738" si="208">(C738+(E738*F738*H738))-N738</f>
        <v>24</v>
      </c>
      <c r="Q738" s="23" t="s">
        <v>84</v>
      </c>
      <c r="R738" s="24">
        <f t="shared" ref="R738" si="209">P738*(J738-(J738*L738)-((J738-(J738*L738))*M738))</f>
        <v>3950100</v>
      </c>
      <c r="S738" s="24">
        <f t="shared" ref="S738" si="210">R738/1.11</f>
        <v>3558648.6486486485</v>
      </c>
    </row>
    <row r="739" spans="1:19">
      <c r="A739" s="59" t="s">
        <v>736</v>
      </c>
      <c r="B739" s="2" t="s">
        <v>18</v>
      </c>
      <c r="C739" s="3">
        <v>10</v>
      </c>
      <c r="D739" s="4" t="s">
        <v>40</v>
      </c>
      <c r="E739" s="5">
        <v>1</v>
      </c>
      <c r="F739" s="6">
        <v>1</v>
      </c>
      <c r="G739" s="7" t="s">
        <v>20</v>
      </c>
      <c r="H739" s="6">
        <v>72</v>
      </c>
      <c r="I739" s="7" t="s">
        <v>40</v>
      </c>
      <c r="J739" s="8">
        <v>39600</v>
      </c>
      <c r="K739" s="4" t="s">
        <v>40</v>
      </c>
      <c r="L739" s="9">
        <v>0.125</v>
      </c>
      <c r="M739" s="9">
        <v>0.05</v>
      </c>
      <c r="O739" s="7" t="s">
        <v>84</v>
      </c>
      <c r="P739" s="3">
        <f t="shared" si="200"/>
        <v>82</v>
      </c>
      <c r="Q739" s="7" t="s">
        <v>84</v>
      </c>
      <c r="R739" s="8">
        <f t="shared" si="201"/>
        <v>2699235</v>
      </c>
      <c r="S739" s="8">
        <f t="shared" si="199"/>
        <v>2431743.2432432431</v>
      </c>
    </row>
    <row r="740" spans="1:19">
      <c r="A740" s="59"/>
    </row>
    <row r="741" spans="1:19">
      <c r="A741" s="59" t="s">
        <v>672</v>
      </c>
      <c r="B741" s="2" t="s">
        <v>25</v>
      </c>
      <c r="C741" s="3">
        <v>11</v>
      </c>
      <c r="D741" s="4" t="s">
        <v>84</v>
      </c>
      <c r="E741" s="5">
        <v>1</v>
      </c>
      <c r="F741" s="6">
        <v>1</v>
      </c>
      <c r="G741" s="7" t="s">
        <v>20</v>
      </c>
      <c r="H741" s="6">
        <v>18</v>
      </c>
      <c r="I741" s="7" t="s">
        <v>84</v>
      </c>
      <c r="J741" s="8">
        <f>3240000/18</f>
        <v>180000</v>
      </c>
      <c r="K741" s="4" t="s">
        <v>84</v>
      </c>
      <c r="M741" s="9">
        <v>0.17</v>
      </c>
      <c r="O741" s="7" t="s">
        <v>84</v>
      </c>
      <c r="P741" s="3">
        <f>(C741+(E741*F741*H741))-N741</f>
        <v>29</v>
      </c>
      <c r="Q741" s="7" t="s">
        <v>84</v>
      </c>
      <c r="R741" s="8">
        <f>P741*(J741-(J741*L741)-((J741-(J741*L741))*M741))</f>
        <v>4332600</v>
      </c>
      <c r="S741" s="8">
        <f t="shared" si="199"/>
        <v>3903243.2432432431</v>
      </c>
    </row>
    <row r="742" spans="1:19" s="80" customFormat="1">
      <c r="A742" s="79" t="s">
        <v>673</v>
      </c>
      <c r="B742" s="80" t="s">
        <v>25</v>
      </c>
      <c r="C742" s="81"/>
      <c r="D742" s="82" t="s">
        <v>40</v>
      </c>
      <c r="E742" s="83"/>
      <c r="F742" s="84">
        <v>12</v>
      </c>
      <c r="G742" s="85" t="s">
        <v>84</v>
      </c>
      <c r="H742" s="84">
        <v>12</v>
      </c>
      <c r="I742" s="85" t="s">
        <v>40</v>
      </c>
      <c r="J742" s="16">
        <v>14400</v>
      </c>
      <c r="K742" s="82" t="s">
        <v>40</v>
      </c>
      <c r="L742" s="86"/>
      <c r="M742" s="86">
        <v>0.17</v>
      </c>
      <c r="N742" s="84"/>
      <c r="O742" s="85" t="s">
        <v>40</v>
      </c>
      <c r="P742" s="81">
        <f>(C742+(E742*F742*H742))-N742</f>
        <v>0</v>
      </c>
      <c r="Q742" s="85" t="s">
        <v>40</v>
      </c>
      <c r="R742" s="16">
        <f>P742*(J742-(J742*L742)-((J742-(J742*L742))*M742))</f>
        <v>0</v>
      </c>
      <c r="S742" s="16">
        <f t="shared" si="199"/>
        <v>0</v>
      </c>
    </row>
    <row r="743" spans="1:19">
      <c r="A743" s="17" t="s">
        <v>674</v>
      </c>
      <c r="B743" s="2" t="s">
        <v>25</v>
      </c>
      <c r="C743" s="3">
        <v>144</v>
      </c>
      <c r="D743" s="4" t="s">
        <v>40</v>
      </c>
      <c r="F743" s="6">
        <v>12</v>
      </c>
      <c r="G743" s="7" t="s">
        <v>84</v>
      </c>
      <c r="H743" s="6">
        <v>12</v>
      </c>
      <c r="I743" s="7" t="s">
        <v>40</v>
      </c>
      <c r="J743" s="8">
        <f>2937600/12/12</f>
        <v>20400</v>
      </c>
      <c r="K743" s="4" t="s">
        <v>40</v>
      </c>
      <c r="M743" s="9">
        <v>0.17</v>
      </c>
      <c r="O743" s="7" t="s">
        <v>40</v>
      </c>
      <c r="P743" s="3">
        <f>(C743+(E743*F743*H743))-N743</f>
        <v>144</v>
      </c>
      <c r="Q743" s="7" t="s">
        <v>40</v>
      </c>
      <c r="R743" s="8">
        <f>P743*(J743-(J743*L743)-((J743-(J743*L743))*M743))</f>
        <v>2438208</v>
      </c>
      <c r="S743" s="8">
        <f t="shared" si="199"/>
        <v>2196583.7837837837</v>
      </c>
    </row>
    <row r="745" spans="1:19">
      <c r="A745" s="17" t="s">
        <v>778</v>
      </c>
      <c r="B745" s="2" t="s">
        <v>182</v>
      </c>
      <c r="C745" s="20">
        <v>10520</v>
      </c>
      <c r="D745" s="4" t="s">
        <v>152</v>
      </c>
      <c r="F745" s="6">
        <v>40</v>
      </c>
      <c r="G745" s="7" t="s">
        <v>33</v>
      </c>
      <c r="H745" s="6">
        <f>1600/40</f>
        <v>40</v>
      </c>
      <c r="I745" s="7" t="s">
        <v>152</v>
      </c>
      <c r="J745" s="8">
        <v>1532</v>
      </c>
      <c r="K745" s="4" t="s">
        <v>152</v>
      </c>
      <c r="O745" s="7" t="s">
        <v>152</v>
      </c>
      <c r="P745" s="3">
        <f>(C745+(E745*F745*H745))-N745</f>
        <v>10520</v>
      </c>
      <c r="Q745" s="7" t="s">
        <v>152</v>
      </c>
      <c r="R745" s="8">
        <f>P745*(J745-(J745*L745)-((J745-(J745*L745))*M745))</f>
        <v>16116640</v>
      </c>
      <c r="S745" s="8">
        <f t="shared" si="199"/>
        <v>14519495.495495494</v>
      </c>
    </row>
    <row r="747" spans="1:19">
      <c r="A747" s="15" t="s">
        <v>466</v>
      </c>
    </row>
    <row r="748" spans="1:19" s="19" customFormat="1">
      <c r="A748" s="18" t="s">
        <v>467</v>
      </c>
      <c r="B748" s="19" t="s">
        <v>18</v>
      </c>
      <c r="C748" s="20">
        <v>1236</v>
      </c>
      <c r="D748" s="21" t="s">
        <v>152</v>
      </c>
      <c r="E748" s="26">
        <v>4</v>
      </c>
      <c r="F748" s="22">
        <v>12</v>
      </c>
      <c r="G748" s="23" t="s">
        <v>33</v>
      </c>
      <c r="H748" s="22">
        <v>24</v>
      </c>
      <c r="I748" s="23" t="s">
        <v>152</v>
      </c>
      <c r="J748" s="24">
        <v>6700</v>
      </c>
      <c r="K748" s="21" t="s">
        <v>152</v>
      </c>
      <c r="L748" s="25">
        <v>0.125</v>
      </c>
      <c r="M748" s="25">
        <v>0.05</v>
      </c>
      <c r="N748" s="22"/>
      <c r="O748" s="23" t="s">
        <v>152</v>
      </c>
      <c r="P748" s="20">
        <f t="shared" ref="P748:P761" si="211">(C748+(E748*F748*H748))-N748</f>
        <v>2388</v>
      </c>
      <c r="Q748" s="23" t="s">
        <v>152</v>
      </c>
      <c r="R748" s="24">
        <f t="shared" ref="R748:R761" si="212">P748*(J748-(J748*L748)-((J748-(J748*L748))*M748))</f>
        <v>13299667.5</v>
      </c>
      <c r="S748" s="24">
        <f t="shared" si="199"/>
        <v>11981682.432432432</v>
      </c>
    </row>
    <row r="749" spans="1:19" s="19" customFormat="1">
      <c r="A749" s="18" t="s">
        <v>468</v>
      </c>
      <c r="B749" s="19" t="s">
        <v>18</v>
      </c>
      <c r="C749" s="20">
        <v>96</v>
      </c>
      <c r="D749" s="21" t="s">
        <v>152</v>
      </c>
      <c r="E749" s="26">
        <v>1</v>
      </c>
      <c r="F749" s="22">
        <v>12</v>
      </c>
      <c r="G749" s="23" t="s">
        <v>33</v>
      </c>
      <c r="H749" s="22">
        <v>12</v>
      </c>
      <c r="I749" s="23" t="s">
        <v>152</v>
      </c>
      <c r="J749" s="24">
        <v>13800</v>
      </c>
      <c r="K749" s="21" t="s">
        <v>152</v>
      </c>
      <c r="L749" s="25">
        <v>0.125</v>
      </c>
      <c r="M749" s="25">
        <v>0.05</v>
      </c>
      <c r="N749" s="22"/>
      <c r="O749" s="23" t="s">
        <v>152</v>
      </c>
      <c r="P749" s="20">
        <f t="shared" si="211"/>
        <v>240</v>
      </c>
      <c r="Q749" s="23" t="s">
        <v>152</v>
      </c>
      <c r="R749" s="24">
        <f t="shared" si="212"/>
        <v>2753100</v>
      </c>
      <c r="S749" s="8">
        <f t="shared" si="199"/>
        <v>2480270.2702702698</v>
      </c>
    </row>
    <row r="750" spans="1:19" s="19" customFormat="1">
      <c r="A750" s="18" t="s">
        <v>469</v>
      </c>
      <c r="B750" s="19" t="s">
        <v>18</v>
      </c>
      <c r="C750" s="20">
        <v>3084</v>
      </c>
      <c r="D750" s="21" t="s">
        <v>152</v>
      </c>
      <c r="E750" s="26">
        <v>35</v>
      </c>
      <c r="F750" s="22">
        <v>12</v>
      </c>
      <c r="G750" s="23" t="s">
        <v>33</v>
      </c>
      <c r="H750" s="22">
        <v>12</v>
      </c>
      <c r="I750" s="23" t="s">
        <v>152</v>
      </c>
      <c r="J750" s="24">
        <v>10600</v>
      </c>
      <c r="K750" s="21" t="s">
        <v>152</v>
      </c>
      <c r="L750" s="25">
        <v>0.125</v>
      </c>
      <c r="M750" s="25">
        <v>0.05</v>
      </c>
      <c r="N750" s="22"/>
      <c r="O750" s="23" t="s">
        <v>152</v>
      </c>
      <c r="P750" s="20">
        <f t="shared" si="211"/>
        <v>8124</v>
      </c>
      <c r="Q750" s="23" t="s">
        <v>152</v>
      </c>
      <c r="R750" s="24">
        <f t="shared" si="212"/>
        <v>71582595</v>
      </c>
      <c r="S750" s="24">
        <f t="shared" si="199"/>
        <v>64488824.324324317</v>
      </c>
    </row>
    <row r="751" spans="1:19" s="19" customFormat="1">
      <c r="A751" s="18" t="s">
        <v>470</v>
      </c>
      <c r="B751" s="19" t="s">
        <v>18</v>
      </c>
      <c r="C751" s="20">
        <v>390</v>
      </c>
      <c r="D751" s="21" t="s">
        <v>152</v>
      </c>
      <c r="E751" s="26">
        <v>13</v>
      </c>
      <c r="F751" s="22">
        <v>12</v>
      </c>
      <c r="G751" s="23" t="s">
        <v>33</v>
      </c>
      <c r="H751" s="22">
        <v>6</v>
      </c>
      <c r="I751" s="23" t="s">
        <v>152</v>
      </c>
      <c r="J751" s="24">
        <v>21200</v>
      </c>
      <c r="K751" s="21" t="s">
        <v>152</v>
      </c>
      <c r="L751" s="25">
        <v>0.125</v>
      </c>
      <c r="M751" s="25">
        <v>0.05</v>
      </c>
      <c r="N751" s="22"/>
      <c r="O751" s="23" t="s">
        <v>152</v>
      </c>
      <c r="P751" s="20">
        <f t="shared" si="211"/>
        <v>1326</v>
      </c>
      <c r="Q751" s="23" t="s">
        <v>152</v>
      </c>
      <c r="R751" s="24">
        <f t="shared" si="212"/>
        <v>23367435</v>
      </c>
      <c r="S751" s="8">
        <f t="shared" si="199"/>
        <v>21051743.24324324</v>
      </c>
    </row>
    <row r="752" spans="1:19" s="89" customFormat="1">
      <c r="A752" s="88" t="s">
        <v>471</v>
      </c>
      <c r="B752" s="89" t="s">
        <v>18</v>
      </c>
      <c r="C752" s="87"/>
      <c r="D752" s="90" t="s">
        <v>152</v>
      </c>
      <c r="E752" s="91"/>
      <c r="F752" s="92">
        <v>8</v>
      </c>
      <c r="G752" s="93" t="s">
        <v>33</v>
      </c>
      <c r="H752" s="92">
        <v>6</v>
      </c>
      <c r="I752" s="93" t="s">
        <v>152</v>
      </c>
      <c r="J752" s="94">
        <v>35000</v>
      </c>
      <c r="K752" s="90" t="s">
        <v>152</v>
      </c>
      <c r="L752" s="95">
        <v>0.125</v>
      </c>
      <c r="M752" s="95">
        <v>0.05</v>
      </c>
      <c r="N752" s="92"/>
      <c r="O752" s="93" t="s">
        <v>152</v>
      </c>
      <c r="P752" s="87">
        <f t="shared" si="211"/>
        <v>0</v>
      </c>
      <c r="Q752" s="93" t="s">
        <v>152</v>
      </c>
      <c r="R752" s="94">
        <f t="shared" si="212"/>
        <v>0</v>
      </c>
      <c r="S752" s="16">
        <f t="shared" si="199"/>
        <v>0</v>
      </c>
    </row>
    <row r="753" spans="1:19" s="19" customFormat="1">
      <c r="A753" s="18" t="s">
        <v>472</v>
      </c>
      <c r="B753" s="19" t="s">
        <v>18</v>
      </c>
      <c r="C753" s="20">
        <v>408</v>
      </c>
      <c r="D753" s="21" t="s">
        <v>152</v>
      </c>
      <c r="E753" s="26">
        <v>5</v>
      </c>
      <c r="F753" s="22">
        <v>12</v>
      </c>
      <c r="G753" s="23" t="s">
        <v>33</v>
      </c>
      <c r="H753" s="22">
        <v>12</v>
      </c>
      <c r="I753" s="23" t="s">
        <v>152</v>
      </c>
      <c r="J753" s="24">
        <v>9600</v>
      </c>
      <c r="K753" s="21" t="s">
        <v>152</v>
      </c>
      <c r="L753" s="25">
        <v>0.125</v>
      </c>
      <c r="M753" s="25">
        <v>0.05</v>
      </c>
      <c r="N753" s="22"/>
      <c r="O753" s="23" t="s">
        <v>152</v>
      </c>
      <c r="P753" s="20">
        <f t="shared" si="211"/>
        <v>1128</v>
      </c>
      <c r="Q753" s="23" t="s">
        <v>152</v>
      </c>
      <c r="R753" s="24">
        <f t="shared" si="212"/>
        <v>9001440</v>
      </c>
      <c r="S753" s="24">
        <f t="shared" si="199"/>
        <v>8109405.405405405</v>
      </c>
    </row>
    <row r="754" spans="1:19" s="80" customFormat="1">
      <c r="A754" s="79" t="s">
        <v>473</v>
      </c>
      <c r="B754" s="80" t="s">
        <v>18</v>
      </c>
      <c r="C754" s="81"/>
      <c r="D754" s="82" t="s">
        <v>152</v>
      </c>
      <c r="E754" s="83"/>
      <c r="F754" s="84">
        <v>12</v>
      </c>
      <c r="G754" s="85" t="s">
        <v>33</v>
      </c>
      <c r="H754" s="84">
        <v>6</v>
      </c>
      <c r="I754" s="85" t="s">
        <v>152</v>
      </c>
      <c r="J754" s="16">
        <v>19200</v>
      </c>
      <c r="K754" s="82" t="s">
        <v>152</v>
      </c>
      <c r="L754" s="86">
        <v>0.125</v>
      </c>
      <c r="M754" s="86">
        <v>0.05</v>
      </c>
      <c r="N754" s="84"/>
      <c r="O754" s="85" t="s">
        <v>152</v>
      </c>
      <c r="P754" s="81">
        <f t="shared" si="211"/>
        <v>0</v>
      </c>
      <c r="Q754" s="85" t="s">
        <v>152</v>
      </c>
      <c r="R754" s="16">
        <f t="shared" si="212"/>
        <v>0</v>
      </c>
      <c r="S754" s="16">
        <f t="shared" si="199"/>
        <v>0</v>
      </c>
    </row>
    <row r="755" spans="1:19" s="80" customFormat="1">
      <c r="A755" s="79" t="s">
        <v>474</v>
      </c>
      <c r="B755" s="80" t="s">
        <v>18</v>
      </c>
      <c r="C755" s="81"/>
      <c r="D755" s="82" t="s">
        <v>152</v>
      </c>
      <c r="E755" s="83"/>
      <c r="F755" s="84">
        <v>12</v>
      </c>
      <c r="G755" s="85" t="s">
        <v>33</v>
      </c>
      <c r="H755" s="84">
        <v>24</v>
      </c>
      <c r="I755" s="85" t="s">
        <v>152</v>
      </c>
      <c r="J755" s="16">
        <v>5800</v>
      </c>
      <c r="K755" s="82" t="s">
        <v>152</v>
      </c>
      <c r="L755" s="86">
        <v>0.125</v>
      </c>
      <c r="M755" s="86">
        <v>0.05</v>
      </c>
      <c r="N755" s="84"/>
      <c r="O755" s="85" t="s">
        <v>152</v>
      </c>
      <c r="P755" s="81">
        <f t="shared" si="211"/>
        <v>0</v>
      </c>
      <c r="Q755" s="85" t="s">
        <v>152</v>
      </c>
      <c r="R755" s="16">
        <f t="shared" si="212"/>
        <v>0</v>
      </c>
      <c r="S755" s="16">
        <f t="shared" si="199"/>
        <v>0</v>
      </c>
    </row>
    <row r="756" spans="1:19" s="19" customFormat="1">
      <c r="A756" s="18" t="s">
        <v>475</v>
      </c>
      <c r="B756" s="19" t="s">
        <v>18</v>
      </c>
      <c r="C756" s="20"/>
      <c r="D756" s="21" t="s">
        <v>152</v>
      </c>
      <c r="E756" s="26">
        <v>2</v>
      </c>
      <c r="F756" s="22">
        <v>12</v>
      </c>
      <c r="G756" s="23" t="s">
        <v>33</v>
      </c>
      <c r="H756" s="22">
        <v>12</v>
      </c>
      <c r="I756" s="23" t="s">
        <v>152</v>
      </c>
      <c r="J756" s="24">
        <v>12600</v>
      </c>
      <c r="K756" s="21" t="s">
        <v>152</v>
      </c>
      <c r="L756" s="25">
        <v>0.125</v>
      </c>
      <c r="M756" s="25">
        <v>0.05</v>
      </c>
      <c r="N756" s="22"/>
      <c r="O756" s="23" t="s">
        <v>152</v>
      </c>
      <c r="P756" s="20">
        <f t="shared" ref="P756" si="213">(C756+(E756*F756*H756))-N756</f>
        <v>288</v>
      </c>
      <c r="Q756" s="23" t="s">
        <v>152</v>
      </c>
      <c r="R756" s="24">
        <f t="shared" ref="R756" si="214">P756*(J756-(J756*L756)-((J756-(J756*L756))*M756))</f>
        <v>3016440</v>
      </c>
      <c r="S756" s="24">
        <f t="shared" ref="S756" si="215">R756/1.11</f>
        <v>2717513.5135135134</v>
      </c>
    </row>
    <row r="757" spans="1:19" s="19" customFormat="1">
      <c r="A757" s="18" t="s">
        <v>805</v>
      </c>
      <c r="B757" s="19" t="s">
        <v>18</v>
      </c>
      <c r="C757" s="20">
        <v>72</v>
      </c>
      <c r="D757" s="21" t="s">
        <v>152</v>
      </c>
      <c r="E757" s="26"/>
      <c r="F757" s="22">
        <v>12</v>
      </c>
      <c r="G757" s="23" t="s">
        <v>33</v>
      </c>
      <c r="H757" s="22">
        <v>6</v>
      </c>
      <c r="I757" s="23" t="s">
        <v>152</v>
      </c>
      <c r="J757" s="24">
        <v>16800</v>
      </c>
      <c r="K757" s="21" t="s">
        <v>152</v>
      </c>
      <c r="L757" s="25">
        <v>0.125</v>
      </c>
      <c r="M757" s="25">
        <v>0.05</v>
      </c>
      <c r="N757" s="22"/>
      <c r="O757" s="23" t="s">
        <v>152</v>
      </c>
      <c r="P757" s="20">
        <f t="shared" si="211"/>
        <v>72</v>
      </c>
      <c r="Q757" s="23" t="s">
        <v>152</v>
      </c>
      <c r="R757" s="24">
        <f t="shared" si="212"/>
        <v>1005480</v>
      </c>
      <c r="S757" s="8">
        <f t="shared" si="199"/>
        <v>905837.83783783775</v>
      </c>
    </row>
    <row r="758" spans="1:19" s="19" customFormat="1">
      <c r="A758" s="18" t="s">
        <v>476</v>
      </c>
      <c r="B758" s="19" t="s">
        <v>18</v>
      </c>
      <c r="C758" s="20">
        <v>144</v>
      </c>
      <c r="D758" s="21" t="s">
        <v>152</v>
      </c>
      <c r="E758" s="26"/>
      <c r="F758" s="22">
        <v>12</v>
      </c>
      <c r="G758" s="23" t="s">
        <v>33</v>
      </c>
      <c r="H758" s="22">
        <v>12</v>
      </c>
      <c r="I758" s="23" t="s">
        <v>152</v>
      </c>
      <c r="J758" s="24">
        <v>11000</v>
      </c>
      <c r="K758" s="21" t="s">
        <v>152</v>
      </c>
      <c r="L758" s="25">
        <v>0.125</v>
      </c>
      <c r="M758" s="25">
        <v>0.05</v>
      </c>
      <c r="N758" s="22"/>
      <c r="O758" s="23" t="s">
        <v>152</v>
      </c>
      <c r="P758" s="20">
        <f t="shared" si="211"/>
        <v>144</v>
      </c>
      <c r="Q758" s="23" t="s">
        <v>152</v>
      </c>
      <c r="R758" s="24">
        <f t="shared" si="212"/>
        <v>1316700</v>
      </c>
      <c r="S758" s="8">
        <f t="shared" si="199"/>
        <v>1186216.2162162161</v>
      </c>
    </row>
    <row r="759" spans="1:19" s="19" customFormat="1">
      <c r="A759" s="18" t="s">
        <v>477</v>
      </c>
      <c r="B759" s="19" t="s">
        <v>18</v>
      </c>
      <c r="C759" s="20">
        <v>252</v>
      </c>
      <c r="D759" s="21" t="s">
        <v>152</v>
      </c>
      <c r="E759" s="26">
        <v>1</v>
      </c>
      <c r="F759" s="22">
        <v>12</v>
      </c>
      <c r="G759" s="23" t="s">
        <v>33</v>
      </c>
      <c r="H759" s="22">
        <v>24</v>
      </c>
      <c r="I759" s="23" t="s">
        <v>152</v>
      </c>
      <c r="J759" s="24">
        <v>5400</v>
      </c>
      <c r="K759" s="21" t="s">
        <v>152</v>
      </c>
      <c r="L759" s="25">
        <v>0.125</v>
      </c>
      <c r="M759" s="25">
        <v>0.05</v>
      </c>
      <c r="N759" s="22"/>
      <c r="O759" s="23" t="s">
        <v>152</v>
      </c>
      <c r="P759" s="20">
        <f t="shared" si="211"/>
        <v>540</v>
      </c>
      <c r="Q759" s="23" t="s">
        <v>152</v>
      </c>
      <c r="R759" s="24">
        <f t="shared" si="212"/>
        <v>2423925</v>
      </c>
      <c r="S759" s="8">
        <f t="shared" si="199"/>
        <v>2183716.2162162159</v>
      </c>
    </row>
    <row r="760" spans="1:19" s="89" customFormat="1">
      <c r="A760" s="88" t="s">
        <v>478</v>
      </c>
      <c r="B760" s="89" t="s">
        <v>18</v>
      </c>
      <c r="C760" s="87"/>
      <c r="D760" s="90" t="s">
        <v>152</v>
      </c>
      <c r="E760" s="91"/>
      <c r="F760" s="92">
        <v>12</v>
      </c>
      <c r="G760" s="93" t="s">
        <v>33</v>
      </c>
      <c r="H760" s="92">
        <v>12</v>
      </c>
      <c r="I760" s="93" t="s">
        <v>152</v>
      </c>
      <c r="J760" s="94">
        <v>16900</v>
      </c>
      <c r="K760" s="90" t="s">
        <v>152</v>
      </c>
      <c r="L760" s="95">
        <v>0.125</v>
      </c>
      <c r="M760" s="95">
        <v>0.05</v>
      </c>
      <c r="N760" s="92"/>
      <c r="O760" s="93" t="s">
        <v>152</v>
      </c>
      <c r="P760" s="87">
        <f t="shared" si="211"/>
        <v>0</v>
      </c>
      <c r="Q760" s="93" t="s">
        <v>152</v>
      </c>
      <c r="R760" s="94">
        <f t="shared" si="212"/>
        <v>0</v>
      </c>
      <c r="S760" s="16">
        <f t="shared" si="199"/>
        <v>0</v>
      </c>
    </row>
    <row r="761" spans="1:19" s="89" customFormat="1">
      <c r="A761" s="88" t="s">
        <v>479</v>
      </c>
      <c r="B761" s="89" t="s">
        <v>18</v>
      </c>
      <c r="C761" s="87"/>
      <c r="D761" s="90" t="s">
        <v>152</v>
      </c>
      <c r="E761" s="91"/>
      <c r="F761" s="92">
        <v>12</v>
      </c>
      <c r="G761" s="93" t="s">
        <v>33</v>
      </c>
      <c r="H761" s="92">
        <v>6</v>
      </c>
      <c r="I761" s="93" t="s">
        <v>152</v>
      </c>
      <c r="J761" s="94">
        <v>33800</v>
      </c>
      <c r="K761" s="90" t="s">
        <v>152</v>
      </c>
      <c r="L761" s="95">
        <v>0.125</v>
      </c>
      <c r="M761" s="95">
        <v>0.05</v>
      </c>
      <c r="N761" s="92"/>
      <c r="O761" s="93" t="s">
        <v>152</v>
      </c>
      <c r="P761" s="87">
        <f t="shared" si="211"/>
        <v>0</v>
      </c>
      <c r="Q761" s="93" t="s">
        <v>152</v>
      </c>
      <c r="R761" s="94">
        <f t="shared" si="212"/>
        <v>0</v>
      </c>
      <c r="S761" s="16">
        <f t="shared" si="199"/>
        <v>0</v>
      </c>
    </row>
    <row r="762" spans="1:19" s="19" customFormat="1">
      <c r="A762" s="18"/>
      <c r="C762" s="20"/>
      <c r="D762" s="21"/>
      <c r="E762" s="26"/>
      <c r="F762" s="22"/>
      <c r="G762" s="23"/>
      <c r="H762" s="22"/>
      <c r="I762" s="23"/>
      <c r="J762" s="24"/>
      <c r="K762" s="21"/>
      <c r="L762" s="25"/>
      <c r="M762" s="25"/>
      <c r="N762" s="22"/>
      <c r="O762" s="23"/>
      <c r="P762" s="20"/>
      <c r="Q762" s="23"/>
      <c r="R762" s="24"/>
      <c r="S762" s="8"/>
    </row>
    <row r="763" spans="1:19" s="19" customFormat="1">
      <c r="A763" s="18" t="s">
        <v>480</v>
      </c>
      <c r="B763" s="19" t="s">
        <v>25</v>
      </c>
      <c r="C763" s="20">
        <v>166</v>
      </c>
      <c r="D763" s="21" t="s">
        <v>40</v>
      </c>
      <c r="E763" s="26">
        <v>5</v>
      </c>
      <c r="F763" s="22">
        <v>24</v>
      </c>
      <c r="G763" s="23" t="s">
        <v>33</v>
      </c>
      <c r="H763" s="22">
        <v>2</v>
      </c>
      <c r="I763" s="23" t="s">
        <v>40</v>
      </c>
      <c r="J763" s="24">
        <f>3801600/24/2</f>
        <v>79200</v>
      </c>
      <c r="K763" s="21" t="s">
        <v>40</v>
      </c>
      <c r="L763" s="25"/>
      <c r="M763" s="25">
        <v>0.17</v>
      </c>
      <c r="N763" s="22"/>
      <c r="O763" s="23" t="s">
        <v>40</v>
      </c>
      <c r="P763" s="20">
        <f t="shared" ref="P763:P764" si="216">(C763+(E763*F763*H763))-N763</f>
        <v>406</v>
      </c>
      <c r="Q763" s="23" t="s">
        <v>40</v>
      </c>
      <c r="R763" s="24">
        <f t="shared" ref="R763:R764" si="217">P763*(J763-(J763*L763)-((J763-(J763*L763))*M763))</f>
        <v>26688816</v>
      </c>
      <c r="S763" s="24">
        <f t="shared" ref="S763:S764" si="218">R763/1.11</f>
        <v>24043978.378378376</v>
      </c>
    </row>
    <row r="764" spans="1:19" s="19" customFormat="1">
      <c r="A764" s="164" t="s">
        <v>481</v>
      </c>
      <c r="B764" s="19" t="s">
        <v>25</v>
      </c>
      <c r="C764" s="20"/>
      <c r="D764" s="21" t="s">
        <v>40</v>
      </c>
      <c r="E764" s="26">
        <v>100</v>
      </c>
      <c r="F764" s="22">
        <v>1</v>
      </c>
      <c r="G764" s="23" t="s">
        <v>20</v>
      </c>
      <c r="H764" s="22">
        <v>24</v>
      </c>
      <c r="I764" s="23" t="s">
        <v>40</v>
      </c>
      <c r="J764" s="24">
        <f>2980800/24</f>
        <v>124200</v>
      </c>
      <c r="K764" s="21" t="s">
        <v>40</v>
      </c>
      <c r="L764" s="25">
        <v>0.03</v>
      </c>
      <c r="M764" s="25">
        <v>0.17</v>
      </c>
      <c r="N764" s="22"/>
      <c r="O764" s="23" t="s">
        <v>40</v>
      </c>
      <c r="P764" s="20">
        <f t="shared" si="216"/>
        <v>2400</v>
      </c>
      <c r="Q764" s="23" t="s">
        <v>40</v>
      </c>
      <c r="R764" s="24">
        <f t="shared" si="217"/>
        <v>239984208</v>
      </c>
      <c r="S764" s="24">
        <f t="shared" si="218"/>
        <v>216201989.18918917</v>
      </c>
    </row>
    <row r="765" spans="1:19" s="19" customFormat="1">
      <c r="A765" s="18" t="s">
        <v>481</v>
      </c>
      <c r="B765" s="19" t="s">
        <v>25</v>
      </c>
      <c r="C765" s="20">
        <v>184</v>
      </c>
      <c r="D765" s="21" t="s">
        <v>40</v>
      </c>
      <c r="E765" s="26">
        <v>11</v>
      </c>
      <c r="F765" s="22">
        <v>1</v>
      </c>
      <c r="G765" s="23" t="s">
        <v>20</v>
      </c>
      <c r="H765" s="22">
        <v>24</v>
      </c>
      <c r="I765" s="23" t="s">
        <v>40</v>
      </c>
      <c r="J765" s="24">
        <f>2980800/24</f>
        <v>124200</v>
      </c>
      <c r="K765" s="21" t="s">
        <v>40</v>
      </c>
      <c r="L765" s="25"/>
      <c r="M765" s="25">
        <v>0.17</v>
      </c>
      <c r="N765" s="22"/>
      <c r="O765" s="23" t="s">
        <v>40</v>
      </c>
      <c r="P765" s="20">
        <f t="shared" ref="P765:P775" si="219">(C765+(E765*F765*H765))-N765</f>
        <v>448</v>
      </c>
      <c r="Q765" s="23" t="s">
        <v>40</v>
      </c>
      <c r="R765" s="24">
        <f t="shared" ref="R765:R775" si="220">P765*(J765-(J765*L765)-((J765-(J765*L765))*M765))</f>
        <v>46182528</v>
      </c>
      <c r="S765" s="24">
        <f t="shared" si="199"/>
        <v>41605881.081081077</v>
      </c>
    </row>
    <row r="766" spans="1:19">
      <c r="A766" s="17" t="s">
        <v>482</v>
      </c>
      <c r="B766" s="2" t="s">
        <v>25</v>
      </c>
      <c r="D766" s="4" t="s">
        <v>40</v>
      </c>
      <c r="E766" s="5">
        <v>2</v>
      </c>
      <c r="F766" s="6">
        <v>1</v>
      </c>
      <c r="G766" s="7" t="s">
        <v>20</v>
      </c>
      <c r="H766" s="6">
        <v>12</v>
      </c>
      <c r="I766" s="7" t="s">
        <v>40</v>
      </c>
      <c r="J766" s="8">
        <f>2980800/12</f>
        <v>248400</v>
      </c>
      <c r="K766" s="4" t="s">
        <v>40</v>
      </c>
      <c r="M766" s="9">
        <v>0.17</v>
      </c>
      <c r="O766" s="7" t="s">
        <v>40</v>
      </c>
      <c r="P766" s="3">
        <f t="shared" si="219"/>
        <v>24</v>
      </c>
      <c r="Q766" s="7" t="s">
        <v>40</v>
      </c>
      <c r="R766" s="8">
        <f t="shared" si="220"/>
        <v>4948128</v>
      </c>
      <c r="S766" s="8">
        <f t="shared" si="199"/>
        <v>4457772.9729729723</v>
      </c>
    </row>
    <row r="767" spans="1:19">
      <c r="A767" s="17" t="s">
        <v>678</v>
      </c>
      <c r="B767" s="2" t="s">
        <v>25</v>
      </c>
      <c r="C767" s="3">
        <v>106</v>
      </c>
      <c r="D767" s="4" t="s">
        <v>152</v>
      </c>
      <c r="F767" s="6">
        <v>20</v>
      </c>
      <c r="G767" s="7" t="s">
        <v>33</v>
      </c>
      <c r="H767" s="6">
        <v>4</v>
      </c>
      <c r="I767" s="7" t="s">
        <v>152</v>
      </c>
      <c r="J767" s="8">
        <f>2640000/20/4</f>
        <v>33000</v>
      </c>
      <c r="K767" s="4" t="s">
        <v>152</v>
      </c>
      <c r="M767" s="9">
        <v>0.17</v>
      </c>
      <c r="O767" s="7" t="s">
        <v>152</v>
      </c>
      <c r="P767" s="3">
        <f t="shared" si="219"/>
        <v>106</v>
      </c>
      <c r="Q767" s="7" t="s">
        <v>152</v>
      </c>
      <c r="R767" s="8">
        <f t="shared" si="220"/>
        <v>2903340</v>
      </c>
      <c r="S767" s="8">
        <f>R767/1.11</f>
        <v>2615621.6216216213</v>
      </c>
    </row>
    <row r="768" spans="1:19" s="80" customFormat="1">
      <c r="A768" s="79" t="s">
        <v>483</v>
      </c>
      <c r="B768" s="80" t="s">
        <v>25</v>
      </c>
      <c r="C768" s="81"/>
      <c r="D768" s="82" t="s">
        <v>40</v>
      </c>
      <c r="E768" s="83"/>
      <c r="F768" s="84">
        <v>1</v>
      </c>
      <c r="G768" s="85" t="s">
        <v>20</v>
      </c>
      <c r="H768" s="84">
        <v>24</v>
      </c>
      <c r="I768" s="85" t="s">
        <v>40</v>
      </c>
      <c r="J768" s="16">
        <f>2448000/24</f>
        <v>102000</v>
      </c>
      <c r="K768" s="82" t="s">
        <v>40</v>
      </c>
      <c r="L768" s="86"/>
      <c r="M768" s="86">
        <v>0.17</v>
      </c>
      <c r="N768" s="84"/>
      <c r="O768" s="85" t="s">
        <v>40</v>
      </c>
      <c r="P768" s="81">
        <f t="shared" si="219"/>
        <v>0</v>
      </c>
      <c r="Q768" s="85" t="s">
        <v>40</v>
      </c>
      <c r="R768" s="16">
        <f t="shared" si="220"/>
        <v>0</v>
      </c>
      <c r="S768" s="16">
        <f t="shared" si="199"/>
        <v>0</v>
      </c>
    </row>
    <row r="769" spans="1:19">
      <c r="A769" s="17" t="s">
        <v>484</v>
      </c>
      <c r="B769" s="2" t="s">
        <v>25</v>
      </c>
      <c r="C769" s="3">
        <v>10</v>
      </c>
      <c r="D769" s="4" t="s">
        <v>40</v>
      </c>
      <c r="F769" s="6">
        <v>1</v>
      </c>
      <c r="G769" s="7" t="s">
        <v>20</v>
      </c>
      <c r="H769" s="6">
        <v>16</v>
      </c>
      <c r="I769" s="7" t="s">
        <v>40</v>
      </c>
      <c r="J769" s="8">
        <f>1824000/16</f>
        <v>114000</v>
      </c>
      <c r="K769" s="4" t="s">
        <v>40</v>
      </c>
      <c r="M769" s="9">
        <v>0.17</v>
      </c>
      <c r="O769" s="7" t="s">
        <v>40</v>
      </c>
      <c r="P769" s="3">
        <f t="shared" si="219"/>
        <v>10</v>
      </c>
      <c r="Q769" s="7" t="s">
        <v>40</v>
      </c>
      <c r="R769" s="8">
        <f t="shared" si="220"/>
        <v>946200</v>
      </c>
      <c r="S769" s="8">
        <f t="shared" si="199"/>
        <v>852432.43243243231</v>
      </c>
    </row>
    <row r="770" spans="1:19" s="80" customFormat="1">
      <c r="A770" s="79" t="s">
        <v>681</v>
      </c>
      <c r="B770" s="80" t="s">
        <v>25</v>
      </c>
      <c r="C770" s="81"/>
      <c r="D770" s="82" t="s">
        <v>152</v>
      </c>
      <c r="E770" s="83"/>
      <c r="F770" s="84">
        <v>24</v>
      </c>
      <c r="G770" s="85" t="s">
        <v>33</v>
      </c>
      <c r="H770" s="84">
        <v>6</v>
      </c>
      <c r="I770" s="85" t="s">
        <v>152</v>
      </c>
      <c r="J770" s="16">
        <f>2448000/24/6</f>
        <v>17000</v>
      </c>
      <c r="K770" s="82" t="s">
        <v>152</v>
      </c>
      <c r="L770" s="86"/>
      <c r="M770" s="86">
        <v>0.17</v>
      </c>
      <c r="N770" s="84"/>
      <c r="O770" s="85" t="s">
        <v>152</v>
      </c>
      <c r="P770" s="81">
        <f t="shared" si="219"/>
        <v>0</v>
      </c>
      <c r="Q770" s="85" t="s">
        <v>152</v>
      </c>
      <c r="R770" s="16">
        <f t="shared" si="220"/>
        <v>0</v>
      </c>
      <c r="S770" s="16">
        <f t="shared" si="199"/>
        <v>0</v>
      </c>
    </row>
    <row r="771" spans="1:19">
      <c r="A771" s="17" t="s">
        <v>485</v>
      </c>
      <c r="B771" s="2" t="s">
        <v>25</v>
      </c>
      <c r="D771" s="4" t="s">
        <v>152</v>
      </c>
      <c r="E771" s="5">
        <v>2</v>
      </c>
      <c r="F771" s="6">
        <v>10</v>
      </c>
      <c r="G771" s="7" t="s">
        <v>40</v>
      </c>
      <c r="H771" s="6">
        <v>12</v>
      </c>
      <c r="I771" s="7" t="s">
        <v>152</v>
      </c>
      <c r="J771" s="8">
        <f>2040000/10/12</f>
        <v>17000</v>
      </c>
      <c r="K771" s="4" t="s">
        <v>152</v>
      </c>
      <c r="M771" s="9">
        <v>0.17</v>
      </c>
      <c r="O771" s="7" t="s">
        <v>152</v>
      </c>
      <c r="P771" s="3">
        <f t="shared" si="219"/>
        <v>240</v>
      </c>
      <c r="Q771" s="7" t="s">
        <v>152</v>
      </c>
      <c r="R771" s="8">
        <f t="shared" si="220"/>
        <v>3386400</v>
      </c>
      <c r="S771" s="8">
        <f t="shared" si="199"/>
        <v>3050810.8108108104</v>
      </c>
    </row>
    <row r="772" spans="1:19" s="80" customFormat="1">
      <c r="A772" s="79" t="s">
        <v>486</v>
      </c>
      <c r="B772" s="80" t="s">
        <v>25</v>
      </c>
      <c r="C772" s="81"/>
      <c r="D772" s="82" t="s">
        <v>152</v>
      </c>
      <c r="E772" s="83">
        <v>1</v>
      </c>
      <c r="F772" s="84">
        <v>10</v>
      </c>
      <c r="G772" s="85" t="s">
        <v>33</v>
      </c>
      <c r="H772" s="84">
        <v>6</v>
      </c>
      <c r="I772" s="85" t="s">
        <v>152</v>
      </c>
      <c r="J772" s="16">
        <f>2040000/10/6</f>
        <v>34000</v>
      </c>
      <c r="K772" s="82" t="s">
        <v>152</v>
      </c>
      <c r="L772" s="86"/>
      <c r="M772" s="86">
        <v>0.17</v>
      </c>
      <c r="N772" s="84"/>
      <c r="O772" s="85" t="s">
        <v>152</v>
      </c>
      <c r="P772" s="81">
        <f t="shared" si="219"/>
        <v>60</v>
      </c>
      <c r="Q772" s="85" t="s">
        <v>152</v>
      </c>
      <c r="R772" s="16">
        <f t="shared" si="220"/>
        <v>1693200</v>
      </c>
      <c r="S772" s="16">
        <f t="shared" si="199"/>
        <v>1525405.4054054052</v>
      </c>
    </row>
    <row r="773" spans="1:19" s="89" customFormat="1">
      <c r="A773" s="88" t="s">
        <v>487</v>
      </c>
      <c r="B773" s="89" t="s">
        <v>25</v>
      </c>
      <c r="C773" s="87"/>
      <c r="D773" s="90" t="s">
        <v>152</v>
      </c>
      <c r="E773" s="91"/>
      <c r="F773" s="92">
        <v>24</v>
      </c>
      <c r="G773" s="93" t="s">
        <v>40</v>
      </c>
      <c r="H773" s="92">
        <v>12</v>
      </c>
      <c r="I773" s="93" t="s">
        <v>152</v>
      </c>
      <c r="J773" s="94">
        <f>3571200/24/12</f>
        <v>12400</v>
      </c>
      <c r="K773" s="90" t="s">
        <v>152</v>
      </c>
      <c r="L773" s="95"/>
      <c r="M773" s="95">
        <v>0.17</v>
      </c>
      <c r="N773" s="92"/>
      <c r="O773" s="93" t="s">
        <v>152</v>
      </c>
      <c r="P773" s="87">
        <f t="shared" si="219"/>
        <v>0</v>
      </c>
      <c r="Q773" s="93" t="s">
        <v>152</v>
      </c>
      <c r="R773" s="94">
        <f t="shared" si="220"/>
        <v>0</v>
      </c>
      <c r="S773" s="16">
        <f t="shared" si="199"/>
        <v>0</v>
      </c>
    </row>
    <row r="774" spans="1:19" s="89" customFormat="1">
      <c r="A774" s="88" t="s">
        <v>488</v>
      </c>
      <c r="B774" s="89" t="s">
        <v>25</v>
      </c>
      <c r="C774" s="87"/>
      <c r="D774" s="90" t="s">
        <v>152</v>
      </c>
      <c r="E774" s="91">
        <v>1</v>
      </c>
      <c r="F774" s="92">
        <v>16</v>
      </c>
      <c r="G774" s="93" t="s">
        <v>40</v>
      </c>
      <c r="H774" s="92">
        <v>12</v>
      </c>
      <c r="I774" s="93" t="s">
        <v>152</v>
      </c>
      <c r="J774" s="94">
        <f>3648000/16/12</f>
        <v>19000</v>
      </c>
      <c r="K774" s="90" t="s">
        <v>152</v>
      </c>
      <c r="L774" s="95"/>
      <c r="M774" s="95">
        <v>0.17</v>
      </c>
      <c r="N774" s="92"/>
      <c r="O774" s="93" t="s">
        <v>152</v>
      </c>
      <c r="P774" s="87">
        <f t="shared" si="219"/>
        <v>192</v>
      </c>
      <c r="Q774" s="93" t="s">
        <v>152</v>
      </c>
      <c r="R774" s="94">
        <f t="shared" si="220"/>
        <v>3027840</v>
      </c>
      <c r="S774" s="16">
        <f t="shared" si="199"/>
        <v>2727783.7837837837</v>
      </c>
    </row>
    <row r="775" spans="1:19" s="80" customFormat="1">
      <c r="A775" s="79" t="s">
        <v>489</v>
      </c>
      <c r="B775" s="80" t="s">
        <v>25</v>
      </c>
      <c r="C775" s="81"/>
      <c r="D775" s="82" t="s">
        <v>152</v>
      </c>
      <c r="E775" s="83"/>
      <c r="F775" s="84">
        <v>24</v>
      </c>
      <c r="G775" s="85" t="s">
        <v>33</v>
      </c>
      <c r="H775" s="84">
        <v>6</v>
      </c>
      <c r="I775" s="85" t="s">
        <v>152</v>
      </c>
      <c r="J775" s="16">
        <v>22000</v>
      </c>
      <c r="K775" s="82" t="s">
        <v>152</v>
      </c>
      <c r="L775" s="86"/>
      <c r="M775" s="86">
        <v>0.17</v>
      </c>
      <c r="N775" s="84"/>
      <c r="O775" s="85" t="s">
        <v>152</v>
      </c>
      <c r="P775" s="81">
        <f t="shared" si="219"/>
        <v>0</v>
      </c>
      <c r="Q775" s="85" t="s">
        <v>152</v>
      </c>
      <c r="R775" s="16">
        <f t="shared" si="220"/>
        <v>0</v>
      </c>
      <c r="S775" s="16">
        <f t="shared" si="199"/>
        <v>0</v>
      </c>
    </row>
    <row r="777" spans="1:19">
      <c r="A777" s="164" t="s">
        <v>885</v>
      </c>
      <c r="B777" s="2" t="s">
        <v>261</v>
      </c>
      <c r="D777" s="4" t="s">
        <v>152</v>
      </c>
      <c r="E777" s="5">
        <v>1</v>
      </c>
      <c r="F777" s="6">
        <v>1</v>
      </c>
      <c r="G777" s="7" t="s">
        <v>20</v>
      </c>
      <c r="H777" s="6">
        <v>144</v>
      </c>
      <c r="I777" s="7" t="s">
        <v>152</v>
      </c>
      <c r="J777" s="8">
        <v>18500</v>
      </c>
      <c r="K777" s="4" t="s">
        <v>152</v>
      </c>
      <c r="O777" s="85" t="s">
        <v>152</v>
      </c>
      <c r="P777" s="81">
        <f t="shared" ref="P777" si="221">(C777+(E777*F777*H777))-N777</f>
        <v>144</v>
      </c>
      <c r="Q777" s="85" t="s">
        <v>152</v>
      </c>
      <c r="R777" s="16">
        <f t="shared" ref="R777" si="222">P777*(J777-(J777*L777)-((J777-(J777*L777))*M777))</f>
        <v>2664000</v>
      </c>
      <c r="S777" s="16">
        <f t="shared" ref="S777" si="223">R777/1.11</f>
        <v>2400000</v>
      </c>
    </row>
    <row r="778" spans="1:19">
      <c r="A778" s="164" t="s">
        <v>886</v>
      </c>
      <c r="B778" s="2" t="s">
        <v>261</v>
      </c>
      <c r="D778" s="4" t="s">
        <v>152</v>
      </c>
      <c r="E778" s="5">
        <v>1</v>
      </c>
      <c r="F778" s="6">
        <v>1</v>
      </c>
      <c r="G778" s="7" t="s">
        <v>20</v>
      </c>
      <c r="H778" s="6">
        <v>240</v>
      </c>
      <c r="I778" s="7" t="s">
        <v>152</v>
      </c>
      <c r="J778" s="8">
        <v>8800</v>
      </c>
      <c r="K778" s="4" t="s">
        <v>152</v>
      </c>
      <c r="O778" s="85" t="s">
        <v>152</v>
      </c>
      <c r="P778" s="81">
        <f t="shared" ref="P778:P779" si="224">(C778+(E778*F778*H778))-N778</f>
        <v>240</v>
      </c>
      <c r="Q778" s="85" t="s">
        <v>152</v>
      </c>
      <c r="R778" s="16">
        <f t="shared" ref="R778:R779" si="225">P778*(J778-(J778*L778)-((J778-(J778*L778))*M778))</f>
        <v>2112000</v>
      </c>
      <c r="S778" s="16">
        <f t="shared" ref="S778:S779" si="226">R778/1.11</f>
        <v>1902702.7027027025</v>
      </c>
    </row>
    <row r="779" spans="1:19">
      <c r="A779" s="164" t="s">
        <v>887</v>
      </c>
      <c r="B779" s="2" t="s">
        <v>261</v>
      </c>
      <c r="D779" s="4" t="s">
        <v>152</v>
      </c>
      <c r="E779" s="5">
        <v>2</v>
      </c>
      <c r="F779" s="6">
        <v>1</v>
      </c>
      <c r="G779" s="7" t="s">
        <v>20</v>
      </c>
      <c r="H779" s="6">
        <v>288</v>
      </c>
      <c r="I779" s="7" t="s">
        <v>152</v>
      </c>
      <c r="J779" s="8">
        <v>10800</v>
      </c>
      <c r="K779" s="4" t="s">
        <v>152</v>
      </c>
      <c r="O779" s="85" t="s">
        <v>152</v>
      </c>
      <c r="P779" s="81">
        <f t="shared" si="224"/>
        <v>576</v>
      </c>
      <c r="Q779" s="85" t="s">
        <v>152</v>
      </c>
      <c r="R779" s="16">
        <f t="shared" si="225"/>
        <v>6220800</v>
      </c>
      <c r="S779" s="16">
        <f t="shared" si="226"/>
        <v>5604324.3243243238</v>
      </c>
    </row>
    <row r="781" spans="1:19" ht="15.75">
      <c r="A781" s="14" t="s">
        <v>490</v>
      </c>
    </row>
    <row r="782" spans="1:19">
      <c r="A782" s="17" t="s">
        <v>491</v>
      </c>
      <c r="B782" s="2" t="s">
        <v>18</v>
      </c>
      <c r="C782" s="3">
        <v>72</v>
      </c>
      <c r="D782" s="4" t="s">
        <v>19</v>
      </c>
      <c r="F782" s="6">
        <v>12</v>
      </c>
      <c r="G782" s="7" t="s">
        <v>33</v>
      </c>
      <c r="H782" s="6">
        <v>24</v>
      </c>
      <c r="I782" s="7" t="s">
        <v>19</v>
      </c>
      <c r="J782" s="8">
        <v>3550</v>
      </c>
      <c r="K782" s="4" t="s">
        <v>19</v>
      </c>
      <c r="L782" s="9">
        <v>0.125</v>
      </c>
      <c r="M782" s="9">
        <v>0.05</v>
      </c>
      <c r="O782" s="7" t="s">
        <v>19</v>
      </c>
      <c r="P782" s="3">
        <f>(C782+(E782*F782*H782))-N782</f>
        <v>72</v>
      </c>
      <c r="Q782" s="7" t="s">
        <v>19</v>
      </c>
      <c r="R782" s="8">
        <f>P782*(J782-(J782*L782)-((J782-(J782*L782))*M782))</f>
        <v>212467.5</v>
      </c>
      <c r="S782" s="8">
        <f t="shared" si="199"/>
        <v>191412.16216216216</v>
      </c>
    </row>
    <row r="783" spans="1:19" s="19" customFormat="1">
      <c r="A783" s="31" t="s">
        <v>829</v>
      </c>
      <c r="B783" s="32" t="s">
        <v>18</v>
      </c>
      <c r="C783" s="33"/>
      <c r="D783" s="34" t="s">
        <v>19</v>
      </c>
      <c r="E783" s="35">
        <v>1</v>
      </c>
      <c r="F783" s="36">
        <v>1</v>
      </c>
      <c r="G783" s="37" t="s">
        <v>20</v>
      </c>
      <c r="H783" s="36">
        <v>288</v>
      </c>
      <c r="I783" s="37" t="s">
        <v>19</v>
      </c>
      <c r="J783" s="38">
        <v>4000</v>
      </c>
      <c r="K783" s="34" t="s">
        <v>19</v>
      </c>
      <c r="L783" s="39">
        <v>0.125</v>
      </c>
      <c r="M783" s="39">
        <v>0.05</v>
      </c>
      <c r="N783" s="36"/>
      <c r="O783" s="37" t="s">
        <v>19</v>
      </c>
      <c r="P783" s="33">
        <f>(C783+(E783*F783*H783))-N783</f>
        <v>288</v>
      </c>
      <c r="Q783" s="37" t="s">
        <v>19</v>
      </c>
      <c r="R783" s="38">
        <f>P783*(J783-(J783*L783)-((J783-(J783*L783))*M783))</f>
        <v>957600</v>
      </c>
      <c r="S783" s="38">
        <f t="shared" ref="S783" si="227">R783/1.11</f>
        <v>862702.70270270261</v>
      </c>
    </row>
    <row r="784" spans="1:19">
      <c r="A784" s="31" t="s">
        <v>492</v>
      </c>
      <c r="B784" s="32" t="s">
        <v>18</v>
      </c>
      <c r="C784" s="33">
        <v>276</v>
      </c>
      <c r="D784" s="34" t="s">
        <v>19</v>
      </c>
      <c r="E784" s="35"/>
      <c r="F784" s="36">
        <v>1</v>
      </c>
      <c r="G784" s="37" t="s">
        <v>20</v>
      </c>
      <c r="H784" s="36">
        <v>288</v>
      </c>
      <c r="I784" s="37" t="s">
        <v>19</v>
      </c>
      <c r="J784" s="38">
        <v>3550</v>
      </c>
      <c r="K784" s="34" t="s">
        <v>19</v>
      </c>
      <c r="L784" s="39">
        <v>0.125</v>
      </c>
      <c r="M784" s="39">
        <v>0.05</v>
      </c>
      <c r="N784" s="36"/>
      <c r="O784" s="37" t="s">
        <v>19</v>
      </c>
      <c r="P784" s="33">
        <f>(C784+(E784*F784*H784))-N784</f>
        <v>276</v>
      </c>
      <c r="Q784" s="37" t="s">
        <v>19</v>
      </c>
      <c r="R784" s="38">
        <f>P784*(J784-(J784*L784)-((J784-(J784*L784))*M784))</f>
        <v>814458.75</v>
      </c>
      <c r="S784" s="38">
        <f t="shared" si="199"/>
        <v>733746.62162162154</v>
      </c>
    </row>
    <row r="785" spans="1:19" s="19" customFormat="1">
      <c r="A785" s="18" t="s">
        <v>493</v>
      </c>
      <c r="B785" s="19" t="s">
        <v>18</v>
      </c>
      <c r="C785" s="20">
        <v>2508</v>
      </c>
      <c r="D785" s="21" t="s">
        <v>19</v>
      </c>
      <c r="E785" s="26">
        <v>19</v>
      </c>
      <c r="F785" s="22">
        <v>1</v>
      </c>
      <c r="G785" s="23" t="s">
        <v>20</v>
      </c>
      <c r="H785" s="22">
        <v>288</v>
      </c>
      <c r="I785" s="23" t="s">
        <v>19</v>
      </c>
      <c r="J785" s="24">
        <v>4800</v>
      </c>
      <c r="K785" s="21" t="s">
        <v>19</v>
      </c>
      <c r="L785" s="25">
        <v>0.125</v>
      </c>
      <c r="M785" s="25">
        <v>0.05</v>
      </c>
      <c r="N785" s="22"/>
      <c r="O785" s="23" t="s">
        <v>19</v>
      </c>
      <c r="P785" s="20">
        <f>(C785+(E785*F785*H785))-N785</f>
        <v>7980</v>
      </c>
      <c r="Q785" s="23" t="s">
        <v>19</v>
      </c>
      <c r="R785" s="24">
        <f>P785*(J785-(J785*L785)-((J785-(J785*L785))*M785))</f>
        <v>31840200</v>
      </c>
      <c r="S785" s="24">
        <f t="shared" si="199"/>
        <v>28684864.864864863</v>
      </c>
    </row>
    <row r="786" spans="1:19" s="19" customFormat="1">
      <c r="A786" s="18"/>
      <c r="C786" s="20"/>
      <c r="D786" s="21"/>
      <c r="E786" s="26"/>
      <c r="F786" s="22"/>
      <c r="G786" s="23"/>
      <c r="H786" s="22"/>
      <c r="I786" s="23"/>
      <c r="J786" s="24"/>
      <c r="K786" s="21"/>
      <c r="L786" s="25"/>
      <c r="M786" s="25"/>
      <c r="N786" s="22"/>
      <c r="O786" s="23"/>
      <c r="P786" s="20"/>
      <c r="Q786" s="23"/>
      <c r="R786" s="24"/>
      <c r="S786" s="24"/>
    </row>
    <row r="787" spans="1:19" s="19" customFormat="1">
      <c r="A787" s="18" t="s">
        <v>494</v>
      </c>
      <c r="B787" s="19" t="s">
        <v>25</v>
      </c>
      <c r="C787" s="20">
        <v>174</v>
      </c>
      <c r="D787" s="21" t="s">
        <v>40</v>
      </c>
      <c r="E787" s="26">
        <v>5</v>
      </c>
      <c r="F787" s="22">
        <v>1</v>
      </c>
      <c r="G787" s="23" t="s">
        <v>20</v>
      </c>
      <c r="H787" s="22">
        <v>24</v>
      </c>
      <c r="I787" s="23" t="s">
        <v>40</v>
      </c>
      <c r="J787" s="24">
        <f>1497600/24</f>
        <v>62400</v>
      </c>
      <c r="K787" s="21" t="s">
        <v>40</v>
      </c>
      <c r="L787" s="25"/>
      <c r="M787" s="25">
        <v>0.17</v>
      </c>
      <c r="N787" s="22"/>
      <c r="O787" s="23" t="s">
        <v>40</v>
      </c>
      <c r="P787" s="20">
        <f>(C787+(E787*F787*H787))-N787</f>
        <v>294</v>
      </c>
      <c r="Q787" s="23" t="s">
        <v>40</v>
      </c>
      <c r="R787" s="24">
        <f>P787*(J787-(J787*L787)-((J787-(J787*L787))*M787))</f>
        <v>15226848</v>
      </c>
      <c r="S787" s="24">
        <f t="shared" si="199"/>
        <v>13717881.081081079</v>
      </c>
    </row>
    <row r="788" spans="1:19" s="19" customFormat="1">
      <c r="A788" s="18"/>
      <c r="C788" s="20"/>
      <c r="D788" s="21"/>
      <c r="E788" s="26"/>
      <c r="F788" s="22"/>
      <c r="G788" s="23"/>
      <c r="H788" s="22"/>
      <c r="I788" s="23"/>
      <c r="J788" s="24"/>
      <c r="K788" s="21"/>
      <c r="L788" s="25"/>
      <c r="M788" s="25"/>
      <c r="N788" s="22"/>
      <c r="O788" s="23"/>
      <c r="P788" s="20"/>
      <c r="Q788" s="23"/>
      <c r="R788" s="24"/>
      <c r="S788" s="8"/>
    </row>
    <row r="789" spans="1:19">
      <c r="A789" s="56" t="s">
        <v>495</v>
      </c>
      <c r="B789" s="2" t="s">
        <v>172</v>
      </c>
      <c r="C789" s="3">
        <v>1026</v>
      </c>
      <c r="D789" s="4" t="s">
        <v>19</v>
      </c>
      <c r="F789" s="6">
        <v>1</v>
      </c>
      <c r="G789" s="7" t="s">
        <v>20</v>
      </c>
      <c r="H789" s="6">
        <v>120</v>
      </c>
      <c r="I789" s="7" t="s">
        <v>19</v>
      </c>
      <c r="J789" s="8">
        <v>11500</v>
      </c>
      <c r="K789" s="4" t="s">
        <v>19</v>
      </c>
      <c r="O789" s="7" t="s">
        <v>19</v>
      </c>
      <c r="P789" s="3">
        <f t="shared" ref="P789:P792" si="228">(C789+(E789*F789*H789))-N789</f>
        <v>1026</v>
      </c>
      <c r="Q789" s="7" t="s">
        <v>19</v>
      </c>
      <c r="R789" s="8">
        <f t="shared" ref="R789:R792" si="229">P789*(J789-(J789*L789)-((J789-(J789*L789))*M789))</f>
        <v>11799000</v>
      </c>
      <c r="S789" s="8">
        <f t="shared" si="199"/>
        <v>10629729.729729729</v>
      </c>
    </row>
    <row r="790" spans="1:19">
      <c r="A790" s="56" t="s">
        <v>717</v>
      </c>
      <c r="B790" s="2" t="s">
        <v>172</v>
      </c>
      <c r="C790" s="3">
        <v>251</v>
      </c>
      <c r="D790" s="4" t="s">
        <v>19</v>
      </c>
      <c r="F790" s="6">
        <v>1</v>
      </c>
      <c r="G790" s="7" t="s">
        <v>20</v>
      </c>
      <c r="H790" s="6">
        <v>100</v>
      </c>
      <c r="I790" s="7" t="s">
        <v>19</v>
      </c>
      <c r="J790" s="8">
        <v>13500</v>
      </c>
      <c r="K790" s="4" t="s">
        <v>19</v>
      </c>
      <c r="L790" s="9">
        <v>0.05</v>
      </c>
      <c r="O790" s="7" t="s">
        <v>19</v>
      </c>
      <c r="P790" s="3">
        <f t="shared" si="228"/>
        <v>251</v>
      </c>
      <c r="Q790" s="7" t="s">
        <v>19</v>
      </c>
      <c r="R790" s="8">
        <f t="shared" si="229"/>
        <v>3219075</v>
      </c>
      <c r="S790" s="8">
        <f t="shared" si="199"/>
        <v>2900067.5675675673</v>
      </c>
    </row>
    <row r="791" spans="1:19">
      <c r="A791" s="56" t="s">
        <v>496</v>
      </c>
      <c r="B791" s="2" t="s">
        <v>172</v>
      </c>
      <c r="C791" s="3">
        <v>486</v>
      </c>
      <c r="D791" s="4" t="s">
        <v>19</v>
      </c>
      <c r="F791" s="6">
        <v>1</v>
      </c>
      <c r="G791" s="7" t="s">
        <v>20</v>
      </c>
      <c r="H791" s="6">
        <v>96</v>
      </c>
      <c r="I791" s="7" t="s">
        <v>19</v>
      </c>
      <c r="J791" s="8">
        <v>21000</v>
      </c>
      <c r="K791" s="4" t="s">
        <v>19</v>
      </c>
      <c r="O791" s="7" t="s">
        <v>19</v>
      </c>
      <c r="P791" s="3">
        <f t="shared" si="228"/>
        <v>486</v>
      </c>
      <c r="Q791" s="7" t="s">
        <v>19</v>
      </c>
      <c r="R791" s="8">
        <f t="shared" si="229"/>
        <v>10206000</v>
      </c>
      <c r="S791" s="8">
        <f t="shared" si="199"/>
        <v>9194594.5945945941</v>
      </c>
    </row>
    <row r="792" spans="1:19" s="80" customFormat="1">
      <c r="A792" s="147" t="s">
        <v>688</v>
      </c>
      <c r="B792" s="80" t="s">
        <v>172</v>
      </c>
      <c r="C792" s="81"/>
      <c r="D792" s="82" t="s">
        <v>19</v>
      </c>
      <c r="E792" s="83"/>
      <c r="F792" s="84">
        <v>1</v>
      </c>
      <c r="G792" s="85" t="s">
        <v>20</v>
      </c>
      <c r="H792" s="84">
        <v>144</v>
      </c>
      <c r="I792" s="85" t="s">
        <v>19</v>
      </c>
      <c r="J792" s="16">
        <v>8750</v>
      </c>
      <c r="K792" s="82" t="s">
        <v>19</v>
      </c>
      <c r="L792" s="86"/>
      <c r="M792" s="86"/>
      <c r="N792" s="84"/>
      <c r="O792" s="85" t="s">
        <v>19</v>
      </c>
      <c r="P792" s="81">
        <f t="shared" si="228"/>
        <v>0</v>
      </c>
      <c r="Q792" s="85" t="s">
        <v>19</v>
      </c>
      <c r="R792" s="16">
        <f t="shared" si="229"/>
        <v>0</v>
      </c>
      <c r="S792" s="16">
        <f t="shared" si="199"/>
        <v>0</v>
      </c>
    </row>
    <row r="793" spans="1:19">
      <c r="A793" s="56" t="s">
        <v>689</v>
      </c>
      <c r="B793" s="2" t="s">
        <v>172</v>
      </c>
      <c r="C793" s="3">
        <v>24</v>
      </c>
      <c r="D793" s="4" t="s">
        <v>19</v>
      </c>
      <c r="F793" s="6">
        <v>1</v>
      </c>
      <c r="G793" s="7" t="s">
        <v>20</v>
      </c>
      <c r="H793" s="6">
        <v>144</v>
      </c>
      <c r="I793" s="7" t="s">
        <v>19</v>
      </c>
      <c r="J793" s="8">
        <v>8750</v>
      </c>
      <c r="K793" s="4" t="s">
        <v>19</v>
      </c>
      <c r="O793" s="7" t="s">
        <v>19</v>
      </c>
      <c r="P793" s="3">
        <f>(C793+(E793*F793*H793))-N793</f>
        <v>24</v>
      </c>
      <c r="Q793" s="7" t="s">
        <v>19</v>
      </c>
      <c r="R793" s="8">
        <f>P793*(J793-(J793*L793)-((J793-(J793*L793))*M793))</f>
        <v>210000</v>
      </c>
      <c r="S793" s="8">
        <f>R793/1.11</f>
        <v>189189.18918918917</v>
      </c>
    </row>
    <row r="794" spans="1:19">
      <c r="A794" s="56" t="s">
        <v>690</v>
      </c>
      <c r="B794" s="2" t="s">
        <v>172</v>
      </c>
      <c r="C794" s="3">
        <v>40</v>
      </c>
      <c r="D794" s="4" t="s">
        <v>19</v>
      </c>
      <c r="F794" s="6">
        <v>1</v>
      </c>
      <c r="G794" s="7" t="s">
        <v>20</v>
      </c>
      <c r="H794" s="6">
        <v>160</v>
      </c>
      <c r="I794" s="7" t="s">
        <v>19</v>
      </c>
      <c r="J794" s="8">
        <v>8750</v>
      </c>
      <c r="K794" s="4" t="s">
        <v>19</v>
      </c>
      <c r="O794" s="7" t="s">
        <v>19</v>
      </c>
      <c r="P794" s="3">
        <f>(C794+(E794*F794*H794))-N794</f>
        <v>40</v>
      </c>
      <c r="Q794" s="7" t="s">
        <v>19</v>
      </c>
      <c r="R794" s="8">
        <f>P794*(J794-(J794*L794)-((J794-(J794*L794))*M794))</f>
        <v>350000</v>
      </c>
      <c r="S794" s="8">
        <f>R794/1.11</f>
        <v>315315.31531531527</v>
      </c>
    </row>
    <row r="795" spans="1:19" s="19" customFormat="1">
      <c r="A795" s="48" t="s">
        <v>840</v>
      </c>
      <c r="B795" s="19" t="s">
        <v>172</v>
      </c>
      <c r="C795" s="20"/>
      <c r="D795" s="21" t="s">
        <v>19</v>
      </c>
      <c r="E795" s="26">
        <v>6</v>
      </c>
      <c r="F795" s="22">
        <v>1</v>
      </c>
      <c r="G795" s="23" t="s">
        <v>20</v>
      </c>
      <c r="H795" s="22">
        <v>160</v>
      </c>
      <c r="I795" s="23" t="s">
        <v>19</v>
      </c>
      <c r="J795" s="24">
        <v>9500</v>
      </c>
      <c r="K795" s="21" t="s">
        <v>19</v>
      </c>
      <c r="L795" s="25">
        <v>0.05</v>
      </c>
      <c r="M795" s="25"/>
      <c r="N795" s="22"/>
      <c r="O795" s="23" t="s">
        <v>19</v>
      </c>
      <c r="P795" s="20">
        <f>(C795+(E795*F795*H795))-N795</f>
        <v>960</v>
      </c>
      <c r="Q795" s="23" t="s">
        <v>19</v>
      </c>
      <c r="R795" s="24">
        <f>P795*(J795-(J795*L795)-((J795-(J795*L795))*M795))</f>
        <v>8664000</v>
      </c>
      <c r="S795" s="24">
        <f>R795/1.11</f>
        <v>7805405.405405405</v>
      </c>
    </row>
    <row r="796" spans="1:19">
      <c r="A796" s="48" t="s">
        <v>834</v>
      </c>
      <c r="B796" s="2" t="s">
        <v>172</v>
      </c>
      <c r="D796" s="4" t="s">
        <v>19</v>
      </c>
      <c r="E796" s="5">
        <v>3</v>
      </c>
      <c r="F796" s="6">
        <v>1</v>
      </c>
      <c r="G796" s="7" t="s">
        <v>20</v>
      </c>
      <c r="H796" s="6">
        <v>192</v>
      </c>
      <c r="I796" s="7" t="s">
        <v>19</v>
      </c>
      <c r="J796" s="8">
        <v>9500</v>
      </c>
      <c r="K796" s="4" t="s">
        <v>19</v>
      </c>
      <c r="L796" s="9">
        <v>0.05</v>
      </c>
      <c r="O796" s="7" t="s">
        <v>19</v>
      </c>
      <c r="P796" s="3">
        <f>(C796+(E796*F796*H796))-N796</f>
        <v>576</v>
      </c>
      <c r="Q796" s="7" t="s">
        <v>19</v>
      </c>
      <c r="R796" s="8">
        <f>P796*(J796-(J796*L796)-((J796-(J796*L796))*M796))</f>
        <v>5198400</v>
      </c>
      <c r="S796" s="8">
        <f>R796/1.11</f>
        <v>4683243.2432432426</v>
      </c>
    </row>
    <row r="797" spans="1:19">
      <c r="A797" s="48"/>
    </row>
    <row r="798" spans="1:19">
      <c r="A798" s="17" t="s">
        <v>684</v>
      </c>
      <c r="B798" s="2" t="s">
        <v>261</v>
      </c>
      <c r="C798" s="3">
        <v>2244</v>
      </c>
      <c r="D798" s="4" t="s">
        <v>19</v>
      </c>
      <c r="E798" s="41"/>
      <c r="F798" s="6">
        <v>1</v>
      </c>
      <c r="G798" s="7" t="s">
        <v>20</v>
      </c>
      <c r="H798" s="42">
        <v>480</v>
      </c>
      <c r="I798" s="7" t="s">
        <v>19</v>
      </c>
      <c r="J798" s="8">
        <v>26000</v>
      </c>
      <c r="K798" s="4" t="s">
        <v>19</v>
      </c>
      <c r="L798" s="40">
        <v>0.2</v>
      </c>
      <c r="O798" s="7" t="s">
        <v>19</v>
      </c>
      <c r="P798" s="3">
        <f>(C798+(E798*F798*H798))-N798</f>
        <v>2244</v>
      </c>
      <c r="Q798" s="7" t="s">
        <v>19</v>
      </c>
      <c r="R798" s="8">
        <f>P798*(J798-(J798*L798)-((J798-(J798*L798))*M798))</f>
        <v>46675200</v>
      </c>
      <c r="S798" s="8">
        <f>R798/1.11</f>
        <v>42049729.729729727</v>
      </c>
    </row>
    <row r="799" spans="1:19">
      <c r="A799" s="17" t="s">
        <v>686</v>
      </c>
      <c r="B799" s="2" t="s">
        <v>261</v>
      </c>
      <c r="C799" s="3">
        <v>2208</v>
      </c>
      <c r="D799" s="4" t="s">
        <v>19</v>
      </c>
      <c r="E799" s="41"/>
      <c r="F799" s="6">
        <v>1</v>
      </c>
      <c r="G799" s="7" t="s">
        <v>20</v>
      </c>
      <c r="H799" s="42">
        <v>480</v>
      </c>
      <c r="I799" s="7" t="s">
        <v>19</v>
      </c>
      <c r="J799" s="8">
        <v>20800</v>
      </c>
      <c r="K799" s="4" t="s">
        <v>19</v>
      </c>
      <c r="L799" s="40">
        <v>0.3</v>
      </c>
      <c r="O799" s="7" t="s">
        <v>19</v>
      </c>
      <c r="P799" s="3">
        <f>(C799+(E799*F799*H799))-N799</f>
        <v>2208</v>
      </c>
      <c r="Q799" s="7" t="s">
        <v>19</v>
      </c>
      <c r="R799" s="8">
        <f>P799*(J799-(J799*L799)-((J799-(J799*L799))*M799))</f>
        <v>32148480</v>
      </c>
      <c r="S799" s="8">
        <f>R799/1.11</f>
        <v>28962594.59459459</v>
      </c>
    </row>
    <row r="800" spans="1:19">
      <c r="A800" s="17" t="s">
        <v>682</v>
      </c>
      <c r="B800" s="2" t="s">
        <v>261</v>
      </c>
      <c r="C800" s="3">
        <v>1944</v>
      </c>
      <c r="D800" s="4" t="s">
        <v>19</v>
      </c>
      <c r="E800" s="41"/>
      <c r="F800" s="6">
        <v>1</v>
      </c>
      <c r="G800" s="7" t="s">
        <v>20</v>
      </c>
      <c r="H800" s="42">
        <v>480</v>
      </c>
      <c r="I800" s="7" t="s">
        <v>19</v>
      </c>
      <c r="J800" s="8">
        <v>15000</v>
      </c>
      <c r="K800" s="4" t="s">
        <v>19</v>
      </c>
      <c r="L800" s="40">
        <v>0.2</v>
      </c>
      <c r="O800" s="7" t="s">
        <v>19</v>
      </c>
      <c r="P800" s="3">
        <f>(C800+(E800*F800*H800))-N800</f>
        <v>1944</v>
      </c>
      <c r="Q800" s="7" t="s">
        <v>19</v>
      </c>
      <c r="R800" s="8">
        <f>P800*(J800-(J800*L800)-((J800-(J800*L800))*M800))</f>
        <v>23328000</v>
      </c>
      <c r="S800" s="8">
        <f>R800/1.11</f>
        <v>21016216.216216214</v>
      </c>
    </row>
    <row r="801" spans="1:19">
      <c r="A801" s="17" t="s">
        <v>685</v>
      </c>
      <c r="B801" s="2" t="s">
        <v>261</v>
      </c>
      <c r="C801" s="3">
        <v>2094</v>
      </c>
      <c r="D801" s="4" t="s">
        <v>19</v>
      </c>
      <c r="E801" s="41"/>
      <c r="F801" s="6">
        <v>1</v>
      </c>
      <c r="G801" s="7" t="s">
        <v>20</v>
      </c>
      <c r="H801" s="42">
        <v>480</v>
      </c>
      <c r="I801" s="7" t="s">
        <v>19</v>
      </c>
      <c r="J801" s="8">
        <v>29900</v>
      </c>
      <c r="K801" s="4" t="s">
        <v>19</v>
      </c>
      <c r="L801" s="40">
        <v>0.25</v>
      </c>
      <c r="O801" s="7" t="s">
        <v>19</v>
      </c>
      <c r="P801" s="3">
        <f>(C801+(E801*F801*H801))-N801</f>
        <v>2094</v>
      </c>
      <c r="Q801" s="7" t="s">
        <v>19</v>
      </c>
      <c r="R801" s="8">
        <f>P801*(J801-(J801*L801)-((J801-(J801*L801))*M801))</f>
        <v>46957950</v>
      </c>
      <c r="S801" s="8">
        <f>R801/1.11</f>
        <v>42304459.459459454</v>
      </c>
    </row>
    <row r="802" spans="1:19">
      <c r="A802" s="17" t="s">
        <v>683</v>
      </c>
      <c r="B802" s="2" t="s">
        <v>261</v>
      </c>
      <c r="C802" s="3">
        <v>1272</v>
      </c>
      <c r="D802" s="4" t="s">
        <v>19</v>
      </c>
      <c r="E802" s="41"/>
      <c r="F802" s="6">
        <v>1</v>
      </c>
      <c r="G802" s="7" t="s">
        <v>20</v>
      </c>
      <c r="H802" s="42">
        <v>384</v>
      </c>
      <c r="I802" s="7" t="s">
        <v>19</v>
      </c>
      <c r="J802" s="8">
        <v>16000</v>
      </c>
      <c r="K802" s="4" t="s">
        <v>19</v>
      </c>
      <c r="L802" s="40">
        <v>0.25</v>
      </c>
      <c r="O802" s="7" t="s">
        <v>19</v>
      </c>
      <c r="P802" s="3">
        <f>(C802+(E802*F802*H802))-N802</f>
        <v>1272</v>
      </c>
      <c r="Q802" s="7" t="s">
        <v>19</v>
      </c>
      <c r="R802" s="8">
        <f>P802*(J802-(J802*L802)-((J802-(J802*L802))*M802))</f>
        <v>15264000</v>
      </c>
      <c r="S802" s="8">
        <f>R802/1.11</f>
        <v>13751351.351351351</v>
      </c>
    </row>
    <row r="804" spans="1:19" ht="15.75">
      <c r="A804" s="14" t="s">
        <v>497</v>
      </c>
    </row>
    <row r="805" spans="1:19">
      <c r="A805" s="15" t="s">
        <v>498</v>
      </c>
    </row>
    <row r="806" spans="1:19">
      <c r="A806" s="17" t="s">
        <v>765</v>
      </c>
      <c r="B806" s="2" t="s">
        <v>18</v>
      </c>
      <c r="D806" s="4" t="s">
        <v>33</v>
      </c>
      <c r="E806" s="5">
        <v>1</v>
      </c>
      <c r="F806" s="6">
        <v>1</v>
      </c>
      <c r="G806" s="7" t="s">
        <v>20</v>
      </c>
      <c r="H806" s="6">
        <v>48</v>
      </c>
      <c r="I806" s="7" t="s">
        <v>33</v>
      </c>
      <c r="J806" s="8">
        <v>31200</v>
      </c>
      <c r="K806" s="4" t="s">
        <v>33</v>
      </c>
      <c r="L806" s="9">
        <v>0.125</v>
      </c>
      <c r="M806" s="9">
        <v>0.05</v>
      </c>
      <c r="O806" s="7" t="s">
        <v>33</v>
      </c>
      <c r="P806" s="3">
        <f>(C806+(E806*F806*H806))-N806</f>
        <v>48</v>
      </c>
      <c r="Q806" s="7" t="s">
        <v>33</v>
      </c>
      <c r="R806" s="8">
        <f>P806*(J806-(J806*L806)-((J806-(J806*L806))*M806))</f>
        <v>1244880</v>
      </c>
      <c r="S806" s="8">
        <f t="shared" si="199"/>
        <v>1121513.5135135134</v>
      </c>
    </row>
    <row r="808" spans="1:19" s="19" customFormat="1">
      <c r="A808" s="49" t="s">
        <v>766</v>
      </c>
      <c r="B808" s="19" t="s">
        <v>25</v>
      </c>
      <c r="C808" s="20">
        <v>122</v>
      </c>
      <c r="D808" s="21" t="s">
        <v>40</v>
      </c>
      <c r="E808" s="26">
        <v>3</v>
      </c>
      <c r="F808" s="22">
        <v>1</v>
      </c>
      <c r="G808" s="23" t="s">
        <v>20</v>
      </c>
      <c r="H808" s="22">
        <v>48</v>
      </c>
      <c r="I808" s="23" t="s">
        <v>40</v>
      </c>
      <c r="J808" s="24">
        <f>1584000/48</f>
        <v>33000</v>
      </c>
      <c r="K808" s="21" t="s">
        <v>40</v>
      </c>
      <c r="L808" s="25"/>
      <c r="M808" s="25">
        <v>0.17</v>
      </c>
      <c r="N808" s="22"/>
      <c r="O808" s="23" t="s">
        <v>40</v>
      </c>
      <c r="P808" s="20">
        <f>(C808+(E808*F808*H808))-N808</f>
        <v>266</v>
      </c>
      <c r="Q808" s="23" t="s">
        <v>40</v>
      </c>
      <c r="R808" s="24">
        <f>P808*(J808-(J808*L808)-((J808-(J808*L808))*M808))</f>
        <v>7285740</v>
      </c>
      <c r="S808" s="24">
        <f t="shared" si="199"/>
        <v>6563729.7297297288</v>
      </c>
    </row>
    <row r="810" spans="1:19" ht="15.75">
      <c r="A810" s="14" t="s">
        <v>499</v>
      </c>
    </row>
    <row r="811" spans="1:19" s="19" customFormat="1">
      <c r="A811" s="164" t="s">
        <v>660</v>
      </c>
      <c r="B811" s="19" t="s">
        <v>18</v>
      </c>
      <c r="C811" s="20"/>
      <c r="D811" s="21" t="s">
        <v>19</v>
      </c>
      <c r="E811" s="26">
        <v>1</v>
      </c>
      <c r="F811" s="22">
        <v>10</v>
      </c>
      <c r="G811" s="23" t="s">
        <v>33</v>
      </c>
      <c r="H811" s="22">
        <v>12</v>
      </c>
      <c r="I811" s="23" t="s">
        <v>19</v>
      </c>
      <c r="J811" s="24">
        <v>11600</v>
      </c>
      <c r="K811" s="21" t="s">
        <v>19</v>
      </c>
      <c r="L811" s="25">
        <v>0.125</v>
      </c>
      <c r="M811" s="25">
        <v>0.05</v>
      </c>
      <c r="N811" s="22"/>
      <c r="O811" s="23" t="s">
        <v>19</v>
      </c>
      <c r="P811" s="20">
        <f t="shared" ref="P811" si="230">(C811+(E811*F811*H811))-N811</f>
        <v>120</v>
      </c>
      <c r="Q811" s="23" t="s">
        <v>19</v>
      </c>
      <c r="R811" s="24">
        <f t="shared" ref="R811" si="231">P811*(J811-(J811*L811)-((J811-(J811*L811))*M811))</f>
        <v>1157100</v>
      </c>
      <c r="S811" s="24">
        <f t="shared" ref="S811" si="232">R811/1.11</f>
        <v>1042432.4324324323</v>
      </c>
    </row>
    <row r="812" spans="1:19" s="19" customFormat="1">
      <c r="A812" s="18" t="s">
        <v>660</v>
      </c>
      <c r="B812" s="19" t="s">
        <v>18</v>
      </c>
      <c r="C812" s="20">
        <v>36</v>
      </c>
      <c r="D812" s="21" t="s">
        <v>19</v>
      </c>
      <c r="E812" s="26"/>
      <c r="F812" s="22">
        <v>10</v>
      </c>
      <c r="G812" s="23" t="s">
        <v>33</v>
      </c>
      <c r="H812" s="22">
        <v>12</v>
      </c>
      <c r="I812" s="23" t="s">
        <v>19</v>
      </c>
      <c r="J812" s="24">
        <v>11200</v>
      </c>
      <c r="K812" s="21" t="s">
        <v>19</v>
      </c>
      <c r="L812" s="25">
        <v>0.125</v>
      </c>
      <c r="M812" s="25">
        <v>0.05</v>
      </c>
      <c r="N812" s="22"/>
      <c r="O812" s="23" t="s">
        <v>19</v>
      </c>
      <c r="P812" s="20">
        <f t="shared" ref="P812:P817" si="233">(C812+(E812*F812*H812))-N812</f>
        <v>36</v>
      </c>
      <c r="Q812" s="23" t="s">
        <v>19</v>
      </c>
      <c r="R812" s="24">
        <f t="shared" ref="R812:R817" si="234">P812*(J812-(J812*L812)-((J812-(J812*L812))*M812))</f>
        <v>335160</v>
      </c>
      <c r="S812" s="24">
        <f t="shared" ref="S812:S813" si="235">R812/1.11</f>
        <v>301945.94594594592</v>
      </c>
    </row>
    <row r="813" spans="1:19" s="19" customFormat="1">
      <c r="A813" s="18" t="s">
        <v>661</v>
      </c>
      <c r="B813" s="19" t="s">
        <v>18</v>
      </c>
      <c r="C813" s="20">
        <v>48</v>
      </c>
      <c r="D813" s="21" t="s">
        <v>19</v>
      </c>
      <c r="E813" s="26"/>
      <c r="F813" s="22">
        <v>10</v>
      </c>
      <c r="G813" s="23" t="s">
        <v>33</v>
      </c>
      <c r="H813" s="22">
        <v>12</v>
      </c>
      <c r="I813" s="23" t="s">
        <v>19</v>
      </c>
      <c r="J813" s="24">
        <v>12400</v>
      </c>
      <c r="K813" s="21" t="s">
        <v>19</v>
      </c>
      <c r="L813" s="25">
        <v>0.125</v>
      </c>
      <c r="M813" s="25">
        <v>0.05</v>
      </c>
      <c r="N813" s="22"/>
      <c r="O813" s="23" t="s">
        <v>19</v>
      </c>
      <c r="P813" s="20">
        <f t="shared" si="233"/>
        <v>48</v>
      </c>
      <c r="Q813" s="23" t="s">
        <v>19</v>
      </c>
      <c r="R813" s="24">
        <f t="shared" si="234"/>
        <v>494760</v>
      </c>
      <c r="S813" s="24">
        <f t="shared" si="235"/>
        <v>445729.7297297297</v>
      </c>
    </row>
    <row r="814" spans="1:19" s="19" customFormat="1">
      <c r="A814" s="18" t="s">
        <v>500</v>
      </c>
      <c r="B814" s="19" t="s">
        <v>18</v>
      </c>
      <c r="C814" s="20">
        <v>840</v>
      </c>
      <c r="D814" s="21" t="s">
        <v>19</v>
      </c>
      <c r="E814" s="26">
        <v>4</v>
      </c>
      <c r="F814" s="22">
        <v>10</v>
      </c>
      <c r="G814" s="23" t="s">
        <v>33</v>
      </c>
      <c r="H814" s="22">
        <v>12</v>
      </c>
      <c r="I814" s="23" t="s">
        <v>19</v>
      </c>
      <c r="J814" s="24">
        <v>12950</v>
      </c>
      <c r="K814" s="21" t="s">
        <v>19</v>
      </c>
      <c r="L814" s="25">
        <v>0.125</v>
      </c>
      <c r="M814" s="25">
        <v>0.05</v>
      </c>
      <c r="N814" s="22"/>
      <c r="O814" s="23" t="s">
        <v>19</v>
      </c>
      <c r="P814" s="20">
        <f t="shared" si="233"/>
        <v>1320</v>
      </c>
      <c r="Q814" s="23" t="s">
        <v>19</v>
      </c>
      <c r="R814" s="24">
        <f t="shared" si="234"/>
        <v>14209387.5</v>
      </c>
      <c r="S814" s="24">
        <f t="shared" si="199"/>
        <v>12801249.999999998</v>
      </c>
    </row>
    <row r="815" spans="1:19">
      <c r="A815" s="17" t="s">
        <v>501</v>
      </c>
      <c r="B815" s="2" t="s">
        <v>18</v>
      </c>
      <c r="C815" s="3">
        <v>60</v>
      </c>
      <c r="D815" s="4" t="s">
        <v>19</v>
      </c>
      <c r="F815" s="6">
        <v>5</v>
      </c>
      <c r="G815" s="7" t="s">
        <v>33</v>
      </c>
      <c r="H815" s="6">
        <v>12</v>
      </c>
      <c r="I815" s="7" t="s">
        <v>19</v>
      </c>
      <c r="J815" s="8">
        <v>27000</v>
      </c>
      <c r="K815" s="4" t="s">
        <v>19</v>
      </c>
      <c r="L815" s="9">
        <v>0.125</v>
      </c>
      <c r="M815" s="9">
        <v>0.05</v>
      </c>
      <c r="O815" s="7" t="s">
        <v>19</v>
      </c>
      <c r="P815" s="3">
        <f t="shared" si="233"/>
        <v>60</v>
      </c>
      <c r="Q815" s="7" t="s">
        <v>19</v>
      </c>
      <c r="R815" s="8">
        <f t="shared" si="234"/>
        <v>1346625</v>
      </c>
      <c r="S815" s="8">
        <f t="shared" si="199"/>
        <v>1213175.6756756755</v>
      </c>
    </row>
    <row r="816" spans="1:19">
      <c r="A816" s="17" t="s">
        <v>502</v>
      </c>
      <c r="B816" s="2" t="s">
        <v>18</v>
      </c>
      <c r="C816" s="3">
        <v>48</v>
      </c>
      <c r="D816" s="4" t="s">
        <v>19</v>
      </c>
      <c r="F816" s="6">
        <v>1</v>
      </c>
      <c r="G816" s="7" t="s">
        <v>20</v>
      </c>
      <c r="H816" s="6">
        <v>24</v>
      </c>
      <c r="I816" s="7" t="s">
        <v>19</v>
      </c>
      <c r="J816" s="8">
        <v>40000</v>
      </c>
      <c r="K816" s="4" t="s">
        <v>19</v>
      </c>
      <c r="L816" s="9">
        <v>0.125</v>
      </c>
      <c r="M816" s="9">
        <v>0.05</v>
      </c>
      <c r="O816" s="7" t="s">
        <v>19</v>
      </c>
      <c r="P816" s="3">
        <f t="shared" si="233"/>
        <v>48</v>
      </c>
      <c r="Q816" s="7" t="s">
        <v>19</v>
      </c>
      <c r="R816" s="8">
        <f t="shared" si="234"/>
        <v>1596000</v>
      </c>
      <c r="S816" s="8">
        <f t="shared" si="199"/>
        <v>1437837.8378378376</v>
      </c>
    </row>
    <row r="817" spans="1:19" s="80" customFormat="1">
      <c r="A817" s="79" t="s">
        <v>503</v>
      </c>
      <c r="B817" s="80" t="s">
        <v>18</v>
      </c>
      <c r="C817" s="81"/>
      <c r="D817" s="82" t="s">
        <v>19</v>
      </c>
      <c r="E817" s="83">
        <v>1</v>
      </c>
      <c r="F817" s="84">
        <v>1</v>
      </c>
      <c r="G817" s="85" t="s">
        <v>20</v>
      </c>
      <c r="H817" s="84">
        <v>24</v>
      </c>
      <c r="I817" s="85" t="s">
        <v>19</v>
      </c>
      <c r="J817" s="16">
        <v>45500</v>
      </c>
      <c r="K817" s="82" t="s">
        <v>19</v>
      </c>
      <c r="L817" s="86">
        <v>0.125</v>
      </c>
      <c r="M817" s="86">
        <v>0.05</v>
      </c>
      <c r="N817" s="84"/>
      <c r="O817" s="85" t="s">
        <v>19</v>
      </c>
      <c r="P817" s="81">
        <f t="shared" si="233"/>
        <v>24</v>
      </c>
      <c r="Q817" s="85" t="s">
        <v>19</v>
      </c>
      <c r="R817" s="16">
        <f t="shared" si="234"/>
        <v>907725</v>
      </c>
      <c r="S817" s="16">
        <f t="shared" si="199"/>
        <v>817770.27027027018</v>
      </c>
    </row>
    <row r="819" spans="1:19" s="80" customFormat="1">
      <c r="A819" s="79" t="s">
        <v>504</v>
      </c>
      <c r="B819" s="80" t="s">
        <v>25</v>
      </c>
      <c r="C819" s="81"/>
      <c r="D819" s="82" t="s">
        <v>19</v>
      </c>
      <c r="E819" s="83"/>
      <c r="F819" s="84">
        <v>10</v>
      </c>
      <c r="G819" s="85" t="s">
        <v>40</v>
      </c>
      <c r="H819" s="84">
        <v>12</v>
      </c>
      <c r="I819" s="85" t="s">
        <v>19</v>
      </c>
      <c r="J819" s="16">
        <f>1500000/10/12</f>
        <v>12500</v>
      </c>
      <c r="K819" s="82" t="s">
        <v>19</v>
      </c>
      <c r="L819" s="86"/>
      <c r="M819" s="86">
        <v>0.17</v>
      </c>
      <c r="N819" s="84"/>
      <c r="O819" s="85" t="s">
        <v>19</v>
      </c>
      <c r="P819" s="81">
        <f t="shared" ref="P819:P827" si="236">(C819+(E819*F819*H819))-N819</f>
        <v>0</v>
      </c>
      <c r="Q819" s="85" t="s">
        <v>19</v>
      </c>
      <c r="R819" s="16">
        <f t="shared" ref="R819:R827" si="237">P819*(J819-(J819*L819)-((J819-(J819*L819))*M819))</f>
        <v>0</v>
      </c>
      <c r="S819" s="16">
        <f t="shared" si="199"/>
        <v>0</v>
      </c>
    </row>
    <row r="820" spans="1:19" s="19" customFormat="1">
      <c r="A820" s="18" t="s">
        <v>505</v>
      </c>
      <c r="B820" s="19" t="s">
        <v>25</v>
      </c>
      <c r="C820" s="20"/>
      <c r="D820" s="21" t="s">
        <v>40</v>
      </c>
      <c r="E820" s="26">
        <v>6</v>
      </c>
      <c r="F820" s="22">
        <v>1</v>
      </c>
      <c r="G820" s="23" t="s">
        <v>20</v>
      </c>
      <c r="H820" s="22">
        <v>10</v>
      </c>
      <c r="I820" s="23" t="s">
        <v>40</v>
      </c>
      <c r="J820" s="24">
        <f>1560000/10</f>
        <v>156000</v>
      </c>
      <c r="K820" s="21" t="s">
        <v>40</v>
      </c>
      <c r="L820" s="25"/>
      <c r="M820" s="25">
        <v>0.17</v>
      </c>
      <c r="N820" s="22"/>
      <c r="O820" s="23" t="s">
        <v>40</v>
      </c>
      <c r="P820" s="20">
        <f t="shared" si="236"/>
        <v>60</v>
      </c>
      <c r="Q820" s="23" t="s">
        <v>40</v>
      </c>
      <c r="R820" s="24">
        <f t="shared" si="237"/>
        <v>7768800</v>
      </c>
      <c r="S820" s="24">
        <f t="shared" si="199"/>
        <v>6998918.9189189179</v>
      </c>
    </row>
    <row r="821" spans="1:19" s="89" customFormat="1">
      <c r="A821" s="88" t="s">
        <v>506</v>
      </c>
      <c r="B821" s="89" t="s">
        <v>25</v>
      </c>
      <c r="C821" s="87"/>
      <c r="D821" s="90" t="s">
        <v>19</v>
      </c>
      <c r="E821" s="91"/>
      <c r="F821" s="92">
        <v>10</v>
      </c>
      <c r="G821" s="93" t="s">
        <v>40</v>
      </c>
      <c r="H821" s="92">
        <v>12</v>
      </c>
      <c r="I821" s="93" t="s">
        <v>19</v>
      </c>
      <c r="J821" s="94">
        <f>13000</f>
        <v>13000</v>
      </c>
      <c r="K821" s="90" t="s">
        <v>19</v>
      </c>
      <c r="L821" s="95"/>
      <c r="M821" s="95">
        <v>0.17</v>
      </c>
      <c r="N821" s="92"/>
      <c r="O821" s="93" t="s">
        <v>19</v>
      </c>
      <c r="P821" s="87">
        <f t="shared" si="236"/>
        <v>0</v>
      </c>
      <c r="Q821" s="93" t="s">
        <v>19</v>
      </c>
      <c r="R821" s="94">
        <f t="shared" si="237"/>
        <v>0</v>
      </c>
      <c r="S821" s="16">
        <f t="shared" si="199"/>
        <v>0</v>
      </c>
    </row>
    <row r="822" spans="1:19" s="19" customFormat="1">
      <c r="A822" s="18" t="s">
        <v>507</v>
      </c>
      <c r="B822" s="19" t="s">
        <v>25</v>
      </c>
      <c r="C822" s="20">
        <v>20</v>
      </c>
      <c r="D822" s="21" t="s">
        <v>40</v>
      </c>
      <c r="E822" s="26"/>
      <c r="F822" s="22">
        <v>4</v>
      </c>
      <c r="G822" s="23" t="s">
        <v>33</v>
      </c>
      <c r="H822" s="22">
        <v>2</v>
      </c>
      <c r="I822" s="23" t="s">
        <v>40</v>
      </c>
      <c r="J822" s="24">
        <f>1440000/4/2</f>
        <v>180000</v>
      </c>
      <c r="K822" s="21" t="s">
        <v>40</v>
      </c>
      <c r="L822" s="25"/>
      <c r="M822" s="25">
        <v>0.17</v>
      </c>
      <c r="N822" s="22"/>
      <c r="O822" s="23" t="s">
        <v>40</v>
      </c>
      <c r="P822" s="20">
        <f t="shared" si="236"/>
        <v>20</v>
      </c>
      <c r="Q822" s="23" t="s">
        <v>40</v>
      </c>
      <c r="R822" s="24">
        <f t="shared" si="237"/>
        <v>2988000</v>
      </c>
      <c r="S822" s="24">
        <f t="shared" si="199"/>
        <v>2691891.8918918916</v>
      </c>
    </row>
    <row r="823" spans="1:19" s="19" customFormat="1">
      <c r="A823" s="18" t="s">
        <v>508</v>
      </c>
      <c r="B823" s="19" t="s">
        <v>25</v>
      </c>
      <c r="C823" s="20">
        <v>3</v>
      </c>
      <c r="D823" s="21" t="s">
        <v>40</v>
      </c>
      <c r="E823" s="26">
        <v>1</v>
      </c>
      <c r="F823" s="22">
        <v>1</v>
      </c>
      <c r="G823" s="23" t="s">
        <v>20</v>
      </c>
      <c r="H823" s="22">
        <v>5</v>
      </c>
      <c r="I823" s="23" t="s">
        <v>40</v>
      </c>
      <c r="J823" s="24">
        <f>1410000/5</f>
        <v>282000</v>
      </c>
      <c r="K823" s="21" t="s">
        <v>19</v>
      </c>
      <c r="L823" s="25"/>
      <c r="M823" s="25">
        <v>0.17</v>
      </c>
      <c r="N823" s="22"/>
      <c r="O823" s="23" t="s">
        <v>40</v>
      </c>
      <c r="P823" s="20">
        <f t="shared" si="236"/>
        <v>8</v>
      </c>
      <c r="Q823" s="23" t="s">
        <v>40</v>
      </c>
      <c r="R823" s="24">
        <f t="shared" si="237"/>
        <v>1872480</v>
      </c>
      <c r="S823" s="24">
        <f t="shared" si="199"/>
        <v>1686918.9189189188</v>
      </c>
    </row>
    <row r="824" spans="1:19" s="19" customFormat="1">
      <c r="A824" s="18" t="s">
        <v>509</v>
      </c>
      <c r="B824" s="19" t="s">
        <v>25</v>
      </c>
      <c r="C824" s="20">
        <f>8+4</f>
        <v>12</v>
      </c>
      <c r="D824" s="21" t="s">
        <v>40</v>
      </c>
      <c r="E824" s="26"/>
      <c r="F824" s="22">
        <v>1</v>
      </c>
      <c r="G824" s="23" t="s">
        <v>20</v>
      </c>
      <c r="H824" s="22">
        <v>4</v>
      </c>
      <c r="I824" s="23" t="s">
        <v>40</v>
      </c>
      <c r="J824" s="24">
        <f>1410000/4</f>
        <v>352500</v>
      </c>
      <c r="K824" s="21" t="s">
        <v>40</v>
      </c>
      <c r="L824" s="25"/>
      <c r="M824" s="25">
        <v>0.17</v>
      </c>
      <c r="N824" s="22"/>
      <c r="O824" s="23" t="s">
        <v>40</v>
      </c>
      <c r="P824" s="20">
        <f t="shared" si="236"/>
        <v>12</v>
      </c>
      <c r="Q824" s="23" t="s">
        <v>40</v>
      </c>
      <c r="R824" s="24">
        <f t="shared" si="237"/>
        <v>3510900</v>
      </c>
      <c r="S824" s="24">
        <f t="shared" si="199"/>
        <v>3162972.9729729728</v>
      </c>
    </row>
    <row r="825" spans="1:19" s="80" customFormat="1">
      <c r="A825" s="79" t="s">
        <v>510</v>
      </c>
      <c r="B825" s="80" t="s">
        <v>25</v>
      </c>
      <c r="C825" s="81"/>
      <c r="D825" s="82" t="s">
        <v>19</v>
      </c>
      <c r="E825" s="83"/>
      <c r="F825" s="84">
        <v>1</v>
      </c>
      <c r="G825" s="85" t="s">
        <v>20</v>
      </c>
      <c r="H825" s="84">
        <v>24</v>
      </c>
      <c r="I825" s="85" t="s">
        <v>19</v>
      </c>
      <c r="J825" s="16">
        <f>1164000/24</f>
        <v>48500</v>
      </c>
      <c r="K825" s="82" t="s">
        <v>19</v>
      </c>
      <c r="L825" s="86"/>
      <c r="M825" s="86">
        <v>0.17</v>
      </c>
      <c r="N825" s="84"/>
      <c r="O825" s="85" t="s">
        <v>19</v>
      </c>
      <c r="P825" s="81">
        <f t="shared" si="236"/>
        <v>0</v>
      </c>
      <c r="Q825" s="85" t="s">
        <v>19</v>
      </c>
      <c r="R825" s="16">
        <f t="shared" si="237"/>
        <v>0</v>
      </c>
      <c r="S825" s="16">
        <f t="shared" si="199"/>
        <v>0</v>
      </c>
    </row>
    <row r="826" spans="1:19">
      <c r="A826" s="17" t="s">
        <v>511</v>
      </c>
      <c r="B826" s="2" t="s">
        <v>25</v>
      </c>
      <c r="C826" s="3">
        <v>66</v>
      </c>
      <c r="D826" s="4" t="s">
        <v>19</v>
      </c>
      <c r="F826" s="6">
        <v>1</v>
      </c>
      <c r="G826" s="7" t="s">
        <v>20</v>
      </c>
      <c r="H826" s="6">
        <v>24</v>
      </c>
      <c r="I826" s="7" t="s">
        <v>19</v>
      </c>
      <c r="J826" s="8">
        <f>1020000/24</f>
        <v>42500</v>
      </c>
      <c r="K826" s="4" t="s">
        <v>19</v>
      </c>
      <c r="M826" s="9">
        <v>0.17</v>
      </c>
      <c r="O826" s="7" t="s">
        <v>19</v>
      </c>
      <c r="P826" s="3">
        <f t="shared" si="236"/>
        <v>66</v>
      </c>
      <c r="Q826" s="7" t="s">
        <v>19</v>
      </c>
      <c r="R826" s="8">
        <f t="shared" si="237"/>
        <v>2328150</v>
      </c>
      <c r="S826" s="8">
        <f t="shared" si="199"/>
        <v>2097432.4324324322</v>
      </c>
    </row>
    <row r="827" spans="1:19">
      <c r="A827" s="17" t="s">
        <v>512</v>
      </c>
      <c r="B827" s="2" t="s">
        <v>25</v>
      </c>
      <c r="C827" s="3">
        <v>72</v>
      </c>
      <c r="D827" s="4" t="s">
        <v>19</v>
      </c>
      <c r="E827" s="5">
        <v>3</v>
      </c>
      <c r="F827" s="6">
        <v>1</v>
      </c>
      <c r="G827" s="7" t="s">
        <v>20</v>
      </c>
      <c r="H827" s="6">
        <v>24</v>
      </c>
      <c r="I827" s="7" t="s">
        <v>19</v>
      </c>
      <c r="J827" s="8">
        <f>1416000/24</f>
        <v>59000</v>
      </c>
      <c r="K827" s="4" t="s">
        <v>19</v>
      </c>
      <c r="M827" s="9">
        <v>0.17</v>
      </c>
      <c r="O827" s="7" t="s">
        <v>19</v>
      </c>
      <c r="P827" s="3">
        <f t="shared" si="236"/>
        <v>144</v>
      </c>
      <c r="Q827" s="7" t="s">
        <v>19</v>
      </c>
      <c r="R827" s="8">
        <f t="shared" si="237"/>
        <v>7051680</v>
      </c>
      <c r="S827" s="8">
        <f t="shared" si="199"/>
        <v>6352864.8648648644</v>
      </c>
    </row>
    <row r="830" spans="1:19" ht="15.75">
      <c r="A830" s="14" t="s">
        <v>524</v>
      </c>
    </row>
    <row r="831" spans="1:19" s="19" customFormat="1">
      <c r="A831" s="18" t="s">
        <v>525</v>
      </c>
      <c r="B831" s="19" t="s">
        <v>18</v>
      </c>
      <c r="C831" s="20">
        <v>9140</v>
      </c>
      <c r="D831" s="21" t="s">
        <v>19</v>
      </c>
      <c r="E831" s="26"/>
      <c r="F831" s="22">
        <v>72</v>
      </c>
      <c r="G831" s="23" t="s">
        <v>33</v>
      </c>
      <c r="H831" s="22">
        <v>10</v>
      </c>
      <c r="I831" s="23" t="s">
        <v>19</v>
      </c>
      <c r="J831" s="24">
        <v>3700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>(C831+(E831*F831*H831))-N831</f>
        <v>9140</v>
      </c>
      <c r="Q831" s="23" t="s">
        <v>19</v>
      </c>
      <c r="R831" s="24">
        <f>P831*(J831-(J831*L831)-((J831-(J831*L831))*M831))</f>
        <v>28111212.5</v>
      </c>
      <c r="S831" s="24">
        <f t="shared" ref="S831:S911" si="238">R831/1.11</f>
        <v>25325416.666666664</v>
      </c>
    </row>
    <row r="832" spans="1:19" s="89" customFormat="1">
      <c r="A832" s="88" t="s">
        <v>526</v>
      </c>
      <c r="B832" s="89" t="s">
        <v>18</v>
      </c>
      <c r="C832" s="87"/>
      <c r="D832" s="90" t="s">
        <v>152</v>
      </c>
      <c r="E832" s="91"/>
      <c r="F832" s="92">
        <v>12</v>
      </c>
      <c r="G832" s="93" t="s">
        <v>33</v>
      </c>
      <c r="H832" s="92">
        <v>24</v>
      </c>
      <c r="I832" s="93" t="s">
        <v>152</v>
      </c>
      <c r="J832" s="94">
        <v>16500</v>
      </c>
      <c r="K832" s="90" t="s">
        <v>152</v>
      </c>
      <c r="L832" s="95">
        <v>0.125</v>
      </c>
      <c r="M832" s="95">
        <v>0.05</v>
      </c>
      <c r="N832" s="92"/>
      <c r="O832" s="93" t="s">
        <v>152</v>
      </c>
      <c r="P832" s="87">
        <f>(C832+(E832*F832*H832))-N832</f>
        <v>0</v>
      </c>
      <c r="Q832" s="93" t="s">
        <v>152</v>
      </c>
      <c r="R832" s="94">
        <f>P832*(J832-(J832*L832)-((J832-(J832*L832))*M832))</f>
        <v>0</v>
      </c>
      <c r="S832" s="16">
        <f t="shared" si="238"/>
        <v>0</v>
      </c>
    </row>
    <row r="833" spans="1:19" s="19" customFormat="1">
      <c r="A833" s="18"/>
      <c r="C833" s="20"/>
      <c r="D833" s="21"/>
      <c r="E833" s="26"/>
      <c r="F833" s="22"/>
      <c r="G833" s="23"/>
      <c r="H833" s="22"/>
      <c r="I833" s="23"/>
      <c r="J833" s="24"/>
      <c r="K833" s="21"/>
      <c r="L833" s="25"/>
      <c r="M833" s="25"/>
      <c r="N833" s="22"/>
      <c r="O833" s="23"/>
      <c r="P833" s="20"/>
      <c r="Q833" s="23"/>
      <c r="R833" s="24"/>
      <c r="S833" s="8"/>
    </row>
    <row r="834" spans="1:19">
      <c r="A834" s="17" t="s">
        <v>527</v>
      </c>
      <c r="B834" s="2" t="s">
        <v>25</v>
      </c>
      <c r="C834" s="3">
        <v>210</v>
      </c>
      <c r="D834" s="4" t="s">
        <v>19</v>
      </c>
      <c r="F834" s="6">
        <v>48</v>
      </c>
      <c r="G834" s="7" t="s">
        <v>33</v>
      </c>
      <c r="H834" s="6">
        <v>10</v>
      </c>
      <c r="I834" s="7" t="s">
        <v>19</v>
      </c>
      <c r="J834" s="8">
        <f>30500/10</f>
        <v>3050</v>
      </c>
      <c r="K834" s="4" t="s">
        <v>19</v>
      </c>
      <c r="M834" s="9">
        <v>0.17</v>
      </c>
      <c r="O834" s="7" t="s">
        <v>19</v>
      </c>
      <c r="P834" s="3">
        <f>(C834+(E834*F834*H834))-N834</f>
        <v>210</v>
      </c>
      <c r="Q834" s="7" t="s">
        <v>19</v>
      </c>
      <c r="R834" s="8">
        <f>P834*(J834-(J834*L834)-((J834-(J834*L834))*M834))</f>
        <v>531615</v>
      </c>
      <c r="S834" s="8">
        <f t="shared" si="238"/>
        <v>478932.43243243237</v>
      </c>
    </row>
    <row r="835" spans="1:19">
      <c r="A835" s="17" t="s">
        <v>528</v>
      </c>
      <c r="B835" s="2" t="s">
        <v>25</v>
      </c>
      <c r="D835" s="4" t="s">
        <v>19</v>
      </c>
      <c r="F835" s="6">
        <v>48</v>
      </c>
      <c r="G835" s="7" t="s">
        <v>33</v>
      </c>
      <c r="H835" s="6">
        <v>10</v>
      </c>
      <c r="I835" s="7" t="s">
        <v>19</v>
      </c>
      <c r="J835" s="8">
        <f>30500/10</f>
        <v>3050</v>
      </c>
      <c r="K835" s="4" t="s">
        <v>19</v>
      </c>
      <c r="M835" s="9">
        <v>0.17</v>
      </c>
      <c r="O835" s="7" t="s">
        <v>19</v>
      </c>
      <c r="P835" s="3">
        <f>(C835+(E835*F835*H835))-N835</f>
        <v>0</v>
      </c>
      <c r="Q835" s="7" t="s">
        <v>19</v>
      </c>
      <c r="R835" s="8">
        <f>P835*(J835-(J835*L835)-((J835-(J835*L835))*M835))</f>
        <v>0</v>
      </c>
      <c r="S835" s="8">
        <f t="shared" si="238"/>
        <v>0</v>
      </c>
    </row>
    <row r="836" spans="1:19">
      <c r="A836" s="17" t="s">
        <v>529</v>
      </c>
      <c r="B836" s="2" t="s">
        <v>25</v>
      </c>
      <c r="D836" s="4" t="s">
        <v>40</v>
      </c>
      <c r="F836" s="6">
        <v>12</v>
      </c>
      <c r="G836" s="7" t="s">
        <v>33</v>
      </c>
      <c r="H836" s="6">
        <v>12</v>
      </c>
      <c r="I836" s="7" t="s">
        <v>40</v>
      </c>
      <c r="J836" s="8">
        <v>25800</v>
      </c>
      <c r="K836" s="4" t="s">
        <v>40</v>
      </c>
      <c r="M836" s="9">
        <v>0.17</v>
      </c>
      <c r="O836" s="7" t="s">
        <v>40</v>
      </c>
      <c r="P836" s="3">
        <f>(C836+(E836*F836*H836))-N836</f>
        <v>0</v>
      </c>
      <c r="Q836" s="7" t="s">
        <v>40</v>
      </c>
      <c r="R836" s="8">
        <f>P836*(J836-(J836*L836)-((J836-(J836*L836))*M836))</f>
        <v>0</v>
      </c>
      <c r="S836" s="8">
        <f t="shared" si="238"/>
        <v>0</v>
      </c>
    </row>
    <row r="838" spans="1:19" s="19" customFormat="1">
      <c r="A838" s="164" t="s">
        <v>530</v>
      </c>
      <c r="B838" s="19" t="s">
        <v>261</v>
      </c>
      <c r="C838" s="20"/>
      <c r="D838" s="21" t="s">
        <v>99</v>
      </c>
      <c r="E838" s="26">
        <v>2</v>
      </c>
      <c r="F838" s="22">
        <v>1</v>
      </c>
      <c r="G838" s="23" t="s">
        <v>20</v>
      </c>
      <c r="H838" s="22">
        <v>24</v>
      </c>
      <c r="I838" s="23" t="s">
        <v>99</v>
      </c>
      <c r="J838" s="24">
        <v>106000</v>
      </c>
      <c r="K838" s="21" t="s">
        <v>99</v>
      </c>
      <c r="L838" s="25"/>
      <c r="M838" s="25"/>
      <c r="N838" s="22"/>
      <c r="O838" s="23" t="s">
        <v>99</v>
      </c>
      <c r="P838" s="20">
        <f>(C838+(E838*F838*H838))-N838</f>
        <v>48</v>
      </c>
      <c r="Q838" s="23" t="s">
        <v>99</v>
      </c>
      <c r="R838" s="24">
        <f>P838*(J838-(J838*L838)-((J838-(J838*L838))*M838))</f>
        <v>5088000</v>
      </c>
      <c r="S838" s="8">
        <f t="shared" ref="S838" si="239">R838/1.11</f>
        <v>4583783.7837837832</v>
      </c>
    </row>
    <row r="839" spans="1:19" s="19" customFormat="1">
      <c r="A839" s="18" t="s">
        <v>530</v>
      </c>
      <c r="B839" s="19" t="s">
        <v>261</v>
      </c>
      <c r="C839" s="20"/>
      <c r="D839" s="21" t="s">
        <v>99</v>
      </c>
      <c r="E839" s="26"/>
      <c r="F839" s="22">
        <v>1</v>
      </c>
      <c r="G839" s="23" t="s">
        <v>20</v>
      </c>
      <c r="H839" s="22">
        <v>24</v>
      </c>
      <c r="I839" s="23" t="s">
        <v>99</v>
      </c>
      <c r="J839" s="24">
        <v>94000</v>
      </c>
      <c r="K839" s="21" t="s">
        <v>99</v>
      </c>
      <c r="L839" s="25"/>
      <c r="M839" s="25"/>
      <c r="N839" s="22"/>
      <c r="O839" s="23" t="s">
        <v>99</v>
      </c>
      <c r="P839" s="20">
        <f>(C839+(E839*F839*H839))-N839</f>
        <v>0</v>
      </c>
      <c r="Q839" s="23" t="s">
        <v>99</v>
      </c>
      <c r="R839" s="24">
        <f>P839*(J839-(J839*L839)-((J839-(J839*L839))*M839))</f>
        <v>0</v>
      </c>
      <c r="S839" s="8">
        <f t="shared" si="238"/>
        <v>0</v>
      </c>
    </row>
    <row r="840" spans="1:19" s="19" customFormat="1">
      <c r="A840" s="164" t="s">
        <v>882</v>
      </c>
      <c r="B840" s="19" t="s">
        <v>261</v>
      </c>
      <c r="C840" s="20"/>
      <c r="D840" s="21" t="s">
        <v>99</v>
      </c>
      <c r="E840" s="26">
        <v>2</v>
      </c>
      <c r="F840" s="22">
        <v>1</v>
      </c>
      <c r="G840" s="23" t="s">
        <v>20</v>
      </c>
      <c r="H840" s="22">
        <v>32</v>
      </c>
      <c r="I840" s="23" t="s">
        <v>99</v>
      </c>
      <c r="J840" s="24">
        <v>49500</v>
      </c>
      <c r="K840" s="21" t="s">
        <v>99</v>
      </c>
      <c r="L840" s="25"/>
      <c r="M840" s="25"/>
      <c r="N840" s="22"/>
      <c r="O840" s="23" t="s">
        <v>99</v>
      </c>
      <c r="P840" s="20">
        <f>(C840+(E840*F840*H840))-N840</f>
        <v>64</v>
      </c>
      <c r="Q840" s="23" t="s">
        <v>99</v>
      </c>
      <c r="R840" s="24">
        <f>P840*(J840-(J840*L840)-((J840-(J840*L840))*M840))</f>
        <v>3168000</v>
      </c>
      <c r="S840" s="8">
        <f t="shared" ref="S840" si="240">R840/1.11</f>
        <v>2854054.054054054</v>
      </c>
    </row>
    <row r="841" spans="1:19" s="19" customFormat="1">
      <c r="A841" s="18"/>
      <c r="C841" s="20"/>
      <c r="D841" s="21"/>
      <c r="E841" s="26"/>
      <c r="F841" s="22"/>
      <c r="G841" s="23"/>
      <c r="H841" s="22"/>
      <c r="I841" s="23"/>
      <c r="J841" s="24"/>
      <c r="K841" s="21"/>
      <c r="L841" s="25"/>
      <c r="M841" s="25"/>
      <c r="N841" s="22"/>
      <c r="O841" s="23"/>
      <c r="P841" s="20"/>
      <c r="Q841" s="23"/>
      <c r="R841" s="24"/>
      <c r="S841" s="8"/>
    </row>
    <row r="842" spans="1:19">
      <c r="A842" s="17" t="s">
        <v>531</v>
      </c>
      <c r="B842" s="2" t="s">
        <v>172</v>
      </c>
      <c r="C842" s="3">
        <v>375</v>
      </c>
      <c r="D842" s="4" t="s">
        <v>40</v>
      </c>
      <c r="F842" s="6">
        <v>1</v>
      </c>
      <c r="G842" s="7" t="s">
        <v>20</v>
      </c>
      <c r="H842" s="6">
        <v>108</v>
      </c>
      <c r="I842" s="7" t="s">
        <v>40</v>
      </c>
      <c r="J842" s="8">
        <v>18000</v>
      </c>
      <c r="K842" s="4" t="s">
        <v>40</v>
      </c>
      <c r="L842" s="9">
        <v>0.05</v>
      </c>
      <c r="O842" s="7" t="s">
        <v>40</v>
      </c>
      <c r="P842" s="3">
        <f>(C842+(E842*F842*H842))-N842</f>
        <v>375</v>
      </c>
      <c r="Q842" s="7" t="s">
        <v>40</v>
      </c>
      <c r="R842" s="8">
        <f>P842*(J842-(J842*L842)-((J842-(J842*L842))*M842))</f>
        <v>6412500</v>
      </c>
      <c r="S842" s="8">
        <f t="shared" si="238"/>
        <v>5777027.0270270268</v>
      </c>
    </row>
    <row r="843" spans="1:19" s="19" customFormat="1">
      <c r="A843" s="18" t="s">
        <v>837</v>
      </c>
      <c r="B843" s="19" t="s">
        <v>172</v>
      </c>
      <c r="C843" s="20"/>
      <c r="D843" s="21" t="s">
        <v>40</v>
      </c>
      <c r="E843" s="26">
        <v>15</v>
      </c>
      <c r="F843" s="22">
        <v>1</v>
      </c>
      <c r="G843" s="23" t="s">
        <v>20</v>
      </c>
      <c r="H843" s="22">
        <v>100</v>
      </c>
      <c r="I843" s="23" t="s">
        <v>40</v>
      </c>
      <c r="J843" s="24">
        <v>19000</v>
      </c>
      <c r="K843" s="21" t="s">
        <v>40</v>
      </c>
      <c r="L843" s="25">
        <v>0.05</v>
      </c>
      <c r="M843" s="25"/>
      <c r="N843" s="22"/>
      <c r="O843" s="23" t="s">
        <v>40</v>
      </c>
      <c r="P843" s="20">
        <f>(C843+(E843*F843*H843))-N843</f>
        <v>1500</v>
      </c>
      <c r="Q843" s="23" t="s">
        <v>40</v>
      </c>
      <c r="R843" s="24">
        <f>P843*(J843-(J843*L843)-((J843-(J843*L843))*M843))</f>
        <v>27075000</v>
      </c>
      <c r="S843" s="24">
        <f t="shared" ref="S843" si="241">R843/1.11</f>
        <v>24391891.891891889</v>
      </c>
    </row>
    <row r="845" spans="1:19">
      <c r="A845" s="164" t="s">
        <v>664</v>
      </c>
      <c r="B845" s="2" t="s">
        <v>598</v>
      </c>
      <c r="D845" s="4" t="s">
        <v>19</v>
      </c>
      <c r="E845" s="5">
        <v>3</v>
      </c>
      <c r="F845" s="6">
        <v>1</v>
      </c>
      <c r="G845" s="7" t="s">
        <v>20</v>
      </c>
      <c r="H845" s="6">
        <v>600</v>
      </c>
      <c r="I845" s="7" t="s">
        <v>19</v>
      </c>
      <c r="J845" s="8">
        <v>2700</v>
      </c>
      <c r="K845" s="4" t="s">
        <v>19</v>
      </c>
      <c r="L845" s="9">
        <v>0.3</v>
      </c>
      <c r="O845" s="7" t="s">
        <v>19</v>
      </c>
      <c r="P845" s="3">
        <f>(C845+(E845*F845*H845))-N845</f>
        <v>1800</v>
      </c>
      <c r="Q845" s="7" t="s">
        <v>19</v>
      </c>
      <c r="R845" s="8">
        <f>P845*(J845-(J845*L845)-((J845-(J845*L845))*M845))</f>
        <v>3402000</v>
      </c>
      <c r="S845" s="8">
        <f t="shared" ref="S845" si="242">R845/1.11</f>
        <v>3064864.8648648644</v>
      </c>
    </row>
    <row r="846" spans="1:19">
      <c r="A846" s="17" t="s">
        <v>664</v>
      </c>
      <c r="B846" s="2" t="s">
        <v>598</v>
      </c>
      <c r="C846" s="3">
        <v>3376</v>
      </c>
      <c r="D846" s="4" t="s">
        <v>19</v>
      </c>
      <c r="F846" s="6">
        <v>1</v>
      </c>
      <c r="G846" s="7" t="s">
        <v>20</v>
      </c>
      <c r="H846" s="6">
        <v>600</v>
      </c>
      <c r="I846" s="7" t="s">
        <v>19</v>
      </c>
      <c r="J846" s="8">
        <v>2700</v>
      </c>
      <c r="K846" s="4" t="s">
        <v>19</v>
      </c>
      <c r="L846" s="9">
        <v>0.35</v>
      </c>
      <c r="O846" s="7" t="s">
        <v>19</v>
      </c>
      <c r="P846" s="3">
        <f>(C846+(E846*F846*H846))-N846</f>
        <v>3376</v>
      </c>
      <c r="Q846" s="7" t="s">
        <v>19</v>
      </c>
      <c r="R846" s="8">
        <f>P846*(J846-(J846*L846)-((J846-(J846*L846))*M846))</f>
        <v>5924880</v>
      </c>
      <c r="S846" s="8">
        <f t="shared" si="238"/>
        <v>5337729.7297297297</v>
      </c>
    </row>
    <row r="848" spans="1:19" ht="15.75">
      <c r="A848" s="14" t="s">
        <v>532</v>
      </c>
    </row>
    <row r="849" spans="1:19">
      <c r="A849" s="15" t="s">
        <v>533</v>
      </c>
    </row>
    <row r="850" spans="1:19" s="89" customFormat="1">
      <c r="A850" s="88" t="s">
        <v>534</v>
      </c>
      <c r="B850" s="89" t="s">
        <v>18</v>
      </c>
      <c r="C850" s="87"/>
      <c r="D850" s="90" t="s">
        <v>19</v>
      </c>
      <c r="E850" s="91"/>
      <c r="F850" s="92">
        <v>40</v>
      </c>
      <c r="G850" s="93" t="s">
        <v>99</v>
      </c>
      <c r="H850" s="92">
        <v>12</v>
      </c>
      <c r="I850" s="93" t="s">
        <v>19</v>
      </c>
      <c r="J850" s="94">
        <v>6700</v>
      </c>
      <c r="K850" s="90" t="s">
        <v>19</v>
      </c>
      <c r="L850" s="95">
        <v>0.125</v>
      </c>
      <c r="M850" s="95">
        <v>0.05</v>
      </c>
      <c r="N850" s="92"/>
      <c r="O850" s="93" t="s">
        <v>19</v>
      </c>
      <c r="P850" s="87">
        <f>(C850+(E850*F850*H850))-N850</f>
        <v>0</v>
      </c>
      <c r="Q850" s="93" t="s">
        <v>19</v>
      </c>
      <c r="R850" s="94">
        <f>P850*(J850-(J850*L850)-((J850-(J850*L850))*M850))</f>
        <v>0</v>
      </c>
      <c r="S850" s="16">
        <f t="shared" si="238"/>
        <v>0</v>
      </c>
    </row>
    <row r="851" spans="1:19" s="106" customFormat="1">
      <c r="A851" s="166" t="s">
        <v>881</v>
      </c>
      <c r="B851" s="106" t="s">
        <v>18</v>
      </c>
      <c r="C851" s="107"/>
      <c r="D851" s="108" t="s">
        <v>19</v>
      </c>
      <c r="E851" s="109">
        <v>1</v>
      </c>
      <c r="F851" s="110">
        <v>40</v>
      </c>
      <c r="G851" s="111" t="s">
        <v>99</v>
      </c>
      <c r="H851" s="110">
        <v>12</v>
      </c>
      <c r="I851" s="111" t="s">
        <v>19</v>
      </c>
      <c r="J851" s="112">
        <v>6600</v>
      </c>
      <c r="K851" s="108" t="s">
        <v>19</v>
      </c>
      <c r="L851" s="113">
        <v>0.125</v>
      </c>
      <c r="M851" s="113">
        <v>0.05</v>
      </c>
      <c r="N851" s="110"/>
      <c r="O851" s="111" t="s">
        <v>19</v>
      </c>
      <c r="P851" s="107">
        <f>(C851+(E851*F851*H851))-N851</f>
        <v>480</v>
      </c>
      <c r="Q851" s="111" t="s">
        <v>19</v>
      </c>
      <c r="R851" s="112">
        <f>P851*(J851-(J851*L851)-((J851-(J851*L851))*M851))</f>
        <v>2633400</v>
      </c>
      <c r="S851" s="104">
        <f t="shared" ref="S851" si="243">R851/1.11</f>
        <v>2372432.4324324322</v>
      </c>
    </row>
    <row r="852" spans="1:19" s="19" customFormat="1">
      <c r="A852" s="18" t="s">
        <v>535</v>
      </c>
      <c r="B852" s="19" t="s">
        <v>18</v>
      </c>
      <c r="C852" s="20"/>
      <c r="D852" s="21" t="s">
        <v>19</v>
      </c>
      <c r="E852" s="26">
        <v>2</v>
      </c>
      <c r="F852" s="22">
        <v>20</v>
      </c>
      <c r="G852" s="23" t="s">
        <v>99</v>
      </c>
      <c r="H852" s="22">
        <v>12</v>
      </c>
      <c r="I852" s="23" t="s">
        <v>19</v>
      </c>
      <c r="J852" s="24">
        <v>8600</v>
      </c>
      <c r="K852" s="21" t="s">
        <v>19</v>
      </c>
      <c r="L852" s="25">
        <v>0.125</v>
      </c>
      <c r="M852" s="25">
        <v>0.05</v>
      </c>
      <c r="N852" s="22"/>
      <c r="O852" s="23" t="s">
        <v>19</v>
      </c>
      <c r="P852" s="20">
        <f>(C852+(E852*F852*H852))-N852</f>
        <v>480</v>
      </c>
      <c r="Q852" s="23" t="s">
        <v>19</v>
      </c>
      <c r="R852" s="24">
        <f>P852*(J852-(J852*L852)-((J852-(J852*L852))*M852))</f>
        <v>3431400</v>
      </c>
      <c r="S852" s="24">
        <f t="shared" ref="S852" si="244">R852/1.11</f>
        <v>3091351.351351351</v>
      </c>
    </row>
    <row r="853" spans="1:19" s="19" customFormat="1">
      <c r="A853" s="18"/>
      <c r="C853" s="20"/>
      <c r="D853" s="21"/>
      <c r="E853" s="26"/>
      <c r="F853" s="22"/>
      <c r="G853" s="23"/>
      <c r="H853" s="22"/>
      <c r="I853" s="23"/>
      <c r="J853" s="24"/>
      <c r="K853" s="21"/>
      <c r="L853" s="25"/>
      <c r="M853" s="25"/>
      <c r="N853" s="22"/>
      <c r="O853" s="23"/>
      <c r="P853" s="20"/>
      <c r="Q853" s="23"/>
      <c r="R853" s="24"/>
      <c r="S853" s="8"/>
    </row>
    <row r="854" spans="1:19" s="80" customFormat="1">
      <c r="A854" s="145" t="s">
        <v>536</v>
      </c>
      <c r="B854" s="80" t="s">
        <v>25</v>
      </c>
      <c r="C854" s="81"/>
      <c r="D854" s="82" t="s">
        <v>40</v>
      </c>
      <c r="E854" s="83"/>
      <c r="F854" s="84">
        <v>1</v>
      </c>
      <c r="G854" s="85" t="s">
        <v>20</v>
      </c>
      <c r="H854" s="84">
        <v>40</v>
      </c>
      <c r="I854" s="85" t="s">
        <v>40</v>
      </c>
      <c r="J854" s="16">
        <f>3096000/40</f>
        <v>77400</v>
      </c>
      <c r="K854" s="82" t="s">
        <v>40</v>
      </c>
      <c r="L854" s="86"/>
      <c r="M854" s="86">
        <v>0.17</v>
      </c>
      <c r="N854" s="84"/>
      <c r="O854" s="85" t="s">
        <v>40</v>
      </c>
      <c r="P854" s="81">
        <f t="shared" ref="P854:P859" si="245">(C854+(E854*F854*H854))-N854</f>
        <v>0</v>
      </c>
      <c r="Q854" s="85" t="s">
        <v>40</v>
      </c>
      <c r="R854" s="16">
        <f t="shared" ref="R854:R859" si="246">P854*(J854-(J854*L854)-((J854-(J854*L854))*M854))</f>
        <v>0</v>
      </c>
      <c r="S854" s="16">
        <f t="shared" si="238"/>
        <v>0</v>
      </c>
    </row>
    <row r="855" spans="1:19">
      <c r="A855" s="49" t="s">
        <v>537</v>
      </c>
      <c r="B855" s="2" t="s">
        <v>25</v>
      </c>
      <c r="C855" s="3">
        <v>33</v>
      </c>
      <c r="D855" s="4" t="s">
        <v>40</v>
      </c>
      <c r="E855" s="5">
        <v>2</v>
      </c>
      <c r="F855" s="6">
        <v>1</v>
      </c>
      <c r="G855" s="7" t="s">
        <v>20</v>
      </c>
      <c r="H855" s="6">
        <v>40</v>
      </c>
      <c r="I855" s="7" t="s">
        <v>40</v>
      </c>
      <c r="J855" s="8">
        <f>2976000/40</f>
        <v>74400</v>
      </c>
      <c r="K855" s="4" t="s">
        <v>40</v>
      </c>
      <c r="M855" s="9">
        <v>0.17</v>
      </c>
      <c r="O855" s="7" t="s">
        <v>40</v>
      </c>
      <c r="P855" s="3">
        <f t="shared" si="245"/>
        <v>113</v>
      </c>
      <c r="Q855" s="7" t="s">
        <v>40</v>
      </c>
      <c r="R855" s="8">
        <f t="shared" si="246"/>
        <v>6977976</v>
      </c>
      <c r="S855" s="8">
        <f t="shared" si="238"/>
        <v>6286464.8648648644</v>
      </c>
    </row>
    <row r="856" spans="1:19" s="80" customFormat="1">
      <c r="A856" s="145" t="s">
        <v>538</v>
      </c>
      <c r="B856" s="80" t="s">
        <v>25</v>
      </c>
      <c r="C856" s="81"/>
      <c r="D856" s="82" t="s">
        <v>19</v>
      </c>
      <c r="E856" s="83"/>
      <c r="F856" s="84">
        <v>1</v>
      </c>
      <c r="G856" s="85" t="s">
        <v>20</v>
      </c>
      <c r="H856" s="84">
        <v>20</v>
      </c>
      <c r="I856" s="85" t="s">
        <v>19</v>
      </c>
      <c r="J856" s="16">
        <v>90000</v>
      </c>
      <c r="K856" s="82" t="s">
        <v>19</v>
      </c>
      <c r="L856" s="86"/>
      <c r="M856" s="86">
        <v>0.17</v>
      </c>
      <c r="N856" s="84"/>
      <c r="O856" s="85" t="s">
        <v>19</v>
      </c>
      <c r="P856" s="81">
        <f t="shared" si="245"/>
        <v>0</v>
      </c>
      <c r="Q856" s="85" t="s">
        <v>19</v>
      </c>
      <c r="R856" s="16">
        <f t="shared" si="246"/>
        <v>0</v>
      </c>
      <c r="S856" s="16">
        <f t="shared" si="238"/>
        <v>0</v>
      </c>
    </row>
    <row r="857" spans="1:19" s="80" customFormat="1">
      <c r="A857" s="145" t="s">
        <v>539</v>
      </c>
      <c r="B857" s="80" t="s">
        <v>25</v>
      </c>
      <c r="C857" s="81"/>
      <c r="D857" s="82" t="s">
        <v>19</v>
      </c>
      <c r="E857" s="83"/>
      <c r="F857" s="84">
        <v>1</v>
      </c>
      <c r="G857" s="85" t="s">
        <v>20</v>
      </c>
      <c r="H857" s="84">
        <v>20</v>
      </c>
      <c r="I857" s="85" t="s">
        <v>19</v>
      </c>
      <c r="J857" s="16">
        <v>87500</v>
      </c>
      <c r="K857" s="82" t="s">
        <v>19</v>
      </c>
      <c r="L857" s="86"/>
      <c r="M857" s="86">
        <v>0.17</v>
      </c>
      <c r="N857" s="84"/>
      <c r="O857" s="85" t="s">
        <v>19</v>
      </c>
      <c r="P857" s="81">
        <f t="shared" si="245"/>
        <v>0</v>
      </c>
      <c r="Q857" s="85" t="s">
        <v>19</v>
      </c>
      <c r="R857" s="16">
        <f t="shared" si="246"/>
        <v>0</v>
      </c>
      <c r="S857" s="16">
        <f t="shared" si="238"/>
        <v>0</v>
      </c>
    </row>
    <row r="858" spans="1:19">
      <c r="A858" s="49" t="s">
        <v>540</v>
      </c>
      <c r="B858" s="2" t="s">
        <v>25</v>
      </c>
      <c r="C858" s="3">
        <v>11</v>
      </c>
      <c r="D858" s="4" t="s">
        <v>40</v>
      </c>
      <c r="F858" s="6">
        <v>1</v>
      </c>
      <c r="G858" s="7" t="s">
        <v>20</v>
      </c>
      <c r="H858" s="6">
        <v>40</v>
      </c>
      <c r="I858" s="7" t="s">
        <v>40</v>
      </c>
      <c r="J858" s="8">
        <f>3360000/40</f>
        <v>84000</v>
      </c>
      <c r="K858" s="4" t="s">
        <v>40</v>
      </c>
      <c r="M858" s="9">
        <v>0.17</v>
      </c>
      <c r="O858" s="7" t="s">
        <v>40</v>
      </c>
      <c r="P858" s="3">
        <f t="shared" si="245"/>
        <v>11</v>
      </c>
      <c r="Q858" s="7" t="s">
        <v>40</v>
      </c>
      <c r="R858" s="8">
        <f t="shared" si="246"/>
        <v>766920</v>
      </c>
      <c r="S858" s="8">
        <f t="shared" si="238"/>
        <v>690918.91891891882</v>
      </c>
    </row>
    <row r="859" spans="1:19" s="80" customFormat="1">
      <c r="A859" s="145" t="s">
        <v>541</v>
      </c>
      <c r="B859" s="80" t="s">
        <v>25</v>
      </c>
      <c r="C859" s="81"/>
      <c r="D859" s="82" t="s">
        <v>40</v>
      </c>
      <c r="E859" s="83"/>
      <c r="F859" s="84">
        <v>1</v>
      </c>
      <c r="G859" s="85" t="s">
        <v>20</v>
      </c>
      <c r="H859" s="84">
        <v>20</v>
      </c>
      <c r="I859" s="85" t="s">
        <v>40</v>
      </c>
      <c r="J859" s="16">
        <f>1992000/20</f>
        <v>99600</v>
      </c>
      <c r="K859" s="82" t="s">
        <v>40</v>
      </c>
      <c r="L859" s="86"/>
      <c r="M859" s="86">
        <v>0.17</v>
      </c>
      <c r="N859" s="84"/>
      <c r="O859" s="85" t="s">
        <v>40</v>
      </c>
      <c r="P859" s="81">
        <f t="shared" si="245"/>
        <v>0</v>
      </c>
      <c r="Q859" s="85" t="s">
        <v>40</v>
      </c>
      <c r="R859" s="16">
        <f t="shared" si="246"/>
        <v>0</v>
      </c>
      <c r="S859" s="16">
        <f t="shared" si="238"/>
        <v>0</v>
      </c>
    </row>
    <row r="860" spans="1:19">
      <c r="A860" s="49"/>
    </row>
    <row r="861" spans="1:19">
      <c r="A861" s="15" t="s">
        <v>542</v>
      </c>
    </row>
    <row r="862" spans="1:19" s="89" customFormat="1">
      <c r="A862" s="88" t="s">
        <v>543</v>
      </c>
      <c r="B862" s="89" t="s">
        <v>18</v>
      </c>
      <c r="C862" s="87"/>
      <c r="D862" s="90" t="s">
        <v>40</v>
      </c>
      <c r="E862" s="91">
        <v>2</v>
      </c>
      <c r="F862" s="92">
        <v>18</v>
      </c>
      <c r="G862" s="93" t="s">
        <v>99</v>
      </c>
      <c r="H862" s="92">
        <v>1</v>
      </c>
      <c r="I862" s="93" t="s">
        <v>40</v>
      </c>
      <c r="J862" s="94">
        <f>4900*12</f>
        <v>58800</v>
      </c>
      <c r="K862" s="90" t="s">
        <v>40</v>
      </c>
      <c r="L862" s="95">
        <v>0.125</v>
      </c>
      <c r="M862" s="95">
        <v>0.05</v>
      </c>
      <c r="N862" s="92"/>
      <c r="O862" s="93" t="s">
        <v>40</v>
      </c>
      <c r="P862" s="87">
        <f>(C862+(E862*F862*H862))-N862</f>
        <v>36</v>
      </c>
      <c r="Q862" s="93" t="s">
        <v>40</v>
      </c>
      <c r="R862" s="94">
        <f>P862*(J862-(J862*L862)-((J862-(J862*L862))*M862))</f>
        <v>1759590</v>
      </c>
      <c r="S862" s="16">
        <f t="shared" si="238"/>
        <v>1585216.2162162161</v>
      </c>
    </row>
    <row r="863" spans="1:19" s="89" customFormat="1">
      <c r="A863" s="88" t="s">
        <v>544</v>
      </c>
      <c r="B863" s="89" t="s">
        <v>18</v>
      </c>
      <c r="C863" s="87"/>
      <c r="D863" s="90" t="s">
        <v>40</v>
      </c>
      <c r="E863" s="91"/>
      <c r="F863" s="92">
        <v>24</v>
      </c>
      <c r="G863" s="93" t="s">
        <v>99</v>
      </c>
      <c r="H863" s="92">
        <v>2</v>
      </c>
      <c r="I863" s="93" t="s">
        <v>40</v>
      </c>
      <c r="J863" s="94">
        <f>4900*12</f>
        <v>58800</v>
      </c>
      <c r="K863" s="90" t="s">
        <v>40</v>
      </c>
      <c r="L863" s="95">
        <v>0.125</v>
      </c>
      <c r="M863" s="95">
        <v>0.05</v>
      </c>
      <c r="N863" s="92"/>
      <c r="O863" s="93" t="s">
        <v>40</v>
      </c>
      <c r="P863" s="87">
        <f>(C863+(E863*F863*H863))-N863</f>
        <v>0</v>
      </c>
      <c r="Q863" s="93" t="s">
        <v>40</v>
      </c>
      <c r="R863" s="94">
        <f>P863*(J863-(J863*L863)-((J863-(J863*L863))*M863))</f>
        <v>0</v>
      </c>
      <c r="S863" s="16">
        <f t="shared" si="238"/>
        <v>0</v>
      </c>
    </row>
    <row r="864" spans="1:19" s="19" customFormat="1">
      <c r="A864" s="18" t="s">
        <v>545</v>
      </c>
      <c r="B864" s="19" t="s">
        <v>18</v>
      </c>
      <c r="C864" s="20"/>
      <c r="D864" s="21" t="s">
        <v>40</v>
      </c>
      <c r="E864" s="26">
        <v>5</v>
      </c>
      <c r="F864" s="22">
        <v>18</v>
      </c>
      <c r="G864" s="23" t="s">
        <v>99</v>
      </c>
      <c r="H864" s="22">
        <v>1</v>
      </c>
      <c r="I864" s="23" t="s">
        <v>40</v>
      </c>
      <c r="J864" s="24">
        <v>69600</v>
      </c>
      <c r="K864" s="21" t="s">
        <v>40</v>
      </c>
      <c r="L864" s="25">
        <v>0.125</v>
      </c>
      <c r="M864" s="25">
        <v>0.05</v>
      </c>
      <c r="N864" s="22"/>
      <c r="O864" s="23" t="s">
        <v>40</v>
      </c>
      <c r="P864" s="107">
        <f>(C864+(E864*F864*H864))-N864</f>
        <v>90</v>
      </c>
      <c r="Q864" s="111" t="s">
        <v>40</v>
      </c>
      <c r="R864" s="24">
        <f>P864*(J864-(J864*L864)-((J864-(J864*L864))*M864))</f>
        <v>5206950</v>
      </c>
      <c r="S864" s="24">
        <f t="shared" ref="S864" si="247">R864/1.11</f>
        <v>4690945.9459459456</v>
      </c>
    </row>
    <row r="865" spans="1:19" s="89" customFormat="1">
      <c r="A865" s="88" t="s">
        <v>546</v>
      </c>
      <c r="B865" s="89" t="s">
        <v>18</v>
      </c>
      <c r="C865" s="87"/>
      <c r="D865" s="90" t="s">
        <v>40</v>
      </c>
      <c r="E865" s="91"/>
      <c r="F865" s="92">
        <v>24</v>
      </c>
      <c r="G865" s="93" t="s">
        <v>99</v>
      </c>
      <c r="H865" s="92">
        <v>6</v>
      </c>
      <c r="I865" s="93" t="s">
        <v>19</v>
      </c>
      <c r="J865" s="94">
        <v>12600</v>
      </c>
      <c r="K865" s="90" t="s">
        <v>19</v>
      </c>
      <c r="L865" s="95">
        <v>0.125</v>
      </c>
      <c r="M865" s="95">
        <v>0.05</v>
      </c>
      <c r="N865" s="92"/>
      <c r="O865" s="93" t="s">
        <v>19</v>
      </c>
      <c r="P865" s="87">
        <f>(C865+(E865*F865*H865))-N865</f>
        <v>0</v>
      </c>
      <c r="Q865" s="93" t="s">
        <v>19</v>
      </c>
      <c r="R865" s="94">
        <f>P865*(J865-(J865*L865)-((J865-(J865*L865))*M865))</f>
        <v>0</v>
      </c>
      <c r="S865" s="16">
        <f t="shared" si="238"/>
        <v>0</v>
      </c>
    </row>
    <row r="866" spans="1:19" s="19" customFormat="1">
      <c r="A866" s="18"/>
      <c r="C866" s="20"/>
      <c r="D866" s="21"/>
      <c r="E866" s="26"/>
      <c r="F866" s="22"/>
      <c r="G866" s="23"/>
      <c r="H866" s="22"/>
      <c r="I866" s="23"/>
      <c r="J866" s="24"/>
      <c r="K866" s="21"/>
      <c r="L866" s="25"/>
      <c r="M866" s="25"/>
      <c r="N866" s="22"/>
      <c r="O866" s="23"/>
      <c r="P866" s="20"/>
      <c r="Q866" s="23"/>
      <c r="R866" s="24"/>
      <c r="S866" s="8"/>
    </row>
    <row r="867" spans="1:19" s="19" customFormat="1">
      <c r="A867" s="18" t="s">
        <v>547</v>
      </c>
      <c r="B867" s="19" t="s">
        <v>25</v>
      </c>
      <c r="C867" s="20"/>
      <c r="D867" s="21" t="s">
        <v>40</v>
      </c>
      <c r="E867" s="26">
        <v>4</v>
      </c>
      <c r="F867" s="22">
        <v>1</v>
      </c>
      <c r="G867" s="23" t="s">
        <v>20</v>
      </c>
      <c r="H867" s="22">
        <v>18</v>
      </c>
      <c r="I867" s="23" t="s">
        <v>40</v>
      </c>
      <c r="J867" s="24">
        <f>1069200/18</f>
        <v>59400</v>
      </c>
      <c r="K867" s="21" t="s">
        <v>40</v>
      </c>
      <c r="L867" s="25"/>
      <c r="M867" s="25">
        <v>0.17</v>
      </c>
      <c r="N867" s="22"/>
      <c r="O867" s="23" t="s">
        <v>40</v>
      </c>
      <c r="P867" s="20">
        <f>(C867+(E867*F867*H867))-N867</f>
        <v>72</v>
      </c>
      <c r="Q867" s="23" t="s">
        <v>40</v>
      </c>
      <c r="R867" s="24">
        <f>P867*(J867-(J867*L867)-((J867-(J867*L867))*M867))</f>
        <v>3549744</v>
      </c>
      <c r="S867" s="24">
        <f t="shared" si="238"/>
        <v>3197967.5675675673</v>
      </c>
    </row>
    <row r="868" spans="1:19" s="80" customFormat="1">
      <c r="A868" s="79" t="s">
        <v>548</v>
      </c>
      <c r="B868" s="80" t="s">
        <v>25</v>
      </c>
      <c r="C868" s="81"/>
      <c r="D868" s="82" t="s">
        <v>40</v>
      </c>
      <c r="E868" s="83"/>
      <c r="F868" s="84">
        <v>1</v>
      </c>
      <c r="G868" s="85" t="s">
        <v>20</v>
      </c>
      <c r="H868" s="84">
        <v>18</v>
      </c>
      <c r="I868" s="85" t="s">
        <v>40</v>
      </c>
      <c r="J868" s="16">
        <f>1274400/18</f>
        <v>70800</v>
      </c>
      <c r="K868" s="82" t="s">
        <v>40</v>
      </c>
      <c r="L868" s="86"/>
      <c r="M868" s="86">
        <v>0.17</v>
      </c>
      <c r="N868" s="84"/>
      <c r="O868" s="85" t="s">
        <v>40</v>
      </c>
      <c r="P868" s="81">
        <f>(C868+(E868*F868*H868))-N868</f>
        <v>0</v>
      </c>
      <c r="Q868" s="85" t="s">
        <v>40</v>
      </c>
      <c r="R868" s="16">
        <f>P868*(J868-(J868*L868)-((J868-(J868*L868))*M868))</f>
        <v>0</v>
      </c>
      <c r="S868" s="16">
        <f t="shared" si="238"/>
        <v>0</v>
      </c>
    </row>
    <row r="870" spans="1:19" ht="15.75">
      <c r="A870" s="14" t="s">
        <v>549</v>
      </c>
    </row>
    <row r="871" spans="1:19">
      <c r="A871" s="15" t="s">
        <v>550</v>
      </c>
    </row>
    <row r="872" spans="1:19">
      <c r="A872" s="17" t="s">
        <v>704</v>
      </c>
      <c r="B872" s="19" t="s">
        <v>18</v>
      </c>
      <c r="D872" s="4" t="s">
        <v>19</v>
      </c>
      <c r="E872" s="5">
        <v>3</v>
      </c>
      <c r="F872" s="6">
        <v>1</v>
      </c>
      <c r="G872" s="7" t="s">
        <v>20</v>
      </c>
      <c r="H872" s="6">
        <v>72</v>
      </c>
      <c r="I872" s="7" t="s">
        <v>19</v>
      </c>
      <c r="J872" s="8">
        <v>34500</v>
      </c>
      <c r="K872" s="4" t="s">
        <v>19</v>
      </c>
      <c r="L872" s="9">
        <v>0.125</v>
      </c>
      <c r="M872" s="9">
        <v>0.05</v>
      </c>
      <c r="O872" s="7" t="s">
        <v>19</v>
      </c>
      <c r="P872" s="3">
        <f>(C872+(E872*F872*H872))-N872</f>
        <v>216</v>
      </c>
      <c r="Q872" s="7" t="s">
        <v>19</v>
      </c>
      <c r="R872" s="8">
        <f>P872*(J872-(J872*L872)-((J872-(J872*L872))*M872))</f>
        <v>6194475</v>
      </c>
      <c r="S872" s="8">
        <f t="shared" ref="S872" si="248">R872/1.11</f>
        <v>5580608.1081081079</v>
      </c>
    </row>
    <row r="873" spans="1:19" s="80" customFormat="1">
      <c r="A873" s="79" t="s">
        <v>551</v>
      </c>
      <c r="B873" s="89" t="s">
        <v>18</v>
      </c>
      <c r="C873" s="81"/>
      <c r="D873" s="82" t="s">
        <v>19</v>
      </c>
      <c r="E873" s="83">
        <v>1</v>
      </c>
      <c r="F873" s="84">
        <v>1</v>
      </c>
      <c r="G873" s="85" t="s">
        <v>20</v>
      </c>
      <c r="H873" s="84">
        <v>24</v>
      </c>
      <c r="I873" s="85" t="s">
        <v>19</v>
      </c>
      <c r="J873" s="16">
        <v>97000</v>
      </c>
      <c r="K873" s="82" t="s">
        <v>19</v>
      </c>
      <c r="L873" s="86">
        <v>0.125</v>
      </c>
      <c r="M873" s="86">
        <v>0.05</v>
      </c>
      <c r="N873" s="84"/>
      <c r="O873" s="85" t="s">
        <v>19</v>
      </c>
      <c r="P873" s="81">
        <f>(C873+(E873*F873*H873))-N873</f>
        <v>24</v>
      </c>
      <c r="Q873" s="85" t="s">
        <v>19</v>
      </c>
      <c r="R873" s="16">
        <f>P873*(J873-(J873*L873)-((J873-(J873*L873))*M873))</f>
        <v>1935150</v>
      </c>
      <c r="S873" s="16">
        <f t="shared" si="238"/>
        <v>1743378.3783783782</v>
      </c>
    </row>
    <row r="874" spans="1:19">
      <c r="B874" s="19"/>
    </row>
    <row r="875" spans="1:19" s="80" customFormat="1">
      <c r="A875" s="79" t="s">
        <v>552</v>
      </c>
      <c r="B875" s="80" t="s">
        <v>25</v>
      </c>
      <c r="C875" s="81"/>
      <c r="D875" s="82" t="s">
        <v>40</v>
      </c>
      <c r="E875" s="83"/>
      <c r="F875" s="84">
        <v>1</v>
      </c>
      <c r="G875" s="85" t="s">
        <v>20</v>
      </c>
      <c r="H875" s="84">
        <v>48</v>
      </c>
      <c r="I875" s="85" t="s">
        <v>19</v>
      </c>
      <c r="J875" s="16">
        <f>2400000/48</f>
        <v>50000</v>
      </c>
      <c r="K875" s="82" t="s">
        <v>19</v>
      </c>
      <c r="L875" s="86"/>
      <c r="M875" s="86">
        <v>0.17</v>
      </c>
      <c r="N875" s="84"/>
      <c r="O875" s="85" t="s">
        <v>19</v>
      </c>
      <c r="P875" s="81">
        <f>(C875+(E875*F875*H875))-N875</f>
        <v>0</v>
      </c>
      <c r="Q875" s="85" t="s">
        <v>19</v>
      </c>
      <c r="R875" s="16">
        <f>P875*(J875-(J875*L875)-((J875-(J875*L875))*M875))</f>
        <v>0</v>
      </c>
      <c r="S875" s="16">
        <f t="shared" si="238"/>
        <v>0</v>
      </c>
    </row>
    <row r="877" spans="1:19">
      <c r="A877" s="15" t="s">
        <v>553</v>
      </c>
    </row>
    <row r="878" spans="1:19" s="19" customFormat="1">
      <c r="A878" s="18" t="s">
        <v>554</v>
      </c>
      <c r="B878" s="19" t="s">
        <v>18</v>
      </c>
      <c r="C878" s="20"/>
      <c r="D878" s="21" t="s">
        <v>40</v>
      </c>
      <c r="E878" s="26">
        <v>18</v>
      </c>
      <c r="F878" s="22">
        <v>1</v>
      </c>
      <c r="G878" s="23" t="s">
        <v>20</v>
      </c>
      <c r="H878" s="22">
        <v>20</v>
      </c>
      <c r="I878" s="23" t="s">
        <v>40</v>
      </c>
      <c r="J878" s="24">
        <v>85200</v>
      </c>
      <c r="K878" s="21" t="s">
        <v>40</v>
      </c>
      <c r="L878" s="25">
        <v>0.125</v>
      </c>
      <c r="M878" s="25">
        <v>0.05</v>
      </c>
      <c r="N878" s="22"/>
      <c r="O878" s="23" t="s">
        <v>40</v>
      </c>
      <c r="P878" s="20">
        <f t="shared" ref="P878:P892" si="249">(C878+(E878*F878*H878))-N878</f>
        <v>360</v>
      </c>
      <c r="Q878" s="23" t="s">
        <v>40</v>
      </c>
      <c r="R878" s="24">
        <f t="shared" ref="R878:R892" si="250">P878*(J878-(J878*L878)-((J878-(J878*L878))*M878))</f>
        <v>25496100</v>
      </c>
      <c r="S878" s="24">
        <f t="shared" si="238"/>
        <v>22969459.459459458</v>
      </c>
    </row>
    <row r="879" spans="1:19" s="80" customFormat="1">
      <c r="A879" s="79" t="s">
        <v>555</v>
      </c>
      <c r="B879" s="80" t="s">
        <v>18</v>
      </c>
      <c r="C879" s="81"/>
      <c r="D879" s="82" t="s">
        <v>19</v>
      </c>
      <c r="E879" s="83">
        <v>1</v>
      </c>
      <c r="F879" s="84">
        <v>24</v>
      </c>
      <c r="G879" s="85" t="s">
        <v>33</v>
      </c>
      <c r="H879" s="84">
        <v>10</v>
      </c>
      <c r="I879" s="85" t="s">
        <v>19</v>
      </c>
      <c r="J879" s="16">
        <v>9750</v>
      </c>
      <c r="K879" s="82" t="s">
        <v>19</v>
      </c>
      <c r="L879" s="86">
        <v>0.125</v>
      </c>
      <c r="M879" s="86">
        <v>0.05</v>
      </c>
      <c r="N879" s="84"/>
      <c r="O879" s="85" t="s">
        <v>19</v>
      </c>
      <c r="P879" s="81">
        <f t="shared" si="249"/>
        <v>240</v>
      </c>
      <c r="Q879" s="85" t="s">
        <v>19</v>
      </c>
      <c r="R879" s="16">
        <f t="shared" si="250"/>
        <v>1945125</v>
      </c>
      <c r="S879" s="16">
        <f t="shared" si="238"/>
        <v>1752364.8648648646</v>
      </c>
    </row>
    <row r="880" spans="1:19">
      <c r="A880" s="17" t="s">
        <v>556</v>
      </c>
      <c r="B880" s="2" t="s">
        <v>18</v>
      </c>
      <c r="D880" s="4" t="s">
        <v>40</v>
      </c>
      <c r="E880" s="5">
        <v>3</v>
      </c>
      <c r="F880" s="6">
        <v>1</v>
      </c>
      <c r="G880" s="7" t="s">
        <v>20</v>
      </c>
      <c r="H880" s="6">
        <v>25</v>
      </c>
      <c r="I880" s="7" t="s">
        <v>40</v>
      </c>
      <c r="J880" s="8">
        <v>70800</v>
      </c>
      <c r="K880" s="4" t="s">
        <v>40</v>
      </c>
      <c r="L880" s="9">
        <v>0.125</v>
      </c>
      <c r="M880" s="9">
        <v>0.05</v>
      </c>
      <c r="O880" s="7" t="s">
        <v>40</v>
      </c>
      <c r="P880" s="3">
        <f t="shared" si="249"/>
        <v>75</v>
      </c>
      <c r="Q880" s="7" t="s">
        <v>40</v>
      </c>
      <c r="R880" s="8">
        <f t="shared" si="250"/>
        <v>4413937.5</v>
      </c>
      <c r="S880" s="8">
        <f t="shared" si="238"/>
        <v>3976520.2702702698</v>
      </c>
    </row>
    <row r="881" spans="1:19">
      <c r="A881" s="18" t="s">
        <v>843</v>
      </c>
      <c r="B881" s="2" t="s">
        <v>18</v>
      </c>
      <c r="D881" s="4" t="s">
        <v>40</v>
      </c>
      <c r="E881" s="5">
        <v>3</v>
      </c>
      <c r="F881" s="6">
        <v>1</v>
      </c>
      <c r="G881" s="7" t="s">
        <v>20</v>
      </c>
      <c r="H881" s="6">
        <v>25</v>
      </c>
      <c r="I881" s="7" t="s">
        <v>40</v>
      </c>
      <c r="J881" s="8">
        <v>66600</v>
      </c>
      <c r="K881" s="4" t="s">
        <v>40</v>
      </c>
      <c r="L881" s="9">
        <v>0.125</v>
      </c>
      <c r="M881" s="9">
        <v>0.05</v>
      </c>
      <c r="O881" s="7" t="s">
        <v>40</v>
      </c>
      <c r="P881" s="3">
        <f t="shared" ref="P881:P882" si="251">(C881+(E881*F881*H881))-N881</f>
        <v>75</v>
      </c>
      <c r="Q881" s="7" t="s">
        <v>40</v>
      </c>
      <c r="R881" s="8">
        <f t="shared" ref="R881:R882" si="252">P881*(J881-(J881*L881)-((J881-(J881*L881))*M881))</f>
        <v>4152093.75</v>
      </c>
      <c r="S881" s="8">
        <f t="shared" ref="S881:S882" si="253">R881/1.11</f>
        <v>3740624.9999999995</v>
      </c>
    </row>
    <row r="882" spans="1:19" s="19" customFormat="1">
      <c r="A882" s="164" t="s">
        <v>557</v>
      </c>
      <c r="B882" s="19" t="s">
        <v>18</v>
      </c>
      <c r="C882" s="20"/>
      <c r="D882" s="21" t="s">
        <v>40</v>
      </c>
      <c r="E882" s="26">
        <v>2</v>
      </c>
      <c r="F882" s="22">
        <v>20</v>
      </c>
      <c r="G882" s="23" t="s">
        <v>33</v>
      </c>
      <c r="H882" s="22">
        <v>1</v>
      </c>
      <c r="I882" s="23" t="s">
        <v>40</v>
      </c>
      <c r="J882" s="24">
        <v>84000</v>
      </c>
      <c r="K882" s="21" t="s">
        <v>40</v>
      </c>
      <c r="L882" s="25">
        <v>0.125</v>
      </c>
      <c r="M882" s="25">
        <v>0.05</v>
      </c>
      <c r="N882" s="22"/>
      <c r="O882" s="23" t="s">
        <v>40</v>
      </c>
      <c r="P882" s="20">
        <f t="shared" si="251"/>
        <v>40</v>
      </c>
      <c r="Q882" s="23" t="s">
        <v>40</v>
      </c>
      <c r="R882" s="24">
        <f t="shared" si="252"/>
        <v>2793000</v>
      </c>
      <c r="S882" s="24">
        <f t="shared" si="253"/>
        <v>2516216.2162162159</v>
      </c>
    </row>
    <row r="883" spans="1:19" s="19" customFormat="1">
      <c r="A883" s="18" t="s">
        <v>557</v>
      </c>
      <c r="B883" s="19" t="s">
        <v>18</v>
      </c>
      <c r="C883" s="20">
        <v>240</v>
      </c>
      <c r="D883" s="21" t="s">
        <v>40</v>
      </c>
      <c r="E883" s="26"/>
      <c r="F883" s="22">
        <v>20</v>
      </c>
      <c r="G883" s="23" t="s">
        <v>33</v>
      </c>
      <c r="H883" s="22">
        <v>1</v>
      </c>
      <c r="I883" s="23" t="s">
        <v>40</v>
      </c>
      <c r="J883" s="24">
        <f>6800*12</f>
        <v>81600</v>
      </c>
      <c r="K883" s="21" t="s">
        <v>40</v>
      </c>
      <c r="L883" s="25">
        <v>0.125</v>
      </c>
      <c r="M883" s="25">
        <v>0.05</v>
      </c>
      <c r="N883" s="22"/>
      <c r="O883" s="23" t="s">
        <v>40</v>
      </c>
      <c r="P883" s="20">
        <f t="shared" si="249"/>
        <v>240</v>
      </c>
      <c r="Q883" s="23" t="s">
        <v>40</v>
      </c>
      <c r="R883" s="24">
        <f t="shared" si="250"/>
        <v>16279200</v>
      </c>
      <c r="S883" s="24">
        <f t="shared" si="238"/>
        <v>14665945.945945945</v>
      </c>
    </row>
    <row r="884" spans="1:19" s="19" customFormat="1">
      <c r="A884" s="18" t="s">
        <v>558</v>
      </c>
      <c r="B884" s="19" t="s">
        <v>18</v>
      </c>
      <c r="C884" s="20">
        <v>450</v>
      </c>
      <c r="D884" s="21" t="s">
        <v>19</v>
      </c>
      <c r="E884" s="26"/>
      <c r="F884" s="22">
        <v>20</v>
      </c>
      <c r="G884" s="23" t="s">
        <v>33</v>
      </c>
      <c r="H884" s="22">
        <v>6</v>
      </c>
      <c r="I884" s="23" t="s">
        <v>19</v>
      </c>
      <c r="J884" s="24">
        <v>18700</v>
      </c>
      <c r="K884" s="21" t="s">
        <v>19</v>
      </c>
      <c r="L884" s="25">
        <v>0.125</v>
      </c>
      <c r="M884" s="25">
        <v>0.05</v>
      </c>
      <c r="N884" s="22"/>
      <c r="O884" s="23" t="s">
        <v>19</v>
      </c>
      <c r="P884" s="20">
        <f t="shared" si="249"/>
        <v>450</v>
      </c>
      <c r="Q884" s="23" t="s">
        <v>19</v>
      </c>
      <c r="R884" s="24">
        <f t="shared" si="250"/>
        <v>6994968.75</v>
      </c>
      <c r="S884" s="24">
        <f t="shared" si="238"/>
        <v>6301773.6486486485</v>
      </c>
    </row>
    <row r="885" spans="1:19" s="19" customFormat="1">
      <c r="A885" s="18" t="s">
        <v>559</v>
      </c>
      <c r="B885" s="19" t="s">
        <v>18</v>
      </c>
      <c r="C885" s="20">
        <v>1284</v>
      </c>
      <c r="D885" s="21" t="s">
        <v>19</v>
      </c>
      <c r="E885" s="26"/>
      <c r="F885" s="22">
        <v>20</v>
      </c>
      <c r="G885" s="23" t="s">
        <v>33</v>
      </c>
      <c r="H885" s="22">
        <v>6</v>
      </c>
      <c r="I885" s="23" t="s">
        <v>19</v>
      </c>
      <c r="J885" s="24">
        <v>18000</v>
      </c>
      <c r="K885" s="21" t="s">
        <v>19</v>
      </c>
      <c r="L885" s="25">
        <v>0.125</v>
      </c>
      <c r="M885" s="25">
        <v>0.05</v>
      </c>
      <c r="N885" s="22"/>
      <c r="O885" s="23" t="s">
        <v>19</v>
      </c>
      <c r="P885" s="20">
        <f t="shared" si="249"/>
        <v>1284</v>
      </c>
      <c r="Q885" s="23" t="s">
        <v>19</v>
      </c>
      <c r="R885" s="24">
        <f t="shared" si="250"/>
        <v>19211850</v>
      </c>
      <c r="S885" s="24">
        <f t="shared" si="238"/>
        <v>17307972.97297297</v>
      </c>
    </row>
    <row r="886" spans="1:19" s="80" customFormat="1">
      <c r="A886" s="79" t="s">
        <v>560</v>
      </c>
      <c r="B886" s="80" t="s">
        <v>18</v>
      </c>
      <c r="C886" s="81"/>
      <c r="D886" s="82" t="s">
        <v>19</v>
      </c>
      <c r="E886" s="83"/>
      <c r="F886" s="84">
        <v>1</v>
      </c>
      <c r="G886" s="85" t="s">
        <v>20</v>
      </c>
      <c r="H886" s="84">
        <v>12</v>
      </c>
      <c r="I886" s="85" t="s">
        <v>19</v>
      </c>
      <c r="J886" s="16">
        <v>162000</v>
      </c>
      <c r="K886" s="82" t="s">
        <v>19</v>
      </c>
      <c r="L886" s="86">
        <v>0.125</v>
      </c>
      <c r="M886" s="86">
        <v>0.05</v>
      </c>
      <c r="N886" s="84"/>
      <c r="O886" s="85" t="s">
        <v>19</v>
      </c>
      <c r="P886" s="81">
        <f t="shared" si="249"/>
        <v>0</v>
      </c>
      <c r="Q886" s="85" t="s">
        <v>19</v>
      </c>
      <c r="R886" s="16">
        <f t="shared" si="250"/>
        <v>0</v>
      </c>
      <c r="S886" s="16">
        <f t="shared" si="238"/>
        <v>0</v>
      </c>
    </row>
    <row r="887" spans="1:19" s="80" customFormat="1">
      <c r="A887" s="79" t="s">
        <v>756</v>
      </c>
      <c r="B887" s="80" t="s">
        <v>18</v>
      </c>
      <c r="C887" s="81"/>
      <c r="D887" s="82" t="s">
        <v>19</v>
      </c>
      <c r="E887" s="83"/>
      <c r="F887" s="84">
        <v>1</v>
      </c>
      <c r="G887" s="85" t="s">
        <v>20</v>
      </c>
      <c r="H887" s="84">
        <v>12</v>
      </c>
      <c r="I887" s="85" t="s">
        <v>19</v>
      </c>
      <c r="J887" s="16">
        <v>200000</v>
      </c>
      <c r="K887" s="82" t="s">
        <v>19</v>
      </c>
      <c r="L887" s="86">
        <v>0.125</v>
      </c>
      <c r="M887" s="86">
        <v>0.05</v>
      </c>
      <c r="N887" s="84"/>
      <c r="O887" s="85" t="s">
        <v>19</v>
      </c>
      <c r="P887" s="81">
        <f t="shared" si="249"/>
        <v>0</v>
      </c>
      <c r="Q887" s="85" t="s">
        <v>19</v>
      </c>
      <c r="R887" s="16">
        <f t="shared" si="250"/>
        <v>0</v>
      </c>
      <c r="S887" s="16">
        <f t="shared" si="238"/>
        <v>0</v>
      </c>
    </row>
    <row r="888" spans="1:19">
      <c r="A888" s="17" t="s">
        <v>561</v>
      </c>
      <c r="B888" s="2" t="s">
        <v>18</v>
      </c>
      <c r="D888" s="4" t="s">
        <v>19</v>
      </c>
      <c r="E888" s="5">
        <v>2</v>
      </c>
      <c r="F888" s="6">
        <v>1</v>
      </c>
      <c r="G888" s="7" t="s">
        <v>20</v>
      </c>
      <c r="H888" s="6">
        <v>36</v>
      </c>
      <c r="I888" s="7" t="s">
        <v>19</v>
      </c>
      <c r="J888" s="8">
        <v>58000</v>
      </c>
      <c r="K888" s="4" t="s">
        <v>19</v>
      </c>
      <c r="L888" s="9">
        <v>0.125</v>
      </c>
      <c r="M888" s="9">
        <v>0.05</v>
      </c>
      <c r="O888" s="7" t="s">
        <v>19</v>
      </c>
      <c r="P888" s="3">
        <f t="shared" si="249"/>
        <v>72</v>
      </c>
      <c r="Q888" s="7" t="s">
        <v>19</v>
      </c>
      <c r="R888" s="8">
        <f t="shared" si="250"/>
        <v>3471300</v>
      </c>
      <c r="S888" s="8">
        <f t="shared" si="238"/>
        <v>3127297.297297297</v>
      </c>
    </row>
    <row r="889" spans="1:19">
      <c r="A889" s="17" t="s">
        <v>562</v>
      </c>
      <c r="B889" s="2" t="s">
        <v>18</v>
      </c>
      <c r="C889" s="3">
        <v>36</v>
      </c>
      <c r="D889" s="4" t="s">
        <v>19</v>
      </c>
      <c r="F889" s="6">
        <v>1</v>
      </c>
      <c r="G889" s="7" t="s">
        <v>20</v>
      </c>
      <c r="H889" s="6">
        <v>12</v>
      </c>
      <c r="I889" s="7" t="s">
        <v>19</v>
      </c>
      <c r="J889" s="8">
        <v>97000</v>
      </c>
      <c r="K889" s="4" t="s">
        <v>19</v>
      </c>
      <c r="L889" s="9">
        <v>0.125</v>
      </c>
      <c r="M889" s="9">
        <v>0.05</v>
      </c>
      <c r="O889" s="7" t="s">
        <v>19</v>
      </c>
      <c r="P889" s="3">
        <f t="shared" si="249"/>
        <v>36</v>
      </c>
      <c r="Q889" s="7" t="s">
        <v>19</v>
      </c>
      <c r="R889" s="8">
        <f t="shared" si="250"/>
        <v>2902725</v>
      </c>
      <c r="S889" s="8">
        <f t="shared" si="238"/>
        <v>2615067.5675675673</v>
      </c>
    </row>
    <row r="890" spans="1:19" s="19" customFormat="1">
      <c r="A890" s="18" t="s">
        <v>563</v>
      </c>
      <c r="B890" s="19" t="s">
        <v>18</v>
      </c>
      <c r="C890" s="20">
        <v>12</v>
      </c>
      <c r="D890" s="21" t="s">
        <v>19</v>
      </c>
      <c r="E890" s="26">
        <v>2</v>
      </c>
      <c r="F890" s="22">
        <v>1</v>
      </c>
      <c r="G890" s="23" t="s">
        <v>20</v>
      </c>
      <c r="H890" s="22">
        <v>12</v>
      </c>
      <c r="I890" s="23" t="s">
        <v>19</v>
      </c>
      <c r="J890" s="24">
        <v>97000</v>
      </c>
      <c r="K890" s="21" t="s">
        <v>19</v>
      </c>
      <c r="L890" s="25">
        <v>0.125</v>
      </c>
      <c r="M890" s="25">
        <v>0.05</v>
      </c>
      <c r="N890" s="22"/>
      <c r="O890" s="23" t="s">
        <v>19</v>
      </c>
      <c r="P890" s="20">
        <f t="shared" si="249"/>
        <v>36</v>
      </c>
      <c r="Q890" s="23" t="s">
        <v>19</v>
      </c>
      <c r="R890" s="24">
        <f t="shared" si="250"/>
        <v>2902725</v>
      </c>
      <c r="S890" s="24">
        <f t="shared" si="238"/>
        <v>2615067.5675675673</v>
      </c>
    </row>
    <row r="891" spans="1:19">
      <c r="A891" s="17" t="s">
        <v>564</v>
      </c>
      <c r="B891" s="2" t="s">
        <v>18</v>
      </c>
      <c r="C891" s="3">
        <v>2</v>
      </c>
      <c r="D891" s="4" t="s">
        <v>19</v>
      </c>
      <c r="E891" s="5">
        <v>2</v>
      </c>
      <c r="F891" s="6">
        <v>1</v>
      </c>
      <c r="G891" s="7" t="s">
        <v>20</v>
      </c>
      <c r="H891" s="6">
        <v>6</v>
      </c>
      <c r="I891" s="7" t="s">
        <v>19</v>
      </c>
      <c r="J891" s="8">
        <v>187000</v>
      </c>
      <c r="K891" s="4" t="s">
        <v>19</v>
      </c>
      <c r="L891" s="9">
        <v>0.125</v>
      </c>
      <c r="M891" s="9">
        <v>0.05</v>
      </c>
      <c r="O891" s="7" t="s">
        <v>19</v>
      </c>
      <c r="P891" s="3">
        <f t="shared" si="249"/>
        <v>14</v>
      </c>
      <c r="Q891" s="7" t="s">
        <v>19</v>
      </c>
      <c r="R891" s="8">
        <f t="shared" si="250"/>
        <v>2176212.5</v>
      </c>
      <c r="S891" s="8">
        <f t="shared" si="238"/>
        <v>1960551.8018018017</v>
      </c>
    </row>
    <row r="892" spans="1:19">
      <c r="A892" s="17" t="s">
        <v>565</v>
      </c>
      <c r="B892" s="2" t="s">
        <v>18</v>
      </c>
      <c r="C892" s="3">
        <v>6</v>
      </c>
      <c r="D892" s="4" t="s">
        <v>19</v>
      </c>
      <c r="F892" s="6">
        <v>1</v>
      </c>
      <c r="G892" s="7" t="s">
        <v>20</v>
      </c>
      <c r="H892" s="6">
        <v>6</v>
      </c>
      <c r="I892" s="7" t="s">
        <v>19</v>
      </c>
      <c r="J892" s="8">
        <v>420000</v>
      </c>
      <c r="K892" s="4" t="s">
        <v>19</v>
      </c>
      <c r="L892" s="9">
        <v>0.125</v>
      </c>
      <c r="M892" s="9">
        <v>0.05</v>
      </c>
      <c r="O892" s="7" t="s">
        <v>19</v>
      </c>
      <c r="P892" s="3">
        <f t="shared" si="249"/>
        <v>6</v>
      </c>
      <c r="Q892" s="7" t="s">
        <v>19</v>
      </c>
      <c r="R892" s="8">
        <f t="shared" si="250"/>
        <v>2094750</v>
      </c>
      <c r="S892" s="8">
        <f t="shared" si="238"/>
        <v>1887162.1621621619</v>
      </c>
    </row>
    <row r="894" spans="1:19" s="19" customFormat="1">
      <c r="A894" s="164" t="s">
        <v>566</v>
      </c>
      <c r="B894" s="19" t="s">
        <v>25</v>
      </c>
      <c r="C894" s="20"/>
      <c r="D894" s="21" t="s">
        <v>40</v>
      </c>
      <c r="E894" s="26">
        <v>100</v>
      </c>
      <c r="F894" s="22">
        <v>1</v>
      </c>
      <c r="G894" s="23" t="s">
        <v>20</v>
      </c>
      <c r="H894" s="22">
        <v>20</v>
      </c>
      <c r="I894" s="23" t="s">
        <v>40</v>
      </c>
      <c r="J894" s="24">
        <f>1860000/20</f>
        <v>93000</v>
      </c>
      <c r="K894" s="21" t="s">
        <v>40</v>
      </c>
      <c r="L894" s="25">
        <v>0.03</v>
      </c>
      <c r="M894" s="25">
        <v>0.17</v>
      </c>
      <c r="N894" s="22"/>
      <c r="O894" s="23" t="s">
        <v>40</v>
      </c>
      <c r="P894" s="20">
        <f t="shared" ref="P894" si="254">(C894+(E894*F894*H894))-N894</f>
        <v>2000</v>
      </c>
      <c r="Q894" s="23" t="s">
        <v>40</v>
      </c>
      <c r="R894" s="24">
        <f t="shared" ref="R894" si="255">P894*(J894-(J894*L894)-((J894-(J894*L894))*M894))</f>
        <v>149748600</v>
      </c>
      <c r="S894" s="24">
        <f t="shared" ref="S894" si="256">R894/1.11</f>
        <v>134908648.64864865</v>
      </c>
    </row>
    <row r="895" spans="1:19" s="19" customFormat="1">
      <c r="A895" s="18" t="s">
        <v>566</v>
      </c>
      <c r="B895" s="19" t="s">
        <v>25</v>
      </c>
      <c r="C895" s="20">
        <v>214</v>
      </c>
      <c r="D895" s="21" t="s">
        <v>40</v>
      </c>
      <c r="E895" s="26">
        <v>23</v>
      </c>
      <c r="F895" s="22">
        <v>1</v>
      </c>
      <c r="G895" s="23" t="s">
        <v>20</v>
      </c>
      <c r="H895" s="22">
        <v>20</v>
      </c>
      <c r="I895" s="23" t="s">
        <v>40</v>
      </c>
      <c r="J895" s="24">
        <f>1860000/20</f>
        <v>93000</v>
      </c>
      <c r="K895" s="21" t="s">
        <v>40</v>
      </c>
      <c r="L895" s="25"/>
      <c r="M895" s="25">
        <v>0.17</v>
      </c>
      <c r="N895" s="22"/>
      <c r="O895" s="23" t="s">
        <v>40</v>
      </c>
      <c r="P895" s="20">
        <f t="shared" ref="P895:P913" si="257">(C895+(E895*F895*H895))-N895</f>
        <v>674</v>
      </c>
      <c r="Q895" s="23" t="s">
        <v>40</v>
      </c>
      <c r="R895" s="24">
        <f t="shared" ref="R895:R913" si="258">P895*(J895-(J895*L895)-((J895-(J895*L895))*M895))</f>
        <v>52026060</v>
      </c>
      <c r="S895" s="24">
        <f t="shared" si="238"/>
        <v>46870324.324324317</v>
      </c>
    </row>
    <row r="896" spans="1:19" s="19" customFormat="1">
      <c r="A896" s="18" t="s">
        <v>567</v>
      </c>
      <c r="B896" s="19" t="s">
        <v>25</v>
      </c>
      <c r="C896" s="20">
        <v>40</v>
      </c>
      <c r="D896" s="21" t="s">
        <v>40</v>
      </c>
      <c r="E896" s="26">
        <v>4</v>
      </c>
      <c r="F896" s="22">
        <v>1</v>
      </c>
      <c r="G896" s="23" t="s">
        <v>20</v>
      </c>
      <c r="H896" s="22">
        <v>20</v>
      </c>
      <c r="I896" s="23" t="s">
        <v>40</v>
      </c>
      <c r="J896" s="24">
        <f>1740000/20</f>
        <v>87000</v>
      </c>
      <c r="K896" s="21" t="s">
        <v>40</v>
      </c>
      <c r="L896" s="25"/>
      <c r="M896" s="25">
        <v>0.17</v>
      </c>
      <c r="N896" s="22"/>
      <c r="O896" s="23" t="s">
        <v>40</v>
      </c>
      <c r="P896" s="20">
        <f t="shared" si="257"/>
        <v>120</v>
      </c>
      <c r="Q896" s="23" t="s">
        <v>40</v>
      </c>
      <c r="R896" s="24">
        <f t="shared" si="258"/>
        <v>8665200</v>
      </c>
      <c r="S896" s="24">
        <f t="shared" si="238"/>
        <v>7806486.4864864862</v>
      </c>
    </row>
    <row r="897" spans="1:19" s="19" customFormat="1">
      <c r="A897" s="18" t="s">
        <v>568</v>
      </c>
      <c r="B897" s="19" t="s">
        <v>25</v>
      </c>
      <c r="C897" s="20">
        <v>100</v>
      </c>
      <c r="D897" s="21" t="s">
        <v>40</v>
      </c>
      <c r="E897" s="26"/>
      <c r="F897" s="22">
        <v>1</v>
      </c>
      <c r="G897" s="23" t="s">
        <v>20</v>
      </c>
      <c r="H897" s="22">
        <v>20</v>
      </c>
      <c r="I897" s="23" t="s">
        <v>40</v>
      </c>
      <c r="J897" s="24">
        <f>1740000/20</f>
        <v>87000</v>
      </c>
      <c r="K897" s="21" t="s">
        <v>40</v>
      </c>
      <c r="L897" s="25"/>
      <c r="M897" s="25">
        <v>0.17</v>
      </c>
      <c r="N897" s="22"/>
      <c r="O897" s="23" t="s">
        <v>40</v>
      </c>
      <c r="P897" s="20">
        <f t="shared" si="257"/>
        <v>100</v>
      </c>
      <c r="Q897" s="23" t="s">
        <v>40</v>
      </c>
      <c r="R897" s="24">
        <f t="shared" si="258"/>
        <v>7221000</v>
      </c>
      <c r="S897" s="24">
        <f t="shared" si="238"/>
        <v>6505405.405405405</v>
      </c>
    </row>
    <row r="898" spans="1:19" s="19" customFormat="1">
      <c r="A898" s="18" t="s">
        <v>569</v>
      </c>
      <c r="B898" s="19" t="s">
        <v>25</v>
      </c>
      <c r="C898" s="20">
        <v>5</v>
      </c>
      <c r="D898" s="21" t="s">
        <v>40</v>
      </c>
      <c r="E898" s="26">
        <v>5</v>
      </c>
      <c r="F898" s="22">
        <v>1</v>
      </c>
      <c r="G898" s="23" t="s">
        <v>20</v>
      </c>
      <c r="H898" s="22">
        <v>20</v>
      </c>
      <c r="I898" s="23" t="s">
        <v>40</v>
      </c>
      <c r="J898" s="24">
        <f>2352000/20</f>
        <v>117600</v>
      </c>
      <c r="K898" s="21" t="s">
        <v>40</v>
      </c>
      <c r="L898" s="25"/>
      <c r="M898" s="25">
        <v>0.17</v>
      </c>
      <c r="N898" s="22"/>
      <c r="O898" s="47" t="s">
        <v>40</v>
      </c>
      <c r="P898" s="20">
        <f t="shared" si="257"/>
        <v>105</v>
      </c>
      <c r="Q898" s="23" t="s">
        <v>40</v>
      </c>
      <c r="R898" s="24">
        <f t="shared" si="258"/>
        <v>10248840</v>
      </c>
      <c r="S898" s="24">
        <f t="shared" si="238"/>
        <v>9233189.1891891882</v>
      </c>
    </row>
    <row r="899" spans="1:19" s="19" customFormat="1">
      <c r="A899" s="18" t="s">
        <v>653</v>
      </c>
      <c r="B899" s="19" t="s">
        <v>25</v>
      </c>
      <c r="C899" s="20">
        <v>40</v>
      </c>
      <c r="D899" s="21" t="s">
        <v>40</v>
      </c>
      <c r="E899" s="26">
        <v>9</v>
      </c>
      <c r="F899" s="22">
        <v>1</v>
      </c>
      <c r="G899" s="23" t="s">
        <v>20</v>
      </c>
      <c r="H899" s="22">
        <v>20</v>
      </c>
      <c r="I899" s="23" t="s">
        <v>40</v>
      </c>
      <c r="J899" s="24">
        <f>2352000/20</f>
        <v>117600</v>
      </c>
      <c r="K899" s="21" t="s">
        <v>40</v>
      </c>
      <c r="L899" s="25"/>
      <c r="M899" s="25">
        <v>0.17</v>
      </c>
      <c r="N899" s="22"/>
      <c r="O899" s="74" t="s">
        <v>40</v>
      </c>
      <c r="P899" s="20">
        <f t="shared" si="257"/>
        <v>220</v>
      </c>
      <c r="Q899" s="23" t="s">
        <v>40</v>
      </c>
      <c r="R899" s="24">
        <f t="shared" si="258"/>
        <v>21473760</v>
      </c>
      <c r="S899" s="24">
        <f t="shared" si="238"/>
        <v>19345729.729729727</v>
      </c>
    </row>
    <row r="900" spans="1:19" s="19" customFormat="1">
      <c r="A900" s="18" t="s">
        <v>570</v>
      </c>
      <c r="B900" s="19" t="s">
        <v>25</v>
      </c>
      <c r="C900" s="20">
        <v>100</v>
      </c>
      <c r="D900" s="21" t="s">
        <v>40</v>
      </c>
      <c r="E900" s="26"/>
      <c r="F900" s="22">
        <v>1</v>
      </c>
      <c r="G900" s="23" t="s">
        <v>20</v>
      </c>
      <c r="H900" s="22">
        <v>20</v>
      </c>
      <c r="I900" s="23" t="s">
        <v>40</v>
      </c>
      <c r="J900" s="24">
        <f>2352000/20</f>
        <v>117600</v>
      </c>
      <c r="K900" s="21" t="s">
        <v>40</v>
      </c>
      <c r="L900" s="25"/>
      <c r="M900" s="25">
        <v>0.17</v>
      </c>
      <c r="N900" s="22"/>
      <c r="O900" s="23" t="s">
        <v>40</v>
      </c>
      <c r="P900" s="20">
        <f t="shared" si="257"/>
        <v>100</v>
      </c>
      <c r="Q900" s="23" t="s">
        <v>40</v>
      </c>
      <c r="R900" s="24">
        <f t="shared" si="258"/>
        <v>9760800</v>
      </c>
      <c r="S900" s="24">
        <f t="shared" si="238"/>
        <v>8793513.5135135129</v>
      </c>
    </row>
    <row r="901" spans="1:19" s="89" customFormat="1">
      <c r="A901" s="88" t="s">
        <v>780</v>
      </c>
      <c r="B901" s="89" t="s">
        <v>25</v>
      </c>
      <c r="C901" s="87"/>
      <c r="D901" s="90" t="s">
        <v>40</v>
      </c>
      <c r="E901" s="91"/>
      <c r="F901" s="92">
        <v>1</v>
      </c>
      <c r="G901" s="93" t="s">
        <v>20</v>
      </c>
      <c r="H901" s="92">
        <v>10</v>
      </c>
      <c r="I901" s="93" t="s">
        <v>40</v>
      </c>
      <c r="J901" s="94">
        <f>2400000/10</f>
        <v>240000</v>
      </c>
      <c r="K901" s="90" t="s">
        <v>40</v>
      </c>
      <c r="L901" s="95"/>
      <c r="M901" s="95">
        <v>0.17</v>
      </c>
      <c r="N901" s="92"/>
      <c r="O901" s="97" t="s">
        <v>40</v>
      </c>
      <c r="P901" s="87">
        <f t="shared" si="257"/>
        <v>0</v>
      </c>
      <c r="Q901" s="93" t="s">
        <v>40</v>
      </c>
      <c r="R901" s="94">
        <f t="shared" si="258"/>
        <v>0</v>
      </c>
      <c r="S901" s="94">
        <f t="shared" si="238"/>
        <v>0</v>
      </c>
    </row>
    <row r="902" spans="1:19">
      <c r="A902" s="17" t="s">
        <v>571</v>
      </c>
      <c r="B902" s="2" t="s">
        <v>25</v>
      </c>
      <c r="C902" s="3">
        <v>25</v>
      </c>
      <c r="D902" s="4" t="s">
        <v>40</v>
      </c>
      <c r="F902" s="6">
        <v>1</v>
      </c>
      <c r="G902" s="7" t="s">
        <v>20</v>
      </c>
      <c r="H902" s="6">
        <v>40</v>
      </c>
      <c r="I902" s="7" t="s">
        <v>40</v>
      </c>
      <c r="J902" s="8">
        <f>2688000/40</f>
        <v>67200</v>
      </c>
      <c r="K902" s="4" t="s">
        <v>40</v>
      </c>
      <c r="M902" s="9">
        <v>0.17</v>
      </c>
      <c r="O902" s="7" t="s">
        <v>40</v>
      </c>
      <c r="P902" s="3">
        <f t="shared" si="257"/>
        <v>25</v>
      </c>
      <c r="Q902" s="7" t="s">
        <v>40</v>
      </c>
      <c r="R902" s="8">
        <f t="shared" si="258"/>
        <v>1394400</v>
      </c>
      <c r="S902" s="8">
        <f t="shared" si="238"/>
        <v>1256216.2162162161</v>
      </c>
    </row>
    <row r="903" spans="1:19" s="80" customFormat="1">
      <c r="A903" s="79" t="s">
        <v>572</v>
      </c>
      <c r="B903" s="80" t="s">
        <v>25</v>
      </c>
      <c r="C903" s="81"/>
      <c r="D903" s="82" t="s">
        <v>40</v>
      </c>
      <c r="E903" s="83"/>
      <c r="F903" s="84">
        <v>1</v>
      </c>
      <c r="G903" s="85" t="s">
        <v>20</v>
      </c>
      <c r="H903" s="84">
        <v>20</v>
      </c>
      <c r="I903" s="85" t="s">
        <v>40</v>
      </c>
      <c r="J903" s="16">
        <v>120000</v>
      </c>
      <c r="K903" s="82" t="s">
        <v>40</v>
      </c>
      <c r="L903" s="86"/>
      <c r="M903" s="86">
        <v>0.17</v>
      </c>
      <c r="N903" s="84"/>
      <c r="O903" s="85" t="s">
        <v>40</v>
      </c>
      <c r="P903" s="81">
        <f t="shared" si="257"/>
        <v>0</v>
      </c>
      <c r="Q903" s="85" t="s">
        <v>40</v>
      </c>
      <c r="R903" s="16">
        <f t="shared" si="258"/>
        <v>0</v>
      </c>
      <c r="S903" s="16">
        <f t="shared" si="238"/>
        <v>0</v>
      </c>
    </row>
    <row r="904" spans="1:19" s="19" customFormat="1">
      <c r="A904" s="18" t="s">
        <v>573</v>
      </c>
      <c r="B904" s="19" t="s">
        <v>25</v>
      </c>
      <c r="C904" s="20">
        <v>23</v>
      </c>
      <c r="D904" s="21" t="s">
        <v>40</v>
      </c>
      <c r="E904" s="26"/>
      <c r="F904" s="22">
        <v>1</v>
      </c>
      <c r="G904" s="23" t="s">
        <v>20</v>
      </c>
      <c r="H904" s="22">
        <v>25</v>
      </c>
      <c r="I904" s="23" t="s">
        <v>40</v>
      </c>
      <c r="J904" s="24">
        <f>1740000/25</f>
        <v>69600</v>
      </c>
      <c r="K904" s="21" t="s">
        <v>40</v>
      </c>
      <c r="L904" s="25"/>
      <c r="M904" s="25">
        <v>0.17</v>
      </c>
      <c r="N904" s="22"/>
      <c r="O904" s="23" t="s">
        <v>40</v>
      </c>
      <c r="P904" s="20">
        <f t="shared" si="257"/>
        <v>23</v>
      </c>
      <c r="Q904" s="23" t="s">
        <v>40</v>
      </c>
      <c r="R904" s="24">
        <f t="shared" si="258"/>
        <v>1328664</v>
      </c>
      <c r="S904" s="24">
        <f t="shared" si="238"/>
        <v>1196994.5945945946</v>
      </c>
    </row>
    <row r="905" spans="1:19" s="89" customFormat="1">
      <c r="A905" s="88" t="s">
        <v>574</v>
      </c>
      <c r="B905" s="89" t="s">
        <v>25</v>
      </c>
      <c r="C905" s="87"/>
      <c r="D905" s="90" t="s">
        <v>40</v>
      </c>
      <c r="E905" s="91"/>
      <c r="F905" s="92">
        <v>1</v>
      </c>
      <c r="G905" s="93" t="s">
        <v>20</v>
      </c>
      <c r="H905" s="92">
        <v>10</v>
      </c>
      <c r="I905" s="93" t="s">
        <v>40</v>
      </c>
      <c r="J905" s="94">
        <f>2280000/10</f>
        <v>228000</v>
      </c>
      <c r="K905" s="90" t="s">
        <v>40</v>
      </c>
      <c r="L905" s="95"/>
      <c r="M905" s="95">
        <v>0.17</v>
      </c>
      <c r="N905" s="92"/>
      <c r="O905" s="93" t="s">
        <v>40</v>
      </c>
      <c r="P905" s="87">
        <f t="shared" si="257"/>
        <v>0</v>
      </c>
      <c r="Q905" s="93" t="s">
        <v>40</v>
      </c>
      <c r="R905" s="94">
        <f t="shared" si="258"/>
        <v>0</v>
      </c>
      <c r="S905" s="16">
        <f t="shared" si="238"/>
        <v>0</v>
      </c>
    </row>
    <row r="906" spans="1:19" s="19" customFormat="1">
      <c r="A906" s="18" t="s">
        <v>575</v>
      </c>
      <c r="B906" s="19" t="s">
        <v>25</v>
      </c>
      <c r="C906" s="20">
        <v>57</v>
      </c>
      <c r="D906" s="21" t="s">
        <v>40</v>
      </c>
      <c r="E906" s="26">
        <v>13</v>
      </c>
      <c r="F906" s="22">
        <v>1</v>
      </c>
      <c r="G906" s="23" t="s">
        <v>20</v>
      </c>
      <c r="H906" s="22">
        <v>10</v>
      </c>
      <c r="I906" s="23" t="s">
        <v>40</v>
      </c>
      <c r="J906" s="24">
        <f>2280000/10</f>
        <v>228000</v>
      </c>
      <c r="K906" s="21" t="s">
        <v>40</v>
      </c>
      <c r="L906" s="25"/>
      <c r="M906" s="25">
        <v>0.17</v>
      </c>
      <c r="N906" s="22"/>
      <c r="O906" s="75" t="s">
        <v>40</v>
      </c>
      <c r="P906" s="20">
        <f t="shared" si="257"/>
        <v>187</v>
      </c>
      <c r="Q906" s="23" t="s">
        <v>40</v>
      </c>
      <c r="R906" s="24">
        <f t="shared" si="258"/>
        <v>35387880</v>
      </c>
      <c r="S906" s="24">
        <f t="shared" si="238"/>
        <v>31880972.97297297</v>
      </c>
    </row>
    <row r="907" spans="1:19" s="19" customFormat="1">
      <c r="A907" s="18" t="s">
        <v>576</v>
      </c>
      <c r="B907" s="19" t="s">
        <v>25</v>
      </c>
      <c r="C907" s="20">
        <v>50</v>
      </c>
      <c r="D907" s="21" t="s">
        <v>40</v>
      </c>
      <c r="E907" s="26"/>
      <c r="F907" s="22">
        <v>1</v>
      </c>
      <c r="G907" s="23" t="s">
        <v>20</v>
      </c>
      <c r="H907" s="22">
        <v>10</v>
      </c>
      <c r="I907" s="23" t="s">
        <v>40</v>
      </c>
      <c r="J907" s="24">
        <f>2040000/10</f>
        <v>204000</v>
      </c>
      <c r="K907" s="21" t="s">
        <v>40</v>
      </c>
      <c r="L907" s="25"/>
      <c r="M907" s="25">
        <v>0.17</v>
      </c>
      <c r="N907" s="22"/>
      <c r="O907" s="23" t="s">
        <v>40</v>
      </c>
      <c r="P907" s="20">
        <f t="shared" si="257"/>
        <v>50</v>
      </c>
      <c r="Q907" s="23" t="s">
        <v>40</v>
      </c>
      <c r="R907" s="24">
        <f t="shared" si="258"/>
        <v>8466000</v>
      </c>
      <c r="S907" s="24">
        <f t="shared" si="238"/>
        <v>7627027.0270270268</v>
      </c>
    </row>
    <row r="908" spans="1:19" s="19" customFormat="1">
      <c r="A908" s="18" t="s">
        <v>577</v>
      </c>
      <c r="B908" s="19" t="s">
        <v>25</v>
      </c>
      <c r="C908" s="20">
        <v>40</v>
      </c>
      <c r="D908" s="21" t="s">
        <v>40</v>
      </c>
      <c r="E908" s="26"/>
      <c r="F908" s="22">
        <v>1</v>
      </c>
      <c r="G908" s="23" t="s">
        <v>20</v>
      </c>
      <c r="H908" s="22">
        <v>10</v>
      </c>
      <c r="I908" s="23" t="s">
        <v>40</v>
      </c>
      <c r="J908" s="24">
        <f>2040000/10</f>
        <v>204000</v>
      </c>
      <c r="K908" s="21" t="s">
        <v>40</v>
      </c>
      <c r="L908" s="25"/>
      <c r="M908" s="25">
        <v>0.17</v>
      </c>
      <c r="N908" s="22"/>
      <c r="O908" s="23" t="s">
        <v>40</v>
      </c>
      <c r="P908" s="20">
        <f t="shared" si="257"/>
        <v>40</v>
      </c>
      <c r="Q908" s="23" t="s">
        <v>40</v>
      </c>
      <c r="R908" s="24">
        <f t="shared" si="258"/>
        <v>6772800</v>
      </c>
      <c r="S908" s="24">
        <f t="shared" si="238"/>
        <v>6101621.6216216208</v>
      </c>
    </row>
    <row r="909" spans="1:19" s="80" customFormat="1">
      <c r="A909" s="79" t="s">
        <v>578</v>
      </c>
      <c r="B909" s="80" t="s">
        <v>25</v>
      </c>
      <c r="C909" s="81"/>
      <c r="D909" s="82" t="s">
        <v>19</v>
      </c>
      <c r="E909" s="83"/>
      <c r="F909" s="84">
        <v>20</v>
      </c>
      <c r="G909" s="85" t="s">
        <v>33</v>
      </c>
      <c r="H909" s="84">
        <v>6</v>
      </c>
      <c r="I909" s="85" t="s">
        <v>19</v>
      </c>
      <c r="J909" s="16">
        <v>14500</v>
      </c>
      <c r="K909" s="82" t="s">
        <v>19</v>
      </c>
      <c r="L909" s="86"/>
      <c r="M909" s="86">
        <v>0.17</v>
      </c>
      <c r="N909" s="84"/>
      <c r="O909" s="85" t="s">
        <v>19</v>
      </c>
      <c r="P909" s="81">
        <f t="shared" si="257"/>
        <v>0</v>
      </c>
      <c r="Q909" s="85" t="s">
        <v>19</v>
      </c>
      <c r="R909" s="16">
        <f t="shared" si="258"/>
        <v>0</v>
      </c>
      <c r="S909" s="16">
        <f t="shared" si="238"/>
        <v>0</v>
      </c>
    </row>
    <row r="910" spans="1:19" s="19" customFormat="1">
      <c r="A910" s="18" t="s">
        <v>579</v>
      </c>
      <c r="B910" s="19" t="s">
        <v>25</v>
      </c>
      <c r="C910" s="20">
        <f>23+3</f>
        <v>26</v>
      </c>
      <c r="D910" s="21" t="s">
        <v>19</v>
      </c>
      <c r="E910" s="26">
        <v>2</v>
      </c>
      <c r="F910" s="22">
        <v>1</v>
      </c>
      <c r="G910" s="23" t="s">
        <v>20</v>
      </c>
      <c r="H910" s="22">
        <v>6</v>
      </c>
      <c r="I910" s="23" t="s">
        <v>19</v>
      </c>
      <c r="J910" s="24">
        <f>2160000/6</f>
        <v>360000</v>
      </c>
      <c r="K910" s="21" t="s">
        <v>19</v>
      </c>
      <c r="L910" s="25"/>
      <c r="M910" s="25">
        <v>0.17</v>
      </c>
      <c r="N910" s="22"/>
      <c r="O910" s="23" t="s">
        <v>19</v>
      </c>
      <c r="P910" s="20">
        <f t="shared" si="257"/>
        <v>38</v>
      </c>
      <c r="Q910" s="23" t="s">
        <v>19</v>
      </c>
      <c r="R910" s="24">
        <f t="shared" si="258"/>
        <v>11354400</v>
      </c>
      <c r="S910" s="24">
        <f t="shared" si="238"/>
        <v>10229189.189189188</v>
      </c>
    </row>
    <row r="911" spans="1:19" s="19" customFormat="1">
      <c r="A911" s="18" t="s">
        <v>580</v>
      </c>
      <c r="B911" s="19" t="s">
        <v>25</v>
      </c>
      <c r="C911" s="20">
        <v>6</v>
      </c>
      <c r="D911" s="21" t="s">
        <v>19</v>
      </c>
      <c r="E911" s="26"/>
      <c r="F911" s="22">
        <v>1</v>
      </c>
      <c r="G911" s="23" t="s">
        <v>20</v>
      </c>
      <c r="H911" s="22">
        <v>6</v>
      </c>
      <c r="I911" s="23" t="s">
        <v>19</v>
      </c>
      <c r="J911" s="24">
        <f>930000/6</f>
        <v>155000</v>
      </c>
      <c r="K911" s="21" t="s">
        <v>19</v>
      </c>
      <c r="L911" s="25"/>
      <c r="M911" s="25">
        <v>0.17</v>
      </c>
      <c r="N911" s="22"/>
      <c r="O911" s="23" t="s">
        <v>19</v>
      </c>
      <c r="P911" s="20">
        <f t="shared" si="257"/>
        <v>6</v>
      </c>
      <c r="Q911" s="23" t="s">
        <v>19</v>
      </c>
      <c r="R911" s="24">
        <f t="shared" si="258"/>
        <v>771900</v>
      </c>
      <c r="S911" s="24">
        <f t="shared" si="238"/>
        <v>695405.40540540533</v>
      </c>
    </row>
    <row r="912" spans="1:19" s="19" customFormat="1">
      <c r="A912" s="18" t="s">
        <v>581</v>
      </c>
      <c r="B912" s="19" t="s">
        <v>25</v>
      </c>
      <c r="C912" s="20">
        <v>30</v>
      </c>
      <c r="D912" s="21" t="s">
        <v>19</v>
      </c>
      <c r="E912" s="26">
        <v>1</v>
      </c>
      <c r="F912" s="22">
        <v>1</v>
      </c>
      <c r="G912" s="23" t="s">
        <v>20</v>
      </c>
      <c r="H912" s="22">
        <v>6</v>
      </c>
      <c r="I912" s="23" t="s">
        <v>19</v>
      </c>
      <c r="J912" s="24">
        <f>504000/6</f>
        <v>84000</v>
      </c>
      <c r="K912" s="21" t="s">
        <v>19</v>
      </c>
      <c r="L912" s="25"/>
      <c r="M912" s="25">
        <v>0.17</v>
      </c>
      <c r="N912" s="22"/>
      <c r="O912" s="23" t="s">
        <v>19</v>
      </c>
      <c r="P912" s="20">
        <f t="shared" si="257"/>
        <v>36</v>
      </c>
      <c r="Q912" s="23" t="s">
        <v>19</v>
      </c>
      <c r="R912" s="24">
        <f t="shared" si="258"/>
        <v>2509920</v>
      </c>
      <c r="S912" s="24">
        <f t="shared" ref="S912:S921" si="259">R912/1.11</f>
        <v>2261189.1891891891</v>
      </c>
    </row>
    <row r="913" spans="1:19" s="80" customFormat="1">
      <c r="A913" s="79" t="s">
        <v>582</v>
      </c>
      <c r="B913" s="80" t="s">
        <v>25</v>
      </c>
      <c r="C913" s="81"/>
      <c r="D913" s="82" t="s">
        <v>19</v>
      </c>
      <c r="E913" s="83"/>
      <c r="F913" s="84">
        <v>1</v>
      </c>
      <c r="G913" s="85" t="s">
        <v>20</v>
      </c>
      <c r="H913" s="84">
        <v>6</v>
      </c>
      <c r="I913" s="85" t="s">
        <v>19</v>
      </c>
      <c r="J913" s="16">
        <f>990000/6</f>
        <v>165000</v>
      </c>
      <c r="K913" s="82" t="s">
        <v>19</v>
      </c>
      <c r="L913" s="86"/>
      <c r="M913" s="86">
        <v>0.17</v>
      </c>
      <c r="N913" s="84"/>
      <c r="O913" s="85" t="s">
        <v>19</v>
      </c>
      <c r="P913" s="81">
        <f t="shared" si="257"/>
        <v>0</v>
      </c>
      <c r="Q913" s="85" t="s">
        <v>19</v>
      </c>
      <c r="R913" s="16">
        <f t="shared" si="258"/>
        <v>0</v>
      </c>
      <c r="S913" s="16">
        <f t="shared" si="259"/>
        <v>0</v>
      </c>
    </row>
    <row r="915" spans="1:19">
      <c r="A915" s="59" t="s">
        <v>583</v>
      </c>
      <c r="B915" s="2" t="s">
        <v>584</v>
      </c>
      <c r="C915" s="3">
        <v>167</v>
      </c>
      <c r="D915" s="4" t="s">
        <v>40</v>
      </c>
      <c r="F915" s="6">
        <v>1</v>
      </c>
      <c r="G915" s="7" t="s">
        <v>20</v>
      </c>
      <c r="H915" s="6">
        <v>30</v>
      </c>
      <c r="I915" s="7" t="s">
        <v>40</v>
      </c>
      <c r="J915" s="8">
        <v>130000</v>
      </c>
      <c r="K915" s="4" t="s">
        <v>40</v>
      </c>
      <c r="L915" s="9">
        <v>0.17499999999999999</v>
      </c>
      <c r="M915" s="9">
        <v>0.03</v>
      </c>
      <c r="O915" s="7" t="s">
        <v>40</v>
      </c>
      <c r="P915" s="3">
        <f>(C915+(E915*F915*H915))-N915</f>
        <v>167</v>
      </c>
      <c r="Q915" s="7" t="s">
        <v>40</v>
      </c>
      <c r="R915" s="8">
        <f>P915*(J915-(J915*L915)-((J915-(J915*L915))*M915))</f>
        <v>17373427.5</v>
      </c>
      <c r="S915" s="8">
        <f t="shared" si="259"/>
        <v>15651736.486486485</v>
      </c>
    </row>
    <row r="916" spans="1:19">
      <c r="A916" s="59" t="s">
        <v>585</v>
      </c>
      <c r="B916" s="2" t="s">
        <v>584</v>
      </c>
      <c r="C916" s="3">
        <v>90</v>
      </c>
      <c r="D916" s="4" t="s">
        <v>40</v>
      </c>
      <c r="F916" s="6">
        <v>1</v>
      </c>
      <c r="G916" s="7" t="s">
        <v>20</v>
      </c>
      <c r="H916" s="6">
        <v>30</v>
      </c>
      <c r="I916" s="7" t="s">
        <v>40</v>
      </c>
      <c r="J916" s="8">
        <v>216000</v>
      </c>
      <c r="K916" s="4" t="s">
        <v>40</v>
      </c>
      <c r="M916" s="9">
        <v>0.15</v>
      </c>
      <c r="O916" s="7" t="s">
        <v>40</v>
      </c>
      <c r="P916" s="3">
        <f>(C916+(E916*F916*H916))-N916</f>
        <v>90</v>
      </c>
      <c r="Q916" s="7" t="s">
        <v>40</v>
      </c>
      <c r="R916" s="8">
        <f>P916*(J916-(J916*L916)-((J916-(J916*L916))*M916))</f>
        <v>16524000</v>
      </c>
      <c r="S916" s="8">
        <f t="shared" si="259"/>
        <v>14886486.486486485</v>
      </c>
    </row>
    <row r="917" spans="1:19" s="80" customFormat="1">
      <c r="A917" s="153" t="s">
        <v>586</v>
      </c>
      <c r="B917" s="80" t="s">
        <v>584</v>
      </c>
      <c r="C917" s="81"/>
      <c r="D917" s="82" t="s">
        <v>40</v>
      </c>
      <c r="E917" s="83"/>
      <c r="F917" s="84">
        <v>1</v>
      </c>
      <c r="G917" s="85" t="s">
        <v>20</v>
      </c>
      <c r="H917" s="84">
        <v>30</v>
      </c>
      <c r="I917" s="85" t="s">
        <v>40</v>
      </c>
      <c r="J917" s="16">
        <v>216000</v>
      </c>
      <c r="K917" s="82" t="s">
        <v>40</v>
      </c>
      <c r="L917" s="86"/>
      <c r="M917" s="86">
        <v>0.15</v>
      </c>
      <c r="N917" s="84"/>
      <c r="O917" s="85" t="s">
        <v>40</v>
      </c>
      <c r="P917" s="81">
        <f>(C917+(E917*F917*H917))-N917</f>
        <v>0</v>
      </c>
      <c r="Q917" s="85" t="s">
        <v>40</v>
      </c>
      <c r="R917" s="16">
        <f>P917*(J917-(J917*L917)-((J917-(J917*L917))*M917))</f>
        <v>0</v>
      </c>
      <c r="S917" s="16">
        <f t="shared" si="259"/>
        <v>0</v>
      </c>
    </row>
    <row r="918" spans="1:19" s="80" customFormat="1">
      <c r="A918" s="153" t="s">
        <v>587</v>
      </c>
      <c r="B918" s="80" t="s">
        <v>584</v>
      </c>
      <c r="C918" s="81"/>
      <c r="D918" s="82" t="s">
        <v>40</v>
      </c>
      <c r="E918" s="83"/>
      <c r="F918" s="84">
        <v>1</v>
      </c>
      <c r="G918" s="85" t="s">
        <v>20</v>
      </c>
      <c r="H918" s="84">
        <v>30</v>
      </c>
      <c r="I918" s="85" t="s">
        <v>40</v>
      </c>
      <c r="J918" s="16">
        <v>220000</v>
      </c>
      <c r="K918" s="82" t="s">
        <v>40</v>
      </c>
      <c r="L918" s="86"/>
      <c r="M918" s="86">
        <v>0.15</v>
      </c>
      <c r="N918" s="84"/>
      <c r="O918" s="85" t="s">
        <v>40</v>
      </c>
      <c r="P918" s="81">
        <f>(C918+(E918*F918*H918))-N918</f>
        <v>0</v>
      </c>
      <c r="Q918" s="85" t="s">
        <v>40</v>
      </c>
      <c r="R918" s="16">
        <f>P918*(J918-(J918*L918)-((J918-(J918*L918))*M918))</f>
        <v>0</v>
      </c>
      <c r="S918" s="16">
        <f t="shared" si="259"/>
        <v>0</v>
      </c>
    </row>
    <row r="919" spans="1:19">
      <c r="A919" s="59" t="s">
        <v>588</v>
      </c>
      <c r="B919" s="2" t="s">
        <v>584</v>
      </c>
      <c r="C919" s="3">
        <v>40</v>
      </c>
      <c r="D919" s="4" t="s">
        <v>40</v>
      </c>
      <c r="F919" s="6">
        <v>1</v>
      </c>
      <c r="G919" s="7" t="s">
        <v>20</v>
      </c>
      <c r="H919" s="6">
        <v>20</v>
      </c>
      <c r="I919" s="7" t="s">
        <v>40</v>
      </c>
      <c r="J919" s="8">
        <v>285600</v>
      </c>
      <c r="K919" s="4" t="s">
        <v>40</v>
      </c>
      <c r="L919" s="9">
        <v>0.17499999999999999</v>
      </c>
      <c r="M919" s="9">
        <v>0.03</v>
      </c>
      <c r="O919" s="7" t="s">
        <v>40</v>
      </c>
      <c r="P919" s="3">
        <f>(C919+(E919*F919*H919))-N919</f>
        <v>40</v>
      </c>
      <c r="Q919" s="7" t="s">
        <v>40</v>
      </c>
      <c r="R919" s="8">
        <f>P919*(J919-(J919*L919)-((J919-(J919*L919))*M919))</f>
        <v>9142056</v>
      </c>
      <c r="S919" s="8">
        <f t="shared" si="259"/>
        <v>8236086.4864864862</v>
      </c>
    </row>
    <row r="920" spans="1:19">
      <c r="A920" s="59"/>
    </row>
    <row r="921" spans="1:19">
      <c r="A921" s="59" t="s">
        <v>589</v>
      </c>
      <c r="B921" s="19" t="s">
        <v>182</v>
      </c>
      <c r="C921" s="3">
        <v>72</v>
      </c>
      <c r="D921" s="4" t="s">
        <v>40</v>
      </c>
      <c r="F921" s="6">
        <v>1</v>
      </c>
      <c r="G921" s="7" t="s">
        <v>20</v>
      </c>
      <c r="H921" s="6">
        <v>5</v>
      </c>
      <c r="I921" s="7" t="s">
        <v>40</v>
      </c>
      <c r="J921" s="8">
        <v>250000</v>
      </c>
      <c r="K921" s="4" t="s">
        <v>40</v>
      </c>
      <c r="O921" s="67" t="s">
        <v>40</v>
      </c>
      <c r="P921" s="3">
        <f>(C921+(E921*F921*H921))-N921</f>
        <v>72</v>
      </c>
      <c r="Q921" s="7" t="s">
        <v>40</v>
      </c>
      <c r="R921" s="8">
        <f>P921*(J921-(J921*L921)-((J921-(J921*L921))*M921))</f>
        <v>18000000</v>
      </c>
      <c r="S921" s="8">
        <f t="shared" si="259"/>
        <v>16216216.216216214</v>
      </c>
    </row>
    <row r="922" spans="1:19">
      <c r="A922" s="59"/>
      <c r="B922" s="19"/>
      <c r="O922" s="67"/>
    </row>
    <row r="923" spans="1:19">
      <c r="A923" s="15" t="s">
        <v>590</v>
      </c>
    </row>
    <row r="924" spans="1:19" s="19" customFormat="1">
      <c r="A924" s="18" t="s">
        <v>592</v>
      </c>
      <c r="B924" s="19" t="s">
        <v>584</v>
      </c>
      <c r="C924" s="20">
        <v>3324</v>
      </c>
      <c r="D924" s="21" t="s">
        <v>99</v>
      </c>
      <c r="E924" s="26">
        <v>30</v>
      </c>
      <c r="F924" s="22">
        <v>1</v>
      </c>
      <c r="G924" s="23" t="s">
        <v>20</v>
      </c>
      <c r="H924" s="22">
        <v>100</v>
      </c>
      <c r="I924" s="23" t="s">
        <v>99</v>
      </c>
      <c r="J924" s="24">
        <v>14000</v>
      </c>
      <c r="K924" s="21" t="s">
        <v>99</v>
      </c>
      <c r="L924" s="25">
        <v>0.1</v>
      </c>
      <c r="M924" s="25"/>
      <c r="N924" s="22"/>
      <c r="O924" s="23" t="s">
        <v>99</v>
      </c>
      <c r="P924" s="20">
        <f>(C924+(E924*F924*H924))-N924</f>
        <v>6324</v>
      </c>
      <c r="Q924" s="23" t="s">
        <v>99</v>
      </c>
      <c r="R924" s="24">
        <f>P924*(J924-(J924*L924)-((J924-(J924*L924))*M924))</f>
        <v>79682400</v>
      </c>
      <c r="S924" s="24">
        <f t="shared" ref="S924:S1024" si="260">R924/1.11</f>
        <v>71785945.945945933</v>
      </c>
    </row>
    <row r="925" spans="1:19" s="19" customFormat="1">
      <c r="A925" s="18" t="s">
        <v>593</v>
      </c>
      <c r="B925" s="19" t="s">
        <v>584</v>
      </c>
      <c r="C925" s="20">
        <v>834</v>
      </c>
      <c r="D925" s="21" t="s">
        <v>99</v>
      </c>
      <c r="E925" s="26">
        <v>10</v>
      </c>
      <c r="F925" s="22">
        <v>1</v>
      </c>
      <c r="G925" s="23" t="s">
        <v>20</v>
      </c>
      <c r="H925" s="22">
        <v>50</v>
      </c>
      <c r="I925" s="23" t="s">
        <v>99</v>
      </c>
      <c r="J925" s="24">
        <v>24000</v>
      </c>
      <c r="K925" s="21" t="s">
        <v>99</v>
      </c>
      <c r="L925" s="25"/>
      <c r="M925" s="25"/>
      <c r="N925" s="22"/>
      <c r="O925" s="23" t="s">
        <v>99</v>
      </c>
      <c r="P925" s="20">
        <f>(C925+(E925*F925*H925))-N925</f>
        <v>1334</v>
      </c>
      <c r="Q925" s="23" t="s">
        <v>99</v>
      </c>
      <c r="R925" s="24">
        <f>P925*(J925-(J925*L925)-((J925-(J925*L925))*M925))</f>
        <v>32016000</v>
      </c>
      <c r="S925" s="24">
        <f t="shared" si="260"/>
        <v>28843243.24324324</v>
      </c>
    </row>
    <row r="926" spans="1:19" s="19" customFormat="1">
      <c r="A926" s="18"/>
      <c r="C926" s="20"/>
      <c r="D926" s="21"/>
      <c r="E926" s="26"/>
      <c r="F926" s="22"/>
      <c r="G926" s="23"/>
      <c r="H926" s="22"/>
      <c r="I926" s="23"/>
      <c r="J926" s="24"/>
      <c r="K926" s="21"/>
      <c r="L926" s="25"/>
      <c r="M926" s="25"/>
      <c r="N926" s="22"/>
      <c r="O926" s="23"/>
      <c r="P926" s="20"/>
      <c r="Q926" s="23"/>
      <c r="R926" s="24"/>
      <c r="S926" s="24"/>
    </row>
    <row r="927" spans="1:19">
      <c r="A927" s="17" t="s">
        <v>591</v>
      </c>
      <c r="B927" s="2" t="s">
        <v>18</v>
      </c>
      <c r="C927" s="3">
        <v>32</v>
      </c>
      <c r="D927" s="4" t="s">
        <v>33</v>
      </c>
      <c r="F927" s="6">
        <v>1</v>
      </c>
      <c r="G927" s="7" t="s">
        <v>20</v>
      </c>
      <c r="H927" s="6">
        <v>50</v>
      </c>
      <c r="I927" s="7" t="s">
        <v>33</v>
      </c>
      <c r="J927" s="8">
        <v>28000</v>
      </c>
      <c r="K927" s="4" t="s">
        <v>33</v>
      </c>
      <c r="L927" s="9">
        <v>0.125</v>
      </c>
      <c r="M927" s="9">
        <v>0.05</v>
      </c>
      <c r="O927" s="7" t="s">
        <v>33</v>
      </c>
      <c r="P927" s="3">
        <f>(C927+(E927*F927*H927))-N927</f>
        <v>32</v>
      </c>
      <c r="Q927" s="7" t="s">
        <v>33</v>
      </c>
      <c r="R927" s="8">
        <f>P927*(J927-(J927*L927)-((J927-(J927*L927))*M927))</f>
        <v>744800</v>
      </c>
      <c r="S927" s="8">
        <f>R927/1.11</f>
        <v>670990.99099099089</v>
      </c>
    </row>
    <row r="929" spans="1:19" s="80" customFormat="1">
      <c r="A929" s="147" t="s">
        <v>594</v>
      </c>
      <c r="B929" s="80" t="s">
        <v>25</v>
      </c>
      <c r="C929" s="81"/>
      <c r="D929" s="82" t="s">
        <v>33</v>
      </c>
      <c r="E929" s="83"/>
      <c r="F929" s="84">
        <v>40</v>
      </c>
      <c r="G929" s="85" t="s">
        <v>99</v>
      </c>
      <c r="H929" s="84">
        <v>20</v>
      </c>
      <c r="I929" s="85" t="s">
        <v>33</v>
      </c>
      <c r="J929" s="16">
        <f>840000/40/20</f>
        <v>1050</v>
      </c>
      <c r="K929" s="82" t="s">
        <v>33</v>
      </c>
      <c r="L929" s="86"/>
      <c r="M929" s="86">
        <v>0.17</v>
      </c>
      <c r="N929" s="84"/>
      <c r="O929" s="85" t="s">
        <v>33</v>
      </c>
      <c r="P929" s="81">
        <f>(C929+(E929*F929*H929))-N929</f>
        <v>0</v>
      </c>
      <c r="Q929" s="85" t="s">
        <v>33</v>
      </c>
      <c r="R929" s="16">
        <f>P929*(J929-(J929*L929)-((J929-(J929*L929))*M929))</f>
        <v>0</v>
      </c>
      <c r="S929" s="16">
        <f t="shared" si="260"/>
        <v>0</v>
      </c>
    </row>
    <row r="930" spans="1:19" s="19" customFormat="1">
      <c r="A930" s="56" t="s">
        <v>595</v>
      </c>
      <c r="B930" s="19" t="s">
        <v>25</v>
      </c>
      <c r="C930" s="20">
        <v>10</v>
      </c>
      <c r="D930" s="21" t="s">
        <v>99</v>
      </c>
      <c r="E930" s="26">
        <v>15</v>
      </c>
      <c r="F930" s="22">
        <v>1</v>
      </c>
      <c r="G930" s="23" t="s">
        <v>20</v>
      </c>
      <c r="H930" s="22">
        <v>20</v>
      </c>
      <c r="I930" s="23" t="s">
        <v>99</v>
      </c>
      <c r="J930" s="24">
        <f>840000/20</f>
        <v>42000</v>
      </c>
      <c r="K930" s="21" t="s">
        <v>99</v>
      </c>
      <c r="L930" s="25"/>
      <c r="M930" s="25">
        <v>0.17</v>
      </c>
      <c r="N930" s="22"/>
      <c r="O930" s="23" t="s">
        <v>99</v>
      </c>
      <c r="P930" s="20">
        <f>(C930+(E930*F930*H930))-N930</f>
        <v>310</v>
      </c>
      <c r="Q930" s="23" t="s">
        <v>99</v>
      </c>
      <c r="R930" s="24">
        <f>P930*(J930-(J930*L930)-((J930-(J930*L930))*M930))</f>
        <v>10806600</v>
      </c>
      <c r="S930" s="24">
        <f t="shared" si="260"/>
        <v>9735675.6756756753</v>
      </c>
    </row>
    <row r="931" spans="1:19" s="17" customFormat="1">
      <c r="A931" s="18" t="s">
        <v>596</v>
      </c>
      <c r="B931" s="17" t="s">
        <v>25</v>
      </c>
      <c r="C931" s="60">
        <v>75</v>
      </c>
      <c r="D931" s="61" t="s">
        <v>99</v>
      </c>
      <c r="E931" s="41"/>
      <c r="F931" s="62">
        <v>1</v>
      </c>
      <c r="G931" s="63" t="s">
        <v>20</v>
      </c>
      <c r="H931" s="62">
        <v>15</v>
      </c>
      <c r="I931" s="63" t="s">
        <v>99</v>
      </c>
      <c r="J931" s="64">
        <f>525000/15</f>
        <v>35000</v>
      </c>
      <c r="K931" s="61" t="s">
        <v>99</v>
      </c>
      <c r="L931" s="65"/>
      <c r="M931" s="65">
        <v>0.17</v>
      </c>
      <c r="N931" s="62"/>
      <c r="O931" s="63" t="s">
        <v>99</v>
      </c>
      <c r="P931" s="60">
        <f>(C931+(E931*F931*H931))-N931</f>
        <v>75</v>
      </c>
      <c r="Q931" s="63" t="s">
        <v>99</v>
      </c>
      <c r="R931" s="64">
        <f>P931*(J931-(J931*L931)-((J931-(J931*L931))*M931))</f>
        <v>2178750</v>
      </c>
      <c r="S931" s="64">
        <f t="shared" si="260"/>
        <v>1962837.8378378376</v>
      </c>
    </row>
    <row r="932" spans="1:19" s="17" customFormat="1">
      <c r="A932" s="18"/>
      <c r="C932" s="60"/>
      <c r="D932" s="61"/>
      <c r="E932" s="41"/>
      <c r="F932" s="62"/>
      <c r="G932" s="63"/>
      <c r="H932" s="62"/>
      <c r="I932" s="63"/>
      <c r="J932" s="64"/>
      <c r="K932" s="61"/>
      <c r="L932" s="65"/>
      <c r="M932" s="65"/>
      <c r="N932" s="62"/>
      <c r="O932" s="63"/>
      <c r="P932" s="60"/>
      <c r="Q932" s="63"/>
      <c r="R932" s="64"/>
      <c r="S932" s="64"/>
    </row>
    <row r="933" spans="1:19" s="19" customFormat="1">
      <c r="A933" s="56" t="s">
        <v>804</v>
      </c>
      <c r="B933" s="19" t="s">
        <v>598</v>
      </c>
      <c r="C933" s="20">
        <v>900</v>
      </c>
      <c r="D933" s="21" t="s">
        <v>33</v>
      </c>
      <c r="E933" s="26">
        <v>3</v>
      </c>
      <c r="F933" s="22">
        <v>1</v>
      </c>
      <c r="G933" s="23" t="s">
        <v>20</v>
      </c>
      <c r="H933" s="22">
        <v>500</v>
      </c>
      <c r="I933" s="23" t="s">
        <v>33</v>
      </c>
      <c r="J933" s="24">
        <v>3000</v>
      </c>
      <c r="K933" s="21" t="s">
        <v>33</v>
      </c>
      <c r="L933" s="25">
        <v>0.17499999999999999</v>
      </c>
      <c r="M933" s="25"/>
      <c r="N933" s="22"/>
      <c r="O933" s="23" t="s">
        <v>33</v>
      </c>
      <c r="P933" s="20">
        <f>(C933+(E933*F933*H933))-N933</f>
        <v>2400</v>
      </c>
      <c r="Q933" s="23" t="s">
        <v>33</v>
      </c>
      <c r="R933" s="24">
        <f>P933*(J933-(J933*L933)-((J933-(J933*L933))*M933))</f>
        <v>5940000</v>
      </c>
      <c r="S933" s="8">
        <f t="shared" ref="S933" si="261">R933/1.11</f>
        <v>5351351.3513513505</v>
      </c>
    </row>
    <row r="934" spans="1:19" s="19" customFormat="1">
      <c r="A934" s="56" t="s">
        <v>597</v>
      </c>
      <c r="B934" s="19" t="s">
        <v>598</v>
      </c>
      <c r="C934" s="20">
        <v>991</v>
      </c>
      <c r="D934" s="21" t="s">
        <v>33</v>
      </c>
      <c r="E934" s="26"/>
      <c r="F934" s="22">
        <v>1</v>
      </c>
      <c r="G934" s="23" t="s">
        <v>20</v>
      </c>
      <c r="H934" s="22">
        <v>200</v>
      </c>
      <c r="I934" s="23" t="s">
        <v>33</v>
      </c>
      <c r="J934" s="24">
        <v>11500</v>
      </c>
      <c r="K934" s="21" t="s">
        <v>33</v>
      </c>
      <c r="L934" s="25">
        <v>0.17499999999999999</v>
      </c>
      <c r="M934" s="25"/>
      <c r="N934" s="22"/>
      <c r="O934" s="23" t="s">
        <v>33</v>
      </c>
      <c r="P934" s="20">
        <f>(C934+(E934*F934*H934))-N934</f>
        <v>991</v>
      </c>
      <c r="Q934" s="23" t="s">
        <v>33</v>
      </c>
      <c r="R934" s="24">
        <f>P934*(J934-(J934*L934)-((J934-(J934*L934))*M934))</f>
        <v>9402112.5</v>
      </c>
      <c r="S934" s="8">
        <f t="shared" si="260"/>
        <v>8470371.6216216218</v>
      </c>
    </row>
    <row r="935" spans="1:19" s="19" customFormat="1">
      <c r="A935" s="56" t="s">
        <v>662</v>
      </c>
      <c r="B935" s="19" t="s">
        <v>598</v>
      </c>
      <c r="C935" s="20">
        <v>340</v>
      </c>
      <c r="D935" s="21" t="s">
        <v>33</v>
      </c>
      <c r="E935" s="26"/>
      <c r="F935" s="22">
        <v>1</v>
      </c>
      <c r="G935" s="23" t="s">
        <v>20</v>
      </c>
      <c r="H935" s="22">
        <v>200</v>
      </c>
      <c r="I935" s="23" t="s">
        <v>33</v>
      </c>
      <c r="J935" s="24">
        <v>13800</v>
      </c>
      <c r="K935" s="21" t="s">
        <v>33</v>
      </c>
      <c r="L935" s="25">
        <v>0.17499999999999999</v>
      </c>
      <c r="M935" s="25">
        <v>0.03</v>
      </c>
      <c r="N935" s="22"/>
      <c r="O935" s="23" t="s">
        <v>33</v>
      </c>
      <c r="P935" s="20">
        <f>(C935+(E935*F935*H935))-N935</f>
        <v>340</v>
      </c>
      <c r="Q935" s="23" t="s">
        <v>33</v>
      </c>
      <c r="R935" s="24">
        <f>P935*(J935-(J935*L935)-((J935-(J935*L935))*M935))</f>
        <v>3754773.0000000005</v>
      </c>
      <c r="S935" s="8">
        <f t="shared" si="260"/>
        <v>3382678.3783783787</v>
      </c>
    </row>
    <row r="936" spans="1:19">
      <c r="A936" s="59"/>
      <c r="B936" s="19"/>
      <c r="O936" s="67"/>
    </row>
    <row r="937" spans="1:19">
      <c r="A937" s="15" t="s">
        <v>738</v>
      </c>
    </row>
    <row r="938" spans="1:19" s="89" customFormat="1">
      <c r="A938" s="88" t="s">
        <v>739</v>
      </c>
      <c r="B938" s="89" t="s">
        <v>584</v>
      </c>
      <c r="C938" s="87"/>
      <c r="D938" s="90" t="s">
        <v>40</v>
      </c>
      <c r="E938" s="91"/>
      <c r="F938" s="92">
        <v>1</v>
      </c>
      <c r="G938" s="93" t="s">
        <v>20</v>
      </c>
      <c r="H938" s="92">
        <v>30</v>
      </c>
      <c r="I938" s="93" t="s">
        <v>40</v>
      </c>
      <c r="J938" s="94">
        <v>102000</v>
      </c>
      <c r="K938" s="90" t="s">
        <v>40</v>
      </c>
      <c r="L938" s="95">
        <v>0.17499999999999999</v>
      </c>
      <c r="M938" s="95">
        <v>0.03</v>
      </c>
      <c r="N938" s="92"/>
      <c r="O938" s="93" t="s">
        <v>40</v>
      </c>
      <c r="P938" s="87">
        <f>(C938+(E938*F938*H938))-N938</f>
        <v>0</v>
      </c>
      <c r="Q938" s="93" t="s">
        <v>40</v>
      </c>
      <c r="R938" s="94">
        <f>P938*(J938-(J938*L938)-((J938-(J938*L938))*M938))</f>
        <v>0</v>
      </c>
      <c r="S938" s="94">
        <f t="shared" ref="S938" si="262">R938/1.11</f>
        <v>0</v>
      </c>
    </row>
    <row r="940" spans="1:19" ht="15.75">
      <c r="A940" s="14" t="s">
        <v>599</v>
      </c>
    </row>
    <row r="941" spans="1:19">
      <c r="A941" s="49" t="s">
        <v>600</v>
      </c>
      <c r="B941" s="2" t="s">
        <v>172</v>
      </c>
      <c r="C941" s="3">
        <v>383</v>
      </c>
      <c r="D941" s="4" t="s">
        <v>99</v>
      </c>
      <c r="F941" s="6">
        <v>1</v>
      </c>
      <c r="G941" s="7" t="s">
        <v>20</v>
      </c>
      <c r="H941" s="6">
        <v>60</v>
      </c>
      <c r="I941" s="7" t="s">
        <v>99</v>
      </c>
      <c r="J941" s="8">
        <v>8600</v>
      </c>
      <c r="K941" s="4" t="s">
        <v>99</v>
      </c>
      <c r="L941" s="9">
        <v>0.05</v>
      </c>
      <c r="O941" s="7" t="s">
        <v>99</v>
      </c>
      <c r="P941" s="3">
        <f>(C941+(E941*F941*H941))-N941</f>
        <v>383</v>
      </c>
      <c r="Q941" s="7" t="s">
        <v>99</v>
      </c>
      <c r="R941" s="8">
        <f>P941*(J941-(J941*L941)-((J941-(J941*L941))*M941))</f>
        <v>3129110</v>
      </c>
      <c r="S941" s="8">
        <f t="shared" si="260"/>
        <v>2819018.018018018</v>
      </c>
    </row>
    <row r="942" spans="1:19">
      <c r="A942" s="49"/>
    </row>
    <row r="943" spans="1:19" s="80" customFormat="1">
      <c r="A943" s="145" t="s">
        <v>605</v>
      </c>
      <c r="B943" s="80" t="s">
        <v>18</v>
      </c>
      <c r="C943" s="81"/>
      <c r="D943" s="82" t="s">
        <v>33</v>
      </c>
      <c r="E943" s="83"/>
      <c r="F943" s="84">
        <v>1</v>
      </c>
      <c r="G943" s="85" t="s">
        <v>20</v>
      </c>
      <c r="H943" s="84">
        <v>50</v>
      </c>
      <c r="I943" s="85" t="s">
        <v>33</v>
      </c>
      <c r="J943" s="16">
        <v>32300</v>
      </c>
      <c r="K943" s="82" t="s">
        <v>33</v>
      </c>
      <c r="L943" s="86">
        <v>0.125</v>
      </c>
      <c r="M943" s="86">
        <v>0.05</v>
      </c>
      <c r="N943" s="84"/>
      <c r="O943" s="85" t="s">
        <v>33</v>
      </c>
      <c r="P943" s="81">
        <f t="shared" ref="P943:P954" si="263">(C943+(E943*F943*H943))-N943</f>
        <v>0</v>
      </c>
      <c r="Q943" s="85" t="s">
        <v>33</v>
      </c>
      <c r="R943" s="16">
        <f t="shared" ref="R943:R954" si="264">P943*(J943-(J943*L943)-((J943-(J943*L943))*M943))</f>
        <v>0</v>
      </c>
      <c r="S943" s="16">
        <f>R943/1.11</f>
        <v>0</v>
      </c>
    </row>
    <row r="944" spans="1:19" s="80" customFormat="1">
      <c r="A944" s="145" t="s">
        <v>606</v>
      </c>
      <c r="B944" s="80" t="s">
        <v>18</v>
      </c>
      <c r="C944" s="81"/>
      <c r="D944" s="82" t="s">
        <v>33</v>
      </c>
      <c r="E944" s="83"/>
      <c r="F944" s="84">
        <v>1</v>
      </c>
      <c r="G944" s="85" t="s">
        <v>20</v>
      </c>
      <c r="H944" s="84">
        <v>50</v>
      </c>
      <c r="I944" s="85" t="s">
        <v>33</v>
      </c>
      <c r="J944" s="16">
        <v>12000</v>
      </c>
      <c r="K944" s="82" t="s">
        <v>33</v>
      </c>
      <c r="L944" s="86">
        <v>0.125</v>
      </c>
      <c r="M944" s="86">
        <v>0.05</v>
      </c>
      <c r="N944" s="84"/>
      <c r="O944" s="85" t="s">
        <v>33</v>
      </c>
      <c r="P944" s="81">
        <f t="shared" si="263"/>
        <v>0</v>
      </c>
      <c r="Q944" s="85" t="s">
        <v>33</v>
      </c>
      <c r="R944" s="16">
        <f t="shared" si="264"/>
        <v>0</v>
      </c>
      <c r="S944" s="16">
        <f>R944/1.11</f>
        <v>0</v>
      </c>
    </row>
    <row r="945" spans="1:19">
      <c r="A945" s="49" t="s">
        <v>724</v>
      </c>
      <c r="B945" s="2" t="s">
        <v>18</v>
      </c>
      <c r="C945" s="3">
        <v>100</v>
      </c>
      <c r="D945" s="4" t="s">
        <v>33</v>
      </c>
      <c r="F945" s="6">
        <v>1</v>
      </c>
      <c r="G945" s="7" t="s">
        <v>20</v>
      </c>
      <c r="H945" s="6">
        <v>50</v>
      </c>
      <c r="I945" s="7" t="s">
        <v>33</v>
      </c>
      <c r="J945" s="8">
        <v>29100</v>
      </c>
      <c r="K945" s="4" t="s">
        <v>33</v>
      </c>
      <c r="L945" s="9">
        <v>0.125</v>
      </c>
      <c r="M945" s="9">
        <v>0.05</v>
      </c>
      <c r="O945" s="7" t="s">
        <v>33</v>
      </c>
      <c r="P945" s="3">
        <f t="shared" si="263"/>
        <v>100</v>
      </c>
      <c r="Q945" s="7" t="s">
        <v>33</v>
      </c>
      <c r="R945" s="8">
        <f t="shared" si="264"/>
        <v>2418937.5</v>
      </c>
      <c r="S945" s="8">
        <f>R945/1.11</f>
        <v>2179222.9729729728</v>
      </c>
    </row>
    <row r="946" spans="1:19" s="80" customFormat="1">
      <c r="A946" s="145" t="s">
        <v>607</v>
      </c>
      <c r="B946" s="80" t="s">
        <v>18</v>
      </c>
      <c r="C946" s="81"/>
      <c r="D946" s="82" t="s">
        <v>33</v>
      </c>
      <c r="E946" s="83"/>
      <c r="F946" s="84">
        <v>1</v>
      </c>
      <c r="G946" s="85" t="s">
        <v>20</v>
      </c>
      <c r="H946" s="84">
        <v>50</v>
      </c>
      <c r="I946" s="85" t="s">
        <v>33</v>
      </c>
      <c r="J946" s="16">
        <v>36200</v>
      </c>
      <c r="K946" s="82" t="s">
        <v>33</v>
      </c>
      <c r="L946" s="86">
        <v>0.125</v>
      </c>
      <c r="M946" s="86">
        <v>0.05</v>
      </c>
      <c r="N946" s="84"/>
      <c r="O946" s="85" t="s">
        <v>33</v>
      </c>
      <c r="P946" s="81">
        <f t="shared" si="263"/>
        <v>0</v>
      </c>
      <c r="Q946" s="85" t="s">
        <v>33</v>
      </c>
      <c r="R946" s="16">
        <f t="shared" si="264"/>
        <v>0</v>
      </c>
      <c r="S946" s="16">
        <f>R946/1.11</f>
        <v>0</v>
      </c>
    </row>
    <row r="947" spans="1:19" s="19" customFormat="1">
      <c r="A947" s="49" t="s">
        <v>601</v>
      </c>
      <c r="B947" s="19" t="s">
        <v>18</v>
      </c>
      <c r="C947" s="20">
        <v>93</v>
      </c>
      <c r="D947" s="21" t="s">
        <v>33</v>
      </c>
      <c r="E947" s="26">
        <v>40</v>
      </c>
      <c r="F947" s="22">
        <v>1</v>
      </c>
      <c r="G947" s="23" t="s">
        <v>20</v>
      </c>
      <c r="H947" s="22">
        <v>50</v>
      </c>
      <c r="I947" s="23" t="s">
        <v>33</v>
      </c>
      <c r="J947" s="24">
        <v>34100</v>
      </c>
      <c r="K947" s="21" t="s">
        <v>33</v>
      </c>
      <c r="L947" s="25">
        <v>0.125</v>
      </c>
      <c r="M947" s="25">
        <v>0.05</v>
      </c>
      <c r="N947" s="22"/>
      <c r="O947" s="23" t="s">
        <v>33</v>
      </c>
      <c r="P947" s="20">
        <f t="shared" si="263"/>
        <v>2093</v>
      </c>
      <c r="Q947" s="23" t="s">
        <v>33</v>
      </c>
      <c r="R947" s="24">
        <f t="shared" si="264"/>
        <v>59327393.125</v>
      </c>
      <c r="S947" s="8">
        <f t="shared" si="260"/>
        <v>53448101.914414413</v>
      </c>
    </row>
    <row r="948" spans="1:19" s="19" customFormat="1">
      <c r="A948" s="18" t="s">
        <v>602</v>
      </c>
      <c r="B948" s="19" t="s">
        <v>18</v>
      </c>
      <c r="C948" s="20">
        <v>100</v>
      </c>
      <c r="D948" s="21" t="s">
        <v>33</v>
      </c>
      <c r="E948" s="26">
        <v>9</v>
      </c>
      <c r="F948" s="22">
        <v>1</v>
      </c>
      <c r="G948" s="23" t="s">
        <v>20</v>
      </c>
      <c r="H948" s="22">
        <v>50</v>
      </c>
      <c r="I948" s="23" t="s">
        <v>33</v>
      </c>
      <c r="J948" s="24">
        <v>34100</v>
      </c>
      <c r="K948" s="21" t="s">
        <v>33</v>
      </c>
      <c r="L948" s="25">
        <v>0.125</v>
      </c>
      <c r="M948" s="25">
        <v>0.05</v>
      </c>
      <c r="N948" s="22"/>
      <c r="O948" s="23" t="s">
        <v>33</v>
      </c>
      <c r="P948" s="20">
        <f t="shared" si="263"/>
        <v>550</v>
      </c>
      <c r="Q948" s="23" t="s">
        <v>33</v>
      </c>
      <c r="R948" s="24">
        <f t="shared" si="264"/>
        <v>15590093.75</v>
      </c>
      <c r="S948" s="24">
        <f t="shared" si="260"/>
        <v>14045129.504504504</v>
      </c>
    </row>
    <row r="949" spans="1:19" s="19" customFormat="1">
      <c r="A949" s="18" t="s">
        <v>603</v>
      </c>
      <c r="B949" s="19" t="s">
        <v>18</v>
      </c>
      <c r="C949" s="20">
        <v>13</v>
      </c>
      <c r="D949" s="21" t="s">
        <v>33</v>
      </c>
      <c r="E949" s="26">
        <v>2</v>
      </c>
      <c r="F949" s="22">
        <v>1</v>
      </c>
      <c r="G949" s="23"/>
      <c r="H949" s="22">
        <v>50</v>
      </c>
      <c r="I949" s="23" t="s">
        <v>33</v>
      </c>
      <c r="J949" s="24">
        <v>32000</v>
      </c>
      <c r="K949" s="21" t="s">
        <v>33</v>
      </c>
      <c r="L949" s="25">
        <v>0.125</v>
      </c>
      <c r="M949" s="25">
        <v>0.05</v>
      </c>
      <c r="N949" s="22"/>
      <c r="O949" s="23" t="s">
        <v>33</v>
      </c>
      <c r="P949" s="20">
        <f t="shared" si="263"/>
        <v>113</v>
      </c>
      <c r="Q949" s="23" t="s">
        <v>33</v>
      </c>
      <c r="R949" s="24">
        <f t="shared" si="264"/>
        <v>3005800</v>
      </c>
      <c r="S949" s="24">
        <f t="shared" si="260"/>
        <v>2707927.9279279276</v>
      </c>
    </row>
    <row r="950" spans="1:19" s="106" customFormat="1">
      <c r="A950" s="162" t="s">
        <v>604</v>
      </c>
      <c r="B950" s="106" t="s">
        <v>18</v>
      </c>
      <c r="C950" s="107"/>
      <c r="D950" s="108" t="s">
        <v>33</v>
      </c>
      <c r="E950" s="109">
        <v>13</v>
      </c>
      <c r="F950" s="110">
        <v>1</v>
      </c>
      <c r="G950" s="111" t="s">
        <v>20</v>
      </c>
      <c r="H950" s="110">
        <v>50</v>
      </c>
      <c r="I950" s="111" t="s">
        <v>33</v>
      </c>
      <c r="J950" s="112">
        <v>32000</v>
      </c>
      <c r="K950" s="108" t="s">
        <v>33</v>
      </c>
      <c r="L950" s="113">
        <v>0.125</v>
      </c>
      <c r="M950" s="113">
        <v>0.05</v>
      </c>
      <c r="N950" s="110"/>
      <c r="O950" s="111" t="s">
        <v>33</v>
      </c>
      <c r="P950" s="107">
        <f t="shared" si="263"/>
        <v>650</v>
      </c>
      <c r="Q950" s="111" t="s">
        <v>33</v>
      </c>
      <c r="R950" s="112">
        <f t="shared" si="264"/>
        <v>17290000</v>
      </c>
      <c r="S950" s="104">
        <f t="shared" si="260"/>
        <v>15576576.576576576</v>
      </c>
    </row>
    <row r="951" spans="1:19" s="19" customFormat="1">
      <c r="A951" s="49" t="s">
        <v>608</v>
      </c>
      <c r="B951" s="19" t="s">
        <v>18</v>
      </c>
      <c r="C951" s="20">
        <v>617</v>
      </c>
      <c r="D951" s="21" t="s">
        <v>33</v>
      </c>
      <c r="E951" s="26">
        <v>31</v>
      </c>
      <c r="F951" s="22">
        <v>1</v>
      </c>
      <c r="G951" s="23" t="s">
        <v>20</v>
      </c>
      <c r="H951" s="22">
        <v>50</v>
      </c>
      <c r="I951" s="23" t="s">
        <v>33</v>
      </c>
      <c r="J951" s="24">
        <v>28300</v>
      </c>
      <c r="K951" s="21" t="s">
        <v>33</v>
      </c>
      <c r="L951" s="25">
        <v>0.125</v>
      </c>
      <c r="M951" s="25">
        <v>0.05</v>
      </c>
      <c r="N951" s="22"/>
      <c r="O951" s="23" t="s">
        <v>33</v>
      </c>
      <c r="P951" s="20">
        <f t="shared" si="263"/>
        <v>2167</v>
      </c>
      <c r="Q951" s="23" t="s">
        <v>33</v>
      </c>
      <c r="R951" s="24">
        <f t="shared" si="264"/>
        <v>50977320.625</v>
      </c>
      <c r="S951" s="24">
        <f t="shared" si="260"/>
        <v>45925514.076576576</v>
      </c>
    </row>
    <row r="952" spans="1:19" s="19" customFormat="1">
      <c r="A952" s="49" t="s">
        <v>609</v>
      </c>
      <c r="B952" s="19" t="s">
        <v>18</v>
      </c>
      <c r="C952" s="20">
        <v>50</v>
      </c>
      <c r="D952" s="21" t="s">
        <v>33</v>
      </c>
      <c r="E952" s="26">
        <v>14</v>
      </c>
      <c r="F952" s="22">
        <v>1</v>
      </c>
      <c r="G952" s="23" t="s">
        <v>20</v>
      </c>
      <c r="H952" s="22">
        <v>50</v>
      </c>
      <c r="I952" s="23" t="s">
        <v>33</v>
      </c>
      <c r="J952" s="24">
        <v>28300</v>
      </c>
      <c r="K952" s="21" t="s">
        <v>33</v>
      </c>
      <c r="L952" s="25">
        <v>0.125</v>
      </c>
      <c r="M952" s="25">
        <v>0.05</v>
      </c>
      <c r="N952" s="22"/>
      <c r="O952" s="23" t="s">
        <v>33</v>
      </c>
      <c r="P952" s="20">
        <f t="shared" si="263"/>
        <v>750</v>
      </c>
      <c r="Q952" s="23" t="s">
        <v>33</v>
      </c>
      <c r="R952" s="24">
        <f t="shared" si="264"/>
        <v>17643281.25</v>
      </c>
      <c r="S952" s="24">
        <f t="shared" si="260"/>
        <v>15894847.972972972</v>
      </c>
    </row>
    <row r="953" spans="1:19" s="96" customFormat="1">
      <c r="A953" s="162" t="s">
        <v>610</v>
      </c>
      <c r="B953" s="96" t="s">
        <v>18</v>
      </c>
      <c r="C953" s="99"/>
      <c r="D953" s="100" t="s">
        <v>33</v>
      </c>
      <c r="E953" s="101">
        <v>1</v>
      </c>
      <c r="F953" s="102">
        <v>1</v>
      </c>
      <c r="G953" s="103" t="s">
        <v>20</v>
      </c>
      <c r="H953" s="102">
        <v>50</v>
      </c>
      <c r="I953" s="103" t="s">
        <v>33</v>
      </c>
      <c r="J953" s="104">
        <v>28600</v>
      </c>
      <c r="K953" s="100" t="s">
        <v>33</v>
      </c>
      <c r="L953" s="105">
        <v>0.125</v>
      </c>
      <c r="M953" s="105">
        <v>0.05</v>
      </c>
      <c r="N953" s="102"/>
      <c r="O953" s="103" t="s">
        <v>33</v>
      </c>
      <c r="P953" s="99">
        <f t="shared" ref="P953" si="265">(C953+(E953*F953*H953))-N953</f>
        <v>50</v>
      </c>
      <c r="Q953" s="103" t="s">
        <v>33</v>
      </c>
      <c r="R953" s="104">
        <f t="shared" ref="R953" si="266">P953*(J953-(J953*L953)-((J953-(J953*L953))*M953))</f>
        <v>1188687.5</v>
      </c>
      <c r="S953" s="104">
        <f t="shared" ref="S953" si="267">R953/1.11</f>
        <v>1070889.6396396395</v>
      </c>
    </row>
    <row r="954" spans="1:19" s="80" customFormat="1">
      <c r="A954" s="145" t="s">
        <v>610</v>
      </c>
      <c r="B954" s="80" t="s">
        <v>18</v>
      </c>
      <c r="C954" s="81"/>
      <c r="D954" s="82" t="s">
        <v>33</v>
      </c>
      <c r="E954" s="83"/>
      <c r="F954" s="84">
        <v>1</v>
      </c>
      <c r="G954" s="85" t="s">
        <v>20</v>
      </c>
      <c r="H954" s="84">
        <v>50</v>
      </c>
      <c r="I954" s="85" t="s">
        <v>33</v>
      </c>
      <c r="J954" s="16">
        <v>26500</v>
      </c>
      <c r="K954" s="82" t="s">
        <v>33</v>
      </c>
      <c r="L954" s="86">
        <v>0.125</v>
      </c>
      <c r="M954" s="86">
        <v>0.05</v>
      </c>
      <c r="N954" s="84"/>
      <c r="O954" s="85" t="s">
        <v>33</v>
      </c>
      <c r="P954" s="81">
        <f t="shared" si="263"/>
        <v>0</v>
      </c>
      <c r="Q954" s="85" t="s">
        <v>33</v>
      </c>
      <c r="R954" s="16">
        <f t="shared" si="264"/>
        <v>0</v>
      </c>
      <c r="S954" s="16">
        <f t="shared" si="260"/>
        <v>0</v>
      </c>
    </row>
    <row r="955" spans="1:19">
      <c r="A955" s="49"/>
    </row>
    <row r="956" spans="1:19" s="19" customFormat="1">
      <c r="A956" s="55" t="s">
        <v>611</v>
      </c>
      <c r="B956" s="19" t="s">
        <v>25</v>
      </c>
      <c r="C956" s="20">
        <v>101</v>
      </c>
      <c r="D956" s="21" t="s">
        <v>33</v>
      </c>
      <c r="E956" s="26">
        <v>9</v>
      </c>
      <c r="F956" s="22">
        <v>1</v>
      </c>
      <c r="G956" s="23" t="s">
        <v>20</v>
      </c>
      <c r="H956" s="22">
        <v>50</v>
      </c>
      <c r="I956" s="23" t="s">
        <v>33</v>
      </c>
      <c r="J956" s="24">
        <f>1500000/50</f>
        <v>30000</v>
      </c>
      <c r="K956" s="21" t="s">
        <v>33</v>
      </c>
      <c r="L956" s="25"/>
      <c r="M956" s="25">
        <v>0.17</v>
      </c>
      <c r="N956" s="22"/>
      <c r="O956" s="23" t="s">
        <v>33</v>
      </c>
      <c r="P956" s="20">
        <f t="shared" ref="P956:P961" si="268">(C956+(E956*F956*H956))-N956</f>
        <v>551</v>
      </c>
      <c r="Q956" s="23" t="s">
        <v>33</v>
      </c>
      <c r="R956" s="24">
        <f t="shared" ref="R956:R961" si="269">P956*(J956-(J956*L956)-((J956-(J956*L956))*M956))</f>
        <v>13719900</v>
      </c>
      <c r="S956" s="24">
        <f t="shared" si="260"/>
        <v>12360270.270270269</v>
      </c>
    </row>
    <row r="957" spans="1:19" s="19" customFormat="1">
      <c r="A957" s="55" t="s">
        <v>612</v>
      </c>
      <c r="B957" s="19" t="s">
        <v>25</v>
      </c>
      <c r="C957" s="20">
        <v>110</v>
      </c>
      <c r="D957" s="21" t="s">
        <v>33</v>
      </c>
      <c r="E957" s="26">
        <v>5</v>
      </c>
      <c r="F957" s="22">
        <v>1</v>
      </c>
      <c r="G957" s="23" t="s">
        <v>20</v>
      </c>
      <c r="H957" s="22">
        <v>50</v>
      </c>
      <c r="I957" s="23" t="s">
        <v>33</v>
      </c>
      <c r="J957" s="24">
        <f>1500000/50</f>
        <v>30000</v>
      </c>
      <c r="K957" s="21" t="s">
        <v>33</v>
      </c>
      <c r="L957" s="25"/>
      <c r="M957" s="25">
        <v>0.17</v>
      </c>
      <c r="N957" s="22"/>
      <c r="O957" s="23" t="s">
        <v>33</v>
      </c>
      <c r="P957" s="20">
        <f t="shared" si="268"/>
        <v>360</v>
      </c>
      <c r="Q957" s="23" t="s">
        <v>33</v>
      </c>
      <c r="R957" s="24">
        <f t="shared" si="269"/>
        <v>8964000</v>
      </c>
      <c r="S957" s="24">
        <f t="shared" si="260"/>
        <v>8075675.6756756753</v>
      </c>
    </row>
    <row r="958" spans="1:19" s="80" customFormat="1">
      <c r="A958" s="145" t="s">
        <v>727</v>
      </c>
      <c r="B958" s="80" t="s">
        <v>25</v>
      </c>
      <c r="C958" s="87"/>
      <c r="D958" s="82" t="s">
        <v>33</v>
      </c>
      <c r="E958" s="83"/>
      <c r="F958" s="84">
        <v>1</v>
      </c>
      <c r="G958" s="85" t="s">
        <v>20</v>
      </c>
      <c r="H958" s="84">
        <v>50</v>
      </c>
      <c r="I958" s="85" t="s">
        <v>33</v>
      </c>
      <c r="J958" s="16">
        <v>32400</v>
      </c>
      <c r="K958" s="82" t="s">
        <v>33</v>
      </c>
      <c r="L958" s="86"/>
      <c r="M958" s="86">
        <v>0.17</v>
      </c>
      <c r="N958" s="84"/>
      <c r="O958" s="85" t="s">
        <v>33</v>
      </c>
      <c r="P958" s="81">
        <f t="shared" si="268"/>
        <v>0</v>
      </c>
      <c r="Q958" s="85" t="s">
        <v>33</v>
      </c>
      <c r="R958" s="16">
        <f t="shared" si="269"/>
        <v>0</v>
      </c>
      <c r="S958" s="16">
        <f t="shared" si="260"/>
        <v>0</v>
      </c>
    </row>
    <row r="959" spans="1:19" s="80" customFormat="1">
      <c r="A959" s="145" t="s">
        <v>613</v>
      </c>
      <c r="B959" s="80" t="s">
        <v>25</v>
      </c>
      <c r="C959" s="87"/>
      <c r="D959" s="82" t="s">
        <v>33</v>
      </c>
      <c r="E959" s="83"/>
      <c r="F959" s="84">
        <v>1</v>
      </c>
      <c r="G959" s="85" t="s">
        <v>20</v>
      </c>
      <c r="H959" s="84">
        <v>50</v>
      </c>
      <c r="I959" s="85" t="s">
        <v>33</v>
      </c>
      <c r="J959" s="16">
        <v>28500</v>
      </c>
      <c r="K959" s="82" t="s">
        <v>33</v>
      </c>
      <c r="L959" s="86"/>
      <c r="M959" s="86">
        <v>0.17</v>
      </c>
      <c r="N959" s="84"/>
      <c r="O959" s="85" t="s">
        <v>33</v>
      </c>
      <c r="P959" s="81">
        <f t="shared" si="268"/>
        <v>0</v>
      </c>
      <c r="Q959" s="85" t="s">
        <v>33</v>
      </c>
      <c r="R959" s="16">
        <f t="shared" si="269"/>
        <v>0</v>
      </c>
      <c r="S959" s="16">
        <f t="shared" si="260"/>
        <v>0</v>
      </c>
    </row>
    <row r="960" spans="1:19" s="19" customFormat="1">
      <c r="A960" s="55" t="s">
        <v>614</v>
      </c>
      <c r="B960" s="19" t="s">
        <v>25</v>
      </c>
      <c r="C960" s="20">
        <v>346</v>
      </c>
      <c r="D960" s="21" t="s">
        <v>33</v>
      </c>
      <c r="E960" s="26">
        <v>7</v>
      </c>
      <c r="F960" s="22">
        <v>1</v>
      </c>
      <c r="G960" s="23" t="s">
        <v>20</v>
      </c>
      <c r="H960" s="22">
        <v>50</v>
      </c>
      <c r="I960" s="23" t="s">
        <v>33</v>
      </c>
      <c r="J960" s="24">
        <f>1375000/50</f>
        <v>27500</v>
      </c>
      <c r="K960" s="21" t="s">
        <v>33</v>
      </c>
      <c r="L960" s="25"/>
      <c r="M960" s="25">
        <v>0.17</v>
      </c>
      <c r="N960" s="22"/>
      <c r="O960" s="23" t="s">
        <v>33</v>
      </c>
      <c r="P960" s="20">
        <f t="shared" si="268"/>
        <v>696</v>
      </c>
      <c r="Q960" s="23" t="s">
        <v>33</v>
      </c>
      <c r="R960" s="24">
        <f t="shared" si="269"/>
        <v>15886200</v>
      </c>
      <c r="S960" s="24">
        <f t="shared" si="260"/>
        <v>14311891.891891891</v>
      </c>
    </row>
    <row r="961" spans="1:19" s="19" customFormat="1">
      <c r="A961" s="55" t="s">
        <v>615</v>
      </c>
      <c r="B961" s="19" t="s">
        <v>25</v>
      </c>
      <c r="C961" s="20">
        <v>165</v>
      </c>
      <c r="D961" s="21" t="s">
        <v>33</v>
      </c>
      <c r="E961" s="26">
        <v>5</v>
      </c>
      <c r="F961" s="22">
        <v>1</v>
      </c>
      <c r="G961" s="23" t="s">
        <v>20</v>
      </c>
      <c r="H961" s="22">
        <v>50</v>
      </c>
      <c r="I961" s="23" t="s">
        <v>33</v>
      </c>
      <c r="J961" s="24">
        <f>1375000/50</f>
        <v>27500</v>
      </c>
      <c r="K961" s="21" t="s">
        <v>33</v>
      </c>
      <c r="L961" s="25"/>
      <c r="M961" s="25">
        <v>0.17</v>
      </c>
      <c r="N961" s="22"/>
      <c r="O961" s="23" t="s">
        <v>33</v>
      </c>
      <c r="P961" s="20">
        <f t="shared" si="268"/>
        <v>415</v>
      </c>
      <c r="Q961" s="23" t="s">
        <v>33</v>
      </c>
      <c r="R961" s="24">
        <f t="shared" si="269"/>
        <v>9472375</v>
      </c>
      <c r="S961" s="24">
        <f t="shared" si="260"/>
        <v>8533671.1711711697</v>
      </c>
    </row>
    <row r="963" spans="1:19" ht="15.75">
      <c r="A963" s="14" t="s">
        <v>757</v>
      </c>
    </row>
    <row r="964" spans="1:19" s="80" customFormat="1">
      <c r="A964" s="79" t="s">
        <v>759</v>
      </c>
      <c r="B964" s="80" t="s">
        <v>172</v>
      </c>
      <c r="C964" s="81"/>
      <c r="D964" s="82" t="s">
        <v>19</v>
      </c>
      <c r="E964" s="83"/>
      <c r="F964" s="84">
        <v>50</v>
      </c>
      <c r="G964" s="85" t="s">
        <v>99</v>
      </c>
      <c r="H964" s="84">
        <v>100</v>
      </c>
      <c r="I964" s="85" t="s">
        <v>19</v>
      </c>
      <c r="J964" s="16">
        <f>39500/100</f>
        <v>395</v>
      </c>
      <c r="K964" s="82" t="s">
        <v>19</v>
      </c>
      <c r="L964" s="86">
        <v>0.05</v>
      </c>
      <c r="M964" s="86"/>
      <c r="N964" s="84"/>
      <c r="O964" s="85" t="s">
        <v>19</v>
      </c>
      <c r="P964" s="81">
        <f>(C964+(E964*F964*H964))-N964</f>
        <v>0</v>
      </c>
      <c r="Q964" s="85" t="s">
        <v>19</v>
      </c>
      <c r="R964" s="16">
        <f>P964*(J964-(J964*L964)-((J964-(J964*L964))*M964))</f>
        <v>0</v>
      </c>
      <c r="S964" s="16">
        <f t="shared" ref="S964" si="270">R964/1.11</f>
        <v>0</v>
      </c>
    </row>
    <row r="966" spans="1:19" ht="15.75">
      <c r="A966" s="14" t="s">
        <v>616</v>
      </c>
    </row>
    <row r="967" spans="1:19">
      <c r="A967" s="15" t="s">
        <v>617</v>
      </c>
    </row>
    <row r="968" spans="1:19" s="89" customFormat="1">
      <c r="A968" s="148" t="s">
        <v>618</v>
      </c>
      <c r="B968" s="89" t="s">
        <v>182</v>
      </c>
      <c r="C968" s="87"/>
      <c r="D968" s="90" t="s">
        <v>278</v>
      </c>
      <c r="E968" s="91"/>
      <c r="F968" s="92">
        <v>1</v>
      </c>
      <c r="G968" s="93" t="s">
        <v>20</v>
      </c>
      <c r="H968" s="92">
        <v>720</v>
      </c>
      <c r="I968" s="93" t="s">
        <v>278</v>
      </c>
      <c r="J968" s="94">
        <v>3100</v>
      </c>
      <c r="K968" s="90" t="s">
        <v>278</v>
      </c>
      <c r="L968" s="95"/>
      <c r="M968" s="95">
        <v>0.15</v>
      </c>
      <c r="N968" s="92"/>
      <c r="O968" s="93" t="s">
        <v>278</v>
      </c>
      <c r="P968" s="87">
        <f>(C968+(E968*F968*H968))-N968</f>
        <v>0</v>
      </c>
      <c r="Q968" s="93" t="s">
        <v>278</v>
      </c>
      <c r="R968" s="94">
        <f>P968*(J968-(J968*L968)-((J968-(J968*L968))*M968))</f>
        <v>0</v>
      </c>
      <c r="S968" s="16">
        <f t="shared" si="260"/>
        <v>0</v>
      </c>
    </row>
    <row r="969" spans="1:19" s="89" customFormat="1">
      <c r="A969" s="148" t="s">
        <v>619</v>
      </c>
      <c r="B969" s="89" t="s">
        <v>182</v>
      </c>
      <c r="C969" s="87"/>
      <c r="D969" s="90" t="s">
        <v>278</v>
      </c>
      <c r="E969" s="91"/>
      <c r="F969" s="92">
        <v>1</v>
      </c>
      <c r="G969" s="93" t="s">
        <v>20</v>
      </c>
      <c r="H969" s="92">
        <v>480</v>
      </c>
      <c r="I969" s="93" t="s">
        <v>278</v>
      </c>
      <c r="J969" s="94">
        <v>4750</v>
      </c>
      <c r="K969" s="90" t="s">
        <v>278</v>
      </c>
      <c r="L969" s="95"/>
      <c r="M969" s="95">
        <v>0.15</v>
      </c>
      <c r="N969" s="92"/>
      <c r="O969" s="93" t="s">
        <v>278</v>
      </c>
      <c r="P969" s="87">
        <f>(C969+(E969*F969*H969))-N969</f>
        <v>0</v>
      </c>
      <c r="Q969" s="93" t="s">
        <v>278</v>
      </c>
      <c r="R969" s="94">
        <f>P969*(J969-(J969*L969)-((J969-(J969*L969))*M969))</f>
        <v>0</v>
      </c>
      <c r="S969" s="16">
        <f t="shared" si="260"/>
        <v>0</v>
      </c>
    </row>
    <row r="970" spans="1:19" s="80" customFormat="1">
      <c r="A970" s="148" t="s">
        <v>620</v>
      </c>
      <c r="B970" s="89" t="s">
        <v>182</v>
      </c>
      <c r="C970" s="87"/>
      <c r="D970" s="82" t="s">
        <v>278</v>
      </c>
      <c r="E970" s="83"/>
      <c r="F970" s="84">
        <v>1</v>
      </c>
      <c r="G970" s="85" t="s">
        <v>20</v>
      </c>
      <c r="H970" s="84">
        <v>360</v>
      </c>
      <c r="I970" s="85" t="s">
        <v>278</v>
      </c>
      <c r="J970" s="16">
        <v>6000</v>
      </c>
      <c r="K970" s="82" t="s">
        <v>278</v>
      </c>
      <c r="L970" s="86"/>
      <c r="M970" s="86">
        <v>0.15</v>
      </c>
      <c r="N970" s="92"/>
      <c r="O970" s="85" t="s">
        <v>278</v>
      </c>
      <c r="P970" s="81">
        <f>(C970+(E970*F970*H970))-N970</f>
        <v>0</v>
      </c>
      <c r="Q970" s="85" t="s">
        <v>278</v>
      </c>
      <c r="R970" s="16">
        <f>P970*(J970-(J970*L970)-((J970-(J970*L970))*M970))</f>
        <v>0</v>
      </c>
      <c r="S970" s="16">
        <f t="shared" si="260"/>
        <v>0</v>
      </c>
    </row>
    <row r="971" spans="1:19">
      <c r="A971" s="49"/>
      <c r="B971" s="19"/>
      <c r="C971" s="20"/>
      <c r="N971" s="22"/>
    </row>
    <row r="972" spans="1:19" s="80" customFormat="1">
      <c r="A972" s="145" t="s">
        <v>621</v>
      </c>
      <c r="B972" s="80" t="s">
        <v>18</v>
      </c>
      <c r="C972" s="87"/>
      <c r="D972" s="82" t="s">
        <v>278</v>
      </c>
      <c r="E972" s="83"/>
      <c r="F972" s="84">
        <v>10</v>
      </c>
      <c r="G972" s="85" t="s">
        <v>99</v>
      </c>
      <c r="H972" s="84">
        <v>24</v>
      </c>
      <c r="I972" s="85" t="s">
        <v>278</v>
      </c>
      <c r="J972" s="16">
        <v>2300</v>
      </c>
      <c r="K972" s="82" t="s">
        <v>278</v>
      </c>
      <c r="L972" s="86">
        <v>0.125</v>
      </c>
      <c r="M972" s="86">
        <v>0.05</v>
      </c>
      <c r="N972" s="84"/>
      <c r="O972" s="85" t="s">
        <v>278</v>
      </c>
      <c r="P972" s="81">
        <f>(C972+(E972*F972*H972))-N972</f>
        <v>0</v>
      </c>
      <c r="Q972" s="85" t="s">
        <v>278</v>
      </c>
      <c r="R972" s="16">
        <f>P972*(J972-(J972*L972)-((J972-(J972*L972))*M972))</f>
        <v>0</v>
      </c>
      <c r="S972" s="16">
        <f t="shared" si="260"/>
        <v>0</v>
      </c>
    </row>
    <row r="973" spans="1:19" s="80" customFormat="1">
      <c r="A973" s="145" t="s">
        <v>622</v>
      </c>
      <c r="B973" s="80" t="s">
        <v>18</v>
      </c>
      <c r="C973" s="87"/>
      <c r="D973" s="82" t="s">
        <v>278</v>
      </c>
      <c r="E973" s="83"/>
      <c r="F973" s="84">
        <v>10</v>
      </c>
      <c r="G973" s="85" t="s">
        <v>99</v>
      </c>
      <c r="H973" s="84">
        <v>12</v>
      </c>
      <c r="I973" s="85" t="s">
        <v>278</v>
      </c>
      <c r="J973" s="16">
        <v>4600</v>
      </c>
      <c r="K973" s="82" t="s">
        <v>278</v>
      </c>
      <c r="L973" s="86">
        <v>0.125</v>
      </c>
      <c r="M973" s="86">
        <v>0.05</v>
      </c>
      <c r="N973" s="84"/>
      <c r="O973" s="85" t="s">
        <v>278</v>
      </c>
      <c r="P973" s="81">
        <f>(C973+(E973*F973*H973))-N973</f>
        <v>0</v>
      </c>
      <c r="Q973" s="85" t="s">
        <v>278</v>
      </c>
      <c r="R973" s="16">
        <f>P973*(J973-(J973*L973)-((J973-(J973*L973))*M973))</f>
        <v>0</v>
      </c>
      <c r="S973" s="16">
        <f t="shared" si="260"/>
        <v>0</v>
      </c>
    </row>
    <row r="974" spans="1:19">
      <c r="A974" s="49"/>
      <c r="C974" s="20"/>
    </row>
    <row r="975" spans="1:19" s="80" customFormat="1">
      <c r="A975" s="147" t="s">
        <v>623</v>
      </c>
      <c r="B975" s="80" t="s">
        <v>25</v>
      </c>
      <c r="C975" s="87"/>
      <c r="D975" s="82" t="s">
        <v>278</v>
      </c>
      <c r="E975" s="83"/>
      <c r="F975" s="84">
        <v>1</v>
      </c>
      <c r="G975" s="85" t="s">
        <v>20</v>
      </c>
      <c r="H975" s="84">
        <v>480</v>
      </c>
      <c r="I975" s="85" t="s">
        <v>278</v>
      </c>
      <c r="J975" s="16">
        <f>588000/480</f>
        <v>1225</v>
      </c>
      <c r="K975" s="82" t="s">
        <v>278</v>
      </c>
      <c r="L975" s="86"/>
      <c r="M975" s="86">
        <v>0.17</v>
      </c>
      <c r="N975" s="84"/>
      <c r="O975" s="85" t="s">
        <v>278</v>
      </c>
      <c r="P975" s="81">
        <f>(C975+(E975*F975*H975))-N975</f>
        <v>0</v>
      </c>
      <c r="Q975" s="85" t="s">
        <v>278</v>
      </c>
      <c r="R975" s="16">
        <f>P975*(J975-(J975*L975)-((J975-(J975*L975))*M975))</f>
        <v>0</v>
      </c>
      <c r="S975" s="16">
        <f t="shared" si="260"/>
        <v>0</v>
      </c>
    </row>
    <row r="976" spans="1:19" s="80" customFormat="1">
      <c r="A976" s="147" t="s">
        <v>624</v>
      </c>
      <c r="B976" s="80" t="s">
        <v>25</v>
      </c>
      <c r="C976" s="87"/>
      <c r="D976" s="82" t="s">
        <v>278</v>
      </c>
      <c r="E976" s="83"/>
      <c r="F976" s="84">
        <v>1</v>
      </c>
      <c r="G976" s="85" t="s">
        <v>20</v>
      </c>
      <c r="H976" s="84">
        <v>240</v>
      </c>
      <c r="I976" s="85" t="s">
        <v>278</v>
      </c>
      <c r="J976" s="16">
        <f>588000/240</f>
        <v>2450</v>
      </c>
      <c r="K976" s="82" t="s">
        <v>278</v>
      </c>
      <c r="L976" s="86"/>
      <c r="M976" s="86">
        <v>0.17</v>
      </c>
      <c r="N976" s="84"/>
      <c r="O976" s="85" t="s">
        <v>278</v>
      </c>
      <c r="P976" s="81">
        <f>(C976+(E976*F976*H976))-N976</f>
        <v>0</v>
      </c>
      <c r="Q976" s="85" t="s">
        <v>278</v>
      </c>
      <c r="R976" s="16">
        <f>P976*(J976-(J976*L976)-((J976-(J976*L976))*M976))</f>
        <v>0</v>
      </c>
      <c r="S976" s="16">
        <f t="shared" si="260"/>
        <v>0</v>
      </c>
    </row>
    <row r="977" spans="1:19" s="80" customFormat="1">
      <c r="A977" s="147" t="s">
        <v>625</v>
      </c>
      <c r="B977" s="80" t="s">
        <v>25</v>
      </c>
      <c r="C977" s="87"/>
      <c r="D977" s="82" t="s">
        <v>278</v>
      </c>
      <c r="E977" s="83"/>
      <c r="F977" s="84">
        <v>1</v>
      </c>
      <c r="G977" s="85" t="s">
        <v>20</v>
      </c>
      <c r="H977" s="84">
        <v>120</v>
      </c>
      <c r="I977" s="85" t="s">
        <v>278</v>
      </c>
      <c r="J977" s="16">
        <v>4800</v>
      </c>
      <c r="K977" s="82" t="s">
        <v>278</v>
      </c>
      <c r="L977" s="86"/>
      <c r="M977" s="86">
        <v>0.17</v>
      </c>
      <c r="N977" s="84"/>
      <c r="O977" s="85" t="s">
        <v>278</v>
      </c>
      <c r="P977" s="81">
        <f>(C977+(E977*F977*H977))-N977</f>
        <v>0</v>
      </c>
      <c r="Q977" s="85" t="s">
        <v>278</v>
      </c>
      <c r="R977" s="16">
        <f>P977*(J977-(J977*L977)-((J977-(J977*L977))*M977))</f>
        <v>0</v>
      </c>
      <c r="S977" s="16">
        <f t="shared" si="260"/>
        <v>0</v>
      </c>
    </row>
    <row r="978" spans="1:19" s="96" customFormat="1">
      <c r="A978" s="163" t="s">
        <v>626</v>
      </c>
      <c r="B978" s="96" t="s">
        <v>25</v>
      </c>
      <c r="C978" s="107"/>
      <c r="D978" s="100" t="s">
        <v>278</v>
      </c>
      <c r="E978" s="101">
        <v>1</v>
      </c>
      <c r="F978" s="102">
        <v>1</v>
      </c>
      <c r="G978" s="103" t="s">
        <v>20</v>
      </c>
      <c r="H978" s="102">
        <v>60</v>
      </c>
      <c r="I978" s="103" t="s">
        <v>278</v>
      </c>
      <c r="J978" s="104">
        <v>9500</v>
      </c>
      <c r="K978" s="100" t="s">
        <v>278</v>
      </c>
      <c r="L978" s="105"/>
      <c r="M978" s="105">
        <v>0.17</v>
      </c>
      <c r="N978" s="102"/>
      <c r="O978" s="103" t="s">
        <v>278</v>
      </c>
      <c r="P978" s="99">
        <f>(C978+(E978*F978*H978))-N978</f>
        <v>60</v>
      </c>
      <c r="Q978" s="103" t="s">
        <v>278</v>
      </c>
      <c r="R978" s="104">
        <f>P978*(J978-(J978*L978)-((J978-(J978*L978))*M978))</f>
        <v>473100</v>
      </c>
      <c r="S978" s="104">
        <f t="shared" si="260"/>
        <v>426216.21621621615</v>
      </c>
    </row>
    <row r="980" spans="1:19">
      <c r="A980" s="15" t="s">
        <v>788</v>
      </c>
      <c r="S980" s="8">
        <f t="shared" ref="S980:S981" si="271">R980/1.11</f>
        <v>0</v>
      </c>
    </row>
    <row r="981" spans="1:19" s="89" customFormat="1">
      <c r="A981" s="79" t="s">
        <v>789</v>
      </c>
      <c r="B981" s="89" t="s">
        <v>18</v>
      </c>
      <c r="C981" s="87"/>
      <c r="D981" s="90" t="s">
        <v>278</v>
      </c>
      <c r="E981" s="91"/>
      <c r="F981" s="92">
        <v>1</v>
      </c>
      <c r="G981" s="93" t="s">
        <v>20</v>
      </c>
      <c r="H981" s="92">
        <v>120</v>
      </c>
      <c r="I981" s="93" t="s">
        <v>278</v>
      </c>
      <c r="J981" s="94">
        <v>5500</v>
      </c>
      <c r="K981" s="90" t="s">
        <v>278</v>
      </c>
      <c r="L981" s="95">
        <v>0.125</v>
      </c>
      <c r="M981" s="95">
        <v>0.05</v>
      </c>
      <c r="N981" s="92"/>
      <c r="O981" s="93" t="s">
        <v>278</v>
      </c>
      <c r="P981" s="87">
        <f t="shared" ref="P981" si="272">(C981+(E981*F981*H981))-N981</f>
        <v>0</v>
      </c>
      <c r="Q981" s="93" t="s">
        <v>278</v>
      </c>
      <c r="R981" s="94">
        <f t="shared" ref="R981" si="273">P981*(J981-(J981*L981)-((J981-(J981*L981))*M981))</f>
        <v>0</v>
      </c>
      <c r="S981" s="94">
        <f t="shared" si="271"/>
        <v>0</v>
      </c>
    </row>
    <row r="982" spans="1:19">
      <c r="A982" s="48"/>
    </row>
    <row r="983" spans="1:19">
      <c r="A983" s="15" t="s">
        <v>627</v>
      </c>
    </row>
    <row r="984" spans="1:19" s="19" customFormat="1">
      <c r="A984" s="164" t="s">
        <v>706</v>
      </c>
      <c r="B984" s="19" t="s">
        <v>25</v>
      </c>
      <c r="C984" s="20"/>
      <c r="D984" s="21" t="s">
        <v>278</v>
      </c>
      <c r="E984" s="26">
        <v>60</v>
      </c>
      <c r="F984" s="22">
        <v>1</v>
      </c>
      <c r="G984" s="23" t="s">
        <v>20</v>
      </c>
      <c r="H984" s="22">
        <v>72</v>
      </c>
      <c r="I984" s="23" t="s">
        <v>278</v>
      </c>
      <c r="J984" s="24">
        <v>10000</v>
      </c>
      <c r="K984" s="21" t="s">
        <v>278</v>
      </c>
      <c r="L984" s="25">
        <v>0.12</v>
      </c>
      <c r="M984" s="25">
        <v>0.17</v>
      </c>
      <c r="N984" s="22"/>
      <c r="O984" s="23" t="s">
        <v>278</v>
      </c>
      <c r="P984" s="20">
        <f>(C984+(E984*F984*H984))-N984</f>
        <v>4320</v>
      </c>
      <c r="Q984" s="23" t="s">
        <v>278</v>
      </c>
      <c r="R984" s="24">
        <f>P984*(J984-(J984*L984)-((J984-(J984*L984))*M984))</f>
        <v>31553280</v>
      </c>
      <c r="S984" s="24">
        <f t="shared" ref="S984" si="274">R984/1.11</f>
        <v>28426378.378378376</v>
      </c>
    </row>
    <row r="985" spans="1:19" s="19" customFormat="1">
      <c r="A985" s="18" t="s">
        <v>706</v>
      </c>
      <c r="B985" s="19" t="s">
        <v>25</v>
      </c>
      <c r="C985" s="20">
        <v>144</v>
      </c>
      <c r="D985" s="21" t="s">
        <v>278</v>
      </c>
      <c r="E985" s="26"/>
      <c r="F985" s="22">
        <v>1</v>
      </c>
      <c r="G985" s="23" t="s">
        <v>20</v>
      </c>
      <c r="H985" s="22">
        <v>72</v>
      </c>
      <c r="I985" s="23" t="s">
        <v>278</v>
      </c>
      <c r="J985" s="24">
        <f>900000/72</f>
        <v>12500</v>
      </c>
      <c r="K985" s="21" t="s">
        <v>278</v>
      </c>
      <c r="L985" s="25"/>
      <c r="M985" s="25">
        <v>0.17</v>
      </c>
      <c r="N985" s="22"/>
      <c r="O985" s="23" t="s">
        <v>278</v>
      </c>
      <c r="P985" s="20">
        <f>(C985+(E985*F985*H985))-N985</f>
        <v>144</v>
      </c>
      <c r="Q985" s="23" t="s">
        <v>278</v>
      </c>
      <c r="R985" s="24">
        <f>P985*(J985-(J985*L985)-((J985-(J985*L985))*M985))</f>
        <v>1494000</v>
      </c>
      <c r="S985" s="24">
        <f t="shared" si="260"/>
        <v>1345945.9459459458</v>
      </c>
    </row>
    <row r="986" spans="1:19" s="96" customFormat="1">
      <c r="A986" s="166" t="s">
        <v>628</v>
      </c>
      <c r="B986" s="96" t="s">
        <v>25</v>
      </c>
      <c r="C986" s="99"/>
      <c r="D986" s="100" t="s">
        <v>278</v>
      </c>
      <c r="E986" s="101">
        <v>40</v>
      </c>
      <c r="F986" s="102">
        <v>1</v>
      </c>
      <c r="G986" s="103" t="s">
        <v>20</v>
      </c>
      <c r="H986" s="102">
        <v>72</v>
      </c>
      <c r="I986" s="103" t="s">
        <v>278</v>
      </c>
      <c r="J986" s="112">
        <v>10000</v>
      </c>
      <c r="K986" s="100" t="s">
        <v>278</v>
      </c>
      <c r="L986" s="105">
        <v>0.12</v>
      </c>
      <c r="M986" s="105">
        <v>0.17</v>
      </c>
      <c r="N986" s="102"/>
      <c r="O986" s="103" t="s">
        <v>278</v>
      </c>
      <c r="P986" s="99">
        <f>(C986+(E986*F986*H986))-N986</f>
        <v>2880</v>
      </c>
      <c r="Q986" s="103" t="s">
        <v>278</v>
      </c>
      <c r="R986" s="104">
        <f>P986*(J986-(J986*L986)-((J986-(J986*L986))*M986))</f>
        <v>21035520</v>
      </c>
      <c r="S986" s="104">
        <f t="shared" si="260"/>
        <v>18950918.918918919</v>
      </c>
    </row>
    <row r="987" spans="1:19" s="96" customFormat="1">
      <c r="A987" s="166" t="s">
        <v>628</v>
      </c>
      <c r="B987" s="96" t="s">
        <v>25</v>
      </c>
      <c r="C987" s="99"/>
      <c r="D987" s="100" t="s">
        <v>278</v>
      </c>
      <c r="E987" s="101">
        <v>6</v>
      </c>
      <c r="F987" s="102">
        <v>1</v>
      </c>
      <c r="G987" s="103" t="s">
        <v>20</v>
      </c>
      <c r="H987" s="102">
        <v>72</v>
      </c>
      <c r="I987" s="103" t="s">
        <v>278</v>
      </c>
      <c r="J987" s="112">
        <v>10000</v>
      </c>
      <c r="K987" s="100" t="s">
        <v>278</v>
      </c>
      <c r="L987" s="105">
        <v>0.05</v>
      </c>
      <c r="M987" s="105">
        <v>0.17</v>
      </c>
      <c r="N987" s="102"/>
      <c r="O987" s="103" t="s">
        <v>278</v>
      </c>
      <c r="P987" s="99">
        <f>(C987+(E987*F987*H987))-N987</f>
        <v>432</v>
      </c>
      <c r="Q987" s="103" t="s">
        <v>278</v>
      </c>
      <c r="R987" s="104">
        <f>P987*(J987-(J987*L987)-((J987-(J987*L987))*M987))</f>
        <v>3406320</v>
      </c>
      <c r="S987" s="104">
        <f t="shared" ref="S987" si="275">R987/1.11</f>
        <v>3068756.7567567565</v>
      </c>
    </row>
    <row r="988" spans="1:19" s="80" customFormat="1">
      <c r="A988" s="79" t="s">
        <v>628</v>
      </c>
      <c r="B988" s="80" t="s">
        <v>25</v>
      </c>
      <c r="C988" s="81"/>
      <c r="D988" s="82" t="s">
        <v>278</v>
      </c>
      <c r="E988" s="83"/>
      <c r="F988" s="84">
        <v>1</v>
      </c>
      <c r="G988" s="85" t="s">
        <v>20</v>
      </c>
      <c r="H988" s="84">
        <v>72</v>
      </c>
      <c r="I988" s="85" t="s">
        <v>278</v>
      </c>
      <c r="J988" s="94">
        <f>900000/72</f>
        <v>12500</v>
      </c>
      <c r="K988" s="82" t="s">
        <v>278</v>
      </c>
      <c r="L988" s="86"/>
      <c r="M988" s="86">
        <v>0.17</v>
      </c>
      <c r="N988" s="84"/>
      <c r="O988" s="85" t="s">
        <v>278</v>
      </c>
      <c r="P988" s="81">
        <f>(C988+(E988*F988*H988))-N988</f>
        <v>0</v>
      </c>
      <c r="Q988" s="85" t="s">
        <v>278</v>
      </c>
      <c r="R988" s="16">
        <f>P988*(J988-(J988*L988)-((J988-(J988*L988))*M988))</f>
        <v>0</v>
      </c>
      <c r="S988" s="16">
        <f t="shared" si="260"/>
        <v>0</v>
      </c>
    </row>
    <row r="989" spans="1:19">
      <c r="A989" s="17" t="s">
        <v>808</v>
      </c>
      <c r="B989" s="2" t="s">
        <v>25</v>
      </c>
      <c r="C989" s="3">
        <v>210</v>
      </c>
      <c r="D989" s="4" t="s">
        <v>278</v>
      </c>
      <c r="F989" s="6">
        <v>1</v>
      </c>
      <c r="G989" s="7" t="s">
        <v>20</v>
      </c>
      <c r="H989" s="6">
        <v>72</v>
      </c>
      <c r="I989" s="7" t="s">
        <v>278</v>
      </c>
      <c r="J989" s="8">
        <f>705600/72</f>
        <v>9800</v>
      </c>
      <c r="K989" s="4" t="s">
        <v>278</v>
      </c>
      <c r="M989" s="9">
        <v>0.17</v>
      </c>
      <c r="O989" s="7" t="s">
        <v>278</v>
      </c>
      <c r="P989" s="3">
        <f>(C989+(E989*F989*H989))-N989</f>
        <v>210</v>
      </c>
      <c r="Q989" s="7" t="s">
        <v>278</v>
      </c>
      <c r="R989" s="8">
        <f>P989*(J989-(J989*L989)-((J989-(J989*L989))*M989))</f>
        <v>1708140</v>
      </c>
      <c r="S989" s="8">
        <f t="shared" si="260"/>
        <v>1538864.8648648646</v>
      </c>
    </row>
    <row r="990" spans="1:19">
      <c r="A990" s="17" t="s">
        <v>809</v>
      </c>
      <c r="B990" s="2" t="s">
        <v>25</v>
      </c>
      <c r="C990" s="3">
        <v>36</v>
      </c>
      <c r="D990" s="4" t="s">
        <v>278</v>
      </c>
      <c r="F990" s="6">
        <v>1</v>
      </c>
      <c r="G990" s="7" t="s">
        <v>20</v>
      </c>
      <c r="H990" s="6">
        <v>72</v>
      </c>
      <c r="I990" s="7" t="s">
        <v>278</v>
      </c>
      <c r="J990" s="8">
        <f>705600/72</f>
        <v>9800</v>
      </c>
      <c r="K990" s="4" t="s">
        <v>278</v>
      </c>
      <c r="M990" s="9">
        <v>0.17</v>
      </c>
      <c r="O990" s="7" t="s">
        <v>278</v>
      </c>
      <c r="P990" s="3">
        <f>(C990+(E990*F990*H990))-N990</f>
        <v>36</v>
      </c>
      <c r="Q990" s="7" t="s">
        <v>278</v>
      </c>
      <c r="R990" s="8">
        <f>P990*(J990-(J990*L990)-((J990-(J990*L990))*M990))</f>
        <v>292824</v>
      </c>
      <c r="S990" s="8">
        <f t="shared" si="260"/>
        <v>263805.40540540538</v>
      </c>
    </row>
    <row r="992" spans="1:19">
      <c r="A992" s="15" t="s">
        <v>629</v>
      </c>
      <c r="S992" s="8">
        <f t="shared" si="260"/>
        <v>0</v>
      </c>
    </row>
    <row r="993" spans="1:19" s="19" customFormat="1">
      <c r="A993" s="17" t="s">
        <v>786</v>
      </c>
      <c r="B993" s="19" t="s">
        <v>18</v>
      </c>
      <c r="C993" s="20">
        <v>120</v>
      </c>
      <c r="D993" s="21" t="s">
        <v>278</v>
      </c>
      <c r="E993" s="26"/>
      <c r="F993" s="22">
        <v>1</v>
      </c>
      <c r="G993" s="23" t="s">
        <v>20</v>
      </c>
      <c r="H993" s="22">
        <v>120</v>
      </c>
      <c r="I993" s="23" t="s">
        <v>278</v>
      </c>
      <c r="J993" s="24">
        <v>13800</v>
      </c>
      <c r="K993" s="21" t="s">
        <v>278</v>
      </c>
      <c r="L993" s="25">
        <v>0.125</v>
      </c>
      <c r="M993" s="25">
        <v>0.05</v>
      </c>
      <c r="N993" s="22"/>
      <c r="O993" s="23" t="s">
        <v>278</v>
      </c>
      <c r="P993" s="20">
        <f t="shared" ref="P993" si="276">(C993+(E993*F993*H993))-N993</f>
        <v>120</v>
      </c>
      <c r="Q993" s="23" t="s">
        <v>278</v>
      </c>
      <c r="R993" s="24">
        <f t="shared" ref="R993" si="277">P993*(J993-(J993*L993)-((J993-(J993*L993))*M993))</f>
        <v>1376550</v>
      </c>
      <c r="S993" s="24">
        <f t="shared" si="260"/>
        <v>1240135.1351351349</v>
      </c>
    </row>
    <row r="994" spans="1:19" s="19" customFormat="1">
      <c r="A994" s="18"/>
      <c r="C994" s="20"/>
      <c r="D994" s="21"/>
      <c r="E994" s="26"/>
      <c r="F994" s="22"/>
      <c r="G994" s="23"/>
      <c r="H994" s="22"/>
      <c r="I994" s="23"/>
      <c r="J994" s="24"/>
      <c r="K994" s="21"/>
      <c r="L994" s="25"/>
      <c r="M994" s="25"/>
      <c r="N994" s="22"/>
      <c r="O994" s="23"/>
      <c r="P994" s="20"/>
      <c r="Q994" s="23"/>
      <c r="R994" s="24"/>
      <c r="S994" s="24"/>
    </row>
    <row r="995" spans="1:19">
      <c r="A995" s="17" t="s">
        <v>810</v>
      </c>
      <c r="B995" s="2" t="s">
        <v>25</v>
      </c>
      <c r="D995" s="4" t="s">
        <v>278</v>
      </c>
      <c r="E995" s="5">
        <v>1</v>
      </c>
      <c r="F995" s="6">
        <v>1</v>
      </c>
      <c r="G995" s="7" t="s">
        <v>20</v>
      </c>
      <c r="H995" s="6">
        <v>120</v>
      </c>
      <c r="I995" s="7" t="s">
        <v>278</v>
      </c>
      <c r="J995" s="8">
        <f>762000/120</f>
        <v>6350</v>
      </c>
      <c r="K995" s="4" t="s">
        <v>278</v>
      </c>
      <c r="M995" s="9">
        <v>0.17</v>
      </c>
      <c r="O995" s="7" t="s">
        <v>278</v>
      </c>
      <c r="P995" s="3">
        <f>(C995+(E995*F995*H995))-N995</f>
        <v>120</v>
      </c>
      <c r="Q995" s="7" t="s">
        <v>278</v>
      </c>
      <c r="R995" s="8">
        <f>P995*(J995-(J995*L995)-((J995-(J995*L995))*M995))</f>
        <v>632460</v>
      </c>
      <c r="S995" s="8">
        <f t="shared" si="260"/>
        <v>569783.78378378379</v>
      </c>
    </row>
    <row r="996" spans="1:19">
      <c r="A996" s="17" t="s">
        <v>630</v>
      </c>
      <c r="B996" s="2" t="s">
        <v>25</v>
      </c>
      <c r="D996" s="4" t="s">
        <v>278</v>
      </c>
      <c r="E996" s="5">
        <v>2</v>
      </c>
      <c r="F996" s="6">
        <v>1</v>
      </c>
      <c r="G996" s="7" t="s">
        <v>20</v>
      </c>
      <c r="H996" s="6">
        <v>80</v>
      </c>
      <c r="I996" s="7" t="s">
        <v>278</v>
      </c>
      <c r="J996" s="8">
        <f>732000/80</f>
        <v>9150</v>
      </c>
      <c r="K996" s="4" t="s">
        <v>278</v>
      </c>
      <c r="M996" s="9">
        <v>0.17</v>
      </c>
      <c r="O996" s="7" t="s">
        <v>278</v>
      </c>
      <c r="P996" s="3">
        <f>(C996+(E996*F996*H996))-N996</f>
        <v>160</v>
      </c>
      <c r="Q996" s="7" t="s">
        <v>278</v>
      </c>
      <c r="R996" s="8">
        <f>P996*(J996-(J996*L996)-((J996-(J996*L996))*M996))</f>
        <v>1215120</v>
      </c>
      <c r="S996" s="8">
        <f t="shared" si="260"/>
        <v>1094702.7027027027</v>
      </c>
    </row>
    <row r="997" spans="1:19">
      <c r="A997" s="17" t="s">
        <v>811</v>
      </c>
      <c r="B997" s="2" t="s">
        <v>25</v>
      </c>
      <c r="D997" s="4" t="s">
        <v>278</v>
      </c>
      <c r="E997" s="5">
        <v>4</v>
      </c>
      <c r="F997" s="6">
        <v>1</v>
      </c>
      <c r="G997" s="7" t="s">
        <v>20</v>
      </c>
      <c r="H997" s="6">
        <v>60</v>
      </c>
      <c r="I997" s="7" t="s">
        <v>278</v>
      </c>
      <c r="J997" s="8">
        <f>732000/60</f>
        <v>12200</v>
      </c>
      <c r="K997" s="4" t="s">
        <v>278</v>
      </c>
      <c r="M997" s="9">
        <v>0.17</v>
      </c>
      <c r="O997" s="7" t="s">
        <v>278</v>
      </c>
      <c r="P997" s="3">
        <f>(C997+(E997*F997*H997))-N997</f>
        <v>240</v>
      </c>
      <c r="Q997" s="7" t="s">
        <v>278</v>
      </c>
      <c r="R997" s="8">
        <f>P997*(J997-(J997*L997)-((J997-(J997*L997))*M997))</f>
        <v>2430240</v>
      </c>
      <c r="S997" s="8">
        <f t="shared" si="260"/>
        <v>2189405.4054054054</v>
      </c>
    </row>
    <row r="998" spans="1:19" s="80" customFormat="1">
      <c r="A998" s="79" t="s">
        <v>654</v>
      </c>
      <c r="B998" s="80" t="s">
        <v>25</v>
      </c>
      <c r="C998" s="81"/>
      <c r="D998" s="82" t="s">
        <v>278</v>
      </c>
      <c r="E998" s="83"/>
      <c r="F998" s="84">
        <v>1</v>
      </c>
      <c r="G998" s="85" t="s">
        <v>20</v>
      </c>
      <c r="H998" s="84">
        <v>80</v>
      </c>
      <c r="I998" s="85" t="s">
        <v>278</v>
      </c>
      <c r="J998" s="16">
        <f>848000/80</f>
        <v>10600</v>
      </c>
      <c r="K998" s="82" t="s">
        <v>278</v>
      </c>
      <c r="L998" s="86"/>
      <c r="M998" s="86">
        <v>0.17</v>
      </c>
      <c r="N998" s="84"/>
      <c r="O998" s="85" t="s">
        <v>278</v>
      </c>
      <c r="P998" s="81">
        <f>(C998+(E998*F998*H998))-N998</f>
        <v>0</v>
      </c>
      <c r="Q998" s="85" t="s">
        <v>278</v>
      </c>
      <c r="R998" s="16">
        <f>P998*(J998-(J998*L998)-((J998-(J998*L998))*M998))</f>
        <v>0</v>
      </c>
      <c r="S998" s="16">
        <f t="shared" si="260"/>
        <v>0</v>
      </c>
    </row>
    <row r="999" spans="1:19" s="80" customFormat="1">
      <c r="A999" s="79" t="s">
        <v>631</v>
      </c>
      <c r="B999" s="80" t="s">
        <v>25</v>
      </c>
      <c r="C999" s="81"/>
      <c r="D999" s="82" t="s">
        <v>278</v>
      </c>
      <c r="E999" s="83"/>
      <c r="F999" s="84">
        <v>1</v>
      </c>
      <c r="G999" s="85" t="s">
        <v>20</v>
      </c>
      <c r="H999" s="84">
        <v>60</v>
      </c>
      <c r="I999" s="85" t="s">
        <v>278</v>
      </c>
      <c r="J999" s="16">
        <f>852000/60</f>
        <v>14200</v>
      </c>
      <c r="K999" s="82" t="s">
        <v>278</v>
      </c>
      <c r="L999" s="86"/>
      <c r="M999" s="86">
        <v>0.17</v>
      </c>
      <c r="N999" s="84"/>
      <c r="O999" s="85" t="s">
        <v>278</v>
      </c>
      <c r="P999" s="81">
        <f>(C999+(E999*F999*H999))-N999</f>
        <v>0</v>
      </c>
      <c r="Q999" s="85" t="s">
        <v>278</v>
      </c>
      <c r="R999" s="16">
        <f>P999*(J999-(J999*L999)-((J999-(J999*L999))*M999))</f>
        <v>0</v>
      </c>
      <c r="S999" s="16">
        <f t="shared" si="260"/>
        <v>0</v>
      </c>
    </row>
    <row r="1001" spans="1:19" ht="15.75">
      <c r="A1001" s="14" t="s">
        <v>632</v>
      </c>
    </row>
    <row r="1002" spans="1:19" s="80" customFormat="1">
      <c r="A1002" s="79" t="s">
        <v>634</v>
      </c>
      <c r="B1002" s="80" t="s">
        <v>18</v>
      </c>
      <c r="C1002" s="81"/>
      <c r="D1002" s="82" t="s">
        <v>19</v>
      </c>
      <c r="E1002" s="83"/>
      <c r="F1002" s="84">
        <v>1</v>
      </c>
      <c r="G1002" s="85" t="s">
        <v>20</v>
      </c>
      <c r="H1002" s="84">
        <v>24</v>
      </c>
      <c r="I1002" s="85" t="s">
        <v>19</v>
      </c>
      <c r="J1002" s="16">
        <v>21500</v>
      </c>
      <c r="K1002" s="82" t="s">
        <v>19</v>
      </c>
      <c r="L1002" s="86">
        <v>0.125</v>
      </c>
      <c r="M1002" s="86">
        <v>0.05</v>
      </c>
      <c r="N1002" s="84"/>
      <c r="O1002" s="85" t="s">
        <v>19</v>
      </c>
      <c r="P1002" s="81">
        <f t="shared" ref="P1002:P1014" si="278">(C1002+(E1002*F1002*H1002))-N1002</f>
        <v>0</v>
      </c>
      <c r="Q1002" s="85" t="s">
        <v>19</v>
      </c>
      <c r="R1002" s="16">
        <f t="shared" ref="R1002:R1014" si="279">P1002*(J1002-(J1002*L1002)-((J1002-(J1002*L1002))*M1002))</f>
        <v>0</v>
      </c>
      <c r="S1002" s="16">
        <f t="shared" si="260"/>
        <v>0</v>
      </c>
    </row>
    <row r="1003" spans="1:19" s="19" customFormat="1">
      <c r="A1003" s="18" t="s">
        <v>635</v>
      </c>
      <c r="B1003" s="19" t="s">
        <v>18</v>
      </c>
      <c r="C1003" s="20"/>
      <c r="D1003" s="21" t="s">
        <v>19</v>
      </c>
      <c r="E1003" s="26">
        <v>1</v>
      </c>
      <c r="F1003" s="22">
        <v>1</v>
      </c>
      <c r="G1003" s="23" t="s">
        <v>20</v>
      </c>
      <c r="H1003" s="22">
        <v>24</v>
      </c>
      <c r="I1003" s="23" t="s">
        <v>19</v>
      </c>
      <c r="J1003" s="24">
        <v>24300</v>
      </c>
      <c r="K1003" s="21" t="s">
        <v>19</v>
      </c>
      <c r="L1003" s="25">
        <v>0.125</v>
      </c>
      <c r="M1003" s="25">
        <v>0.05</v>
      </c>
      <c r="N1003" s="22"/>
      <c r="O1003" s="23" t="s">
        <v>19</v>
      </c>
      <c r="P1003" s="20">
        <f t="shared" ref="P1003:P1004" si="280">(C1003+(E1003*F1003*H1003))-N1003</f>
        <v>24</v>
      </c>
      <c r="Q1003" s="23" t="s">
        <v>19</v>
      </c>
      <c r="R1003" s="24">
        <f t="shared" ref="R1003:R1004" si="281">P1003*(J1003-(J1003*L1003)-((J1003-(J1003*L1003))*M1003))</f>
        <v>484785</v>
      </c>
      <c r="S1003" s="24">
        <f t="shared" ref="S1003:S1004" si="282">R1003/1.11</f>
        <v>436743.2432432432</v>
      </c>
    </row>
    <row r="1004" spans="1:19" s="19" customFormat="1">
      <c r="A1004" s="18" t="s">
        <v>636</v>
      </c>
      <c r="B1004" s="19" t="s">
        <v>18</v>
      </c>
      <c r="C1004" s="20"/>
      <c r="D1004" s="21" t="s">
        <v>19</v>
      </c>
      <c r="E1004" s="26">
        <v>6</v>
      </c>
      <c r="F1004" s="22">
        <v>1</v>
      </c>
      <c r="G1004" s="23" t="s">
        <v>20</v>
      </c>
      <c r="H1004" s="22">
        <v>24</v>
      </c>
      <c r="I1004" s="23" t="s">
        <v>19</v>
      </c>
      <c r="J1004" s="24">
        <v>11100</v>
      </c>
      <c r="K1004" s="21" t="s">
        <v>19</v>
      </c>
      <c r="L1004" s="25">
        <v>0.125</v>
      </c>
      <c r="M1004" s="25">
        <v>0.05</v>
      </c>
      <c r="N1004" s="22"/>
      <c r="O1004" s="23" t="s">
        <v>19</v>
      </c>
      <c r="P1004" s="20">
        <f t="shared" si="280"/>
        <v>144</v>
      </c>
      <c r="Q1004" s="23" t="s">
        <v>19</v>
      </c>
      <c r="R1004" s="24">
        <f t="shared" si="281"/>
        <v>1328670</v>
      </c>
      <c r="S1004" s="24">
        <f t="shared" si="282"/>
        <v>1197000</v>
      </c>
    </row>
    <row r="1005" spans="1:19" s="19" customFormat="1">
      <c r="A1005" s="18" t="s">
        <v>637</v>
      </c>
      <c r="B1005" s="19" t="s">
        <v>18</v>
      </c>
      <c r="C1005" s="20"/>
      <c r="D1005" s="21" t="s">
        <v>19</v>
      </c>
      <c r="E1005" s="26">
        <v>9</v>
      </c>
      <c r="F1005" s="22">
        <v>1</v>
      </c>
      <c r="G1005" s="23" t="s">
        <v>20</v>
      </c>
      <c r="H1005" s="22">
        <v>24</v>
      </c>
      <c r="I1005" s="23" t="s">
        <v>19</v>
      </c>
      <c r="J1005" s="24">
        <v>19000</v>
      </c>
      <c r="K1005" s="21" t="s">
        <v>19</v>
      </c>
      <c r="L1005" s="25">
        <v>0.125</v>
      </c>
      <c r="M1005" s="25">
        <v>0.05</v>
      </c>
      <c r="N1005" s="22"/>
      <c r="O1005" s="23" t="s">
        <v>19</v>
      </c>
      <c r="P1005" s="20">
        <f t="shared" si="278"/>
        <v>216</v>
      </c>
      <c r="Q1005" s="23" t="s">
        <v>19</v>
      </c>
      <c r="R1005" s="24">
        <f t="shared" si="279"/>
        <v>3411450</v>
      </c>
      <c r="S1005" s="24">
        <f t="shared" si="260"/>
        <v>3073378.3783783782</v>
      </c>
    </row>
    <row r="1006" spans="1:19" s="19" customFormat="1">
      <c r="A1006" s="18" t="s">
        <v>729</v>
      </c>
      <c r="B1006" s="19" t="s">
        <v>18</v>
      </c>
      <c r="C1006" s="20"/>
      <c r="D1006" s="21" t="s">
        <v>19</v>
      </c>
      <c r="E1006" s="26">
        <v>1</v>
      </c>
      <c r="F1006" s="22">
        <v>1</v>
      </c>
      <c r="G1006" s="23" t="s">
        <v>20</v>
      </c>
      <c r="H1006" s="22">
        <v>12</v>
      </c>
      <c r="I1006" s="23" t="s">
        <v>19</v>
      </c>
      <c r="J1006" s="24">
        <v>31000</v>
      </c>
      <c r="K1006" s="21" t="s">
        <v>19</v>
      </c>
      <c r="L1006" s="25">
        <v>0.125</v>
      </c>
      <c r="M1006" s="25">
        <v>0.05</v>
      </c>
      <c r="N1006" s="22"/>
      <c r="O1006" s="23" t="s">
        <v>19</v>
      </c>
      <c r="P1006" s="20">
        <f t="shared" si="278"/>
        <v>12</v>
      </c>
      <c r="Q1006" s="23" t="s">
        <v>19</v>
      </c>
      <c r="R1006" s="24">
        <f t="shared" si="279"/>
        <v>309225</v>
      </c>
      <c r="S1006" s="24">
        <f t="shared" si="260"/>
        <v>278581.08108108107</v>
      </c>
    </row>
    <row r="1007" spans="1:19" s="89" customFormat="1">
      <c r="A1007" s="88" t="s">
        <v>728</v>
      </c>
      <c r="B1007" s="89" t="s">
        <v>18</v>
      </c>
      <c r="C1007" s="87"/>
      <c r="D1007" s="90" t="s">
        <v>19</v>
      </c>
      <c r="E1007" s="91"/>
      <c r="F1007" s="92">
        <v>1</v>
      </c>
      <c r="G1007" s="93" t="s">
        <v>20</v>
      </c>
      <c r="H1007" s="92">
        <v>24</v>
      </c>
      <c r="I1007" s="93" t="s">
        <v>19</v>
      </c>
      <c r="J1007" s="94">
        <v>12300</v>
      </c>
      <c r="K1007" s="90" t="s">
        <v>19</v>
      </c>
      <c r="L1007" s="95">
        <v>0.125</v>
      </c>
      <c r="M1007" s="95">
        <v>0.05</v>
      </c>
      <c r="N1007" s="92"/>
      <c r="O1007" s="93" t="s">
        <v>19</v>
      </c>
      <c r="P1007" s="87">
        <f t="shared" si="278"/>
        <v>0</v>
      </c>
      <c r="Q1007" s="93" t="s">
        <v>19</v>
      </c>
      <c r="R1007" s="94">
        <f t="shared" si="279"/>
        <v>0</v>
      </c>
      <c r="S1007" s="16">
        <f t="shared" si="260"/>
        <v>0</v>
      </c>
    </row>
    <row r="1008" spans="1:19" s="19" customFormat="1">
      <c r="A1008" s="18" t="s">
        <v>830</v>
      </c>
      <c r="B1008" s="19" t="s">
        <v>18</v>
      </c>
      <c r="C1008" s="20"/>
      <c r="D1008" s="21" t="s">
        <v>19</v>
      </c>
      <c r="E1008" s="26">
        <v>2</v>
      </c>
      <c r="F1008" s="22">
        <v>1</v>
      </c>
      <c r="G1008" s="23" t="s">
        <v>20</v>
      </c>
      <c r="H1008" s="22">
        <v>24</v>
      </c>
      <c r="I1008" s="23" t="s">
        <v>19</v>
      </c>
      <c r="J1008" s="24">
        <v>16500</v>
      </c>
      <c r="K1008" s="21" t="s">
        <v>19</v>
      </c>
      <c r="L1008" s="25">
        <v>0.125</v>
      </c>
      <c r="M1008" s="25">
        <v>0.05</v>
      </c>
      <c r="N1008" s="22"/>
      <c r="O1008" s="23" t="s">
        <v>19</v>
      </c>
      <c r="P1008" s="20">
        <f t="shared" si="278"/>
        <v>48</v>
      </c>
      <c r="Q1008" s="23" t="s">
        <v>19</v>
      </c>
      <c r="R1008" s="24">
        <f t="shared" si="279"/>
        <v>658350</v>
      </c>
      <c r="S1008" s="8">
        <f t="shared" si="260"/>
        <v>593108.10810810805</v>
      </c>
    </row>
    <row r="1009" spans="1:19" s="80" customFormat="1">
      <c r="A1009" s="79" t="s">
        <v>633</v>
      </c>
      <c r="B1009" s="80" t="s">
        <v>18</v>
      </c>
      <c r="C1009" s="81"/>
      <c r="D1009" s="82" t="s">
        <v>19</v>
      </c>
      <c r="E1009" s="83">
        <v>1</v>
      </c>
      <c r="F1009" s="84">
        <v>1</v>
      </c>
      <c r="G1009" s="85" t="s">
        <v>20</v>
      </c>
      <c r="H1009" s="84">
        <v>24</v>
      </c>
      <c r="I1009" s="85" t="s">
        <v>19</v>
      </c>
      <c r="J1009" s="16">
        <v>17200</v>
      </c>
      <c r="K1009" s="82" t="s">
        <v>19</v>
      </c>
      <c r="L1009" s="86">
        <v>0.125</v>
      </c>
      <c r="M1009" s="86">
        <v>0.05</v>
      </c>
      <c r="N1009" s="84"/>
      <c r="O1009" s="85" t="s">
        <v>19</v>
      </c>
      <c r="P1009" s="81">
        <f t="shared" si="278"/>
        <v>24</v>
      </c>
      <c r="Q1009" s="85" t="s">
        <v>19</v>
      </c>
      <c r="R1009" s="16">
        <f t="shared" si="279"/>
        <v>343140</v>
      </c>
      <c r="S1009" s="16">
        <f>R1009/1.11</f>
        <v>309135.13513513509</v>
      </c>
    </row>
    <row r="1010" spans="1:19" s="80" customFormat="1">
      <c r="A1010" s="79" t="s">
        <v>884</v>
      </c>
      <c r="B1010" s="80" t="s">
        <v>18</v>
      </c>
      <c r="C1010" s="81"/>
      <c r="D1010" s="82" t="s">
        <v>19</v>
      </c>
      <c r="E1010" s="83">
        <v>1</v>
      </c>
      <c r="F1010" s="84">
        <v>1</v>
      </c>
      <c r="G1010" s="85" t="s">
        <v>20</v>
      </c>
      <c r="H1010" s="84">
        <v>12</v>
      </c>
      <c r="I1010" s="85" t="s">
        <v>19</v>
      </c>
      <c r="J1010" s="16">
        <v>30500</v>
      </c>
      <c r="K1010" s="82" t="s">
        <v>19</v>
      </c>
      <c r="L1010" s="86">
        <v>0.125</v>
      </c>
      <c r="M1010" s="86">
        <v>0.05</v>
      </c>
      <c r="N1010" s="84"/>
      <c r="O1010" s="85" t="s">
        <v>19</v>
      </c>
      <c r="P1010" s="81">
        <f>(C1010+(E1010*F1010*H1010))-N1010</f>
        <v>12</v>
      </c>
      <c r="Q1010" s="85" t="s">
        <v>19</v>
      </c>
      <c r="R1010" s="16">
        <f t="shared" ref="R1010" si="283">P1010*(J1010-(J1010*L1010)-((J1010-(J1010*L1010))*M1010))</f>
        <v>304237.5</v>
      </c>
      <c r="S1010" s="16">
        <f>R1010/1.11</f>
        <v>274087.83783783781</v>
      </c>
    </row>
    <row r="1011" spans="1:19" s="89" customFormat="1">
      <c r="A1011" s="88" t="s">
        <v>648</v>
      </c>
      <c r="B1011" s="89" t="s">
        <v>18</v>
      </c>
      <c r="C1011" s="87"/>
      <c r="D1011" s="90" t="s">
        <v>19</v>
      </c>
      <c r="E1011" s="91"/>
      <c r="F1011" s="92">
        <v>12</v>
      </c>
      <c r="G1011" s="93" t="s">
        <v>33</v>
      </c>
      <c r="H1011" s="92">
        <v>20</v>
      </c>
      <c r="I1011" s="93" t="s">
        <v>19</v>
      </c>
      <c r="J1011" s="94">
        <v>5150</v>
      </c>
      <c r="K1011" s="90" t="s">
        <v>19</v>
      </c>
      <c r="L1011" s="95">
        <v>0.125</v>
      </c>
      <c r="M1011" s="95">
        <v>0.05</v>
      </c>
      <c r="N1011" s="92"/>
      <c r="O1011" s="93" t="s">
        <v>19</v>
      </c>
      <c r="P1011" s="87">
        <f t="shared" si="278"/>
        <v>0</v>
      </c>
      <c r="Q1011" s="93" t="s">
        <v>19</v>
      </c>
      <c r="R1011" s="94">
        <f t="shared" si="279"/>
        <v>0</v>
      </c>
      <c r="S1011" s="94">
        <f t="shared" ref="S1011" si="284">R1011/1.11</f>
        <v>0</v>
      </c>
    </row>
    <row r="1012" spans="1:19" s="19" customFormat="1">
      <c r="A1012" s="18" t="s">
        <v>638</v>
      </c>
      <c r="B1012" s="19" t="s">
        <v>18</v>
      </c>
      <c r="C1012" s="20">
        <v>73</v>
      </c>
      <c r="D1012" s="21" t="s">
        <v>19</v>
      </c>
      <c r="E1012" s="26"/>
      <c r="F1012" s="22">
        <v>1</v>
      </c>
      <c r="G1012" s="23" t="s">
        <v>20</v>
      </c>
      <c r="H1012" s="22">
        <v>96</v>
      </c>
      <c r="I1012" s="23" t="s">
        <v>19</v>
      </c>
      <c r="J1012" s="24">
        <v>14200</v>
      </c>
      <c r="K1012" s="21" t="s">
        <v>19</v>
      </c>
      <c r="L1012" s="25">
        <v>0.125</v>
      </c>
      <c r="M1012" s="25">
        <v>0.05</v>
      </c>
      <c r="N1012" s="22"/>
      <c r="O1012" s="23" t="s">
        <v>19</v>
      </c>
      <c r="P1012" s="20">
        <f t="shared" si="278"/>
        <v>73</v>
      </c>
      <c r="Q1012" s="23" t="s">
        <v>19</v>
      </c>
      <c r="R1012" s="24">
        <f t="shared" si="279"/>
        <v>861673.75</v>
      </c>
      <c r="S1012" s="24">
        <f t="shared" si="260"/>
        <v>776282.65765765763</v>
      </c>
    </row>
    <row r="1013" spans="1:19" s="80" customFormat="1">
      <c r="A1013" s="79" t="s">
        <v>639</v>
      </c>
      <c r="B1013" s="80" t="s">
        <v>18</v>
      </c>
      <c r="C1013" s="81"/>
      <c r="D1013" s="82" t="s">
        <v>19</v>
      </c>
      <c r="E1013" s="83"/>
      <c r="F1013" s="84">
        <v>1</v>
      </c>
      <c r="G1013" s="85" t="s">
        <v>20</v>
      </c>
      <c r="H1013" s="84">
        <v>24</v>
      </c>
      <c r="I1013" s="85" t="s">
        <v>19</v>
      </c>
      <c r="J1013" s="16">
        <v>41000</v>
      </c>
      <c r="K1013" s="82" t="s">
        <v>19</v>
      </c>
      <c r="L1013" s="86">
        <v>0.125</v>
      </c>
      <c r="M1013" s="86">
        <v>0.05</v>
      </c>
      <c r="N1013" s="84"/>
      <c r="O1013" s="85" t="s">
        <v>19</v>
      </c>
      <c r="P1013" s="81">
        <f t="shared" si="278"/>
        <v>0</v>
      </c>
      <c r="Q1013" s="85" t="s">
        <v>19</v>
      </c>
      <c r="R1013" s="16">
        <f t="shared" si="279"/>
        <v>0</v>
      </c>
      <c r="S1013" s="16">
        <f t="shared" si="260"/>
        <v>0</v>
      </c>
    </row>
    <row r="1014" spans="1:19">
      <c r="A1014" s="17" t="s">
        <v>640</v>
      </c>
      <c r="B1014" s="2" t="s">
        <v>18</v>
      </c>
      <c r="C1014" s="3">
        <v>146</v>
      </c>
      <c r="D1014" s="4" t="s">
        <v>19</v>
      </c>
      <c r="F1014" s="6">
        <v>1</v>
      </c>
      <c r="G1014" s="7" t="s">
        <v>20</v>
      </c>
      <c r="H1014" s="6">
        <v>100</v>
      </c>
      <c r="I1014" s="7" t="s">
        <v>19</v>
      </c>
      <c r="J1014" s="8">
        <v>15500</v>
      </c>
      <c r="K1014" s="4" t="s">
        <v>19</v>
      </c>
      <c r="L1014" s="9">
        <v>0.125</v>
      </c>
      <c r="M1014" s="9">
        <v>0.05</v>
      </c>
      <c r="O1014" s="7" t="s">
        <v>19</v>
      </c>
      <c r="P1014" s="3">
        <f t="shared" si="278"/>
        <v>146</v>
      </c>
      <c r="Q1014" s="7" t="s">
        <v>19</v>
      </c>
      <c r="R1014" s="8">
        <f t="shared" si="279"/>
        <v>1881118.75</v>
      </c>
      <c r="S1014" s="8">
        <f t="shared" si="260"/>
        <v>1694701.5765765763</v>
      </c>
    </row>
    <row r="1016" spans="1:19" s="89" customFormat="1">
      <c r="A1016" s="148" t="s">
        <v>677</v>
      </c>
      <c r="B1016" s="89" t="s">
        <v>25</v>
      </c>
      <c r="C1016" s="87"/>
      <c r="D1016" s="90" t="s">
        <v>19</v>
      </c>
      <c r="E1016" s="91">
        <v>1</v>
      </c>
      <c r="F1016" s="92">
        <v>1</v>
      </c>
      <c r="G1016" s="93" t="s">
        <v>20</v>
      </c>
      <c r="H1016" s="92">
        <v>24</v>
      </c>
      <c r="I1016" s="93" t="s">
        <v>19</v>
      </c>
      <c r="J1016" s="94">
        <f>372000/24</f>
        <v>15500</v>
      </c>
      <c r="K1016" s="90" t="s">
        <v>19</v>
      </c>
      <c r="L1016" s="95"/>
      <c r="M1016" s="95">
        <v>0.17</v>
      </c>
      <c r="N1016" s="92"/>
      <c r="O1016" s="93" t="s">
        <v>19</v>
      </c>
      <c r="P1016" s="87">
        <f t="shared" ref="P1016:P1024" si="285">(C1016+(E1016*F1016*H1016))-N1016</f>
        <v>24</v>
      </c>
      <c r="Q1016" s="93" t="s">
        <v>19</v>
      </c>
      <c r="R1016" s="94">
        <f t="shared" ref="R1016:R1024" si="286">P1016*(J1016-(J1016*L1016)-((J1016-(J1016*L1016))*M1016))</f>
        <v>308760</v>
      </c>
      <c r="S1016" s="94">
        <f t="shared" si="260"/>
        <v>278162.16216216213</v>
      </c>
    </row>
    <row r="1017" spans="1:19" s="80" customFormat="1">
      <c r="A1017" s="148" t="s">
        <v>641</v>
      </c>
      <c r="B1017" s="80" t="s">
        <v>25</v>
      </c>
      <c r="C1017" s="81"/>
      <c r="D1017" s="82" t="s">
        <v>19</v>
      </c>
      <c r="E1017" s="83"/>
      <c r="F1017" s="84">
        <v>1</v>
      </c>
      <c r="G1017" s="85" t="s">
        <v>20</v>
      </c>
      <c r="H1017" s="84">
        <v>24</v>
      </c>
      <c r="I1017" s="85" t="s">
        <v>19</v>
      </c>
      <c r="J1017" s="16">
        <f>444000/24</f>
        <v>18500</v>
      </c>
      <c r="K1017" s="82" t="s">
        <v>19</v>
      </c>
      <c r="L1017" s="86"/>
      <c r="M1017" s="86">
        <v>0.17</v>
      </c>
      <c r="N1017" s="84"/>
      <c r="O1017" s="85" t="s">
        <v>19</v>
      </c>
      <c r="P1017" s="81">
        <f t="shared" si="285"/>
        <v>0</v>
      </c>
      <c r="Q1017" s="85" t="s">
        <v>19</v>
      </c>
      <c r="R1017" s="16">
        <f t="shared" si="286"/>
        <v>0</v>
      </c>
      <c r="S1017" s="16">
        <f t="shared" si="260"/>
        <v>0</v>
      </c>
    </row>
    <row r="1018" spans="1:19" s="19" customFormat="1">
      <c r="A1018" s="55" t="s">
        <v>642</v>
      </c>
      <c r="B1018" s="19" t="s">
        <v>25</v>
      </c>
      <c r="C1018" s="20">
        <v>19</v>
      </c>
      <c r="D1018" s="21" t="s">
        <v>19</v>
      </c>
      <c r="E1018" s="26">
        <v>31</v>
      </c>
      <c r="F1018" s="22">
        <v>1</v>
      </c>
      <c r="G1018" s="23" t="s">
        <v>20</v>
      </c>
      <c r="H1018" s="22">
        <v>24</v>
      </c>
      <c r="I1018" s="23" t="s">
        <v>19</v>
      </c>
      <c r="J1018" s="24">
        <f>462000/24</f>
        <v>19250</v>
      </c>
      <c r="K1018" s="21" t="s">
        <v>19</v>
      </c>
      <c r="L1018" s="25"/>
      <c r="M1018" s="25">
        <v>0.17</v>
      </c>
      <c r="N1018" s="22"/>
      <c r="O1018" s="23" t="s">
        <v>19</v>
      </c>
      <c r="P1018" s="20">
        <f t="shared" si="285"/>
        <v>763</v>
      </c>
      <c r="Q1018" s="23" t="s">
        <v>19</v>
      </c>
      <c r="R1018" s="24">
        <f t="shared" si="286"/>
        <v>12190832.5</v>
      </c>
      <c r="S1018" s="8">
        <f t="shared" si="260"/>
        <v>10982731.981981982</v>
      </c>
    </row>
    <row r="1019" spans="1:19" s="19" customFormat="1">
      <c r="A1019" s="55" t="s">
        <v>709</v>
      </c>
      <c r="B1019" s="19" t="s">
        <v>25</v>
      </c>
      <c r="C1019" s="20">
        <v>30</v>
      </c>
      <c r="D1019" s="21" t="s">
        <v>19</v>
      </c>
      <c r="E1019" s="26"/>
      <c r="F1019" s="22">
        <v>1</v>
      </c>
      <c r="G1019" s="23" t="s">
        <v>20</v>
      </c>
      <c r="H1019" s="22">
        <v>24</v>
      </c>
      <c r="I1019" s="23" t="s">
        <v>19</v>
      </c>
      <c r="J1019" s="24">
        <f>462000/24</f>
        <v>19250</v>
      </c>
      <c r="K1019" s="21" t="s">
        <v>19</v>
      </c>
      <c r="L1019" s="25"/>
      <c r="M1019" s="25">
        <v>0.17</v>
      </c>
      <c r="N1019" s="22"/>
      <c r="O1019" s="23" t="s">
        <v>19</v>
      </c>
      <c r="P1019" s="20">
        <f t="shared" si="285"/>
        <v>30</v>
      </c>
      <c r="Q1019" s="23" t="s">
        <v>19</v>
      </c>
      <c r="R1019" s="24">
        <f t="shared" si="286"/>
        <v>479325</v>
      </c>
      <c r="S1019" s="8">
        <f t="shared" si="260"/>
        <v>431824.32432432426</v>
      </c>
    </row>
    <row r="1020" spans="1:19" s="80" customFormat="1">
      <c r="A1020" s="148" t="s">
        <v>643</v>
      </c>
      <c r="B1020" s="80" t="s">
        <v>25</v>
      </c>
      <c r="C1020" s="81"/>
      <c r="D1020" s="82" t="s">
        <v>19</v>
      </c>
      <c r="E1020" s="83"/>
      <c r="F1020" s="84">
        <v>1</v>
      </c>
      <c r="G1020" s="85" t="s">
        <v>20</v>
      </c>
      <c r="H1020" s="84">
        <v>24</v>
      </c>
      <c r="I1020" s="85" t="s">
        <v>19</v>
      </c>
      <c r="J1020" s="16">
        <v>17250</v>
      </c>
      <c r="K1020" s="82" t="s">
        <v>19</v>
      </c>
      <c r="L1020" s="86"/>
      <c r="M1020" s="86">
        <v>0.17</v>
      </c>
      <c r="N1020" s="84"/>
      <c r="O1020" s="85" t="s">
        <v>19</v>
      </c>
      <c r="P1020" s="81">
        <f t="shared" si="285"/>
        <v>0</v>
      </c>
      <c r="Q1020" s="85" t="s">
        <v>19</v>
      </c>
      <c r="R1020" s="16">
        <f t="shared" si="286"/>
        <v>0</v>
      </c>
      <c r="S1020" s="16">
        <f t="shared" si="260"/>
        <v>0</v>
      </c>
    </row>
    <row r="1021" spans="1:19" s="80" customFormat="1">
      <c r="A1021" s="148" t="s">
        <v>712</v>
      </c>
      <c r="B1021" s="80" t="s">
        <v>25</v>
      </c>
      <c r="C1021" s="81"/>
      <c r="D1021" s="82" t="s">
        <v>19</v>
      </c>
      <c r="E1021" s="83"/>
      <c r="F1021" s="84">
        <v>1</v>
      </c>
      <c r="G1021" s="85" t="s">
        <v>20</v>
      </c>
      <c r="H1021" s="84">
        <v>24</v>
      </c>
      <c r="I1021" s="85" t="s">
        <v>19</v>
      </c>
      <c r="J1021" s="16">
        <f>420000/24</f>
        <v>17500</v>
      </c>
      <c r="K1021" s="82" t="s">
        <v>19</v>
      </c>
      <c r="L1021" s="86"/>
      <c r="M1021" s="86">
        <v>0.17</v>
      </c>
      <c r="N1021" s="84"/>
      <c r="O1021" s="85" t="s">
        <v>19</v>
      </c>
      <c r="P1021" s="81">
        <f t="shared" si="285"/>
        <v>0</v>
      </c>
      <c r="Q1021" s="85" t="s">
        <v>19</v>
      </c>
      <c r="R1021" s="16">
        <f t="shared" si="286"/>
        <v>0</v>
      </c>
      <c r="S1021" s="16">
        <f t="shared" si="260"/>
        <v>0</v>
      </c>
    </row>
    <row r="1022" spans="1:19">
      <c r="A1022" s="55" t="s">
        <v>644</v>
      </c>
      <c r="B1022" s="2" t="s">
        <v>25</v>
      </c>
      <c r="C1022" s="3">
        <v>12</v>
      </c>
      <c r="D1022" s="4" t="s">
        <v>19</v>
      </c>
      <c r="F1022" s="6">
        <v>1</v>
      </c>
      <c r="G1022" s="7" t="s">
        <v>20</v>
      </c>
      <c r="H1022" s="6">
        <v>12</v>
      </c>
      <c r="I1022" s="7" t="s">
        <v>19</v>
      </c>
      <c r="J1022" s="8">
        <f>342000/12</f>
        <v>28500</v>
      </c>
      <c r="K1022" s="4" t="s">
        <v>19</v>
      </c>
      <c r="M1022" s="9">
        <v>0.17</v>
      </c>
      <c r="O1022" s="7" t="s">
        <v>19</v>
      </c>
      <c r="P1022" s="3">
        <f t="shared" si="285"/>
        <v>12</v>
      </c>
      <c r="Q1022" s="7" t="s">
        <v>19</v>
      </c>
      <c r="R1022" s="8">
        <f t="shared" si="286"/>
        <v>283860</v>
      </c>
      <c r="S1022" s="8">
        <f t="shared" si="260"/>
        <v>255729.7297297297</v>
      </c>
    </row>
    <row r="1023" spans="1:19" s="80" customFormat="1">
      <c r="A1023" s="148" t="s">
        <v>645</v>
      </c>
      <c r="B1023" s="80" t="s">
        <v>25</v>
      </c>
      <c r="C1023" s="87"/>
      <c r="D1023" s="82" t="s">
        <v>19</v>
      </c>
      <c r="E1023" s="83"/>
      <c r="F1023" s="84">
        <v>1</v>
      </c>
      <c r="G1023" s="85" t="s">
        <v>20</v>
      </c>
      <c r="H1023" s="84">
        <v>12</v>
      </c>
      <c r="I1023" s="85" t="s">
        <v>19</v>
      </c>
      <c r="J1023" s="16">
        <f>348000/12</f>
        <v>29000</v>
      </c>
      <c r="K1023" s="82" t="s">
        <v>19</v>
      </c>
      <c r="L1023" s="86"/>
      <c r="M1023" s="86">
        <v>0.17</v>
      </c>
      <c r="N1023" s="84"/>
      <c r="O1023" s="85" t="s">
        <v>19</v>
      </c>
      <c r="P1023" s="81">
        <f t="shared" si="285"/>
        <v>0</v>
      </c>
      <c r="Q1023" s="85" t="s">
        <v>19</v>
      </c>
      <c r="R1023" s="16">
        <f t="shared" si="286"/>
        <v>0</v>
      </c>
      <c r="S1023" s="16">
        <f t="shared" si="260"/>
        <v>0</v>
      </c>
    </row>
    <row r="1024" spans="1:19" s="80" customFormat="1">
      <c r="A1024" s="148" t="s">
        <v>657</v>
      </c>
      <c r="B1024" s="80" t="s">
        <v>25</v>
      </c>
      <c r="C1024" s="87"/>
      <c r="D1024" s="82" t="s">
        <v>19</v>
      </c>
      <c r="E1024" s="83"/>
      <c r="F1024" s="84">
        <v>8</v>
      </c>
      <c r="G1024" s="85" t="s">
        <v>40</v>
      </c>
      <c r="H1024" s="84">
        <v>12</v>
      </c>
      <c r="I1024" s="85" t="s">
        <v>19</v>
      </c>
      <c r="J1024" s="16">
        <f>2112000/8/12</f>
        <v>22000</v>
      </c>
      <c r="K1024" s="82" t="s">
        <v>19</v>
      </c>
      <c r="L1024" s="86"/>
      <c r="M1024" s="86">
        <v>0.17</v>
      </c>
      <c r="N1024" s="84"/>
      <c r="O1024" s="85" t="s">
        <v>19</v>
      </c>
      <c r="P1024" s="81">
        <f t="shared" si="285"/>
        <v>0</v>
      </c>
      <c r="Q1024" s="85" t="s">
        <v>19</v>
      </c>
      <c r="R1024" s="16">
        <f t="shared" si="286"/>
        <v>0</v>
      </c>
      <c r="S1024" s="16">
        <f t="shared" si="260"/>
        <v>0</v>
      </c>
    </row>
    <row r="1025" spans="1:21">
      <c r="A1025" s="55"/>
      <c r="C1025" s="20"/>
    </row>
    <row r="1026" spans="1:21" s="19" customFormat="1">
      <c r="A1026" s="55" t="s">
        <v>646</v>
      </c>
      <c r="B1026" s="19" t="s">
        <v>182</v>
      </c>
      <c r="C1026" s="20"/>
      <c r="D1026" s="21" t="s">
        <v>40</v>
      </c>
      <c r="E1026" s="26">
        <v>10</v>
      </c>
      <c r="F1026" s="22">
        <v>48</v>
      </c>
      <c r="G1026" s="23" t="s">
        <v>33</v>
      </c>
      <c r="H1026" s="22">
        <v>1</v>
      </c>
      <c r="I1026" s="23" t="s">
        <v>40</v>
      </c>
      <c r="J1026" s="24">
        <v>92000</v>
      </c>
      <c r="K1026" s="21" t="s">
        <v>40</v>
      </c>
      <c r="L1026" s="78">
        <v>0.27927000000000002</v>
      </c>
      <c r="M1026" s="25"/>
      <c r="N1026" s="22"/>
      <c r="O1026" s="23" t="s">
        <v>40</v>
      </c>
      <c r="P1026" s="20">
        <f>(C1026+(E1026*F1026*H1026))-N1026</f>
        <v>480</v>
      </c>
      <c r="Q1026" s="23" t="s">
        <v>40</v>
      </c>
      <c r="R1026" s="24">
        <f>P1026*(J1026-(J1026*L1026)-((J1026-(J1026*L1026))*M1026))</f>
        <v>31827436.800000001</v>
      </c>
      <c r="S1026" s="24">
        <f t="shared" ref="S1026" si="287">R1026/1.11</f>
        <v>28673366.486486483</v>
      </c>
    </row>
    <row r="1027" spans="1:21" s="19" customFormat="1">
      <c r="A1027" s="55"/>
      <c r="C1027" s="20"/>
      <c r="D1027" s="21"/>
      <c r="E1027" s="26"/>
      <c r="F1027" s="22"/>
      <c r="G1027" s="23"/>
      <c r="H1027" s="22"/>
      <c r="I1027" s="23"/>
      <c r="J1027" s="24"/>
      <c r="K1027" s="21"/>
      <c r="L1027" s="25"/>
      <c r="M1027" s="25"/>
      <c r="N1027" s="22"/>
      <c r="O1027" s="23"/>
      <c r="P1027" s="20"/>
      <c r="Q1027" s="23"/>
      <c r="R1027" s="24"/>
      <c r="S1027" s="8"/>
    </row>
    <row r="1028" spans="1:21" s="80" customFormat="1">
      <c r="A1028" s="148" t="s">
        <v>647</v>
      </c>
      <c r="B1028" s="80" t="s">
        <v>598</v>
      </c>
      <c r="C1028" s="87"/>
      <c r="D1028" s="82" t="s">
        <v>19</v>
      </c>
      <c r="E1028" s="83"/>
      <c r="F1028" s="84">
        <v>1</v>
      </c>
      <c r="G1028" s="85" t="s">
        <v>20</v>
      </c>
      <c r="H1028" s="84">
        <v>24</v>
      </c>
      <c r="I1028" s="85" t="s">
        <v>19</v>
      </c>
      <c r="J1028" s="16">
        <v>18200</v>
      </c>
      <c r="K1028" s="82" t="s">
        <v>19</v>
      </c>
      <c r="L1028" s="86">
        <v>0.15</v>
      </c>
      <c r="M1028" s="86">
        <v>0.03</v>
      </c>
      <c r="N1028" s="84"/>
      <c r="O1028" s="85" t="s">
        <v>19</v>
      </c>
      <c r="P1028" s="81">
        <f>(C1028+(E1028*F1028*H1028))-N1028</f>
        <v>0</v>
      </c>
      <c r="Q1028" s="85" t="s">
        <v>19</v>
      </c>
      <c r="R1028" s="16">
        <f>P1028*(J1028-(J1028*L1028)-((J1028-(J1028*L1028))*M1028))</f>
        <v>0</v>
      </c>
      <c r="S1028" s="16">
        <f t="shared" ref="S1028" si="288">R1028/1.11</f>
        <v>0</v>
      </c>
    </row>
    <row r="1029" spans="1:21">
      <c r="C1029" s="20"/>
    </row>
    <row r="1030" spans="1:21" ht="15.75">
      <c r="A1030" s="14" t="s">
        <v>651</v>
      </c>
      <c r="C1030" s="20"/>
    </row>
    <row r="1031" spans="1:21" s="89" customFormat="1">
      <c r="A1031" s="88" t="s">
        <v>652</v>
      </c>
      <c r="B1031" s="89" t="s">
        <v>18</v>
      </c>
      <c r="C1031" s="87"/>
      <c r="D1031" s="90" t="s">
        <v>19</v>
      </c>
      <c r="E1031" s="91"/>
      <c r="F1031" s="92">
        <v>1</v>
      </c>
      <c r="G1031" s="93" t="s">
        <v>20</v>
      </c>
      <c r="H1031" s="92">
        <v>100</v>
      </c>
      <c r="I1031" s="93" t="s">
        <v>19</v>
      </c>
      <c r="J1031" s="94">
        <v>8400</v>
      </c>
      <c r="K1031" s="90" t="s">
        <v>19</v>
      </c>
      <c r="L1031" s="95">
        <v>0.125</v>
      </c>
      <c r="M1031" s="95">
        <v>0.05</v>
      </c>
      <c r="N1031" s="92"/>
      <c r="O1031" s="93" t="s">
        <v>19</v>
      </c>
      <c r="P1031" s="87">
        <f>(C1031+(E1031*F1031*H1031))-N1031</f>
        <v>0</v>
      </c>
      <c r="Q1031" s="93" t="s">
        <v>19</v>
      </c>
      <c r="R1031" s="94">
        <f>P1031*(J1031-(J1031*L1031)-((J1031-(J1031*L1031))*M1031))</f>
        <v>0</v>
      </c>
      <c r="S1031" s="94">
        <f t="shared" ref="S1031" si="289">R1031/1.11</f>
        <v>0</v>
      </c>
    </row>
    <row r="1032" spans="1:21">
      <c r="C1032" s="20"/>
    </row>
    <row r="1033" spans="1:21" ht="15.75">
      <c r="A1033" s="14" t="s">
        <v>802</v>
      </c>
      <c r="C1033" s="20"/>
    </row>
    <row r="1034" spans="1:21" s="19" customFormat="1">
      <c r="A1034" s="18" t="s">
        <v>876</v>
      </c>
      <c r="B1034" s="19" t="s">
        <v>46</v>
      </c>
      <c r="C1034" s="20">
        <v>14</v>
      </c>
      <c r="D1034" s="21" t="s">
        <v>19</v>
      </c>
      <c r="E1034" s="26"/>
      <c r="F1034" s="22">
        <v>4</v>
      </c>
      <c r="G1034" s="23" t="s">
        <v>33</v>
      </c>
      <c r="H1034" s="22">
        <v>12</v>
      </c>
      <c r="I1034" s="23" t="s">
        <v>19</v>
      </c>
      <c r="J1034" s="24"/>
      <c r="K1034" s="21" t="s">
        <v>19</v>
      </c>
      <c r="L1034" s="25">
        <v>0.1</v>
      </c>
      <c r="M1034" s="25">
        <v>0.05</v>
      </c>
      <c r="N1034" s="22"/>
      <c r="O1034" s="23" t="s">
        <v>19</v>
      </c>
      <c r="P1034" s="20">
        <f>(C1034+(E1034*F1034*H1034))-N1034</f>
        <v>14</v>
      </c>
      <c r="Q1034" s="23" t="s">
        <v>19</v>
      </c>
      <c r="R1034" s="24">
        <f>P1034*(J1034-(J1034*L1034)-((J1034-(J1034*L1034))*M1034))</f>
        <v>0</v>
      </c>
      <c r="S1034" s="24">
        <f t="shared" ref="S1034" si="290">R1034/1.11</f>
        <v>0</v>
      </c>
    </row>
    <row r="1035" spans="1:21">
      <c r="A1035" s="2"/>
      <c r="R1035" s="16"/>
      <c r="S1035" s="16"/>
    </row>
    <row r="1037" spans="1:21" ht="16.5">
      <c r="R1037" s="27">
        <f>SUM(R6:R1035)</f>
        <v>6756283471.4000006</v>
      </c>
      <c r="S1037" s="27">
        <f>SUM(S6:S1035)</f>
        <v>6086741866.1261215</v>
      </c>
    </row>
    <row r="1038" spans="1:21">
      <c r="R1038" s="30"/>
      <c r="S1038" s="28"/>
      <c r="U1038" s="8"/>
    </row>
    <row r="1039" spans="1:21">
      <c r="R1039" s="69"/>
      <c r="S1039" s="68"/>
      <c r="U1039" s="43"/>
    </row>
    <row r="1040" spans="1:21" ht="15.75">
      <c r="R1040" s="70"/>
      <c r="S1040" s="70"/>
      <c r="U1040" s="43"/>
    </row>
    <row r="1041" spans="18:19">
      <c r="R1041" s="29"/>
      <c r="S1041" s="29"/>
    </row>
    <row r="1042" spans="18:19">
      <c r="S1042" s="45"/>
    </row>
    <row r="1043" spans="18:19">
      <c r="R1043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2023-03-16T07:12:39Z</dcterms:modified>
</cp:coreProperties>
</file>