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5" r:id="rId8"/>
  </pivotCaches>
</workbook>
</file>

<file path=xl/calcChain.xml><?xml version="1.0" encoding="utf-8"?>
<calcChain xmlns="http://schemas.openxmlformats.org/spreadsheetml/2006/main">
  <c r="N71" i="1" l="1"/>
  <c r="N44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5" i="1"/>
  <c r="N66" i="1"/>
  <c r="N67" i="1"/>
  <c r="N68" i="1"/>
  <c r="N69" i="1"/>
  <c r="N70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B5" i="1" l="1"/>
  <c r="G5" i="1" s="1"/>
  <c r="A5" i="1" s="1"/>
  <c r="AA5" i="1" s="1"/>
  <c r="H5" i="1"/>
  <c r="I5" i="1"/>
  <c r="V5" i="1"/>
  <c r="W5" i="1" s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AA4" i="1" s="1"/>
  <c r="G7" i="1"/>
  <c r="A7" i="1" s="1"/>
  <c r="AA7" i="1" s="1"/>
  <c r="G8" i="1"/>
  <c r="A8" i="1" s="1"/>
  <c r="AA8" i="1" s="1"/>
  <c r="G10" i="1"/>
  <c r="A10" i="1" s="1"/>
  <c r="AA10" i="1" s="1"/>
  <c r="G11" i="1"/>
  <c r="A11" i="1" s="1"/>
  <c r="AA11" i="1" s="1"/>
  <c r="G12" i="1"/>
  <c r="A12" i="1" s="1"/>
  <c r="AA12" i="1" s="1"/>
  <c r="G13" i="1"/>
  <c r="A13" i="1" s="1"/>
  <c r="AA13" i="1" s="1"/>
  <c r="G14" i="1"/>
  <c r="A14" i="1" s="1"/>
  <c r="AA14" i="1" s="1"/>
  <c r="G15" i="1"/>
  <c r="A15" i="1" s="1"/>
  <c r="G16" i="1"/>
  <c r="A16" i="1" s="1"/>
  <c r="AA16" i="1" s="1"/>
  <c r="G17" i="1"/>
  <c r="A17" i="1" s="1"/>
  <c r="AA17" i="1" s="1"/>
  <c r="G18" i="1"/>
  <c r="A18" i="1" s="1"/>
  <c r="AA18" i="1" s="1"/>
  <c r="G19" i="1"/>
  <c r="A19" i="1" s="1"/>
  <c r="AA19" i="1" s="1"/>
  <c r="G20" i="1"/>
  <c r="A20" i="1" s="1"/>
  <c r="AA20" i="1" s="1"/>
  <c r="G21" i="1"/>
  <c r="A21" i="1" s="1"/>
  <c r="AA21" i="1" s="1"/>
  <c r="G22" i="1"/>
  <c r="A22" i="1" s="1"/>
  <c r="AA22" i="1" s="1"/>
  <c r="G23" i="1"/>
  <c r="A23" i="1" s="1"/>
  <c r="G24" i="1"/>
  <c r="A24" i="1" s="1"/>
  <c r="AA24" i="1" s="1"/>
  <c r="G25" i="1"/>
  <c r="A25" i="1" s="1"/>
  <c r="AA25" i="1" s="1"/>
  <c r="G26" i="1"/>
  <c r="A26" i="1" s="1"/>
  <c r="G27" i="1"/>
  <c r="A27" i="1" s="1"/>
  <c r="AA27" i="1" s="1"/>
  <c r="G28" i="1"/>
  <c r="A28" i="1" s="1"/>
  <c r="AA28" i="1" s="1"/>
  <c r="G29" i="1"/>
  <c r="A29" i="1" s="1"/>
  <c r="AA29" i="1" s="1"/>
  <c r="G30" i="1"/>
  <c r="A30" i="1" s="1"/>
  <c r="AA30" i="1" s="1"/>
  <c r="G31" i="1"/>
  <c r="A31" i="1" s="1"/>
  <c r="AA31" i="1" s="1"/>
  <c r="G32" i="1"/>
  <c r="A32" i="1" s="1"/>
  <c r="G33" i="1"/>
  <c r="A33" i="1" s="1"/>
  <c r="AA33" i="1" s="1"/>
  <c r="G34" i="1"/>
  <c r="A34" i="1" s="1"/>
  <c r="AA34" i="1" s="1"/>
  <c r="G36" i="1"/>
  <c r="A36" i="1" s="1"/>
  <c r="AA36" i="1" s="1"/>
  <c r="G37" i="1"/>
  <c r="A37" i="1" s="1"/>
  <c r="AA37" i="1" s="1"/>
  <c r="G38" i="1"/>
  <c r="A38" i="1" s="1"/>
  <c r="AA38" i="1" s="1"/>
  <c r="G39" i="1"/>
  <c r="A39" i="1" s="1"/>
  <c r="AA39" i="1" s="1"/>
  <c r="G40" i="1"/>
  <c r="A40" i="1" s="1"/>
  <c r="AA40" i="1" s="1"/>
  <c r="G41" i="1"/>
  <c r="A41" i="1" s="1"/>
  <c r="G42" i="1"/>
  <c r="A42" i="1" s="1"/>
  <c r="AA42" i="1" s="1"/>
  <c r="G43" i="1"/>
  <c r="A43" i="1" s="1"/>
  <c r="AA43" i="1" s="1"/>
  <c r="G44" i="1"/>
  <c r="A44" i="1" s="1"/>
  <c r="AA44" i="1" s="1"/>
  <c r="G45" i="1"/>
  <c r="A45" i="1" s="1"/>
  <c r="AA45" i="1" s="1"/>
  <c r="G46" i="1"/>
  <c r="A46" i="1" s="1"/>
  <c r="AA46" i="1" s="1"/>
  <c r="G47" i="1"/>
  <c r="A47" i="1" s="1"/>
  <c r="AA47" i="1" s="1"/>
  <c r="G48" i="1"/>
  <c r="A48" i="1" s="1"/>
  <c r="G49" i="1"/>
  <c r="A49" i="1" s="1"/>
  <c r="AA49" i="1" s="1"/>
  <c r="G50" i="1"/>
  <c r="A50" i="1" s="1"/>
  <c r="G51" i="1"/>
  <c r="A51" i="1" s="1"/>
  <c r="AA51" i="1" s="1"/>
  <c r="G52" i="1"/>
  <c r="A52" i="1" s="1"/>
  <c r="G53" i="1"/>
  <c r="A53" i="1" s="1"/>
  <c r="AA53" i="1" s="1"/>
  <c r="G54" i="1"/>
  <c r="A54" i="1" s="1"/>
  <c r="G55" i="1"/>
  <c r="A55" i="1" s="1"/>
  <c r="AA55" i="1" s="1"/>
  <c r="G56" i="1"/>
  <c r="A56" i="1" s="1"/>
  <c r="G57" i="1"/>
  <c r="A57" i="1" s="1"/>
  <c r="AA57" i="1" s="1"/>
  <c r="G58" i="1"/>
  <c r="A58" i="1" s="1"/>
  <c r="G59" i="1"/>
  <c r="A59" i="1" s="1"/>
  <c r="AA59" i="1" s="1"/>
  <c r="G60" i="1"/>
  <c r="A60" i="1" s="1"/>
  <c r="G61" i="1"/>
  <c r="A61" i="1" s="1"/>
  <c r="AA61" i="1" s="1"/>
  <c r="G62" i="1"/>
  <c r="A62" i="1" s="1"/>
  <c r="AA62" i="1" s="1"/>
  <c r="G63" i="1"/>
  <c r="A63" i="1" s="1"/>
  <c r="AA63" i="1" s="1"/>
  <c r="G64" i="1"/>
  <c r="A64" i="1" s="1"/>
  <c r="AA64" i="1" s="1"/>
  <c r="G65" i="1"/>
  <c r="A65" i="1" s="1"/>
  <c r="AA65" i="1" s="1"/>
  <c r="G66" i="1"/>
  <c r="A66" i="1" s="1"/>
  <c r="AA66" i="1" s="1"/>
  <c r="G68" i="1"/>
  <c r="A68" i="1" s="1"/>
  <c r="AA68" i="1" s="1"/>
  <c r="G69" i="1"/>
  <c r="A69" i="1" s="1"/>
  <c r="AA69" i="1" s="1"/>
  <c r="G70" i="1"/>
  <c r="A70" i="1" s="1"/>
  <c r="AA70" i="1" s="1"/>
  <c r="G71" i="1"/>
  <c r="A71" i="1" s="1"/>
  <c r="G72" i="1"/>
  <c r="A72" i="1" s="1"/>
  <c r="AA72" i="1" s="1"/>
  <c r="G73" i="1"/>
  <c r="A73" i="1" s="1"/>
  <c r="AA73" i="1" s="1"/>
  <c r="G74" i="1"/>
  <c r="A74" i="1" s="1"/>
  <c r="AA74" i="1" s="1"/>
  <c r="G75" i="1"/>
  <c r="A75" i="1" s="1"/>
  <c r="AA75" i="1" s="1"/>
  <c r="G76" i="1"/>
  <c r="A76" i="1" s="1"/>
  <c r="AA76" i="1" s="1"/>
  <c r="G77" i="1"/>
  <c r="A77" i="1" s="1"/>
  <c r="AA77" i="1" s="1"/>
  <c r="G78" i="1"/>
  <c r="A78" i="1" s="1"/>
  <c r="AA78" i="1" s="1"/>
  <c r="G79" i="1"/>
  <c r="A79" i="1" s="1"/>
  <c r="AA79" i="1" s="1"/>
  <c r="G80" i="1"/>
  <c r="A80" i="1" s="1"/>
  <c r="AA80" i="1" s="1"/>
  <c r="G81" i="1"/>
  <c r="A81" i="1" s="1"/>
  <c r="G82" i="1"/>
  <c r="A82" i="1" s="1"/>
  <c r="AA82" i="1" s="1"/>
  <c r="G83" i="1"/>
  <c r="A83" i="1" s="1"/>
  <c r="AA83" i="1" s="1"/>
  <c r="G84" i="1"/>
  <c r="A84" i="1" s="1"/>
  <c r="AA84" i="1" s="1"/>
  <c r="G85" i="1"/>
  <c r="A85" i="1" s="1"/>
  <c r="AA85" i="1" s="1"/>
  <c r="G86" i="1"/>
  <c r="A86" i="1" s="1"/>
  <c r="AA86" i="1" s="1"/>
  <c r="G87" i="1"/>
  <c r="A87" i="1" s="1"/>
  <c r="AA87" i="1" s="1"/>
  <c r="G88" i="1"/>
  <c r="A88" i="1" s="1"/>
  <c r="AA88" i="1" s="1"/>
  <c r="G89" i="1"/>
  <c r="A89" i="1" s="1"/>
  <c r="AA89" i="1" s="1"/>
  <c r="G90" i="1"/>
  <c r="A90" i="1" s="1"/>
  <c r="AA90" i="1" s="1"/>
  <c r="G91" i="1"/>
  <c r="A91" i="1" s="1"/>
  <c r="AA91" i="1" s="1"/>
  <c r="G92" i="1"/>
  <c r="A92" i="1" s="1"/>
  <c r="AA92" i="1" s="1"/>
  <c r="G93" i="1"/>
  <c r="A93" i="1" s="1"/>
  <c r="AA93" i="1" s="1"/>
  <c r="G94" i="1"/>
  <c r="A94" i="1" s="1"/>
  <c r="AA94" i="1" s="1"/>
  <c r="G95" i="1"/>
  <c r="A95" i="1" s="1"/>
  <c r="AA95" i="1" s="1"/>
  <c r="G96" i="1"/>
  <c r="A96" i="1" s="1"/>
  <c r="AA96" i="1" s="1"/>
  <c r="G97" i="1"/>
  <c r="A97" i="1" s="1"/>
  <c r="AA97" i="1" s="1"/>
  <c r="G98" i="1"/>
  <c r="A98" i="1" s="1"/>
  <c r="AA98" i="1" s="1"/>
  <c r="G100" i="1"/>
  <c r="A100" i="1" s="1"/>
  <c r="AA100" i="1" s="1"/>
  <c r="G101" i="1"/>
  <c r="A101" i="1" s="1"/>
  <c r="AA101" i="1" s="1"/>
  <c r="G102" i="1"/>
  <c r="A102" i="1" s="1"/>
  <c r="AA102" i="1" s="1"/>
  <c r="G103" i="1"/>
  <c r="A103" i="1" s="1"/>
  <c r="AA103" i="1" s="1"/>
  <c r="G104" i="1"/>
  <c r="A104" i="1" s="1"/>
  <c r="AA104" i="1" s="1"/>
  <c r="G105" i="1"/>
  <c r="A105" i="1" s="1"/>
  <c r="AA105" i="1" s="1"/>
  <c r="G106" i="1"/>
  <c r="A106" i="1" s="1"/>
  <c r="A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V8" i="1"/>
  <c r="W8" i="1" s="1"/>
  <c r="V14" i="1"/>
  <c r="W14" i="1" s="1"/>
  <c r="V15" i="1"/>
  <c r="V22" i="1"/>
  <c r="W22" i="1" s="1"/>
  <c r="V23" i="1"/>
  <c r="V25" i="1"/>
  <c r="W25" i="1" s="1"/>
  <c r="V26" i="1"/>
  <c r="V30" i="1"/>
  <c r="V31" i="1"/>
  <c r="W31" i="1" s="1"/>
  <c r="V32" i="1"/>
  <c r="V33" i="1"/>
  <c r="V40" i="1"/>
  <c r="W40" i="1" s="1"/>
  <c r="V41" i="1"/>
  <c r="V42" i="1"/>
  <c r="V43" i="1" s="1"/>
  <c r="V47" i="1"/>
  <c r="W47" i="1" s="1"/>
  <c r="V48" i="1"/>
  <c r="V49" i="1"/>
  <c r="W49" i="1" s="1"/>
  <c r="V50" i="1"/>
  <c r="V51" i="1"/>
  <c r="W51" i="1" s="1"/>
  <c r="V52" i="1"/>
  <c r="V53" i="1"/>
  <c r="W53" i="1" s="1"/>
  <c r="V54" i="1"/>
  <c r="V55" i="1"/>
  <c r="W55" i="1" s="1"/>
  <c r="V56" i="1"/>
  <c r="V57" i="1"/>
  <c r="W57" i="1" s="1"/>
  <c r="V58" i="1"/>
  <c r="V59" i="1"/>
  <c r="W59" i="1" s="1"/>
  <c r="V60" i="1"/>
  <c r="V61" i="1"/>
  <c r="V70" i="1"/>
  <c r="W70" i="1" s="1"/>
  <c r="V71" i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X3" i="1"/>
  <c r="Y3" i="1" s="1"/>
  <c r="Z3" i="1" s="1"/>
  <c r="S3" i="1" s="1"/>
  <c r="X4" i="1"/>
  <c r="Y4" i="1" s="1"/>
  <c r="Z4" i="1" s="1"/>
  <c r="S4" i="1" s="1"/>
  <c r="X6" i="1"/>
  <c r="X7" i="1"/>
  <c r="Y7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Z42" i="1" s="1"/>
  <c r="S42" i="1" s="1"/>
  <c r="X43" i="1"/>
  <c r="Y43" i="1" s="1"/>
  <c r="Z43" i="1" s="1"/>
  <c r="S43" i="1" s="1"/>
  <c r="X44" i="1"/>
  <c r="X45" i="1"/>
  <c r="X46" i="1"/>
  <c r="X47" i="1"/>
  <c r="X48" i="1"/>
  <c r="Y48" i="1" s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Y6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4" i="1"/>
  <c r="Y45" i="1"/>
  <c r="Y46" i="1"/>
  <c r="Y47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Z8" i="1"/>
  <c r="S8" i="1" s="1"/>
  <c r="Z10" i="1"/>
  <c r="S10" i="1" s="1"/>
  <c r="Z12" i="1"/>
  <c r="S12" i="1" s="1"/>
  <c r="Z14" i="1"/>
  <c r="S14" i="1" s="1"/>
  <c r="Z15" i="1"/>
  <c r="S15" i="1" s="1"/>
  <c r="Z16" i="1"/>
  <c r="S16" i="1" s="1"/>
  <c r="Z17" i="1"/>
  <c r="S17" i="1" s="1"/>
  <c r="Z18" i="1"/>
  <c r="S18" i="1" s="1"/>
  <c r="Z19" i="1"/>
  <c r="S19" i="1" s="1"/>
  <c r="Z20" i="1"/>
  <c r="S20" i="1" s="1"/>
  <c r="Z21" i="1"/>
  <c r="S21" i="1" s="1"/>
  <c r="Z22" i="1"/>
  <c r="S22" i="1" s="1"/>
  <c r="Z23" i="1"/>
  <c r="S23" i="1" s="1"/>
  <c r="Z24" i="1"/>
  <c r="S24" i="1" s="1"/>
  <c r="Z25" i="1"/>
  <c r="S25" i="1" s="1"/>
  <c r="Z26" i="1"/>
  <c r="S26" i="1" s="1"/>
  <c r="Z27" i="1"/>
  <c r="S27" i="1" s="1"/>
  <c r="Z28" i="1"/>
  <c r="S28" i="1" s="1"/>
  <c r="Z29" i="1"/>
  <c r="S29" i="1" s="1"/>
  <c r="Z30" i="1"/>
  <c r="S30" i="1" s="1"/>
  <c r="Z31" i="1"/>
  <c r="S31" i="1" s="1"/>
  <c r="Z32" i="1"/>
  <c r="S32" i="1" s="1"/>
  <c r="Z33" i="1"/>
  <c r="S33" i="1" s="1"/>
  <c r="Z34" i="1"/>
  <c r="S34" i="1" s="1"/>
  <c r="Z35" i="1"/>
  <c r="S35" i="1" s="1"/>
  <c r="Z36" i="1"/>
  <c r="S36" i="1" s="1"/>
  <c r="Z37" i="1"/>
  <c r="S37" i="1" s="1"/>
  <c r="Z38" i="1"/>
  <c r="S38" i="1" s="1"/>
  <c r="Z39" i="1"/>
  <c r="S39" i="1" s="1"/>
  <c r="Z40" i="1"/>
  <c r="S40" i="1" s="1"/>
  <c r="Z41" i="1"/>
  <c r="S41" i="1" s="1"/>
  <c r="Z44" i="1"/>
  <c r="S44" i="1" s="1"/>
  <c r="Z45" i="1"/>
  <c r="S45" i="1" s="1"/>
  <c r="Z46" i="1"/>
  <c r="S46" i="1" s="1"/>
  <c r="Z47" i="1"/>
  <c r="S47" i="1" s="1"/>
  <c r="Z49" i="1"/>
  <c r="S49" i="1" s="1"/>
  <c r="Z51" i="1"/>
  <c r="S51" i="1" s="1"/>
  <c r="Z52" i="1"/>
  <c r="S52" i="1" s="1"/>
  <c r="Z53" i="1"/>
  <c r="S53" i="1" s="1"/>
  <c r="Z54" i="1"/>
  <c r="S54" i="1" s="1"/>
  <c r="Z55" i="1"/>
  <c r="S55" i="1" s="1"/>
  <c r="Z56" i="1"/>
  <c r="S56" i="1" s="1"/>
  <c r="Z57" i="1"/>
  <c r="S57" i="1" s="1"/>
  <c r="Z58" i="1"/>
  <c r="S58" i="1" s="1"/>
  <c r="Z59" i="1"/>
  <c r="S59" i="1" s="1"/>
  <c r="Z60" i="1"/>
  <c r="S60" i="1" s="1"/>
  <c r="Z61" i="1"/>
  <c r="S61" i="1" s="1"/>
  <c r="Z62" i="1"/>
  <c r="S62" i="1" s="1"/>
  <c r="Z63" i="1"/>
  <c r="S63" i="1" s="1"/>
  <c r="Z64" i="1"/>
  <c r="S64" i="1" s="1"/>
  <c r="Z65" i="1"/>
  <c r="S65" i="1" s="1"/>
  <c r="Z66" i="1"/>
  <c r="S66" i="1" s="1"/>
  <c r="Z67" i="1"/>
  <c r="S67" i="1" s="1"/>
  <c r="Z68" i="1"/>
  <c r="S68" i="1" s="1"/>
  <c r="Z69" i="1"/>
  <c r="S69" i="1" s="1"/>
  <c r="Z70" i="1"/>
  <c r="S70" i="1" s="1"/>
  <c r="Z71" i="1"/>
  <c r="S71" i="1" s="1"/>
  <c r="Z72" i="1"/>
  <c r="S72" i="1" s="1"/>
  <c r="Z73" i="1"/>
  <c r="S73" i="1" s="1"/>
  <c r="Z74" i="1"/>
  <c r="S74" i="1" s="1"/>
  <c r="Z75" i="1"/>
  <c r="S75" i="1" s="1"/>
  <c r="Z76" i="1"/>
  <c r="S76" i="1" s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Z83" i="1"/>
  <c r="S83" i="1" s="1"/>
  <c r="Z84" i="1"/>
  <c r="S84" i="1" s="1"/>
  <c r="Z85" i="1"/>
  <c r="S85" i="1" s="1"/>
  <c r="Z86" i="1"/>
  <c r="S86" i="1" s="1"/>
  <c r="Z87" i="1"/>
  <c r="S87" i="1" s="1"/>
  <c r="Z88" i="1"/>
  <c r="S88" i="1" s="1"/>
  <c r="Z89" i="1"/>
  <c r="S89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Z99" i="1"/>
  <c r="S99" i="1" s="1"/>
  <c r="Z100" i="1"/>
  <c r="S100" i="1" s="1"/>
  <c r="Z101" i="1"/>
  <c r="S101" i="1" s="1"/>
  <c r="Z102" i="1"/>
  <c r="S102" i="1" s="1"/>
  <c r="Z103" i="1"/>
  <c r="S103" i="1" s="1"/>
  <c r="Z104" i="1"/>
  <c r="S104" i="1" s="1"/>
  <c r="Z105" i="1"/>
  <c r="S105" i="1" s="1"/>
  <c r="Z106" i="1"/>
  <c r="S106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A81" i="1" l="1"/>
  <c r="V72" i="1"/>
  <c r="V62" i="1"/>
  <c r="Z50" i="1"/>
  <c r="S50" i="1" s="1"/>
  <c r="Z48" i="1"/>
  <c r="S48" i="1" s="1"/>
  <c r="V44" i="1"/>
  <c r="V34" i="1"/>
  <c r="V27" i="1"/>
  <c r="V24" i="1"/>
  <c r="V16" i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V73" i="1" l="1"/>
  <c r="V63" i="1"/>
  <c r="V45" i="1"/>
  <c r="V35" i="1"/>
  <c r="V28" i="1"/>
  <c r="V17" i="1"/>
  <c r="G136" i="5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V74" i="1" l="1"/>
  <c r="V64" i="1"/>
  <c r="V46" i="1"/>
  <c r="V36" i="1"/>
  <c r="V29" i="1"/>
  <c r="V18" i="1"/>
  <c r="L137" i="5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V75" i="1" l="1"/>
  <c r="V65" i="1"/>
  <c r="V37" i="1"/>
  <c r="V19" i="1"/>
  <c r="E18" i="3"/>
  <c r="V76" i="1" l="1"/>
  <c r="V66" i="1"/>
  <c r="V38" i="1"/>
  <c r="V20" i="1"/>
  <c r="B3" i="1"/>
  <c r="V77" i="1" l="1"/>
  <c r="V67" i="1"/>
  <c r="V39" i="1"/>
  <c r="V21" i="1"/>
  <c r="G3" i="1"/>
  <c r="A3" i="1" s="1"/>
  <c r="V3" i="1" s="1"/>
  <c r="V4" i="1" s="1"/>
  <c r="B6" i="1"/>
  <c r="G6" i="1" s="1"/>
  <c r="A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78" i="1" l="1"/>
  <c r="V68" i="1"/>
  <c r="B9" i="1"/>
  <c r="G9" i="1" s="1"/>
  <c r="A9" i="1" s="1"/>
  <c r="V6" i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N84" i="5" s="1"/>
  <c r="O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W78" i="1" l="1"/>
  <c r="V79" i="1"/>
  <c r="W76" i="1"/>
  <c r="W74" i="1"/>
  <c r="W72" i="1"/>
  <c r="V69" i="1"/>
  <c r="W48" i="1"/>
  <c r="W43" i="1"/>
  <c r="AA52" i="1"/>
  <c r="W50" i="1"/>
  <c r="W35" i="1"/>
  <c r="W24" i="1"/>
  <c r="V9" i="1"/>
  <c r="V7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N61" i="5" s="1"/>
  <c r="O61" i="5" s="1"/>
  <c r="L65" i="5"/>
  <c r="N65" i="5" s="1"/>
  <c r="O65" i="5" s="1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/>
  <c r="O33" i="5" s="1"/>
  <c r="L41" i="5"/>
  <c r="N41" i="5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W79" i="1" l="1"/>
  <c r="W77" i="1"/>
  <c r="W75" i="1"/>
  <c r="W71" i="1"/>
  <c r="W73" i="1"/>
  <c r="AA71" i="1"/>
  <c r="W69" i="1"/>
  <c r="W67" i="1"/>
  <c r="AA54" i="1"/>
  <c r="W62" i="1"/>
  <c r="AA60" i="1"/>
  <c r="W42" i="1"/>
  <c r="W15" i="1"/>
  <c r="AA32" i="1"/>
  <c r="AA58" i="1"/>
  <c r="W46" i="1"/>
  <c r="W64" i="1"/>
  <c r="AA48" i="1"/>
  <c r="W54" i="1"/>
  <c r="W39" i="1"/>
  <c r="AA23" i="1"/>
  <c r="W32" i="1"/>
  <c r="W33" i="1"/>
  <c r="W36" i="1"/>
  <c r="AA26" i="1"/>
  <c r="W38" i="1"/>
  <c r="W17" i="1"/>
  <c r="W16" i="1"/>
  <c r="W20" i="1"/>
  <c r="W60" i="1"/>
  <c r="W41" i="1"/>
  <c r="W56" i="1"/>
  <c r="AA50" i="1"/>
  <c r="W37" i="1"/>
  <c r="W27" i="1"/>
  <c r="W52" i="1"/>
  <c r="W45" i="1"/>
  <c r="W63" i="1"/>
  <c r="AA41" i="1"/>
  <c r="W66" i="1"/>
  <c r="W34" i="1"/>
  <c r="W29" i="1"/>
  <c r="W19" i="1"/>
  <c r="W23" i="1"/>
  <c r="W26" i="1"/>
  <c r="W30" i="1"/>
  <c r="W21" i="1"/>
  <c r="W18" i="1"/>
  <c r="AA15" i="1"/>
  <c r="W28" i="1"/>
  <c r="W65" i="1"/>
  <c r="W44" i="1"/>
  <c r="W58" i="1"/>
  <c r="AA56" i="1"/>
  <c r="W61" i="1"/>
  <c r="W68" i="1"/>
  <c r="V10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N27" i="5"/>
  <c r="O27" i="5" s="1"/>
  <c r="L27" i="5"/>
  <c r="N28" i="5"/>
  <c r="O28" i="5" s="1"/>
  <c r="L28" i="5"/>
  <c r="L67" i="5"/>
  <c r="N67" i="5" s="1"/>
  <c r="O67" i="5" s="1"/>
  <c r="V11" i="1" l="1"/>
  <c r="E1" i="4"/>
  <c r="A1" i="2"/>
  <c r="V12" i="1" l="1"/>
  <c r="D44" i="4"/>
  <c r="J44" i="4" s="1"/>
  <c r="D46" i="4"/>
  <c r="D48" i="4"/>
  <c r="D50" i="4"/>
  <c r="D52" i="4"/>
  <c r="D54" i="4"/>
  <c r="D45" i="4"/>
  <c r="D47" i="4"/>
  <c r="D49" i="4"/>
  <c r="D51" i="4"/>
  <c r="D53" i="4"/>
  <c r="D55" i="4"/>
  <c r="I44" i="4"/>
  <c r="D14" i="4"/>
  <c r="H14" i="4" s="1"/>
  <c r="D43" i="4"/>
  <c r="D42" i="4"/>
  <c r="D7" i="2"/>
  <c r="D45" i="2" s="1"/>
  <c r="D83" i="2" s="1"/>
  <c r="D19" i="4"/>
  <c r="D8" i="4"/>
  <c r="E1" i="2"/>
  <c r="H3" i="2" s="1"/>
  <c r="D11" i="4"/>
  <c r="D13" i="4"/>
  <c r="D31" i="4"/>
  <c r="D9" i="4"/>
  <c r="D32" i="4"/>
  <c r="D12" i="4"/>
  <c r="D37" i="4"/>
  <c r="D18" i="4"/>
  <c r="E3" i="2"/>
  <c r="E41" i="2" s="1"/>
  <c r="E79" i="2" s="1"/>
  <c r="D7" i="4"/>
  <c r="D38" i="4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39" i="4"/>
  <c r="D41" i="4"/>
  <c r="D29" i="4"/>
  <c r="D5" i="2"/>
  <c r="D43" i="2" s="1"/>
  <c r="D81" i="2" s="1"/>
  <c r="D24" i="4"/>
  <c r="D20" i="4"/>
  <c r="D4" i="4"/>
  <c r="D6" i="4"/>
  <c r="D15" i="4"/>
  <c r="V13" i="1" l="1"/>
  <c r="W12" i="1"/>
  <c r="W6" i="1"/>
  <c r="W10" i="1"/>
  <c r="AA9" i="1"/>
  <c r="K44" i="4"/>
  <c r="M44" i="4" s="1"/>
  <c r="I55" i="4"/>
  <c r="K55" i="4"/>
  <c r="M55" i="4" s="1"/>
  <c r="N55" i="4"/>
  <c r="O55" i="4"/>
  <c r="E55" i="4"/>
  <c r="F55" i="4"/>
  <c r="G55" i="4"/>
  <c r="R55" i="4" s="1"/>
  <c r="L55" i="4"/>
  <c r="H55" i="4"/>
  <c r="J55" i="4"/>
  <c r="I51" i="4"/>
  <c r="K51" i="4"/>
  <c r="M51" i="4" s="1"/>
  <c r="N51" i="4"/>
  <c r="O51" i="4"/>
  <c r="E51" i="4"/>
  <c r="F51" i="4"/>
  <c r="G51" i="4"/>
  <c r="R51" i="4" s="1"/>
  <c r="L51" i="4"/>
  <c r="H51" i="4"/>
  <c r="J51" i="4"/>
  <c r="E47" i="4"/>
  <c r="F47" i="4"/>
  <c r="G47" i="4"/>
  <c r="R47" i="4" s="1"/>
  <c r="H47" i="4"/>
  <c r="J47" i="4"/>
  <c r="O47" i="4"/>
  <c r="N47" i="4"/>
  <c r="K47" i="4"/>
  <c r="M47" i="4" s="1"/>
  <c r="I47" i="4"/>
  <c r="E54" i="4"/>
  <c r="F54" i="4"/>
  <c r="G54" i="4"/>
  <c r="R54" i="4" s="1"/>
  <c r="H54" i="4"/>
  <c r="J54" i="4"/>
  <c r="L54" i="4"/>
  <c r="N54" i="4"/>
  <c r="I54" i="4"/>
  <c r="K54" i="4"/>
  <c r="M54" i="4" s="1"/>
  <c r="O54" i="4"/>
  <c r="E50" i="4"/>
  <c r="F50" i="4"/>
  <c r="G50" i="4"/>
  <c r="R50" i="4" s="1"/>
  <c r="H50" i="4"/>
  <c r="J50" i="4"/>
  <c r="L50" i="4"/>
  <c r="N50" i="4"/>
  <c r="I50" i="4"/>
  <c r="K50" i="4"/>
  <c r="M50" i="4" s="1"/>
  <c r="O50" i="4"/>
  <c r="E46" i="4"/>
  <c r="F46" i="4"/>
  <c r="G46" i="4"/>
  <c r="R46" i="4" s="1"/>
  <c r="H46" i="4"/>
  <c r="I46" i="4"/>
  <c r="J46" i="4"/>
  <c r="K46" i="4"/>
  <c r="M46" i="4" s="1"/>
  <c r="N46" i="4"/>
  <c r="O46" i="4"/>
  <c r="I53" i="4"/>
  <c r="K53" i="4"/>
  <c r="M53" i="4" s="1"/>
  <c r="N53" i="4"/>
  <c r="O53" i="4"/>
  <c r="E53" i="4"/>
  <c r="F53" i="4"/>
  <c r="G53" i="4"/>
  <c r="R53" i="4" s="1"/>
  <c r="H53" i="4"/>
  <c r="J53" i="4"/>
  <c r="L53" i="4"/>
  <c r="I49" i="4"/>
  <c r="K49" i="4"/>
  <c r="M49" i="4" s="1"/>
  <c r="N49" i="4"/>
  <c r="O49" i="4"/>
  <c r="E49" i="4"/>
  <c r="F49" i="4"/>
  <c r="G49" i="4"/>
  <c r="R49" i="4" s="1"/>
  <c r="H49" i="4"/>
  <c r="J49" i="4"/>
  <c r="L49" i="4"/>
  <c r="E45" i="4"/>
  <c r="F45" i="4"/>
  <c r="G45" i="4"/>
  <c r="R45" i="4" s="1"/>
  <c r="H45" i="4"/>
  <c r="J45" i="4"/>
  <c r="O45" i="4"/>
  <c r="N45" i="4"/>
  <c r="K45" i="4"/>
  <c r="M45" i="4" s="1"/>
  <c r="I45" i="4"/>
  <c r="E52" i="4"/>
  <c r="F52" i="4"/>
  <c r="G52" i="4"/>
  <c r="R52" i="4" s="1"/>
  <c r="H52" i="4"/>
  <c r="J52" i="4"/>
  <c r="L52" i="4"/>
  <c r="I52" i="4"/>
  <c r="K52" i="4"/>
  <c r="M52" i="4" s="1"/>
  <c r="O52" i="4"/>
  <c r="N52" i="4"/>
  <c r="E48" i="4"/>
  <c r="F48" i="4"/>
  <c r="G48" i="4"/>
  <c r="R48" i="4" s="1"/>
  <c r="H48" i="4"/>
  <c r="J48" i="4"/>
  <c r="L48" i="4"/>
  <c r="I48" i="4"/>
  <c r="K48" i="4"/>
  <c r="M48" i="4" s="1"/>
  <c r="O48" i="4"/>
  <c r="N48" i="4"/>
  <c r="E44" i="4"/>
  <c r="F44" i="4"/>
  <c r="G44" i="4"/>
  <c r="R44" i="4" s="1"/>
  <c r="H44" i="4"/>
  <c r="N44" i="4"/>
  <c r="O44" i="4"/>
  <c r="K14" i="4"/>
  <c r="M14" i="4" s="1"/>
  <c r="N14" i="4"/>
  <c r="O14" i="4"/>
  <c r="I14" i="4"/>
  <c r="L44" i="4"/>
  <c r="E14" i="4"/>
  <c r="G14" i="4"/>
  <c r="R14" i="4" s="1"/>
  <c r="J14" i="4"/>
  <c r="F14" i="4"/>
  <c r="E43" i="4"/>
  <c r="F43" i="4"/>
  <c r="G43" i="4"/>
  <c r="R43" i="4" s="1"/>
  <c r="H43" i="4"/>
  <c r="I43" i="4"/>
  <c r="J43" i="4"/>
  <c r="K43" i="4"/>
  <c r="M43" i="4" s="1"/>
  <c r="N43" i="4"/>
  <c r="O43" i="4"/>
  <c r="E42" i="4"/>
  <c r="F42" i="4"/>
  <c r="G42" i="4"/>
  <c r="R42" i="4" s="1"/>
  <c r="H42" i="4"/>
  <c r="I42" i="4"/>
  <c r="J42" i="4"/>
  <c r="K42" i="4"/>
  <c r="M42" i="4" s="1"/>
  <c r="N42" i="4"/>
  <c r="O42" i="4"/>
  <c r="N15" i="4"/>
  <c r="I15" i="4"/>
  <c r="F15" i="4"/>
  <c r="J15" i="4"/>
  <c r="H15" i="4"/>
  <c r="O15" i="4"/>
  <c r="K15" i="4"/>
  <c r="M15" i="4" s="1"/>
  <c r="G15" i="4"/>
  <c r="E15" i="4"/>
  <c r="N20" i="4"/>
  <c r="F20" i="4"/>
  <c r="H20" i="4"/>
  <c r="I20" i="4"/>
  <c r="O20" i="4"/>
  <c r="J20" i="4"/>
  <c r="G20" i="4"/>
  <c r="R20" i="4" s="1"/>
  <c r="K20" i="4"/>
  <c r="M20" i="4" s="1"/>
  <c r="E20" i="4"/>
  <c r="H24" i="4"/>
  <c r="O24" i="4"/>
  <c r="I24" i="4"/>
  <c r="J24" i="4"/>
  <c r="N24" i="4"/>
  <c r="F24" i="4"/>
  <c r="G24" i="4"/>
  <c r="R24" i="4" s="1"/>
  <c r="E24" i="4"/>
  <c r="K24" i="4"/>
  <c r="M24" i="4" s="1"/>
  <c r="O29" i="4"/>
  <c r="J29" i="4"/>
  <c r="N29" i="4"/>
  <c r="I29" i="4"/>
  <c r="H29" i="4"/>
  <c r="F29" i="4"/>
  <c r="G29" i="4"/>
  <c r="R29" i="4" s="1"/>
  <c r="K29" i="4"/>
  <c r="M29" i="4" s="1"/>
  <c r="E29" i="4"/>
  <c r="F41" i="4"/>
  <c r="J41" i="4"/>
  <c r="O41" i="4"/>
  <c r="I41" i="4"/>
  <c r="N41" i="4"/>
  <c r="H41" i="4"/>
  <c r="G41" i="4"/>
  <c r="R41" i="4" s="1"/>
  <c r="E41" i="4"/>
  <c r="K41" i="4"/>
  <c r="M41" i="4" s="1"/>
  <c r="I39" i="4"/>
  <c r="J39" i="4"/>
  <c r="F39" i="4"/>
  <c r="O39" i="4"/>
  <c r="H39" i="4"/>
  <c r="N39" i="4"/>
  <c r="G39" i="4"/>
  <c r="R39" i="4" s="1"/>
  <c r="E39" i="4"/>
  <c r="K39" i="4"/>
  <c r="M39" i="4" s="1"/>
  <c r="I22" i="4"/>
  <c r="O22" i="4"/>
  <c r="J22" i="4"/>
  <c r="F22" i="4"/>
  <c r="H22" i="4"/>
  <c r="N22" i="4"/>
  <c r="E22" i="4"/>
  <c r="G22" i="4"/>
  <c r="R22" i="4" s="1"/>
  <c r="K22" i="4"/>
  <c r="M22" i="4" s="1"/>
  <c r="I25" i="4"/>
  <c r="O25" i="4"/>
  <c r="J25" i="4"/>
  <c r="N25" i="4"/>
  <c r="H25" i="4"/>
  <c r="F25" i="4"/>
  <c r="G25" i="4"/>
  <c r="R25" i="4" s="1"/>
  <c r="E25" i="4"/>
  <c r="K25" i="4"/>
  <c r="M25" i="4" s="1"/>
  <c r="I33" i="4"/>
  <c r="F33" i="4"/>
  <c r="H33" i="4"/>
  <c r="N33" i="4"/>
  <c r="O33" i="4"/>
  <c r="J33" i="4"/>
  <c r="G33" i="4"/>
  <c r="R33" i="4" s="1"/>
  <c r="K33" i="4"/>
  <c r="M33" i="4" s="1"/>
  <c r="E33" i="4"/>
  <c r="N3" i="4"/>
  <c r="O3" i="4"/>
  <c r="H3" i="4"/>
  <c r="F3" i="4"/>
  <c r="J3" i="4"/>
  <c r="E3" i="4"/>
  <c r="I3" i="4"/>
  <c r="G3" i="4"/>
  <c r="R3" i="4" s="1"/>
  <c r="K3" i="4"/>
  <c r="H16" i="4"/>
  <c r="J16" i="4"/>
  <c r="N16" i="4"/>
  <c r="F16" i="4"/>
  <c r="O16" i="4"/>
  <c r="I16" i="4"/>
  <c r="E16" i="4"/>
  <c r="K16" i="4"/>
  <c r="M16" i="4" s="1"/>
  <c r="G16" i="4"/>
  <c r="N23" i="4"/>
  <c r="I23" i="4"/>
  <c r="J23" i="4"/>
  <c r="O23" i="4"/>
  <c r="F23" i="4"/>
  <c r="H23" i="4"/>
  <c r="G23" i="4"/>
  <c r="R23" i="4" s="1"/>
  <c r="K23" i="4"/>
  <c r="M23" i="4" s="1"/>
  <c r="E23" i="4"/>
  <c r="J30" i="4"/>
  <c r="N30" i="4"/>
  <c r="F30" i="4"/>
  <c r="I30" i="4"/>
  <c r="O30" i="4"/>
  <c r="H30" i="4"/>
  <c r="K30" i="4"/>
  <c r="M30" i="4" s="1"/>
  <c r="G30" i="4"/>
  <c r="R30" i="4" s="1"/>
  <c r="E30" i="4"/>
  <c r="F27" i="4"/>
  <c r="J27" i="4"/>
  <c r="N27" i="4"/>
  <c r="H27" i="4"/>
  <c r="I27" i="4"/>
  <c r="O27" i="4"/>
  <c r="E27" i="4"/>
  <c r="K27" i="4"/>
  <c r="M27" i="4" s="1"/>
  <c r="G27" i="4"/>
  <c r="R27" i="4" s="1"/>
  <c r="N10" i="4"/>
  <c r="I10" i="4"/>
  <c r="O10" i="4"/>
  <c r="J10" i="4"/>
  <c r="H10" i="4"/>
  <c r="F10" i="4"/>
  <c r="E10" i="4"/>
  <c r="K10" i="4"/>
  <c r="M10" i="4" s="1"/>
  <c r="G10" i="4"/>
  <c r="R10" i="4" s="1"/>
  <c r="H38" i="4"/>
  <c r="O38" i="4"/>
  <c r="N38" i="4"/>
  <c r="J38" i="4"/>
  <c r="F38" i="4"/>
  <c r="I38" i="4"/>
  <c r="G38" i="4"/>
  <c r="R38" i="4" s="1"/>
  <c r="K38" i="4"/>
  <c r="M38" i="4" s="1"/>
  <c r="E38" i="4"/>
  <c r="F37" i="4"/>
  <c r="O37" i="4"/>
  <c r="I37" i="4"/>
  <c r="J37" i="4"/>
  <c r="N37" i="4"/>
  <c r="H37" i="4"/>
  <c r="G37" i="4"/>
  <c r="R37" i="4" s="1"/>
  <c r="K37" i="4"/>
  <c r="M37" i="4" s="1"/>
  <c r="E37" i="4"/>
  <c r="O12" i="4"/>
  <c r="H12" i="4"/>
  <c r="F12" i="4"/>
  <c r="N12" i="4"/>
  <c r="J12" i="4"/>
  <c r="I12" i="4"/>
  <c r="G12" i="4"/>
  <c r="R12" i="4" s="1"/>
  <c r="E12" i="4"/>
  <c r="K12" i="4"/>
  <c r="M12" i="4" s="1"/>
  <c r="F32" i="4"/>
  <c r="J32" i="4"/>
  <c r="H32" i="4"/>
  <c r="O32" i="4"/>
  <c r="N32" i="4"/>
  <c r="I32" i="4"/>
  <c r="G32" i="4"/>
  <c r="R32" i="4" s="1"/>
  <c r="K32" i="4"/>
  <c r="M32" i="4" s="1"/>
  <c r="E32" i="4"/>
  <c r="N9" i="4"/>
  <c r="H9" i="4"/>
  <c r="J9" i="4"/>
  <c r="I9" i="4"/>
  <c r="F9" i="4"/>
  <c r="O9" i="4"/>
  <c r="K9" i="4"/>
  <c r="M9" i="4" s="1"/>
  <c r="G9" i="4"/>
  <c r="R9" i="4" s="1"/>
  <c r="E9" i="4"/>
  <c r="H31" i="4"/>
  <c r="I31" i="4"/>
  <c r="N31" i="4"/>
  <c r="J31" i="4"/>
  <c r="F31" i="4"/>
  <c r="O31" i="4"/>
  <c r="G31" i="4"/>
  <c r="R31" i="4" s="1"/>
  <c r="E31" i="4"/>
  <c r="K31" i="4"/>
  <c r="M31" i="4" s="1"/>
  <c r="H11" i="4"/>
  <c r="O11" i="4"/>
  <c r="I11" i="4"/>
  <c r="J11" i="4"/>
  <c r="N11" i="4"/>
  <c r="F11" i="4"/>
  <c r="G11" i="4"/>
  <c r="R11" i="4" s="1"/>
  <c r="E11" i="4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R8" i="4" s="1"/>
  <c r="E8" i="4"/>
  <c r="K8" i="4"/>
  <c r="M8" i="4" s="1"/>
  <c r="I6" i="4"/>
  <c r="H6" i="4"/>
  <c r="F6" i="4"/>
  <c r="N6" i="4"/>
  <c r="J6" i="4"/>
  <c r="O6" i="4"/>
  <c r="G6" i="4"/>
  <c r="R6" i="4" s="1"/>
  <c r="E6" i="4"/>
  <c r="K6" i="4"/>
  <c r="M6" i="4" s="1"/>
  <c r="I4" i="4"/>
  <c r="O4" i="4"/>
  <c r="J4" i="4"/>
  <c r="F4" i="4"/>
  <c r="H4" i="4"/>
  <c r="N4" i="4"/>
  <c r="K4" i="4"/>
  <c r="M4" i="4" s="1"/>
  <c r="G4" i="4"/>
  <c r="R4" i="4" s="1"/>
  <c r="E4" i="4"/>
  <c r="F35" i="4"/>
  <c r="J35" i="4"/>
  <c r="N35" i="4"/>
  <c r="O35" i="4"/>
  <c r="I35" i="4"/>
  <c r="H35" i="4"/>
  <c r="G35" i="4"/>
  <c r="R35" i="4" s="1"/>
  <c r="E35" i="4"/>
  <c r="K35" i="4"/>
  <c r="M35" i="4" s="1"/>
  <c r="O5" i="4"/>
  <c r="N5" i="4"/>
  <c r="H5" i="4"/>
  <c r="F5" i="4"/>
  <c r="I5" i="4"/>
  <c r="J5" i="4"/>
  <c r="G5" i="4"/>
  <c r="R5" i="4" s="1"/>
  <c r="K5" i="4"/>
  <c r="M5" i="4" s="1"/>
  <c r="E5" i="4"/>
  <c r="J28" i="4"/>
  <c r="O28" i="4"/>
  <c r="H28" i="4"/>
  <c r="I28" i="4"/>
  <c r="F28" i="4"/>
  <c r="N28" i="4"/>
  <c r="K28" i="4"/>
  <c r="M28" i="4" s="1"/>
  <c r="G28" i="4"/>
  <c r="R28" i="4" s="1"/>
  <c r="E28" i="4"/>
  <c r="O26" i="4"/>
  <c r="H26" i="4"/>
  <c r="F26" i="4"/>
  <c r="I26" i="4"/>
  <c r="G26" i="4"/>
  <c r="R26" i="4" s="1"/>
  <c r="J26" i="4"/>
  <c r="N26" i="4"/>
  <c r="E26" i="4"/>
  <c r="K26" i="4"/>
  <c r="M26" i="4" s="1"/>
  <c r="J34" i="4"/>
  <c r="I34" i="4"/>
  <c r="N34" i="4"/>
  <c r="O34" i="4"/>
  <c r="F34" i="4"/>
  <c r="H34" i="4"/>
  <c r="K34" i="4"/>
  <c r="M34" i="4" s="1"/>
  <c r="E34" i="4"/>
  <c r="G34" i="4"/>
  <c r="R34" i="4" s="1"/>
  <c r="J21" i="4"/>
  <c r="I21" i="4"/>
  <c r="H21" i="4"/>
  <c r="F21" i="4"/>
  <c r="N21" i="4"/>
  <c r="O21" i="4"/>
  <c r="E21" i="4"/>
  <c r="G21" i="4"/>
  <c r="R21" i="4" s="1"/>
  <c r="K21" i="4"/>
  <c r="M21" i="4" s="1"/>
  <c r="H17" i="4"/>
  <c r="N17" i="4"/>
  <c r="F17" i="4"/>
  <c r="J17" i="4"/>
  <c r="I17" i="4"/>
  <c r="O17" i="4"/>
  <c r="K17" i="4"/>
  <c r="M17" i="4" s="1"/>
  <c r="G17" i="4"/>
  <c r="R17" i="4" s="1"/>
  <c r="E17" i="4"/>
  <c r="F36" i="4"/>
  <c r="H36" i="4"/>
  <c r="O36" i="4"/>
  <c r="N36" i="4"/>
  <c r="I36" i="4"/>
  <c r="J36" i="4"/>
  <c r="K36" i="4"/>
  <c r="M36" i="4" s="1"/>
  <c r="G36" i="4"/>
  <c r="R36" i="4" s="1"/>
  <c r="E36" i="4"/>
  <c r="F40" i="4"/>
  <c r="N40" i="4"/>
  <c r="O40" i="4"/>
  <c r="H40" i="4"/>
  <c r="J40" i="4"/>
  <c r="I40" i="4"/>
  <c r="G40" i="4"/>
  <c r="R40" i="4" s="1"/>
  <c r="K40" i="4"/>
  <c r="M40" i="4" s="1"/>
  <c r="E40" i="4"/>
  <c r="I7" i="4"/>
  <c r="J7" i="4"/>
  <c r="O7" i="4"/>
  <c r="H7" i="4"/>
  <c r="F7" i="4"/>
  <c r="N7" i="4"/>
  <c r="G7" i="4"/>
  <c r="R7" i="4" s="1"/>
  <c r="E7" i="4"/>
  <c r="K7" i="4"/>
  <c r="M7" i="4" s="1"/>
  <c r="I18" i="4"/>
  <c r="F18" i="4"/>
  <c r="J18" i="4"/>
  <c r="N18" i="4"/>
  <c r="H18" i="4"/>
  <c r="O18" i="4"/>
  <c r="K18" i="4"/>
  <c r="M18" i="4" s="1"/>
  <c r="G18" i="4"/>
  <c r="R18" i="4" s="1"/>
  <c r="E18" i="4"/>
  <c r="I13" i="4"/>
  <c r="N13" i="4"/>
  <c r="O13" i="4"/>
  <c r="H13" i="4"/>
  <c r="J13" i="4"/>
  <c r="F13" i="4"/>
  <c r="E13" i="4"/>
  <c r="G13" i="4"/>
  <c r="R13" i="4" s="1"/>
  <c r="K13" i="4"/>
  <c r="M13" i="4" s="1"/>
  <c r="H19" i="4"/>
  <c r="N19" i="4"/>
  <c r="O19" i="4"/>
  <c r="F19" i="4"/>
  <c r="I19" i="4"/>
  <c r="J19" i="4"/>
  <c r="G19" i="4"/>
  <c r="R19" i="4" s="1"/>
  <c r="K19" i="4"/>
  <c r="M19" i="4" s="1"/>
  <c r="E19" i="4"/>
  <c r="L14" i="4" l="1"/>
  <c r="W13" i="1"/>
  <c r="W9" i="1"/>
  <c r="G1" i="2" s="1"/>
  <c r="B11" i="2" s="1"/>
  <c r="W7" i="1"/>
  <c r="AA3" i="1"/>
  <c r="W11" i="1"/>
  <c r="AA6" i="1"/>
  <c r="W3" i="1"/>
  <c r="W4" i="1"/>
  <c r="J38" i="2"/>
  <c r="L47" i="4"/>
  <c r="S53" i="4"/>
  <c r="T53" i="4" s="1"/>
  <c r="S52" i="4"/>
  <c r="T52" i="4" s="1"/>
  <c r="S50" i="4"/>
  <c r="T50" i="4" s="1"/>
  <c r="S54" i="4"/>
  <c r="T54" i="4" s="1"/>
  <c r="S51" i="4"/>
  <c r="T51" i="4" s="1"/>
  <c r="S55" i="4"/>
  <c r="T55" i="4" s="1"/>
  <c r="S14" i="4"/>
  <c r="S45" i="4"/>
  <c r="T45" i="4" s="1"/>
  <c r="S49" i="4"/>
  <c r="T49" i="4" s="1"/>
  <c r="S47" i="4"/>
  <c r="T47" i="4" s="1"/>
  <c r="S43" i="4"/>
  <c r="T43" i="4" s="1"/>
  <c r="S44" i="4"/>
  <c r="T44" i="4" s="1"/>
  <c r="S48" i="4"/>
  <c r="T48" i="4" s="1"/>
  <c r="S46" i="4"/>
  <c r="T46" i="4" s="1"/>
  <c r="L46" i="4"/>
  <c r="L45" i="4"/>
  <c r="L43" i="4"/>
  <c r="L42" i="4"/>
  <c r="J29" i="2"/>
  <c r="K31" i="2" s="1"/>
  <c r="K69" i="2" s="1"/>
  <c r="K107" i="2" s="1"/>
  <c r="S42" i="4"/>
  <c r="T42" i="4" s="1"/>
  <c r="L41" i="4"/>
  <c r="J37" i="2"/>
  <c r="J75" i="2" s="1"/>
  <c r="J113" i="2" s="1"/>
  <c r="L40" i="4"/>
  <c r="L39" i="4"/>
  <c r="L5" i="4"/>
  <c r="L25" i="4"/>
  <c r="L31" i="4"/>
  <c r="L12" i="4"/>
  <c r="L10" i="4"/>
  <c r="L38" i="4"/>
  <c r="S7" i="4"/>
  <c r="T7" i="4" s="1"/>
  <c r="L36" i="4"/>
  <c r="S34" i="4"/>
  <c r="T34" i="4" s="1"/>
  <c r="L34" i="4"/>
  <c r="L26" i="4"/>
  <c r="S5" i="4"/>
  <c r="T5" i="4" s="1"/>
  <c r="S35" i="4"/>
  <c r="T35" i="4" s="1"/>
  <c r="L35" i="4"/>
  <c r="S6" i="4"/>
  <c r="T6" i="4" s="1"/>
  <c r="S8" i="4"/>
  <c r="T8" i="4" s="1"/>
  <c r="S9" i="4"/>
  <c r="T9" i="4" s="1"/>
  <c r="L32" i="4"/>
  <c r="L37" i="4"/>
  <c r="S38" i="4"/>
  <c r="T38" i="4" s="1"/>
  <c r="S10" i="4"/>
  <c r="T10" i="4" s="1"/>
  <c r="S27" i="4"/>
  <c r="T27" i="4" s="1"/>
  <c r="S23" i="4"/>
  <c r="T23" i="4" s="1"/>
  <c r="K56" i="4"/>
  <c r="M3" i="4"/>
  <c r="K35" i="2" s="1"/>
  <c r="K73" i="2" s="1"/>
  <c r="K111" i="2" s="1"/>
  <c r="L3" i="4"/>
  <c r="S33" i="4"/>
  <c r="T33" i="4" s="1"/>
  <c r="S25" i="4"/>
  <c r="T25" i="4" s="1"/>
  <c r="L22" i="4"/>
  <c r="S39" i="4"/>
  <c r="T39" i="4" s="1"/>
  <c r="L29" i="4"/>
  <c r="L24" i="4"/>
  <c r="L20" i="4"/>
  <c r="L15" i="4"/>
  <c r="S40" i="4"/>
  <c r="T40" i="4" s="1"/>
  <c r="L17" i="4"/>
  <c r="L28" i="4"/>
  <c r="S19" i="4"/>
  <c r="T19" i="4" s="1"/>
  <c r="L19" i="4"/>
  <c r="S13" i="4"/>
  <c r="T13" i="4" s="1"/>
  <c r="L13" i="4"/>
  <c r="S18" i="4"/>
  <c r="T18" i="4" s="1"/>
  <c r="L18" i="4"/>
  <c r="L7" i="4"/>
  <c r="S36" i="4"/>
  <c r="T36" i="4" s="1"/>
  <c r="S17" i="4"/>
  <c r="T17" i="4" s="1"/>
  <c r="S21" i="4"/>
  <c r="T21" i="4" s="1"/>
  <c r="L21" i="4"/>
  <c r="S26" i="4"/>
  <c r="T26" i="4" s="1"/>
  <c r="S28" i="4"/>
  <c r="T28" i="4" s="1"/>
  <c r="S4" i="4"/>
  <c r="T4" i="4" s="1"/>
  <c r="L4" i="4"/>
  <c r="L6" i="4"/>
  <c r="L8" i="4"/>
  <c r="S11" i="4"/>
  <c r="T11" i="4" s="1"/>
  <c r="L11" i="4"/>
  <c r="S31" i="4"/>
  <c r="T31" i="4" s="1"/>
  <c r="L9" i="4"/>
  <c r="S32" i="4"/>
  <c r="T32" i="4" s="1"/>
  <c r="S12" i="4"/>
  <c r="T12" i="4" s="1"/>
  <c r="S37" i="4"/>
  <c r="T37" i="4" s="1"/>
  <c r="L27" i="4"/>
  <c r="S30" i="4"/>
  <c r="T30" i="4" s="1"/>
  <c r="L30" i="4"/>
  <c r="L23" i="4"/>
  <c r="L16" i="4"/>
  <c r="S3" i="4"/>
  <c r="I56" i="4"/>
  <c r="J56" i="4"/>
  <c r="L33" i="4"/>
  <c r="S22" i="4"/>
  <c r="T22" i="4" s="1"/>
  <c r="S41" i="4"/>
  <c r="T41" i="4" s="1"/>
  <c r="S29" i="4"/>
  <c r="T29" i="4" s="1"/>
  <c r="S24" i="4"/>
  <c r="T24" i="4" s="1"/>
  <c r="S20" i="4"/>
  <c r="T20" i="4" s="1"/>
  <c r="T3" i="4" l="1"/>
  <c r="C11" i="2"/>
  <c r="C49" i="2" s="1"/>
  <c r="C87" i="2" s="1"/>
  <c r="C12" i="2"/>
  <c r="C50" i="2" s="1"/>
  <c r="C88" i="2" s="1"/>
  <c r="I16" i="2"/>
  <c r="I54" i="2" s="1"/>
  <c r="I92" i="2" s="1"/>
  <c r="I26" i="2"/>
  <c r="I64" i="2" s="1"/>
  <c r="I102" i="2" s="1"/>
  <c r="K14" i="2"/>
  <c r="K52" i="2" s="1"/>
  <c r="K90" i="2" s="1"/>
  <c r="I13" i="2"/>
  <c r="I51" i="2" s="1"/>
  <c r="I89" i="2" s="1"/>
  <c r="H18" i="2"/>
  <c r="H56" i="2" s="1"/>
  <c r="H94" i="2" s="1"/>
  <c r="K11" i="2"/>
  <c r="K49" i="2" s="1"/>
  <c r="K87" i="2" s="1"/>
  <c r="I11" i="2"/>
  <c r="I49" i="2" s="1"/>
  <c r="I87" i="2" s="1"/>
  <c r="D17" i="2"/>
  <c r="D55" i="2" s="1"/>
  <c r="D93" i="2" s="1"/>
  <c r="B15" i="2"/>
  <c r="B53" i="2" s="1"/>
  <c r="B91" i="2" s="1"/>
  <c r="B26" i="2"/>
  <c r="B64" i="2" s="1"/>
  <c r="B102" i="2" s="1"/>
  <c r="J23" i="2"/>
  <c r="J61" i="2" s="1"/>
  <c r="J99" i="2" s="1"/>
  <c r="E17" i="2"/>
  <c r="E55" i="2" s="1"/>
  <c r="E93" i="2" s="1"/>
  <c r="E19" i="2"/>
  <c r="E57" i="2" s="1"/>
  <c r="E95" i="2" s="1"/>
  <c r="E11" i="2"/>
  <c r="E49" i="2" s="1"/>
  <c r="E87" i="2" s="1"/>
  <c r="E24" i="2"/>
  <c r="E62" i="2" s="1"/>
  <c r="E100" i="2" s="1"/>
  <c r="D11" i="2"/>
  <c r="D49" i="2" s="1"/>
  <c r="D87" i="2" s="1"/>
  <c r="K26" i="2"/>
  <c r="K64" i="2" s="1"/>
  <c r="K102" i="2" s="1"/>
  <c r="B23" i="2"/>
  <c r="B61" i="2" s="1"/>
  <c r="B99" i="2" s="1"/>
  <c r="C26" i="2"/>
  <c r="C64" i="2" s="1"/>
  <c r="C102" i="2" s="1"/>
  <c r="K23" i="2"/>
  <c r="K61" i="2" s="1"/>
  <c r="K99" i="2" s="1"/>
  <c r="D16" i="2"/>
  <c r="D54" i="2" s="1"/>
  <c r="D92" i="2" s="1"/>
  <c r="B24" i="2"/>
  <c r="B62" i="2" s="1"/>
  <c r="B100" i="2" s="1"/>
  <c r="B19" i="2"/>
  <c r="B57" i="2" s="1"/>
  <c r="B95" i="2" s="1"/>
  <c r="D15" i="2"/>
  <c r="D53" i="2" s="1"/>
  <c r="D91" i="2" s="1"/>
  <c r="J11" i="2"/>
  <c r="J49" i="2" s="1"/>
  <c r="J87" i="2" s="1"/>
  <c r="D23" i="2"/>
  <c r="D61" i="2" s="1"/>
  <c r="D99" i="2" s="1"/>
  <c r="B22" i="2"/>
  <c r="B60" i="2" s="1"/>
  <c r="B98" i="2" s="1"/>
  <c r="C23" i="2"/>
  <c r="C61" i="2" s="1"/>
  <c r="C99" i="2" s="1"/>
  <c r="I14" i="2"/>
  <c r="I52" i="2" s="1"/>
  <c r="I90" i="2" s="1"/>
  <c r="H25" i="2"/>
  <c r="H63" i="2" s="1"/>
  <c r="H101" i="2" s="1"/>
  <c r="C24" i="2"/>
  <c r="C62" i="2" s="1"/>
  <c r="C100" i="2" s="1"/>
  <c r="I15" i="2"/>
  <c r="I53" i="2" s="1"/>
  <c r="I91" i="2" s="1"/>
  <c r="J19" i="2"/>
  <c r="J57" i="2" s="1"/>
  <c r="J95" i="2" s="1"/>
  <c r="B17" i="2"/>
  <c r="B55" i="2" s="1"/>
  <c r="B93" i="2" s="1"/>
  <c r="H12" i="2"/>
  <c r="H50" i="2" s="1"/>
  <c r="H88" i="2" s="1"/>
  <c r="J24" i="2"/>
  <c r="J62" i="2" s="1"/>
  <c r="J100" i="2" s="1"/>
  <c r="H15" i="2"/>
  <c r="H53" i="2" s="1"/>
  <c r="H91" i="2" s="1"/>
  <c r="B14" i="2"/>
  <c r="B52" i="2" s="1"/>
  <c r="B90" i="2" s="1"/>
  <c r="H17" i="2"/>
  <c r="H55" i="2" s="1"/>
  <c r="H93" i="2" s="1"/>
  <c r="E25" i="2"/>
  <c r="E63" i="2" s="1"/>
  <c r="E101" i="2" s="1"/>
  <c r="H16" i="2"/>
  <c r="H54" i="2" s="1"/>
  <c r="H92" i="2" s="1"/>
  <c r="E18" i="2"/>
  <c r="E56" i="2" s="1"/>
  <c r="E94" i="2" s="1"/>
  <c r="C19" i="2"/>
  <c r="C57" i="2" s="1"/>
  <c r="C95" i="2" s="1"/>
  <c r="D24" i="2"/>
  <c r="D62" i="2" s="1"/>
  <c r="D100" i="2" s="1"/>
  <c r="I20" i="2"/>
  <c r="I58" i="2" s="1"/>
  <c r="I96" i="2" s="1"/>
  <c r="I18" i="2"/>
  <c r="I56" i="2" s="1"/>
  <c r="I94" i="2" s="1"/>
  <c r="H21" i="2"/>
  <c r="H59" i="2" s="1"/>
  <c r="H97" i="2" s="1"/>
  <c r="C16" i="2"/>
  <c r="C54" i="2" s="1"/>
  <c r="C92" i="2" s="1"/>
  <c r="E13" i="2"/>
  <c r="E51" i="2" s="1"/>
  <c r="E89" i="2" s="1"/>
  <c r="D21" i="2"/>
  <c r="D59" i="2" s="1"/>
  <c r="D97" i="2" s="1"/>
  <c r="D22" i="2"/>
  <c r="D60" i="2" s="1"/>
  <c r="D98" i="2" s="1"/>
  <c r="K21" i="2"/>
  <c r="K59" i="2" s="1"/>
  <c r="K97" i="2" s="1"/>
  <c r="I24" i="2"/>
  <c r="I62" i="2" s="1"/>
  <c r="I100" i="2" s="1"/>
  <c r="K19" i="2"/>
  <c r="K57" i="2" s="1"/>
  <c r="K95" i="2" s="1"/>
  <c r="I21" i="2"/>
  <c r="I59" i="2" s="1"/>
  <c r="I97" i="2" s="1"/>
  <c r="B20" i="2"/>
  <c r="B58" i="2" s="1"/>
  <c r="B96" i="2" s="1"/>
  <c r="K17" i="2"/>
  <c r="K55" i="2" s="1"/>
  <c r="K93" i="2" s="1"/>
  <c r="E26" i="2"/>
  <c r="E64" i="2" s="1"/>
  <c r="E102" i="2" s="1"/>
  <c r="J25" i="2"/>
  <c r="J63" i="2" s="1"/>
  <c r="J101" i="2" s="1"/>
  <c r="I23" i="2"/>
  <c r="I61" i="2" s="1"/>
  <c r="I99" i="2" s="1"/>
  <c r="H19" i="2"/>
  <c r="H57" i="2" s="1"/>
  <c r="H95" i="2" s="1"/>
  <c r="J18" i="2"/>
  <c r="J56" i="2" s="1"/>
  <c r="J94" i="2" s="1"/>
  <c r="K12" i="2"/>
  <c r="K50" i="2" s="1"/>
  <c r="K88" i="2" s="1"/>
  <c r="K15" i="2"/>
  <c r="K53" i="2" s="1"/>
  <c r="K91" i="2" s="1"/>
  <c r="E15" i="2"/>
  <c r="E53" i="2" s="1"/>
  <c r="E91" i="2" s="1"/>
  <c r="I17" i="2"/>
  <c r="I55" i="2" s="1"/>
  <c r="I93" i="2" s="1"/>
  <c r="J16" i="2"/>
  <c r="J54" i="2" s="1"/>
  <c r="J92" i="2" s="1"/>
  <c r="I19" i="2"/>
  <c r="I57" i="2" s="1"/>
  <c r="I95" i="2" s="1"/>
  <c r="E23" i="2"/>
  <c r="E61" i="2" s="1"/>
  <c r="E99" i="2" s="1"/>
  <c r="H22" i="2"/>
  <c r="H60" i="2" s="1"/>
  <c r="H98" i="2" s="1"/>
  <c r="H20" i="2"/>
  <c r="H58" i="2" s="1"/>
  <c r="H96" i="2" s="1"/>
  <c r="I22" i="2"/>
  <c r="I60" i="2" s="1"/>
  <c r="I98" i="2" s="1"/>
  <c r="H13" i="2"/>
  <c r="H51" i="2" s="1"/>
  <c r="H89" i="2" s="1"/>
  <c r="D25" i="2"/>
  <c r="D63" i="2" s="1"/>
  <c r="D101" i="2" s="1"/>
  <c r="K22" i="2"/>
  <c r="K60" i="2" s="1"/>
  <c r="K98" i="2" s="1"/>
  <c r="K18" i="2"/>
  <c r="K56" i="2" s="1"/>
  <c r="K94" i="2" s="1"/>
  <c r="E16" i="2"/>
  <c r="E54" i="2" s="1"/>
  <c r="E92" i="2" s="1"/>
  <c r="J17" i="2"/>
  <c r="J55" i="2" s="1"/>
  <c r="J93" i="2" s="1"/>
  <c r="K24" i="2"/>
  <c r="K62" i="2" s="1"/>
  <c r="K100" i="2" s="1"/>
  <c r="K13" i="2"/>
  <c r="K51" i="2" s="1"/>
  <c r="K89" i="2" s="1"/>
  <c r="J26" i="2"/>
  <c r="J64" i="2" s="1"/>
  <c r="J102" i="2" s="1"/>
  <c r="B18" i="2"/>
  <c r="B56" i="2" s="1"/>
  <c r="B94" i="2" s="1"/>
  <c r="C22" i="2"/>
  <c r="C60" i="2" s="1"/>
  <c r="C98" i="2" s="1"/>
  <c r="H14" i="2"/>
  <c r="H52" i="2" s="1"/>
  <c r="H90" i="2" s="1"/>
  <c r="E14" i="2"/>
  <c r="E52" i="2" s="1"/>
  <c r="E90" i="2" s="1"/>
  <c r="E21" i="2"/>
  <c r="E59" i="2" s="1"/>
  <c r="E97" i="2" s="1"/>
  <c r="C21" i="2"/>
  <c r="C59" i="2" s="1"/>
  <c r="C97" i="2" s="1"/>
  <c r="C25" i="2"/>
  <c r="C63" i="2" s="1"/>
  <c r="C101" i="2" s="1"/>
  <c r="J15" i="2"/>
  <c r="J53" i="2" s="1"/>
  <c r="J91" i="2" s="1"/>
  <c r="D20" i="2"/>
  <c r="D58" i="2" s="1"/>
  <c r="D96" i="2" s="1"/>
  <c r="J14" i="2"/>
  <c r="J52" i="2" s="1"/>
  <c r="J90" i="2" s="1"/>
  <c r="B16" i="2"/>
  <c r="B54" i="2" s="1"/>
  <c r="B92" i="2" s="1"/>
  <c r="J22" i="2"/>
  <c r="J60" i="2" s="1"/>
  <c r="J98" i="2" s="1"/>
  <c r="B21" i="2"/>
  <c r="B59" i="2" s="1"/>
  <c r="B97" i="2" s="1"/>
  <c r="K25" i="2"/>
  <c r="K63" i="2" s="1"/>
  <c r="K101" i="2" s="1"/>
  <c r="C20" i="2"/>
  <c r="C58" i="2" s="1"/>
  <c r="C96" i="2" s="1"/>
  <c r="C18" i="2"/>
  <c r="C56" i="2" s="1"/>
  <c r="C94" i="2" s="1"/>
  <c r="C17" i="2"/>
  <c r="C55" i="2" s="1"/>
  <c r="C93" i="2" s="1"/>
  <c r="H23" i="2"/>
  <c r="H61" i="2" s="1"/>
  <c r="H99" i="2" s="1"/>
  <c r="H11" i="2"/>
  <c r="H49" i="2" s="1"/>
  <c r="H87" i="2" s="1"/>
  <c r="D12" i="2"/>
  <c r="D50" i="2" s="1"/>
  <c r="D88" i="2" s="1"/>
  <c r="H26" i="2"/>
  <c r="H64" i="2" s="1"/>
  <c r="H102" i="2" s="1"/>
  <c r="K16" i="2"/>
  <c r="K54" i="2" s="1"/>
  <c r="K92" i="2" s="1"/>
  <c r="J21" i="2"/>
  <c r="J59" i="2" s="1"/>
  <c r="J97" i="2" s="1"/>
  <c r="D13" i="2"/>
  <c r="D51" i="2" s="1"/>
  <c r="D89" i="2" s="1"/>
  <c r="J20" i="2"/>
  <c r="J58" i="2" s="1"/>
  <c r="J96" i="2" s="1"/>
  <c r="J13" i="2"/>
  <c r="J51" i="2" s="1"/>
  <c r="J89" i="2" s="1"/>
  <c r="H24" i="2"/>
  <c r="H62" i="2" s="1"/>
  <c r="H100" i="2" s="1"/>
  <c r="B12" i="2"/>
  <c r="B50" i="2" s="1"/>
  <c r="B88" i="2" s="1"/>
  <c r="E20" i="2"/>
  <c r="E58" i="2" s="1"/>
  <c r="E96" i="2" s="1"/>
  <c r="K20" i="2"/>
  <c r="K58" i="2" s="1"/>
  <c r="K96" i="2" s="1"/>
  <c r="D19" i="2"/>
  <c r="D57" i="2" s="1"/>
  <c r="D95" i="2" s="1"/>
  <c r="J12" i="2"/>
  <c r="J50" i="2" s="1"/>
  <c r="J88" i="2" s="1"/>
  <c r="C14" i="2"/>
  <c r="C52" i="2" s="1"/>
  <c r="C90" i="2" s="1"/>
  <c r="E22" i="2"/>
  <c r="E60" i="2" s="1"/>
  <c r="E98" i="2" s="1"/>
  <c r="B25" i="2"/>
  <c r="B63" i="2" s="1"/>
  <c r="B101" i="2" s="1"/>
  <c r="C15" i="2"/>
  <c r="C53" i="2" s="1"/>
  <c r="C91" i="2" s="1"/>
  <c r="D14" i="2"/>
  <c r="D52" i="2" s="1"/>
  <c r="D90" i="2" s="1"/>
  <c r="I25" i="2"/>
  <c r="I63" i="2" s="1"/>
  <c r="I101" i="2" s="1"/>
  <c r="E12" i="2"/>
  <c r="E50" i="2" s="1"/>
  <c r="E88" i="2" s="1"/>
  <c r="D26" i="2"/>
  <c r="D64" i="2" s="1"/>
  <c r="D102" i="2" s="1"/>
  <c r="D18" i="2"/>
  <c r="D56" i="2" s="1"/>
  <c r="D94" i="2" s="1"/>
  <c r="B49" i="2"/>
  <c r="B87" i="2" s="1"/>
  <c r="I12" i="2"/>
  <c r="I50" i="2" s="1"/>
  <c r="I88" i="2" s="1"/>
  <c r="B13" i="2"/>
  <c r="B51" i="2" s="1"/>
  <c r="B89" i="2" s="1"/>
  <c r="C13" i="2"/>
  <c r="C51" i="2" s="1"/>
  <c r="C89" i="2" s="1"/>
  <c r="J67" i="2"/>
  <c r="J105" i="2" s="1"/>
  <c r="J33" i="2"/>
  <c r="J71" i="2" s="1"/>
  <c r="J109" i="2" s="1"/>
  <c r="M56" i="4"/>
  <c r="W2" i="4"/>
  <c r="W4" i="4" s="1"/>
  <c r="W3" i="4"/>
  <c r="L56" i="4"/>
  <c r="R15" i="4" l="1"/>
  <c r="S15" i="4" s="1"/>
  <c r="R16" i="4"/>
  <c r="S16" i="4" s="1"/>
  <c r="T14" i="4"/>
  <c r="T15" i="4" l="1"/>
  <c r="T16" i="4"/>
</calcChain>
</file>

<file path=xl/sharedStrings.xml><?xml version="1.0" encoding="utf-8"?>
<sst xmlns="http://schemas.openxmlformats.org/spreadsheetml/2006/main" count="509" uniqueCount="308">
  <si>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</si>
  <si>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</si>
  <si>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</si>
  <si>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</si>
  <si>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</si>
  <si>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</si>
  <si>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</si>
  <si>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</si>
  <si>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</si>
  <si>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</si>
  <si>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</si>
  <si>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</si>
  <si>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</si>
  <si>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</si>
  <si>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</si>
  <si>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</si>
  <si>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</si>
  <si>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</si>
  <si>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</si>
  <si>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</si>
  <si>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</si>
  <si>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</si>
  <si>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</si>
  <si>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</si>
  <si>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</si>
  <si>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</si>
  <si>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</si>
  <si>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</si>
  <si>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</si>
  <si>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</si>
  <si>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</si>
  <si>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</si>
  <si>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</si>
  <si>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</si>
  <si>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</si>
  <si>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</si>
  <si>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</si>
  <si>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</si>
  <si>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</si>
  <si>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</si>
  <si>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</si>
  <si>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</si>
  <si>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</si>
  <si>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</si>
  <si>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</si>
  <si>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</si>
  <si>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</si>
  <si>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</si>
  <si>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</si>
  <si>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</si>
  <si>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</si>
  <si>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</si>
  <si>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</si>
  <si>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</si>
  <si>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</si>
  <si>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</si>
  <si>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</si>
  <si>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</si>
  <si>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</si>
  <si>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</si>
  <si>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</si>
  <si>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</si>
  <si>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</si>
  <si>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</si>
  <si>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</si>
  <si>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</si>
  <si>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</si>
  <si>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</si>
  <si>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</si>
  <si>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</si>
  <si>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</si>
  <si>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</si>
  <si>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</si>
  <si>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</si>
  <si>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</si>
  <si>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</si>
  <si>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</si>
  <si>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</si>
  <si>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</si>
  <si>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</si>
  <si>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</si>
  <si>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</si>
  <si>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</si>
  <si>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</si>
  <si>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</si>
  <si>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</si>
  <si>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</si>
  <si>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</si>
  <si>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</si>
  <si>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</si>
  <si>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</si>
  <si>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</si>
  <si>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</si>
  <si>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</si>
  <si>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</si>
  <si>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</si>
  <si>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</si>
  <si>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</si>
  <si>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</si>
  <si>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</si>
  <si>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</si>
  <si>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</si>
  <si>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</si>
  <si>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</si>
  <si>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</si>
  <si>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SOEYANTO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</si>
  <si>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</si>
  <si>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</si>
  <si>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</si>
  <si>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</si>
  <si>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</si>
  <si>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</si>
  <si>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</si>
  <si>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</si>
  <si>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</si>
  <si>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</si>
  <si>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</si>
  <si>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</si>
  <si>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</si>
  <si>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</si>
  <si>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</si>
  <si>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</si>
  <si>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</si>
  <si>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</si>
  <si>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</si>
  <si>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</si>
  <si>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</si>
  <si>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</si>
  <si>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</si>
  <si>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</si>
  <si>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</si>
  <si>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</si>
  <si>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</si>
  <si>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</si>
  <si>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</si>
  <si>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</si>
  <si>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</si>
  <si>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</si>
  <si>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</si>
  <si>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</si>
  <si>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</si>
  <si>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</si>
  <si>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</si>
  <si>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</si>
  <si>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</si>
  <si>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</si>
  <si>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</si>
  <si>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</si>
  <si>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</si>
  <si>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</si>
  <si>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</si>
  <si>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</si>
  <si>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</si>
  <si>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</si>
  <si>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</si>
  <si>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</si>
  <si>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</si>
  <si>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</si>
  <si>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</si>
  <si>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</si>
  <si>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</si>
  <si>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</si>
  <si>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</si>
  <si>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</si>
  <si>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</si>
  <si>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</si>
  <si>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</si>
  <si>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</si>
  <si>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</si>
  <si>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</si>
  <si>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</si>
  <si>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</si>
  <si>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</si>
  <si>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</si>
  <si>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</si>
  <si>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</si>
  <si>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</si>
  <si>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</si>
  <si>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</si>
  <si>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</si>
  <si>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</si>
  <si>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</si>
  <si>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</si>
  <si>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</si>
  <si>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</si>
  <si>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</si>
  <si>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</si>
  <si>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</si>
  <si>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</si>
  <si>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</si>
  <si>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</si>
  <si>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</si>
  <si>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</si>
  <si>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</si>
  <si>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</si>
  <si>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</si>
  <si>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</si>
  <si>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</si>
  <si>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</si>
  <si>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</si>
  <si>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</si>
  <si>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</si>
  <si>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</si>
  <si>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</si>
  <si>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</si>
  <si>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</si>
  <si>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</si>
  <si>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</si>
  <si>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</si>
  <si>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</si>
  <si>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</si>
  <si>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</si>
  <si>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</si>
  <si>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</si>
  <si>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</si>
  <si>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</si>
  <si>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</si>
  <si>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</si>
  <si>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</si>
  <si>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</si>
  <si>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</si>
  <si>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</si>
  <si>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</si>
  <si>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</si>
  <si>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</si>
  <si>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</si>
  <si>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</si>
  <si>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</si>
  <si>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</si>
  <si>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</si>
  <si>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</si>
  <si>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</si>
  <si>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</si>
  <si>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</si>
  <si>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</si>
  <si>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</si>
  <si>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</si>
  <si>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</si>
  <si>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</si>
  <si>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</si>
  <si>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</si>
  <si>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</si>
  <si>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</si>
  <si>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</si>
  <si>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</si>
  <si>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</si>
  <si>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</si>
  <si>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</si>
  <si>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</si>
  <si>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</si>
  <si>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</si>
  <si>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</si>
  <si>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</si>
  <si>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</si>
  <si>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</si>
  <si>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</si>
  <si>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</si>
  <si>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</si>
  <si>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</si>
  <si>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</si>
  <si>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</si>
  <si>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</si>
  <si>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</si>
  <si>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</si>
  <si>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</si>
  <si>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</si>
  <si>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</si>
  <si>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</si>
  <si>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</si>
  <si>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</si>
  <si>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</si>
  <si>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</si>
  <si>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</si>
  <si>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</si>
  <si>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</si>
  <si>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</si>
  <si>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</si>
  <si>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</si>
  <si>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</si>
  <si>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</si>
  <si>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</si>
  <si>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</si>
  <si>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</si>
  <si>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</si>
  <si>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</si>
  <si>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</si>
  <si>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</si>
  <si>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</si>
  <si>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</si>
  <si>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</si>
  <si>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</si>
  <si>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</si>
  <si>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</si>
  <si>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</si>
  <si>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</si>
  <si>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</si>
  <si>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</si>
  <si>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</si>
  <si>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</si>
  <si>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</si>
  <si>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</si>
  <si>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</si>
  <si>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</si>
  <si>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09/02/203</t>
  </si>
  <si>
    <t>0910</t>
  </si>
  <si>
    <t>CUTKENL500</t>
  </si>
  <si>
    <t>CUTTER 18 MM KENKO L-500 (BESAR)</t>
  </si>
  <si>
    <t>CUTTER 18 MM KENKO L-500 (BESAR)LSN147600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</si>
</sst>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 t="str">
            <v>09/02/203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 t="str">
            <v>09/02/203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 t="str">
            <v>09/02/203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6">
          <cell r="D1946" t="str">
            <v>C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0</v>
          </cell>
        </row>
        <row r="1978">
          <cell r="D1978" t="str">
            <v>AM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0</v>
          </cell>
          <cell r="K1986">
            <v>0</v>
          </cell>
        </row>
        <row r="1987">
          <cell r="D1987">
            <v>0</v>
          </cell>
          <cell r="K1987">
            <v>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0</v>
          </cell>
        </row>
        <row r="2016">
          <cell r="D2016" t="str">
            <v>AM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0</v>
          </cell>
          <cell r="K2024">
            <v>0</v>
          </cell>
        </row>
        <row r="2025">
          <cell r="D2025">
            <v>0</v>
          </cell>
          <cell r="K2025">
            <v>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0</v>
          </cell>
        </row>
        <row r="2054">
          <cell r="D2054" t="str">
            <v>AM</v>
          </cell>
        </row>
        <row r="2060">
          <cell r="D2060" t="str">
            <v>C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0</v>
          </cell>
        </row>
        <row r="2092">
          <cell r="D2092" t="str">
            <v>AM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K2098" t="str">
            <v>Amount</v>
          </cell>
        </row>
        <row r="2100">
          <cell r="D2100">
            <v>0</v>
          </cell>
          <cell r="K2100">
            <v>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0</v>
          </cell>
        </row>
        <row r="2130">
          <cell r="D2130" t="str">
            <v>AM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K2136" t="str">
            <v>Amount</v>
          </cell>
        </row>
        <row r="2138">
          <cell r="D2138">
            <v>0</v>
          </cell>
          <cell r="K2138">
            <v>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0</v>
          </cell>
        </row>
        <row r="2168">
          <cell r="D2168" t="str">
            <v>AM</v>
          </cell>
        </row>
        <row r="2174">
          <cell r="D2174" t="str">
            <v>C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0</v>
          </cell>
        </row>
        <row r="2206">
          <cell r="D2206" t="str">
            <v>AM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0</v>
          </cell>
          <cell r="K2214">
            <v>0</v>
          </cell>
        </row>
        <row r="2215">
          <cell r="D2215">
            <v>0</v>
          </cell>
          <cell r="K2215">
            <v>0</v>
          </cell>
        </row>
        <row r="2216">
          <cell r="D2216">
            <v>0</v>
          </cell>
          <cell r="K2216">
            <v>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0</v>
          </cell>
        </row>
        <row r="2244">
          <cell r="D2244" t="str">
            <v>AM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0</v>
          </cell>
          <cell r="K2252">
            <v>0</v>
          </cell>
        </row>
        <row r="2253">
          <cell r="D2253">
            <v>0</v>
          </cell>
          <cell r="K2253">
            <v>0</v>
          </cell>
        </row>
        <row r="2254">
          <cell r="D2254">
            <v>0</v>
          </cell>
          <cell r="K2254">
            <v>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0</v>
          </cell>
        </row>
        <row r="2282">
          <cell r="D2282" t="str">
            <v>AM</v>
          </cell>
        </row>
        <row r="2288">
          <cell r="D2288" t="str">
            <v>C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0</v>
          </cell>
        </row>
        <row r="2320">
          <cell r="D2320" t="str">
            <v>AM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0</v>
          </cell>
          <cell r="K2328">
            <v>0</v>
          </cell>
        </row>
        <row r="2329">
          <cell r="D2329">
            <v>0</v>
          </cell>
          <cell r="K2329">
            <v>0</v>
          </cell>
        </row>
        <row r="2330">
          <cell r="D2330">
            <v>0</v>
          </cell>
          <cell r="K2330">
            <v>0</v>
          </cell>
        </row>
        <row r="2331">
          <cell r="D2331">
            <v>0</v>
          </cell>
          <cell r="K2331">
            <v>0</v>
          </cell>
        </row>
        <row r="2332">
          <cell r="D2332">
            <v>0</v>
          </cell>
          <cell r="K2332">
            <v>0</v>
          </cell>
        </row>
        <row r="2333">
          <cell r="D2333">
            <v>0</v>
          </cell>
          <cell r="K2333">
            <v>0</v>
          </cell>
        </row>
        <row r="2334">
          <cell r="D2334">
            <v>0</v>
          </cell>
          <cell r="K2334">
            <v>0</v>
          </cell>
        </row>
        <row r="2335">
          <cell r="D2335">
            <v>0</v>
          </cell>
          <cell r="K2335">
            <v>0</v>
          </cell>
        </row>
        <row r="2336">
          <cell r="D2336">
            <v>0</v>
          </cell>
          <cell r="K2336">
            <v>0</v>
          </cell>
        </row>
        <row r="2337">
          <cell r="D2337">
            <v>0</v>
          </cell>
          <cell r="K2337">
            <v>0</v>
          </cell>
        </row>
        <row r="2338">
          <cell r="D2338">
            <v>0</v>
          </cell>
          <cell r="K2338">
            <v>0</v>
          </cell>
        </row>
        <row r="2339">
          <cell r="D2339">
            <v>0</v>
          </cell>
          <cell r="K2339">
            <v>0</v>
          </cell>
        </row>
        <row r="2340">
          <cell r="D2340">
            <v>0</v>
          </cell>
          <cell r="K2340">
            <v>0</v>
          </cell>
        </row>
        <row r="2341">
          <cell r="D2341">
            <v>0</v>
          </cell>
          <cell r="K2341">
            <v>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0</v>
          </cell>
        </row>
        <row r="2358">
          <cell r="D2358" t="str">
            <v>AM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0</v>
          </cell>
          <cell r="K2366">
            <v>0</v>
          </cell>
        </row>
        <row r="2367">
          <cell r="D2367">
            <v>0</v>
          </cell>
          <cell r="K2367">
            <v>0</v>
          </cell>
        </row>
        <row r="2368">
          <cell r="D2368">
            <v>0</v>
          </cell>
          <cell r="K2368">
            <v>0</v>
          </cell>
        </row>
        <row r="2369">
          <cell r="D2369">
            <v>0</v>
          </cell>
          <cell r="K2369">
            <v>0</v>
          </cell>
        </row>
        <row r="2370">
          <cell r="D2370">
            <v>0</v>
          </cell>
          <cell r="K2370">
            <v>0</v>
          </cell>
        </row>
        <row r="2371">
          <cell r="D2371">
            <v>0</v>
          </cell>
          <cell r="K2371">
            <v>0</v>
          </cell>
        </row>
        <row r="2372">
          <cell r="D2372">
            <v>0</v>
          </cell>
          <cell r="K2372">
            <v>0</v>
          </cell>
        </row>
        <row r="2373">
          <cell r="D2373">
            <v>0</v>
          </cell>
          <cell r="K2373">
            <v>0</v>
          </cell>
        </row>
        <row r="2374">
          <cell r="D2374">
            <v>0</v>
          </cell>
          <cell r="K2374">
            <v>0</v>
          </cell>
        </row>
        <row r="2375">
          <cell r="D2375">
            <v>0</v>
          </cell>
          <cell r="K2375">
            <v>0</v>
          </cell>
        </row>
        <row r="2376">
          <cell r="D2376">
            <v>0</v>
          </cell>
          <cell r="K2376">
            <v>0</v>
          </cell>
        </row>
        <row r="2377">
          <cell r="D2377">
            <v>0</v>
          </cell>
          <cell r="K2377">
            <v>0</v>
          </cell>
        </row>
        <row r="2378">
          <cell r="D2378">
            <v>0</v>
          </cell>
          <cell r="K2378">
            <v>0</v>
          </cell>
        </row>
        <row r="2379">
          <cell r="D2379">
            <v>0</v>
          </cell>
          <cell r="K2379">
            <v>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0</v>
          </cell>
        </row>
        <row r="2396">
          <cell r="D2396" t="str">
            <v>AM</v>
          </cell>
        </row>
        <row r="2402">
          <cell r="D2402" t="str">
            <v>C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0</v>
          </cell>
        </row>
        <row r="2434">
          <cell r="D2434" t="str">
            <v>AM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0</v>
          </cell>
          <cell r="K2442">
            <v>0</v>
          </cell>
        </row>
        <row r="2443">
          <cell r="D2443">
            <v>0</v>
          </cell>
          <cell r="K2443">
            <v>0</v>
          </cell>
        </row>
        <row r="2444">
          <cell r="D2444">
            <v>0</v>
          </cell>
          <cell r="K2444">
            <v>0</v>
          </cell>
        </row>
        <row r="2445">
          <cell r="D2445">
            <v>0</v>
          </cell>
          <cell r="K2445">
            <v>0</v>
          </cell>
        </row>
        <row r="2446">
          <cell r="D2446">
            <v>0</v>
          </cell>
          <cell r="K2446">
            <v>0</v>
          </cell>
        </row>
        <row r="2447">
          <cell r="D2447">
            <v>0</v>
          </cell>
          <cell r="K2447">
            <v>0</v>
          </cell>
        </row>
        <row r="2448">
          <cell r="D2448">
            <v>0</v>
          </cell>
          <cell r="K2448">
            <v>0</v>
          </cell>
        </row>
        <row r="2449">
          <cell r="D2449">
            <v>0</v>
          </cell>
          <cell r="K2449">
            <v>0</v>
          </cell>
        </row>
        <row r="2450">
          <cell r="D2450">
            <v>0</v>
          </cell>
          <cell r="K2450">
            <v>0</v>
          </cell>
        </row>
        <row r="2451">
          <cell r="D2451">
            <v>0</v>
          </cell>
          <cell r="K2451">
            <v>0</v>
          </cell>
        </row>
        <row r="2452">
          <cell r="D2452">
            <v>0</v>
          </cell>
          <cell r="K2452">
            <v>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0</v>
          </cell>
        </row>
        <row r="2472">
          <cell r="D2472" t="str">
            <v>AM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0</v>
          </cell>
          <cell r="K2480">
            <v>0</v>
          </cell>
        </row>
        <row r="2481">
          <cell r="D2481">
            <v>0</v>
          </cell>
          <cell r="K2481">
            <v>0</v>
          </cell>
        </row>
        <row r="2482">
          <cell r="D2482">
            <v>0</v>
          </cell>
          <cell r="K2482">
            <v>0</v>
          </cell>
        </row>
        <row r="2483">
          <cell r="D2483">
            <v>0</v>
          </cell>
          <cell r="K2483">
            <v>0</v>
          </cell>
        </row>
        <row r="2484">
          <cell r="D2484">
            <v>0</v>
          </cell>
          <cell r="K2484">
            <v>0</v>
          </cell>
        </row>
        <row r="2485">
          <cell r="D2485">
            <v>0</v>
          </cell>
          <cell r="K2485">
            <v>0</v>
          </cell>
        </row>
        <row r="2486">
          <cell r="D2486">
            <v>0</v>
          </cell>
          <cell r="K2486">
            <v>0</v>
          </cell>
        </row>
        <row r="2487">
          <cell r="D2487">
            <v>0</v>
          </cell>
          <cell r="K2487">
            <v>0</v>
          </cell>
        </row>
        <row r="2488">
          <cell r="D2488">
            <v>0</v>
          </cell>
          <cell r="K2488">
            <v>0</v>
          </cell>
        </row>
        <row r="2489">
          <cell r="D2489">
            <v>0</v>
          </cell>
          <cell r="K2489">
            <v>0</v>
          </cell>
        </row>
        <row r="2490">
          <cell r="D2490">
            <v>0</v>
          </cell>
          <cell r="K2490">
            <v>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0</v>
          </cell>
        </row>
        <row r="2510">
          <cell r="D2510" t="str">
            <v>AM</v>
          </cell>
        </row>
        <row r="2516">
          <cell r="D2516" t="str">
            <v>C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0</v>
          </cell>
        </row>
        <row r="2548">
          <cell r="D2548" t="str">
            <v>AM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0</v>
          </cell>
          <cell r="K2556">
            <v>0</v>
          </cell>
        </row>
        <row r="2557">
          <cell r="D2557">
            <v>0</v>
          </cell>
          <cell r="K2557">
            <v>0</v>
          </cell>
        </row>
        <row r="2558">
          <cell r="D2558">
            <v>0</v>
          </cell>
          <cell r="K2558">
            <v>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0</v>
          </cell>
        </row>
        <row r="2586">
          <cell r="D2586" t="str">
            <v>AM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0</v>
          </cell>
          <cell r="K2594">
            <v>0</v>
          </cell>
        </row>
        <row r="2595">
          <cell r="D2595">
            <v>0</v>
          </cell>
          <cell r="K2595">
            <v>0</v>
          </cell>
        </row>
        <row r="2596">
          <cell r="D2596">
            <v>0</v>
          </cell>
          <cell r="K2596">
            <v>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0</v>
          </cell>
        </row>
        <row r="2624">
          <cell r="D2624" t="str">
            <v>AM</v>
          </cell>
        </row>
        <row r="2630">
          <cell r="D2630" t="str">
            <v>C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0</v>
          </cell>
        </row>
        <row r="2662">
          <cell r="D2662" t="str">
            <v>AM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0</v>
          </cell>
          <cell r="K2670">
            <v>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0</v>
          </cell>
        </row>
        <row r="2700">
          <cell r="D2700" t="str">
            <v>AM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0</v>
          </cell>
          <cell r="K2708">
            <v>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0</v>
          </cell>
        </row>
        <row r="2738">
          <cell r="D2738" t="str">
            <v>AM</v>
          </cell>
        </row>
        <row r="2744">
          <cell r="D2744" t="str">
            <v>C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0</v>
          </cell>
        </row>
        <row r="2776">
          <cell r="D2776" t="str">
            <v>AM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K2782" t="str">
            <v>Amount</v>
          </cell>
        </row>
        <row r="2784">
          <cell r="D2784">
            <v>0</v>
          </cell>
          <cell r="K2784">
            <v>0</v>
          </cell>
        </row>
        <row r="2785">
          <cell r="D2785">
            <v>0</v>
          </cell>
          <cell r="K2785">
            <v>0</v>
          </cell>
        </row>
        <row r="2786">
          <cell r="D2786">
            <v>0</v>
          </cell>
          <cell r="K2786">
            <v>0</v>
          </cell>
        </row>
        <row r="2787">
          <cell r="D2787">
            <v>0</v>
          </cell>
          <cell r="K2787">
            <v>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0</v>
          </cell>
        </row>
        <row r="2814">
          <cell r="D2814" t="str">
            <v>AM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K2820" t="str">
            <v>Amount</v>
          </cell>
        </row>
        <row r="2822">
          <cell r="D2822">
            <v>0</v>
          </cell>
          <cell r="K2822">
            <v>0</v>
          </cell>
        </row>
        <row r="2823">
          <cell r="D2823">
            <v>0</v>
          </cell>
          <cell r="K2823">
            <v>0</v>
          </cell>
        </row>
        <row r="2824">
          <cell r="D2824">
            <v>0</v>
          </cell>
          <cell r="K2824">
            <v>0</v>
          </cell>
        </row>
        <row r="2825">
          <cell r="D2825">
            <v>0</v>
          </cell>
          <cell r="K2825">
            <v>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0</v>
          </cell>
        </row>
        <row r="2852">
          <cell r="D2852" t="str">
            <v>AM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0</v>
          </cell>
        </row>
        <row r="2890">
          <cell r="D2890" t="str">
            <v>AM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0</v>
          </cell>
        </row>
        <row r="2899">
          <cell r="D2899">
            <v>0</v>
          </cell>
          <cell r="K2899">
            <v>0</v>
          </cell>
        </row>
        <row r="2900">
          <cell r="D2900">
            <v>0</v>
          </cell>
          <cell r="K2900">
            <v>0</v>
          </cell>
        </row>
        <row r="2901">
          <cell r="D2901">
            <v>0</v>
          </cell>
          <cell r="K2901">
            <v>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0</v>
          </cell>
        </row>
        <row r="2928">
          <cell r="D2928" t="str">
            <v>AM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0</v>
          </cell>
        </row>
        <row r="2937">
          <cell r="D2937">
            <v>0</v>
          </cell>
          <cell r="K2937">
            <v>0</v>
          </cell>
        </row>
        <row r="2938">
          <cell r="D2938">
            <v>0</v>
          </cell>
          <cell r="K2938">
            <v>0</v>
          </cell>
        </row>
        <row r="2939">
          <cell r="D2939">
            <v>0</v>
          </cell>
          <cell r="K2939">
            <v>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0</v>
          </cell>
        </row>
        <row r="2966">
          <cell r="D2966" t="str">
            <v>AM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0</v>
          </cell>
        </row>
        <row r="3004">
          <cell r="D3004" t="str">
            <v>AM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0</v>
          </cell>
        </row>
        <row r="3013">
          <cell r="D3013">
            <v>0</v>
          </cell>
          <cell r="K3013">
            <v>0</v>
          </cell>
        </row>
        <row r="3014">
          <cell r="D3014">
            <v>0</v>
          </cell>
          <cell r="K3014">
            <v>0</v>
          </cell>
        </row>
        <row r="3015">
          <cell r="D3015">
            <v>0</v>
          </cell>
          <cell r="K3015">
            <v>0</v>
          </cell>
        </row>
        <row r="3016">
          <cell r="D3016">
            <v>0</v>
          </cell>
          <cell r="K3016">
            <v>0</v>
          </cell>
        </row>
        <row r="3017">
          <cell r="D3017">
            <v>0</v>
          </cell>
          <cell r="K3017">
            <v>0</v>
          </cell>
        </row>
        <row r="3018">
          <cell r="D3018">
            <v>0</v>
          </cell>
          <cell r="K3018">
            <v>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0</v>
          </cell>
        </row>
        <row r="3042">
          <cell r="D3042" t="str">
            <v>AM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0</v>
          </cell>
        </row>
        <row r="3051">
          <cell r="D3051">
            <v>0</v>
          </cell>
          <cell r="K3051">
            <v>0</v>
          </cell>
        </row>
        <row r="3052">
          <cell r="D3052">
            <v>0</v>
          </cell>
          <cell r="K3052">
            <v>0</v>
          </cell>
        </row>
        <row r="3053">
          <cell r="D3053">
            <v>0</v>
          </cell>
          <cell r="K3053">
            <v>0</v>
          </cell>
        </row>
        <row r="3054">
          <cell r="D3054">
            <v>0</v>
          </cell>
          <cell r="K3054">
            <v>0</v>
          </cell>
        </row>
        <row r="3055">
          <cell r="D3055">
            <v>0</v>
          </cell>
          <cell r="K3055">
            <v>0</v>
          </cell>
        </row>
        <row r="3056">
          <cell r="D3056">
            <v>0</v>
          </cell>
          <cell r="K3056">
            <v>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0</v>
          </cell>
        </row>
        <row r="3080">
          <cell r="D3080" t="str">
            <v>AM</v>
          </cell>
        </row>
        <row r="3086">
          <cell r="D3086" t="str">
            <v>C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0</v>
          </cell>
        </row>
        <row r="3118">
          <cell r="D3118" t="str">
            <v>AM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K3124" t="str">
            <v>Amount</v>
          </cell>
        </row>
        <row r="3126">
          <cell r="D3126">
            <v>0</v>
          </cell>
          <cell r="K3126">
            <v>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0</v>
          </cell>
        </row>
        <row r="3156">
          <cell r="D3156" t="str">
            <v>AM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K3162" t="str">
            <v>Amount</v>
          </cell>
        </row>
        <row r="3164">
          <cell r="D3164">
            <v>0</v>
          </cell>
          <cell r="K3164">
            <v>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0</v>
          </cell>
        </row>
        <row r="3194">
          <cell r="D3194" t="str">
            <v>AM</v>
          </cell>
        </row>
        <row r="3200">
          <cell r="D3200" t="str">
            <v>C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0</v>
          </cell>
        </row>
        <row r="3232">
          <cell r="D3232" t="str">
            <v>AM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0</v>
          </cell>
          <cell r="K3240">
            <v>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0</v>
          </cell>
        </row>
        <row r="3270">
          <cell r="D3270" t="str">
            <v>AM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0</v>
          </cell>
          <cell r="K3278">
            <v>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0</v>
          </cell>
        </row>
        <row r="3308">
          <cell r="D3308" t="str">
            <v>AM</v>
          </cell>
        </row>
        <row r="3314">
          <cell r="D3314" t="str">
            <v>C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0</v>
          </cell>
        </row>
        <row r="3346">
          <cell r="D3346" t="str">
            <v>AM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0</v>
          </cell>
          <cell r="K3354">
            <v>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0</v>
          </cell>
        </row>
        <row r="3384">
          <cell r="D3384" t="str">
            <v>AM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0</v>
          </cell>
          <cell r="K3392">
            <v>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0</v>
          </cell>
        </row>
        <row r="3422">
          <cell r="D3422" t="str">
            <v>AM</v>
          </cell>
        </row>
        <row r="3428">
          <cell r="D3428" t="str">
            <v>C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0</v>
          </cell>
        </row>
        <row r="3460">
          <cell r="D3460" t="str">
            <v>AM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K3466" t="str">
            <v>Amount</v>
          </cell>
        </row>
        <row r="3468">
          <cell r="D3468">
            <v>0</v>
          </cell>
          <cell r="K3468">
            <v>0</v>
          </cell>
        </row>
        <row r="3469">
          <cell r="D3469">
            <v>0</v>
          </cell>
          <cell r="K3469">
            <v>0</v>
          </cell>
        </row>
        <row r="3470">
          <cell r="D3470">
            <v>0</v>
          </cell>
          <cell r="K3470">
            <v>0</v>
          </cell>
        </row>
        <row r="3471">
          <cell r="D3471">
            <v>0</v>
          </cell>
          <cell r="K3471">
            <v>0</v>
          </cell>
        </row>
        <row r="3472">
          <cell r="D3472">
            <v>0</v>
          </cell>
          <cell r="K3472">
            <v>0</v>
          </cell>
        </row>
        <row r="3473">
          <cell r="D3473">
            <v>0</v>
          </cell>
          <cell r="K3473">
            <v>0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0</v>
          </cell>
        </row>
        <row r="3498">
          <cell r="D3498" t="str">
            <v>AM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K3504" t="str">
            <v>Amount</v>
          </cell>
        </row>
        <row r="3506">
          <cell r="D3506">
            <v>0</v>
          </cell>
          <cell r="K3506">
            <v>0</v>
          </cell>
        </row>
        <row r="3507">
          <cell r="D3507">
            <v>0</v>
          </cell>
          <cell r="K3507">
            <v>0</v>
          </cell>
        </row>
        <row r="3508">
          <cell r="D3508">
            <v>0</v>
          </cell>
          <cell r="K3508">
            <v>0</v>
          </cell>
        </row>
        <row r="3509">
          <cell r="D3509">
            <v>0</v>
          </cell>
          <cell r="K3509">
            <v>0</v>
          </cell>
        </row>
        <row r="3510">
          <cell r="D3510">
            <v>0</v>
          </cell>
          <cell r="K3510">
            <v>0</v>
          </cell>
        </row>
        <row r="3511">
          <cell r="D3511">
            <v>0</v>
          </cell>
          <cell r="K3511">
            <v>0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0</v>
          </cell>
        </row>
        <row r="3536">
          <cell r="D3536" t="str">
            <v>AM</v>
          </cell>
        </row>
        <row r="3542">
          <cell r="D3542" t="str">
            <v>C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0</v>
          </cell>
        </row>
        <row r="3574">
          <cell r="D3574" t="str">
            <v>AM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K3580" t="str">
            <v>Amount</v>
          </cell>
        </row>
        <row r="3582">
          <cell r="D3582">
            <v>0</v>
          </cell>
          <cell r="K3582">
            <v>0</v>
          </cell>
        </row>
        <row r="3583">
          <cell r="D3583">
            <v>0</v>
          </cell>
          <cell r="K3583">
            <v>0</v>
          </cell>
        </row>
        <row r="3584">
          <cell r="D3584">
            <v>0</v>
          </cell>
          <cell r="K3584">
            <v>0</v>
          </cell>
        </row>
        <row r="3585">
          <cell r="D3585">
            <v>0</v>
          </cell>
          <cell r="K3585">
            <v>0</v>
          </cell>
        </row>
        <row r="3586">
          <cell r="D3586">
            <v>0</v>
          </cell>
          <cell r="K3586">
            <v>0</v>
          </cell>
        </row>
        <row r="3587">
          <cell r="D3587">
            <v>0</v>
          </cell>
          <cell r="K3587">
            <v>0</v>
          </cell>
        </row>
        <row r="3588">
          <cell r="D3588">
            <v>0</v>
          </cell>
          <cell r="K3588">
            <v>0</v>
          </cell>
        </row>
        <row r="3589">
          <cell r="D3589">
            <v>0</v>
          </cell>
          <cell r="K3589">
            <v>0</v>
          </cell>
        </row>
        <row r="3590">
          <cell r="D3590">
            <v>0</v>
          </cell>
          <cell r="K3590">
            <v>0</v>
          </cell>
        </row>
        <row r="3591">
          <cell r="D3591">
            <v>0</v>
          </cell>
          <cell r="K3591">
            <v>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0</v>
          </cell>
        </row>
        <row r="3612">
          <cell r="D3612" t="str">
            <v>AM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K3618" t="str">
            <v>Amount</v>
          </cell>
        </row>
        <row r="3620">
          <cell r="D3620">
            <v>0</v>
          </cell>
          <cell r="K3620">
            <v>0</v>
          </cell>
        </row>
        <row r="3621">
          <cell r="D3621">
            <v>0</v>
          </cell>
          <cell r="K3621">
            <v>0</v>
          </cell>
        </row>
        <row r="3622">
          <cell r="D3622">
            <v>0</v>
          </cell>
          <cell r="K3622">
            <v>0</v>
          </cell>
        </row>
        <row r="3623">
          <cell r="D3623">
            <v>0</v>
          </cell>
          <cell r="K3623">
            <v>0</v>
          </cell>
        </row>
        <row r="3624">
          <cell r="D3624">
            <v>0</v>
          </cell>
          <cell r="K3624">
            <v>0</v>
          </cell>
        </row>
        <row r="3625">
          <cell r="D3625">
            <v>0</v>
          </cell>
          <cell r="K3625">
            <v>0</v>
          </cell>
        </row>
        <row r="3626">
          <cell r="D3626">
            <v>0</v>
          </cell>
          <cell r="K3626">
            <v>0</v>
          </cell>
        </row>
        <row r="3627">
          <cell r="D3627">
            <v>0</v>
          </cell>
          <cell r="K3627">
            <v>0</v>
          </cell>
        </row>
        <row r="3628">
          <cell r="D3628">
            <v>0</v>
          </cell>
          <cell r="K3628">
            <v>0</v>
          </cell>
        </row>
        <row r="3629">
          <cell r="D3629">
            <v>0</v>
          </cell>
          <cell r="K3629">
            <v>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0</v>
          </cell>
        </row>
        <row r="3650">
          <cell r="D3650" t="str">
            <v>AM</v>
          </cell>
        </row>
        <row r="3656">
          <cell r="D3656" t="str">
            <v>C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0</v>
          </cell>
        </row>
        <row r="3688">
          <cell r="D3688" t="str">
            <v>AM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K3694" t="str">
            <v>Amount</v>
          </cell>
        </row>
        <row r="3696">
          <cell r="D3696">
            <v>0</v>
          </cell>
          <cell r="K3696">
            <v>0</v>
          </cell>
        </row>
        <row r="3697">
          <cell r="D3697">
            <v>0</v>
          </cell>
          <cell r="K3697">
            <v>0</v>
          </cell>
        </row>
        <row r="3698">
          <cell r="D3698">
            <v>0</v>
          </cell>
          <cell r="K3698">
            <v>0</v>
          </cell>
        </row>
        <row r="3699">
          <cell r="D3699">
            <v>0</v>
          </cell>
          <cell r="K3699">
            <v>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0</v>
          </cell>
        </row>
        <row r="3726">
          <cell r="D3726" t="str">
            <v>AM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K3732" t="str">
            <v>Amount</v>
          </cell>
        </row>
        <row r="3734">
          <cell r="D3734">
            <v>0</v>
          </cell>
          <cell r="K3734">
            <v>0</v>
          </cell>
        </row>
        <row r="3735">
          <cell r="D3735">
            <v>0</v>
          </cell>
          <cell r="K3735">
            <v>0</v>
          </cell>
        </row>
        <row r="3736">
          <cell r="D3736">
            <v>0</v>
          </cell>
          <cell r="K3736">
            <v>0</v>
          </cell>
        </row>
        <row r="3737">
          <cell r="D3737">
            <v>0</v>
          </cell>
          <cell r="K3737">
            <v>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0</v>
          </cell>
        </row>
        <row r="3764">
          <cell r="D3764" t="str">
            <v>AM</v>
          </cell>
        </row>
        <row r="3770">
          <cell r="D3770" t="str">
            <v>C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0</v>
          </cell>
        </row>
        <row r="3802">
          <cell r="D3802" t="str">
            <v>AM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0</v>
          </cell>
          <cell r="K3810">
            <v>0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0</v>
          </cell>
        </row>
        <row r="3840">
          <cell r="D3840" t="str">
            <v>AM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0</v>
          </cell>
          <cell r="K3848">
            <v>0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0</v>
          </cell>
        </row>
        <row r="3878">
          <cell r="D3878" t="str">
            <v>AM</v>
          </cell>
        </row>
        <row r="3884">
          <cell r="D3884" t="str">
            <v>C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0</v>
          </cell>
        </row>
        <row r="3916">
          <cell r="D3916" t="str">
            <v>AM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0</v>
          </cell>
          <cell r="K3924">
            <v>0</v>
          </cell>
        </row>
        <row r="3925">
          <cell r="D3925">
            <v>0</v>
          </cell>
          <cell r="K3925">
            <v>0</v>
          </cell>
        </row>
        <row r="3926">
          <cell r="D3926">
            <v>0</v>
          </cell>
          <cell r="K3926">
            <v>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0</v>
          </cell>
        </row>
        <row r="3954">
          <cell r="D3954" t="str">
            <v>AM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0</v>
          </cell>
          <cell r="K3962">
            <v>0</v>
          </cell>
        </row>
        <row r="3963">
          <cell r="D3963">
            <v>0</v>
          </cell>
          <cell r="K3963">
            <v>0</v>
          </cell>
        </row>
        <row r="3964">
          <cell r="D3964">
            <v>0</v>
          </cell>
          <cell r="K3964">
            <v>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0</v>
          </cell>
        </row>
        <row r="3992">
          <cell r="D3992" t="str">
            <v>AM</v>
          </cell>
        </row>
        <row r="3998">
          <cell r="D3998" t="str">
            <v>C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0</v>
          </cell>
        </row>
        <row r="4030">
          <cell r="D4030" t="str">
            <v>AM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0</v>
          </cell>
          <cell r="K4038">
            <v>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0</v>
          </cell>
        </row>
        <row r="4068">
          <cell r="D4068" t="str">
            <v>AM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0</v>
          </cell>
          <cell r="K4076">
            <v>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0</v>
          </cell>
        </row>
        <row r="4106">
          <cell r="D4106" t="str">
            <v>AM</v>
          </cell>
        </row>
        <row r="4112">
          <cell r="D4112" t="str">
            <v>C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0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K4150" t="str">
            <v>Amount</v>
          </cell>
        </row>
        <row r="4152">
          <cell r="D4152">
            <v>0</v>
          </cell>
          <cell r="K4152">
            <v>0</v>
          </cell>
        </row>
        <row r="4153">
          <cell r="D4153">
            <v>0</v>
          </cell>
          <cell r="K4153">
            <v>0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K4188" t="str">
            <v>Amount</v>
          </cell>
        </row>
        <row r="4190">
          <cell r="D4190">
            <v>0</v>
          </cell>
          <cell r="K4190">
            <v>0</v>
          </cell>
        </row>
        <row r="4191">
          <cell r="D4191">
            <v>0</v>
          </cell>
          <cell r="K4191">
            <v>0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0</v>
          </cell>
        </row>
        <row r="4220">
          <cell r="D4220" t="str">
            <v>AM</v>
          </cell>
        </row>
        <row r="4226">
          <cell r="D4226" t="str">
            <v>C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0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K4264" t="str">
            <v>Amount</v>
          </cell>
        </row>
        <row r="4266">
          <cell r="D4266">
            <v>0</v>
          </cell>
          <cell r="K4266">
            <v>0</v>
          </cell>
        </row>
        <row r="4267">
          <cell r="D4267">
            <v>0</v>
          </cell>
          <cell r="K4267">
            <v>0</v>
          </cell>
        </row>
        <row r="4268">
          <cell r="D4268">
            <v>0</v>
          </cell>
          <cell r="K4268">
            <v>0</v>
          </cell>
        </row>
        <row r="4269">
          <cell r="D4269">
            <v>0</v>
          </cell>
          <cell r="K4269">
            <v>0</v>
          </cell>
        </row>
        <row r="4270">
          <cell r="D4270">
            <v>0</v>
          </cell>
          <cell r="K4270">
            <v>0</v>
          </cell>
        </row>
        <row r="4271">
          <cell r="D4271">
            <v>0</v>
          </cell>
          <cell r="K4271">
            <v>0</v>
          </cell>
        </row>
        <row r="4272">
          <cell r="D4272">
            <v>0</v>
          </cell>
          <cell r="K4272">
            <v>0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K4302" t="str">
            <v>Amount</v>
          </cell>
        </row>
        <row r="4304">
          <cell r="D4304">
            <v>0</v>
          </cell>
          <cell r="K4304">
            <v>0</v>
          </cell>
        </row>
        <row r="4305">
          <cell r="D4305">
            <v>0</v>
          </cell>
          <cell r="K4305">
            <v>0</v>
          </cell>
        </row>
        <row r="4306">
          <cell r="D4306">
            <v>0</v>
          </cell>
          <cell r="K4306">
            <v>0</v>
          </cell>
        </row>
        <row r="4307">
          <cell r="D4307">
            <v>0</v>
          </cell>
          <cell r="K4307">
            <v>0</v>
          </cell>
        </row>
        <row r="4308">
          <cell r="D4308">
            <v>0</v>
          </cell>
          <cell r="K4308">
            <v>0</v>
          </cell>
        </row>
        <row r="4309">
          <cell r="D4309">
            <v>0</v>
          </cell>
          <cell r="K4309">
            <v>0</v>
          </cell>
        </row>
        <row r="4310">
          <cell r="D4310">
            <v>0</v>
          </cell>
          <cell r="K4310">
            <v>0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0</v>
          </cell>
        </row>
        <row r="4334">
          <cell r="D4334" t="str">
            <v>AM</v>
          </cell>
        </row>
        <row r="4340">
          <cell r="D4340" t="str">
            <v>C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0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0</v>
          </cell>
          <cell r="K4380">
            <v>0</v>
          </cell>
        </row>
        <row r="4381">
          <cell r="D4381">
            <v>0</v>
          </cell>
          <cell r="K4381">
            <v>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0</v>
          </cell>
          <cell r="K4418">
            <v>0</v>
          </cell>
        </row>
        <row r="4419">
          <cell r="D4419">
            <v>0</v>
          </cell>
          <cell r="K4419">
            <v>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6.682105902779" createdVersion="5" refreshedVersion="5" minRefreshableVersion="3" recordCount="104">
  <cacheSource type="worksheet">
    <worksheetSource name="Table1" r:id="rId2"/>
  </cacheSource>
  <cacheFields count="29">
    <cacheField name="//" numFmtId="0">
      <sharedItems containsMixedTypes="1" containsNumber="1" containsInteger="1" minValue="3" maxValue="81" count="18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</sharedItems>
    </cacheField>
    <cacheField name="h_No. Invoice :" numFmtId="0">
      <sharedItems containsMixedTypes="1" containsNumber="1" containsInteger="1" minValue="23020001" maxValue="23020017"/>
    </cacheField>
    <cacheField name="Tgl Invoice :" numFmtId="164">
      <sharedItems containsDate="1" containsBlank="1" containsMixedTypes="1" minDate="2023-02-02T00:00:00" maxDate="2023-02-10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1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7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42892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81"/>
    </cacheField>
    <cacheField name="h_jumlahbarang" numFmtId="0">
      <sharedItems containsMixedTypes="1" containsNumber="1" containsInteger="1" minValue="1" maxValue="10"/>
    </cacheField>
    <cacheField name="h_hargasebelumdiskon" numFmtId="43">
      <sharedItems containsMixedTypes="1" containsNumber="1" containsInteger="1" minValue="33000" maxValue="28080000"/>
    </cacheField>
    <cacheField name="h_diskon" numFmtId="43">
      <sharedItems containsMixedTypes="1" containsNumber="1" minValue="4785" maxValue="3790800.0000000005"/>
    </cacheField>
    <cacheField name="h_hargasetelahdiskon" numFmtId="43">
      <sharedItems containsMixedTypes="1" containsNumber="1" containsInteger="1" minValue="28215" maxValue="24289200"/>
    </cacheField>
    <cacheField name="Total Invoice" numFmtId="43">
      <sharedItems containsMixedTypes="1" containsNumber="1" containsInteger="1" minValue="689040" maxValue="48816950"/>
    </cacheField>
    <cacheField name="KETERANGAN" numFmtId="43">
      <sharedItems containsNonDate="0" containsString="0" containsBlank="1"/>
    </cacheField>
    <cacheField name="H_A1" numFmtId="43">
      <sharedItems count="63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ISI PENSIL 2B 0.5 MM JOYKO PL-05GRS146400" u="1"/>
        <s v="LS93000" u="1"/>
        <s v="LS117600" u="1"/>
        <s v="PUSH PIN KENKO PN-30 WARNALSN33000" u="1"/>
        <s v="BOX4200" u="1"/>
        <s v="GUNTING JOYKO SC-838 SGPCS7700" u="1"/>
        <s v="LS54300" u="1"/>
        <s v="LS22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s v="PENSIL WARNA KENKO CP-12HALF CLASSIC (PENDEK)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( LANCAR ) MALANG"/>
    <n v="144"/>
    <s v="PCS"/>
    <n v="1"/>
    <s v="PWJKCP12PB"/>
    <s v="PENSIL WARNA JOYKO CP-12PB (PANJANG)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s v="BINDER NOTE JOYKO A5 (CAMPUS/CLASSIC) MIX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s v="09/02/203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21" firstHeaderRow="1" firstDataRow="1" firstDataCol="1"/>
  <pivotFields count="29">
    <pivotField axis="axisRow" showAll="0" sortType="ascending">
      <items count="19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57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63">
        <item x="2"/>
        <item x="34"/>
        <item x="4"/>
        <item x="3"/>
        <item x="40"/>
        <item m="1" x="59"/>
        <item x="42"/>
        <item x="5"/>
        <item x="44"/>
        <item x="51"/>
        <item x="43"/>
        <item x="50"/>
        <item x="39"/>
        <item x="12"/>
        <item x="11"/>
        <item x="54"/>
        <item x="26"/>
        <item x="15"/>
        <item x="28"/>
        <item x="22"/>
        <item x="20"/>
        <item x="33"/>
        <item x="0"/>
        <item x="1"/>
        <item m="1" x="60"/>
        <item x="37"/>
        <item x="31"/>
        <item m="1" x="55"/>
        <item x="38"/>
        <item x="9"/>
        <item x="17"/>
        <item x="16"/>
        <item x="10"/>
        <item x="41"/>
        <item x="36"/>
        <item x="49"/>
        <item x="48"/>
        <item m="1" x="57"/>
        <item m="1" x="62"/>
        <item m="1" x="61"/>
        <item m="1" x="56"/>
        <item x="14"/>
        <item x="21"/>
        <item x="47"/>
        <item x="45"/>
        <item x="46"/>
        <item x="35"/>
        <item x="13"/>
        <item x="27"/>
        <item x="29"/>
        <item x="30"/>
        <item x="23"/>
        <item m="1" x="58"/>
        <item x="32"/>
        <item x="24"/>
        <item x="25"/>
        <item x="8"/>
        <item x="7"/>
        <item x="52"/>
        <item x="6"/>
        <item x="53"/>
        <item x="19"/>
        <item x="18"/>
      </items>
    </pivotField>
  </pivotFields>
  <rowFields count="1">
    <field x="28"/>
  </rowFields>
  <rowItems count="5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06" totalsRowShown="0" headerRowDxfId="65" dataDxfId="64">
  <autoFilter ref="A2:AC106"/>
  <tableColumns count="29">
    <tableColumn id="16" name="//" dataDxfId="63">
      <calculatedColumnFormula>IF(Table1[No. Invoice :]="","",ROW())</calculatedColumnFormula>
    </tableColumn>
    <tableColumn id="18" name="h_No. Invoice :" dataDxfId="62">
      <calculatedColumnFormula>IF(Table1[h_Kode Sales :_1]="","",B$1+COUNT(B$2:B2))</calculatedColumnFormula>
    </tableColumn>
    <tableColumn id="2" name="Tgl Invoice :" dataDxfId="61"/>
    <tableColumn id="17" name="h_Kode Sales :_1" dataDxfId="60"/>
    <tableColumn id="19" name="h_Kode Sales :_2" dataDxfId="59"/>
    <tableColumn id="20" name="h_toko" dataDxfId="58"/>
    <tableColumn id="1" name="No. Invoice :" dataDxfId="57">
      <calculatedColumnFormula>IF(Table1[[#This Row],[h_No. Invoice :]]="","",CONCATENATE("AM"," ",Table1[[#This Row],[h_No. Invoice :]]))</calculatedColumnFormula>
    </tableColumn>
    <tableColumn id="3" name="Kode Sales :" dataDxfId="56">
      <calculatedColumnFormula>CONCATENATE(UPPER(Table1[[#This Row],[h_Kode Sales :_1]])," ",Table1[[#This Row],[h_Kode Sales :_2]])</calculatedColumnFormula>
    </tableColumn>
    <tableColumn id="4" name="Toko" dataDxfId="55">
      <calculatedColumnFormula>IF(Table1[[#This Row],[h_toko]]="","",INDEX(Table2[e],IF(Table1[[#This Row],[h_toko]]="","",MATCH(Table1[[#This Row],[h_toko]],Table2[a],0)),))</calculatedColumnFormula>
    </tableColumn>
    <tableColumn id="5" name="Qty" dataDxfId="54"/>
    <tableColumn id="6" name="Unit" dataDxfId="53"/>
    <tableColumn id="7" name="C" dataDxfId="52"/>
    <tableColumn id="8" name="h_Item Description" dataDxfId="51"/>
    <tableColumn id="10" name="Column1" dataDxfId="50">
      <calculatedColumnFormula>IF(Table1[[#This Row],[h_Item Description]]="","",INDEX([1]!db[NB PAJAK],MATCH(Table1[[#This Row],[h_Item Description]],[1]!db[kode],0)))</calculatedColumnFormula>
    </tableColumn>
    <tableColumn id="9" name="Item Description" dataDxfId="49"/>
    <tableColumn id="11" name="Unit Price" dataDxfId="48"/>
    <tableColumn id="12" name="Disc 1" dataDxfId="47"/>
    <tableColumn id="13" name="Disc 2" dataDxfId="46"/>
    <tableColumn id="23" name="Amount" dataDxfId="45">
      <calculatedColumnFormula>Table1[[#This Row],[h_hargasetelahdiskon]]</calculatedColumnFormula>
    </tableColumn>
    <tableColumn id="14" name="pembuat nota :" dataDxfId="44"/>
    <tableColumn id="15" name="edited :" dataDxfId="43"/>
    <tableColumn id="21" name="h_id" dataDxfId="42">
      <calculatedColumnFormula>IF(Table1[[#This Row],[Item Description]]="","",IF(Table1[[#This Row],[//]]="",V2,Table1[[#This Row],[//]]))</calculatedColumnFormula>
    </tableColumn>
    <tableColumn id="22" name="h_jumlahbarang" dataDxfId="41">
      <calculatedColumnFormula>IF(Table1[[#This Row],[h_id]]="","",COUNTIF(Table1[h_id],Table1[[#This Row],[h_id]]))</calculatedColumnFormula>
    </tableColumn>
    <tableColumn id="24" name="h_hargasebelumdiskon" dataDxfId="40">
      <calculatedColumnFormula>IF(Table1[Item Description]="","",Table1[[#This Row],[Qty]]*Table1[[#This Row],[Unit Price]])</calculatedColumnFormula>
    </tableColumn>
    <tableColumn id="25" name="h_diskon" dataDxfId="39">
      <calculatedColumnFormula>IF(Table1[Item Description]="","",Table1[[#This Row],[h_hargasebelumdiskon]]*Table1[[#This Row],[Disc 1]])</calculatedColumnFormula>
    </tableColumn>
    <tableColumn id="26" name="h_hargasetelahdiskon" dataDxfId="38">
      <calculatedColumnFormula>IF(Table1[Item Description]="","",Table1[[#This Row],[h_hargasebelumdiskon]]-Table1[[#This Row],[h_diskon]])</calculatedColumnFormula>
    </tableColumn>
    <tableColumn id="27" name="Total Invoice" dataDxfId="37">
      <calculatedColumnFormula>IF(Table1[//]="","",SUMIF(Table1[h_id],Table1[h_id],Table1[h_hargasetelahdiskon]))</calculatedColumnFormula>
    </tableColumn>
    <tableColumn id="28" name="KETERANGAN" dataDxfId="36"/>
    <tableColumn id="29" name="H_A1" data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6"/>
  <sheetViews>
    <sheetView tabSelected="1" topLeftCell="A58" zoomScale="85" zoomScaleNormal="85" workbookViewId="0">
      <selection activeCell="U81" sqref="U81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113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122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123</v>
      </c>
      <c r="N3" s="196" t="e">
        <f>IF(Table1[[#This Row],[h_Item Description]]="","",INDEX([1]!db[NB PAJAK],MATCH(Table1[[#This Row],[h_Item Description]],[1]!db[kode],0)))</f>
        <v>#N/A</v>
      </c>
      <c r="O3" s="92" t="s">
        <v>125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>IF(Table1[[#This Row],[Item Description]]="","",IF(Table1[[#This Row],[//]]="",#REF!,Table1[[#This Row],[//]]))</f>
        <v>3</v>
      </c>
      <c r="W3" s="95">
        <f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124</v>
      </c>
      <c r="N4" s="196" t="e">
        <f>IF(Table1[[#This Row],[h_Item Description]]="","",INDEX([1]!db[NB PAJAK],MATCH(Table1[[#This Row],[h_Item Description]],[1]!db[kode],0)))</f>
        <v>#N/A</v>
      </c>
      <c r="O4" s="92" t="s">
        <v>126</v>
      </c>
      <c r="P4" s="93">
        <v>7700</v>
      </c>
      <c r="Q4" s="94">
        <v>0.13</v>
      </c>
      <c r="S4" s="199">
        <f>Table1[[#This Row],[h_hargasetelahdiskon]]</f>
        <v>964656</v>
      </c>
      <c r="V4" s="95">
        <f>IF(Table1[[#This Row],[Item Description]]="","",IF(Table1[[#This Row],[//]]="",V3,Table1[[#This Row],[//]]))</f>
        <v>3</v>
      </c>
      <c r="W4" s="95">
        <f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>IF(Table1[[#This Row],[Item Description]]="","",IF(Table1[[#This Row],[//]]="",V4,Table1[[#This Row],[//]]))</f>
        <v/>
      </c>
      <c r="W5" s="95" t="str">
        <f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128</v>
      </c>
      <c r="F6" s="92" t="s">
        <v>129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132</v>
      </c>
      <c r="L6" s="92">
        <v>3</v>
      </c>
      <c r="M6" s="92" t="s">
        <v>174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130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133</v>
      </c>
      <c r="V6" s="95">
        <f>IF(Table1[[#This Row],[Item Description]]="","",IF(Table1[[#This Row],[//]]="",V4,Table1[[#This Row],[//]]))</f>
        <v>6</v>
      </c>
      <c r="W6" s="95">
        <f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132</v>
      </c>
      <c r="L7" s="92">
        <v>1</v>
      </c>
      <c r="M7" s="92" t="s">
        <v>175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131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>IF(Table1[[#This Row],[Item Description]]="","",IF(Table1[[#This Row],[//]]="",V6,Table1[[#This Row],[//]]))</f>
        <v>6</v>
      </c>
      <c r="W7" s="95">
        <f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>IF(Table1[[#This Row],[Item Description]]="","",IF(Table1[[#This Row],[//]]="",V7,Table1[[#This Row],[//]]))</f>
        <v/>
      </c>
      <c r="W8" s="95" t="str">
        <f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143</v>
      </c>
      <c r="E9" s="97" t="s">
        <v>144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141</v>
      </c>
      <c r="M9" s="92" t="s">
        <v>176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136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133</v>
      </c>
      <c r="V9" s="95">
        <f>IF(Table1[[#This Row],[Item Description]]="","",IF(Table1[[#This Row],[//]]="",V8,Table1[[#This Row],[//]]))</f>
        <v>9</v>
      </c>
      <c r="W9" s="95">
        <f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141</v>
      </c>
      <c r="M10" s="92" t="s">
        <v>177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137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>IF(Table1[[#This Row],[Item Description]]="","",IF(Table1[[#This Row],[//]]="",V9,Table1[[#This Row],[//]]))</f>
        <v>9</v>
      </c>
      <c r="W10" s="95">
        <f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141</v>
      </c>
      <c r="M11" s="92" t="s">
        <v>178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138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>IF(Table1[[#This Row],[Item Description]]="","",IF(Table1[[#This Row],[//]]="",V10,Table1[[#This Row],[//]]))</f>
        <v>9</v>
      </c>
      <c r="W11" s="95">
        <f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141</v>
      </c>
      <c r="M12" s="92" t="s">
        <v>179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139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>IF(Table1[[#This Row],[Item Description]]="","",IF(Table1[[#This Row],[//]]="",V11,Table1[[#This Row],[//]]))</f>
        <v>9</v>
      </c>
      <c r="W12" s="95">
        <f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142</v>
      </c>
      <c r="M13" s="92" t="s">
        <v>180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140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>IF(Table1[[#This Row],[Item Description]]="","",IF(Table1[[#This Row],[//]]="",V12,Table1[[#This Row],[//]]))</f>
        <v>9</v>
      </c>
      <c r="W13" s="95">
        <f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>IF(Table1[[#This Row],[Item Description]]="","",IF(Table1[[#This Row],[//]]="",V13,Table1[[#This Row],[//]]))</f>
        <v/>
      </c>
      <c r="W14" s="95" t="str">
        <f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143</v>
      </c>
      <c r="E15" s="97" t="s">
        <v>150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151</v>
      </c>
      <c r="L15" s="92">
        <v>1</v>
      </c>
      <c r="M15" s="92" t="s">
        <v>152</v>
      </c>
      <c r="N15" s="196" t="e">
        <f>IF(Table1[[#This Row],[h_Item Description]]="","",INDEX([1]!db[NB PAJAK],MATCH(Table1[[#This Row],[h_Item Description]],[1]!db[kode],0)))</f>
        <v>#N/A</v>
      </c>
      <c r="O15" s="92" t="s">
        <v>160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>IF(Table1[[#This Row],[Item Description]]="","",IF(Table1[[#This Row],[//]]="",V14,Table1[[#This Row],[//]]))</f>
        <v>15</v>
      </c>
      <c r="W15" s="95">
        <f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151</v>
      </c>
      <c r="L16" s="92">
        <v>2</v>
      </c>
      <c r="M16" s="92" t="s">
        <v>157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156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>IF(Table1[[#This Row],[Item Description]]="","",IF(Table1[[#This Row],[//]]="",V15,Table1[[#This Row],[//]]))</f>
        <v>15</v>
      </c>
      <c r="W16" s="95">
        <f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151</v>
      </c>
      <c r="L17" s="92">
        <v>2</v>
      </c>
      <c r="M17" s="92" t="s">
        <v>153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161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>IF(Table1[[#This Row],[Item Description]]="","",IF(Table1[[#This Row],[//]]="",V16,Table1[[#This Row],[//]]))</f>
        <v>15</v>
      </c>
      <c r="W17" s="95">
        <f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158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162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>IF(Table1[[#This Row],[Item Description]]="","",IF(Table1[[#This Row],[//]]="",V17,Table1[[#This Row],[//]]))</f>
        <v>15</v>
      </c>
      <c r="W18" s="95">
        <f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151</v>
      </c>
      <c r="M19" s="92" t="s">
        <v>154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163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>IF(Table1[[#This Row],[Item Description]]="","",IF(Table1[[#This Row],[//]]="",V18,Table1[[#This Row],[//]]))</f>
        <v>15</v>
      </c>
      <c r="W19" s="95">
        <f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155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164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>IF(Table1[[#This Row],[Item Description]]="","",IF(Table1[[#This Row],[//]]="",V19,Table1[[#This Row],[//]]))</f>
        <v>15</v>
      </c>
      <c r="W20" s="95">
        <f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159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165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>IF(Table1[[#This Row],[Item Description]]="","",IF(Table1[[#This Row],[//]]="",V20,Table1[[#This Row],[//]]))</f>
        <v>15</v>
      </c>
      <c r="W21" s="95">
        <f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>IF(Table1[[#This Row],[Item Description]]="","",IF(Table1[[#This Row],[//]]="",V21,Table1[[#This Row],[//]]))</f>
        <v/>
      </c>
      <c r="W22" s="95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143</v>
      </c>
      <c r="E23" s="97" t="s">
        <v>181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159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165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>IF(Table1[[#This Row],[Item Description]]="","",IF(Table1[[#This Row],[//]]="",V22,Table1[[#This Row],[//]]))</f>
        <v>23</v>
      </c>
      <c r="W23" s="95">
        <f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182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183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>IF(Table1[[#This Row],[Item Description]]="","",IF(Table1[[#This Row],[//]]="",V23,Table1[[#This Row],[//]]))</f>
        <v>23</v>
      </c>
      <c r="W24" s="95">
        <f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>IF(Table1[[#This Row],[Item Description]]="","",IF(Table1[[#This Row],[//]]="",V24,Table1[[#This Row],[//]]))</f>
        <v/>
      </c>
      <c r="W25" s="95" t="str">
        <f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185</v>
      </c>
      <c r="E26" s="97" t="s">
        <v>186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182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183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>IF(Table1[[#This Row],[Item Description]]="","",IF(Table1[[#This Row],[//]]="",V25,Table1[[#This Row],[//]]))</f>
        <v>26</v>
      </c>
      <c r="W26" s="95">
        <f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187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190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>IF(Table1[[#This Row],[Item Description]]="","",IF(Table1[[#This Row],[//]]="",V26,Table1[[#This Row],[//]]))</f>
        <v>26</v>
      </c>
      <c r="W27" s="95">
        <f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151</v>
      </c>
      <c r="L28" s="92">
        <v>1</v>
      </c>
      <c r="M28" s="92" t="s">
        <v>188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191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>IF(Table1[[#This Row],[Item Description]]="","",IF(Table1[[#This Row],[//]]="",V27,Table1[[#This Row],[//]]))</f>
        <v>26</v>
      </c>
      <c r="W28" s="95">
        <f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189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192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>IF(Table1[[#This Row],[Item Description]]="","",IF(Table1[[#This Row],[//]]="",V28,Table1[[#This Row],[//]]))</f>
        <v>26</v>
      </c>
      <c r="W29" s="95">
        <f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197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198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>IF(Table1[[#This Row],[Item Description]]="","",IF(Table1[[#This Row],[//]]="",V29,Table1[[#This Row],[//]]))</f>
        <v>26</v>
      </c>
      <c r="W30" s="95">
        <f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>IF(Table1[[#This Row],[Item Description]]="","",IF(Table1[[#This Row],[//]]="",V30,Table1[[#This Row],[//]]))</f>
        <v/>
      </c>
      <c r="W31" s="95" t="str">
        <f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143</v>
      </c>
      <c r="E32" s="97" t="s">
        <v>200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201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208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>IF(Table1[[#This Row],[Item Description]]="","",IF(Table1[[#This Row],[//]]="",V31,Table1[[#This Row],[//]]))</f>
        <v>32</v>
      </c>
      <c r="W32" s="95">
        <f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220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221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>IF(Table1[[#This Row],[Item Description]]="","",IF(Table1[[#This Row],[//]]="",V32,Table1[[#This Row],[//]]))</f>
        <v>32</v>
      </c>
      <c r="W33" s="95">
        <f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202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209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>IF(Table1[[#This Row],[Item Description]]="","",IF(Table1[[#This Row],[//]]="",V33,Table1[[#This Row],[//]]))</f>
        <v>32</v>
      </c>
      <c r="W34" s="95">
        <f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203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210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>IF(Table1[[#This Row],[Item Description]]="","",IF(Table1[[#This Row],[//]]="",V34,Table1[[#This Row],[//]]))</f>
        <v>32</v>
      </c>
      <c r="W35" s="95">
        <f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204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211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>IF(Table1[[#This Row],[Item Description]]="","",IF(Table1[[#This Row],[//]]="",V35,Table1[[#This Row],[//]]))</f>
        <v>32</v>
      </c>
      <c r="W36" s="95">
        <f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155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164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>IF(Table1[[#This Row],[Item Description]]="","",IF(Table1[[#This Row],[//]]="",V36,Table1[[#This Row],[//]]))</f>
        <v>32</v>
      </c>
      <c r="W37" s="95">
        <f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205</v>
      </c>
      <c r="M38" s="92" t="s">
        <v>206</v>
      </c>
      <c r="N38" s="196" t="str">
        <f>IF(Table1[[#This Row],[h_Item Description]]="","",INDEX([1]!db[NB PAJAK],MATCH(Table1[[#This Row],[h_Item Description]],[1]!db[kode],0)))</f>
        <v>PENSIL WARNA KENKO CP-12HALF CLASSIC (PENDEK)</v>
      </c>
      <c r="O38" s="92" t="s">
        <v>212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>IF(Table1[[#This Row],[Item Description]]="","",IF(Table1[[#This Row],[//]]="",V37,Table1[[#This Row],[//]]))</f>
        <v>32</v>
      </c>
      <c r="W38" s="95">
        <f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151</v>
      </c>
      <c r="M39" s="92" t="s">
        <v>207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213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>IF(Table1[[#This Row],[Item Description]]="","",IF(Table1[[#This Row],[//]]="",V38,Table1[[#This Row],[//]]))</f>
        <v>32</v>
      </c>
      <c r="W39" s="95">
        <f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>IF(Table1[[#This Row],[Item Description]]="","",IF(Table1[[#This Row],[//]]="",V39,Table1[[#This Row],[//]]))</f>
        <v/>
      </c>
      <c r="W40" s="95" t="str">
        <f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223</v>
      </c>
      <c r="F41" s="92" t="s">
        <v>224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230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232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243</v>
      </c>
      <c r="V41" s="95">
        <f>IF(Table1[[#This Row],[Item Description]]="","",IF(Table1[[#This Row],[//]]="",V40,Table1[[#This Row],[//]]))</f>
        <v>41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151</v>
      </c>
      <c r="M42" s="92" t="s">
        <v>226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236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>IF(Table1[[#This Row],[Item Description]]="","",IF(Table1[[#This Row],[//]]="",V41,Table1[[#This Row],[//]]))</f>
        <v>41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225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233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>IF(Table1[[#This Row],[Item Description]]="","",IF(Table1[[#This Row],[//]]="",V42,Table1[[#This Row],[//]]))</f>
        <v>41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151</v>
      </c>
      <c r="M44" s="92" t="s">
        <v>227</v>
      </c>
      <c r="N44" s="196" t="e">
        <f>IF(Table1[[#This Row],[h_Item Description]]="","",INDEX([1]!db[NB PAJAK],MATCH(Table1[[#This Row],[h_Item Description]],[1]!db[kode],0)))</f>
        <v>#N/A</v>
      </c>
      <c r="O44" s="92" t="s">
        <v>231</v>
      </c>
      <c r="P44" s="93">
        <v>3700</v>
      </c>
      <c r="Q44" s="94">
        <v>0.1</v>
      </c>
      <c r="S44" s="199">
        <f>Table1[[#This Row],[h_hargasetelahdiskon]]</f>
        <v>333000</v>
      </c>
      <c r="V44" s="95">
        <f>IF(Table1[[#This Row],[Item Description]]="","",IF(Table1[[#This Row],[//]]="",V43,Table1[[#This Row],[//]]))</f>
        <v>41</v>
      </c>
      <c r="W44" s="95">
        <f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228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234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>IF(Table1[[#This Row],[Item Description]]="","",IF(Table1[[#This Row],[//]]="",V44,Table1[[#This Row],[//]]))</f>
        <v>41</v>
      </c>
      <c r="W45" s="95">
        <f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132</v>
      </c>
      <c r="L46" s="92">
        <v>1</v>
      </c>
      <c r="M46" s="92" t="s">
        <v>229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235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>IF(Table1[[#This Row],[Item Description]]="","",IF(Table1[[#This Row],[//]]="",V45,Table1[[#This Row],[//]]))</f>
        <v>41</v>
      </c>
      <c r="W46" s="95">
        <f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>IF(Table1[[#This Row],[Item Description]]="","",IF(Table1[[#This Row],[//]]="",V46,Table1[[#This Row],[//]]))</f>
        <v/>
      </c>
      <c r="W47" s="95" t="str">
        <f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143</v>
      </c>
      <c r="E48" s="97" t="s">
        <v>244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189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192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>IF(Table1[[#This Row],[Item Description]]="","",IF(Table1[[#This Row],[//]]="",V47,Table1[[#This Row],[//]]))</f>
        <v>48</v>
      </c>
      <c r="W48" s="95">
        <f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>IF(Table1[[#This Row],[Item Description]]="","",IF(Table1[[#This Row],[//]]="",V48,Table1[[#This Row],[//]]))</f>
        <v/>
      </c>
      <c r="W49" s="95" t="str">
        <f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143</v>
      </c>
      <c r="E50" s="97" t="s">
        <v>245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189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192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>IF(Table1[[#This Row],[Item Description]]="","",IF(Table1[[#This Row],[//]]="",V49,Table1[[#This Row],[//]]))</f>
        <v>50</v>
      </c>
      <c r="W50" s="95">
        <f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>IF(Table1[[#This Row],[Item Description]]="","",IF(Table1[[#This Row],[//]]="",V50,Table1[[#This Row],[//]]))</f>
        <v/>
      </c>
      <c r="W51" s="95" t="str">
        <f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143</v>
      </c>
      <c r="E52" s="97" t="s">
        <v>246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189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192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>IF(Table1[[#This Row],[Item Description]]="","",IF(Table1[[#This Row],[//]]="",V51,Table1[[#This Row],[//]]))</f>
        <v>52</v>
      </c>
      <c r="W52" s="95">
        <f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>IF(Table1[[#This Row],[Item Description]]="","",IF(Table1[[#This Row],[//]]="",V52,Table1[[#This Row],[//]]))</f>
        <v/>
      </c>
      <c r="W53" s="95" t="str">
        <f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143</v>
      </c>
      <c r="E54" s="97" t="s">
        <v>247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( LANCAR ) MALANG</v>
      </c>
      <c r="J54" s="92">
        <v>144</v>
      </c>
      <c r="K54" s="92" t="s">
        <v>151</v>
      </c>
      <c r="L54" s="92">
        <v>1</v>
      </c>
      <c r="M54" s="92" t="s">
        <v>248</v>
      </c>
      <c r="N54" s="196" t="str">
        <f>IF(Table1[[#This Row],[h_Item Description]]="","",INDEX([1]!db[NB PAJAK],MATCH(Table1[[#This Row],[h_Item Description]],[1]!db[kode],0)))</f>
        <v>PENSIL WARNA JOYKO CP-12PB (PANJANG)</v>
      </c>
      <c r="O54" s="92" t="s">
        <v>249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>IF(Table1[[#This Row],[Item Description]]="","",IF(Table1[[#This Row],[//]]="",V53,Table1[[#This Row],[//]]))</f>
        <v>54</v>
      </c>
      <c r="W54" s="95">
        <f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>IF(Table1[[#This Row],[Item Description]]="","",IF(Table1[[#This Row],[//]]="",V54,Table1[[#This Row],[//]]))</f>
        <v/>
      </c>
      <c r="W55" s="95" t="str">
        <f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143</v>
      </c>
      <c r="E56" s="97" t="s">
        <v>251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151</v>
      </c>
      <c r="L56" s="92">
        <v>1</v>
      </c>
      <c r="M56" s="92" t="s">
        <v>265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160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>IF(Table1[[#This Row],[Item Description]]="","",IF(Table1[[#This Row],[//]]="",V55,Table1[[#This Row],[//]]))</f>
        <v>56</v>
      </c>
      <c r="W56" s="95">
        <f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>IF(Table1[[#This Row],[Item Description]]="","",IF(Table1[[#This Row],[//]]="",V56,Table1[[#This Row],[//]]))</f>
        <v/>
      </c>
      <c r="W57" s="95" t="str">
        <f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143</v>
      </c>
      <c r="E58" s="97" t="s">
        <v>252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253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254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>IF(Table1[[#This Row],[Item Description]]="","",IF(Table1[[#This Row],[//]]="",V57,Table1[[#This Row],[//]]))</f>
        <v>58</v>
      </c>
      <c r="W58" s="95">
        <f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>IF(Table1[[#This Row],[Item Description]]="","",IF(Table1[[#This Row],[//]]="",V58,Table1[[#This Row],[//]]))</f>
        <v/>
      </c>
      <c r="W59" s="95" t="str">
        <f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185</v>
      </c>
      <c r="E60" s="97" t="s">
        <v>256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159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165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>IF(Table1[[#This Row],[Item Description]]="","",IF(Table1[[#This Row],[//]]="",V59,Table1[[#This Row],[//]]))</f>
        <v>60</v>
      </c>
      <c r="W60" s="95">
        <f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151</v>
      </c>
      <c r="L61" s="92">
        <v>1</v>
      </c>
      <c r="M61" s="92" t="s">
        <v>263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266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>IF(Table1[[#This Row],[Item Description]]="","",IF(Table1[[#This Row],[//]]="",V60,Table1[[#This Row],[//]]))</f>
        <v>60</v>
      </c>
      <c r="W61" s="95">
        <f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132</v>
      </c>
      <c r="L62" s="92">
        <v>1</v>
      </c>
      <c r="M62" s="197" t="s">
        <v>257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267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>IF(Table1[[#This Row],[Item Description]]="","",IF(Table1[[#This Row],[//]]="",V61,Table1[[#This Row],[//]]))</f>
        <v>60</v>
      </c>
      <c r="W62" s="95">
        <f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258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268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>IF(Table1[[#This Row],[Item Description]]="","",IF(Table1[[#This Row],[//]]="",V62,Table1[[#This Row],[//]]))</f>
        <v>60</v>
      </c>
      <c r="W63" s="95">
        <f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151</v>
      </c>
      <c r="L64" s="92">
        <v>4</v>
      </c>
      <c r="M64" s="92" t="s">
        <v>259</v>
      </c>
      <c r="N64" s="95" t="s">
        <v>264</v>
      </c>
      <c r="O64" s="92" t="s">
        <v>264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>IF(Table1[[#This Row],[Item Description]]="","",IF(Table1[[#This Row],[//]]="",V63,Table1[[#This Row],[//]]))</f>
        <v>60</v>
      </c>
      <c r="W64" s="95">
        <f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189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192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>IF(Table1[[#This Row],[Item Description]]="","",IF(Table1[[#This Row],[//]]="",V64,Table1[[#This Row],[//]]))</f>
        <v>60</v>
      </c>
      <c r="W65" s="95">
        <f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260</v>
      </c>
      <c r="L66" s="92">
        <v>1</v>
      </c>
      <c r="M66" s="92" t="s">
        <v>265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160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>IF(Table1[[#This Row],[Item Description]]="","",IF(Table1[[#This Row],[//]]="",V65,Table1[[#This Row],[//]]))</f>
        <v>60</v>
      </c>
      <c r="W66" s="95">
        <f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261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269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>IF(Table1[[#This Row],[Item Description]]="","",IF(Table1[[#This Row],[//]]="",V66,Table1[[#This Row],[//]]))</f>
        <v>60</v>
      </c>
      <c r="W67" s="95">
        <f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262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270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>IF(Table1[[#This Row],[Item Description]]="","",IF(Table1[[#This Row],[//]]="",V67,Table1[[#This Row],[//]]))</f>
        <v>60</v>
      </c>
      <c r="W68" s="95">
        <f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176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136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>IF(Table1[[#This Row],[Item Description]]="","",IF(Table1[[#This Row],[//]]="",V68,Table1[[#This Row],[//]]))</f>
        <v>60</v>
      </c>
      <c r="W69" s="95">
        <f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>IF(Table1[[#This Row],[Item Description]]="","",IF(Table1[[#This Row],[//]]="",V69,Table1[[#This Row],[//]]))</f>
        <v/>
      </c>
      <c r="W70" s="95" t="str">
        <f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143</v>
      </c>
      <c r="E71" s="97" t="s">
        <v>279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151</v>
      </c>
      <c r="L71" s="92">
        <v>2</v>
      </c>
      <c r="M71" s="92" t="s">
        <v>280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290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>IF(Table1[[#This Row],[Item Description]]="","",IF(Table1[[#This Row],[//]]="",V70,Table1[[#This Row],[//]]))</f>
        <v>71</v>
      </c>
      <c r="W71" s="95">
        <f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151</v>
      </c>
      <c r="L72" s="92">
        <v>2</v>
      </c>
      <c r="M72" s="92" t="s">
        <v>287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291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>IF(Table1[[#This Row],[Item Description]]="","",IF(Table1[[#This Row],[//]]="",V71,Table1[[#This Row],[//]]))</f>
        <v>71</v>
      </c>
      <c r="W72" s="95">
        <f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151</v>
      </c>
      <c r="L73" s="92">
        <v>2</v>
      </c>
      <c r="M73" s="92" t="s">
        <v>288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292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>IF(Table1[[#This Row],[Item Description]]="","",IF(Table1[[#This Row],[//]]="",V72,Table1[[#This Row],[//]]))</f>
        <v>71</v>
      </c>
      <c r="W73" s="95">
        <f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142</v>
      </c>
      <c r="L74" s="92">
        <v>1</v>
      </c>
      <c r="M74" s="92" t="s">
        <v>281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282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>IF(Table1[[#This Row],[Item Description]]="","",IF(Table1[[#This Row],[//]]="",V73,Table1[[#This Row],[//]]))</f>
        <v>71</v>
      </c>
      <c r="W74" s="95">
        <f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142</v>
      </c>
      <c r="L75" s="92">
        <v>1</v>
      </c>
      <c r="M75" s="92" t="s">
        <v>283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284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>IF(Table1[[#This Row],[Item Description]]="","",IF(Table1[[#This Row],[//]]="",V74,Table1[[#This Row],[//]]))</f>
        <v>71</v>
      </c>
      <c r="W75" s="95">
        <f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289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293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>IF(Table1[[#This Row],[Item Description]]="","",IF(Table1[[#This Row],[//]]="",V75,Table1[[#This Row],[//]]))</f>
        <v>71</v>
      </c>
      <c r="W76" s="95">
        <f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285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286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>IF(Table1[[#This Row],[Item Description]]="","",IF(Table1[[#This Row],[//]]="",V76,Table1[[#This Row],[//]]))</f>
        <v>71</v>
      </c>
      <c r="W77" s="95">
        <f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178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138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>IF(Table1[[#This Row],[Item Description]]="","",IF(Table1[[#This Row],[//]]="",V77,Table1[[#This Row],[//]]))</f>
        <v>71</v>
      </c>
      <c r="W78" s="95">
        <f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177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137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>IF(Table1[[#This Row],[Item Description]]="","",IF(Table1[[#This Row],[//]]="",V78,Table1[[#This Row],[//]]))</f>
        <v>71</v>
      </c>
      <c r="W79" s="95">
        <f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>IF(Table1[[#This Row],[Item Description]]="","",IF(Table1[[#This Row],[//]]="",V79,Table1[[#This Row],[//]]))</f>
        <v/>
      </c>
      <c r="W80" s="95" t="str">
        <f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 t="s">
        <v>303</v>
      </c>
      <c r="D81" s="92" t="s">
        <v>143</v>
      </c>
      <c r="E81" s="97" t="s">
        <v>304</v>
      </c>
      <c r="F81" s="92" t="s">
        <v>129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305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306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>IF(Table1[[#This Row],[Item Description]]="","",IF(Table1[[#This Row],[//]]="",V80,Table1[[#This Row],[//]]))</f>
        <v>81</v>
      </c>
      <c r="W81" s="95">
        <f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>IF(Table1[[#This Row],[Item Description]]="","",IF(Table1[[#This Row],[//]]="",V81,Table1[[#This Row],[//]]))</f>
        <v/>
      </c>
      <c r="W82" s="95" t="str">
        <f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>IF(Table1[[#This Row],[Item Description]]="","",IF(Table1[[#This Row],[//]]="",V82,Table1[[#This Row],[//]]))</f>
        <v/>
      </c>
      <c r="W83" s="95" t="str">
        <f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 t="str">
        <f>IF(Table1[No. Invoice :]="","",ROW())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M84" s="197"/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>IF(Table1[[#This Row],[Item Description]]="","",IF(Table1[[#This Row],[//]]="",V83,Table1[[#This Row],[//]]))</f>
        <v/>
      </c>
      <c r="W84" s="95" t="str">
        <f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IF(Table1[Item Description]="","",Table1[[#This Row],[h_hargasebelumdiskon]]*Table1[[#This Row],[Disc 1]])</f>
        <v/>
      </c>
      <c r="Z84" s="93" t="str">
        <f>IF(Table1[Item Description]="","",Table1[[#This Row],[h_hargasebelumdiskon]]-Table1[[#This Row],[h_diskon]])</f>
        <v/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/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M85" s="197"/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>IF(Table1[[#This Row],[Item Description]]="","",IF(Table1[[#This Row],[//]]="",V84,Table1[[#This Row],[//]]))</f>
        <v/>
      </c>
      <c r="W85" s="95" t="str">
        <f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IF(Table1[Item Description]="","",Table1[[#This Row],[h_hargasebelumdiskon]]*Table1[[#This Row],[Disc 1]])</f>
        <v/>
      </c>
      <c r="Z85" s="93" t="str">
        <f>IF(Table1[Item Description]="","",Table1[[#This Row],[h_hargasebelumdiskon]]-Table1[[#This Row],[h_diskon]])</f>
        <v/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/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 t="str">
        <f>IF(Table1[No. Invoice :]="","",ROW())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M87" s="197"/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>IF(Table1[[#This Row],[Item Description]]="","",IF(Table1[[#This Row],[//]]="",V86,Table1[[#This Row],[//]]))</f>
        <v/>
      </c>
      <c r="W87" s="95" t="str">
        <f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IF(Table1[Item Description]="","",Table1[[#This Row],[h_hargasebelumdiskon]]*Table1[[#This Row],[Disc 1]])</f>
        <v/>
      </c>
      <c r="Z87" s="93" t="str">
        <f>IF(Table1[Item Description]="","",Table1[[#This Row],[h_hargasebelumdiskon]]-Table1[[#This Row],[h_diskon]])</f>
        <v/>
      </c>
      <c r="AA87" s="93" t="str">
        <f>IF(Table1[//]="","",SUMIF(Table1[h_id],Table1[h_id],Table1[h_hargasetelahdiskon]))</f>
        <v/>
      </c>
      <c r="AB87" s="93"/>
      <c r="AC87" s="93" t="str">
        <f>Table1[[#This Row],[Item Description]]&amp;Table1[[#This Row],[Unit]]&amp;Table1[[#This Row],[Unit Price]]</f>
        <v/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 t="str">
        <f>IF(Table1[No. Invoice :]="","",ROW())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>IF(Table1[[#This Row],[Item Description]]="","",IF(Table1[[#This Row],[//]]="",V88,Table1[[#This Row],[//]]))</f>
        <v/>
      </c>
      <c r="W89" s="95" t="str">
        <f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IF(Table1[Item Description]="","",Table1[[#This Row],[h_hargasebelumdiskon]]*Table1[[#This Row],[Disc 1]])</f>
        <v/>
      </c>
      <c r="Z89" s="93" t="str">
        <f>IF(Table1[Item Description]="","",Table1[[#This Row],[h_hargasebelumdiskon]]-Table1[[#This Row],[h_diskon]])</f>
        <v/>
      </c>
      <c r="AA89" s="93" t="str">
        <f>IF(Table1[//]="","",SUMIF(Table1[h_id],Table1[h_id],Table1[h_hargasetelahdiskon]))</f>
        <v/>
      </c>
      <c r="AB89" s="93"/>
      <c r="AC89" s="93" t="str">
        <f>Table1[[#This Row],[Item Description]]&amp;Table1[[#This Row],[Unit]]&amp;Table1[[#This Row],[Unit Price]]</f>
        <v/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M90" s="197"/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>IF(Table1[[#This Row],[Item Description]]="","",IF(Table1[[#This Row],[//]]="",V89,Table1[[#This Row],[//]]))</f>
        <v/>
      </c>
      <c r="W90" s="95" t="str">
        <f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IF(Table1[Item Description]="","",Table1[[#This Row],[h_hargasebelumdiskon]]*Table1[[#This Row],[Disc 1]])</f>
        <v/>
      </c>
      <c r="Z90" s="93" t="str">
        <f>IF(Table1[Item Description]="","",Table1[[#This Row],[h_hargasebelumdiskon]]-Table1[[#This Row],[h_diskon]])</f>
        <v/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/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M91" s="197"/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>IF(Table1[[#This Row],[Item Description]]="","",IF(Table1[[#This Row],[//]]="",V90,Table1[[#This Row],[//]]))</f>
        <v/>
      </c>
      <c r="W91" s="95" t="str">
        <f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IF(Table1[Item Description]="","",Table1[[#This Row],[h_hargasebelumdiskon]]*Table1[[#This Row],[Disc 1]])</f>
        <v/>
      </c>
      <c r="Z91" s="93" t="str">
        <f>IF(Table1[Item Description]="","",Table1[[#This Row],[h_hargasebelumdiskon]]-Table1[[#This Row],[h_diskon]])</f>
        <v/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/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>IF(Table1[[#This Row],[Item Description]]="","",IF(Table1[[#This Row],[//]]="",V91,Table1[[#This Row],[//]]))</f>
        <v/>
      </c>
      <c r="W92" s="95" t="str">
        <f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 t="str">
        <f>IF(Table1[No. Invoice :]="","",ROW())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M93" s="197"/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>IF(Table1[[#This Row],[Item Description]]="","",IF(Table1[[#This Row],[//]]="",V92,Table1[[#This Row],[//]]))</f>
        <v/>
      </c>
      <c r="W93" s="95" t="str">
        <f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IF(Table1[Item Description]="","",Table1[[#This Row],[h_hargasebelumdiskon]]*Table1[[#This Row],[Disc 1]])</f>
        <v/>
      </c>
      <c r="Z93" s="93" t="str">
        <f>IF(Table1[Item Description]="","",Table1[[#This Row],[h_hargasebelumdiskon]]-Table1[[#This Row],[h_diskon]])</f>
        <v/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/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M94" s="197"/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M95" s="197"/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>IF(Table1[[#This Row],[Item Description]]="","",IF(Table1[[#This Row],[//]]="",V94,Table1[[#This Row],[//]]))</f>
        <v/>
      </c>
      <c r="W95" s="95" t="str">
        <f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IF(Table1[Item Description]="","",Table1[[#This Row],[h_hargasebelumdiskon]]*Table1[[#This Row],[Disc 1]])</f>
        <v/>
      </c>
      <c r="Z95" s="93" t="str">
        <f>IF(Table1[Item Description]="","",Table1[[#This Row],[h_hargasebelumdiskon]]-Table1[[#This Row],[h_diskon]])</f>
        <v/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/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M96" s="197"/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>IF(Table1[[#This Row],[Item Description]]="","",IF(Table1[[#This Row],[//]]="",V95,Table1[[#This Row],[//]]))</f>
        <v/>
      </c>
      <c r="W96" s="95" t="str">
        <f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IF(Table1[Item Description]="","",Table1[[#This Row],[h_hargasebelumdiskon]]*Table1[[#This Row],[Disc 1]])</f>
        <v/>
      </c>
      <c r="Z96" s="93" t="str">
        <f>IF(Table1[Item Description]="","",Table1[[#This Row],[h_hargasebelumdiskon]]-Table1[[#This Row],[h_diskon]])</f>
        <v/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/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M97" s="197"/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M98" s="197"/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>IF(Table1[[#This Row],[Item Description]]="","",IF(Table1[[#This Row],[//]]="",V97,Table1[[#This Row],[//]]))</f>
        <v/>
      </c>
      <c r="W98" s="95" t="str">
        <f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IF(Table1[Item Description]="","",Table1[[#This Row],[h_hargasebelumdiskon]]*Table1[[#This Row],[Disc 1]])</f>
        <v/>
      </c>
      <c r="Z98" s="93" t="str">
        <f>IF(Table1[Item Description]="","",Table1[[#This Row],[h_hargasebelumdiskon]]-Table1[[#This Row],[h_diskon]])</f>
        <v/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/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M99" s="197"/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>IF(Table1[[#This Row],[Item Description]]="","",IF(Table1[[#This Row],[//]]="",V98,Table1[[#This Row],[//]]))</f>
        <v/>
      </c>
      <c r="W99" s="95" t="str">
        <f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IF(Table1[Item Description]="","",Table1[[#This Row],[h_hargasebelumdiskon]]*Table1[[#This Row],[Disc 1]])</f>
        <v/>
      </c>
      <c r="Z99" s="93" t="str">
        <f>IF(Table1[Item Description]="","",Table1[[#This Row],[h_hargasebelumdiskon]]-Table1[[#This Row],[h_diskon]])</f>
        <v/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/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M100" s="197"/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>IF(Table1[[#This Row],[Item Description]]="","",IF(Table1[[#This Row],[//]]="",V99,Table1[[#This Row],[//]]))</f>
        <v/>
      </c>
      <c r="W100" s="95" t="str">
        <f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IF(Table1[Item Description]="","",Table1[[#This Row],[h_hargasebelumdiskon]]*Table1[[#This Row],[Disc 1]])</f>
        <v/>
      </c>
      <c r="Z100" s="93" t="str">
        <f>IF(Table1[Item Description]="","",Table1[[#This Row],[h_hargasebelumdiskon]]-Table1[[#This Row],[h_diskon]])</f>
        <v/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/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M101" s="197"/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>IF(Table1[[#This Row],[Item Description]]="","",IF(Table1[[#This Row],[//]]="",V100,Table1[[#This Row],[//]]))</f>
        <v/>
      </c>
      <c r="W101" s="95" t="str">
        <f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IF(Table1[Item Description]="","",Table1[[#This Row],[h_hargasebelumdiskon]]*Table1[[#This Row],[Disc 1]])</f>
        <v/>
      </c>
      <c r="Z101" s="93" t="str">
        <f>IF(Table1[Item Description]="","",Table1[[#This Row],[h_hargasebelumdiskon]]-Table1[[#This Row],[h_diskon]])</f>
        <v/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/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M102" s="197"/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>IF(Table1[[#This Row],[Item Description]]="","",IF(Table1[[#This Row],[//]]="",V101,Table1[[#This Row],[//]]))</f>
        <v/>
      </c>
      <c r="W102" s="95" t="str">
        <f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IF(Table1[Item Description]="","",Table1[[#This Row],[h_hargasebelumdiskon]]*Table1[[#This Row],[Disc 1]])</f>
        <v/>
      </c>
      <c r="Z102" s="93" t="str">
        <f>IF(Table1[Item Description]="","",Table1[[#This Row],[h_hargasebelumdiskon]]-Table1[[#This Row],[h_diskon]])</f>
        <v/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/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M103" s="197"/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>IF(Table1[[#This Row],[Item Description]]="","",IF(Table1[[#This Row],[//]]="",V102,Table1[[#This Row],[//]]))</f>
        <v/>
      </c>
      <c r="W103" s="95" t="str">
        <f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IF(Table1[Item Description]="","",Table1[[#This Row],[h_hargasebelumdiskon]]*Table1[[#This Row],[Disc 1]])</f>
        <v/>
      </c>
      <c r="Z103" s="93" t="str">
        <f>IF(Table1[Item Description]="","",Table1[[#This Row],[h_hargasebelumdiskon]]-Table1[[#This Row],[h_diskon]])</f>
        <v/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/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M104" s="197"/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M105" s="197"/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>IF(Table1[[#This Row],[Item Description]]="","",IF(Table1[[#This Row],[//]]="",V104,Table1[[#This Row],[//]]))</f>
        <v/>
      </c>
      <c r="W105" s="95" t="str">
        <f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IF(Table1[Item Description]="","",Table1[[#This Row],[h_hargasebelumdiskon]]*Table1[[#This Row],[Disc 1]])</f>
        <v/>
      </c>
      <c r="Z105" s="93" t="str">
        <f>IF(Table1[Item Description]="","",Table1[[#This Row],[h_hargasebelumdiskon]]-Table1[[#This Row],[h_diskon]])</f>
        <v/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/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M106" s="197"/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>IF(Table1[[#This Row],[Item Description]]="","",IF(Table1[[#This Row],[//]]="",V105,Table1[[#This Row],[//]]))</f>
        <v/>
      </c>
      <c r="W106" s="95" t="str">
        <f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IF(Table1[Item Description]="","",Table1[[#This Row],[h_hargasebelumdiskon]]*Table1[[#This Row],[Disc 1]])</f>
        <v/>
      </c>
      <c r="Z106" s="93" t="str">
        <f>IF(Table1[Item Description]="","",Table1[[#This Row],[h_hargasebelumdiskon]]-Table1[[#This Row],[h_diskon]])</f>
        <v/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workbookViewId="0">
      <selection activeCell="A18" sqref="A18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17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>SUM(pajak[Total Invoice])</f>
        <v>180441760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1987200</v>
      </c>
      <c r="J3" s="89">
        <f>IF(pajak[[#This Row],[//]]="","",SUMIF(Table1[h_id],pajak[[#This Row],[//]],Table1[h_diskon]))</f>
        <v>258336</v>
      </c>
      <c r="K3" s="89">
        <f>IF(pajak[[#This Row],[//]]="","",SUMIF(Table1[h_id],pajak[[#This Row],[//]],Table1[h_hargasetelahdiskon]))</f>
        <v>1728864</v>
      </c>
      <c r="L3" s="89">
        <f>IF(pajak[//]="","",pajak[[#This Row],[Sub Total]]/1.11*11%)</f>
        <v>171328.86486486485</v>
      </c>
      <c r="M3" s="89">
        <f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>IF(INDEX([2]Invoice!$K:$K,Table4[[#This Row],[cek_rekap(share)]])=pajak[[#This Row],[Total Invoice]],"-",FALSE)</f>
        <v>-</v>
      </c>
      <c r="V3" t="s">
        <v>25</v>
      </c>
      <c r="W3" s="89">
        <f>SUM(pajak[PPN 11%])</f>
        <v>17881615.855855852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>IF(pajak[[#This Row],[//]]="","",SUMIF(Table1[h_id],pajak[[#This Row],[//]],Table1[h_hargasebelumdiskon]))</f>
        <v>3900000</v>
      </c>
      <c r="J4" s="89">
        <f>IF(pajak[[#This Row],[//]]="","",SUMIF(Table1[h_id],pajak[[#This Row],[//]],Table1[h_diskon]))</f>
        <v>546000.00000000012</v>
      </c>
      <c r="K4" s="89">
        <f>IF(pajak[[#This Row],[//]]="","",SUMIF(Table1[h_id],pajak[[#This Row],[//]],Table1[h_hargasetelahdiskon]))</f>
        <v>3354000</v>
      </c>
      <c r="L4" s="89">
        <f>IF(pajak[//]="","",pajak[[#This Row],[Sub Total]]/1.11*11%)</f>
        <v>332378.37837837834</v>
      </c>
      <c r="M4" s="89">
        <f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>IF(INDEX([2]Invoice!$K:$K,Table4[[#This Row],[cek_rekap(share)]])=pajak[[#This Row],[Total Invoice]],"-",FALSE)</f>
        <v>-</v>
      </c>
      <c r="W4" s="89">
        <f>(W2/1.11)*11%</f>
        <v>17881615.855855852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>IF(pajak[[#This Row],[//]]="","",SUMIF(Table1[h_id],pajak[[#This Row],[//]],Table1[h_hargasebelumdiskon]))</f>
        <v>34632000</v>
      </c>
      <c r="J5" s="89">
        <f>IF(pajak[[#This Row],[//]]="","",SUMIF(Table1[h_id],pajak[[#This Row],[//]],Table1[h_diskon]))</f>
        <v>4675320</v>
      </c>
      <c r="K5" s="89">
        <f>IF(pajak[[#This Row],[//]]="","",SUMIF(Table1[h_id],pajak[[#This Row],[//]],Table1[h_hargasetelahdiskon]))</f>
        <v>29956680</v>
      </c>
      <c r="L5" s="89">
        <f>IF(pajak[//]="","",pajak[[#This Row],[Sub Total]]/1.11*11%)</f>
        <v>2968679.9999999995</v>
      </c>
      <c r="M5" s="89">
        <f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17448400</v>
      </c>
      <c r="J6" s="89">
        <f>IF(pajak[[#This Row],[//]]="","",SUMIF(Table1[h_id],pajak[[#This Row],[//]],Table1[h_diskon]))</f>
        <v>2268292</v>
      </c>
      <c r="K6" s="89">
        <f>IF(pajak[[#This Row],[//]]="","",SUMIF(Table1[h_id],pajak[[#This Row],[//]],Table1[h_hargasetelahdiskon]))</f>
        <v>15180108</v>
      </c>
      <c r="L6" s="89">
        <f>IF(pajak[//]="","",pajak[[#This Row],[Sub Total]]/1.11*11%)</f>
        <v>1504335.027027027</v>
      </c>
      <c r="M6" s="89">
        <f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>IF(pajak[[#This Row],[//]]="","",SUMIF(Table1[h_id],pajak[[#This Row],[//]],Table1[h_hargasebelumdiskon]))</f>
        <v>6350400</v>
      </c>
      <c r="J7" s="89">
        <f>IF(pajak[[#This Row],[//]]="","",SUMIF(Table1[h_id],pajak[[#This Row],[//]],Table1[h_diskon]))</f>
        <v>857304</v>
      </c>
      <c r="K7" s="89">
        <f>IF(pajak[[#This Row],[//]]="","",SUMIF(Table1[h_id],pajak[[#This Row],[//]],Table1[h_hargasetelahdiskon]))</f>
        <v>5493096</v>
      </c>
      <c r="L7" s="89">
        <f>IF(pajak[//]="","",pajak[[#This Row],[Sub Total]]/1.11*11%)</f>
        <v>544360.86486486485</v>
      </c>
      <c r="M7" s="89">
        <f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>IF(pajak[[#This Row],[//]]="","",SUMIF(Table1[h_id],pajak[[#This Row],[//]],Table1[h_hargasebelumdiskon]))</f>
        <v>11246400</v>
      </c>
      <c r="J8" s="89">
        <f>IF(pajak[[#This Row],[//]]="","",SUMIF(Table1[h_id],pajak[[#This Row],[//]],Table1[h_diskon]))</f>
        <v>1405800</v>
      </c>
      <c r="K8" s="89">
        <f>IF(pajak[[#This Row],[//]]="","",SUMIF(Table1[h_id],pajak[[#This Row],[//]],Table1[h_hargasetelahdiskon]))</f>
        <v>9840600</v>
      </c>
      <c r="L8" s="89">
        <f>IF(pajak[//]="","",pajak[[#This Row],[Sub Total]]/1.11*11%)</f>
        <v>975194.59459459444</v>
      </c>
      <c r="M8" s="89">
        <f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>IF(pajak[[#This Row],[//]]="","",SUMIF(Table1[h_id],pajak[[#This Row],[//]],Table1[h_hargasebelumdiskon]))</f>
        <v>4095200</v>
      </c>
      <c r="J9" s="89">
        <f>IF(pajak[[#This Row],[//]]="","",SUMIF(Table1[h_id],pajak[[#This Row],[//]],Table1[h_diskon]))</f>
        <v>593804</v>
      </c>
      <c r="K9" s="89">
        <f>IF(pajak[[#This Row],[//]]="","",SUMIF(Table1[h_id],pajak[[#This Row],[//]],Table1[h_hargasetelahdiskon]))</f>
        <v>3501396</v>
      </c>
      <c r="L9" s="89">
        <f>IF(pajak[//]="","",pajak[[#This Row],[Sub Total]]/1.11*11%)</f>
        <v>346985.18918918917</v>
      </c>
      <c r="M9" s="89">
        <f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>IF(pajak[[#This Row],[//]]="","",SUMIF(Table1[h_id],pajak[[#This Row],[//]],Table1[h_hargasebelumdiskon]))</f>
        <v>3532000</v>
      </c>
      <c r="J10" s="89">
        <f>IF(pajak[[#This Row],[//]]="","",SUMIF(Table1[h_id],pajak[[#This Row],[//]],Table1[h_diskon]))</f>
        <v>353200</v>
      </c>
      <c r="K10" s="89">
        <f>IF(pajak[[#This Row],[//]]="","",SUMIF(Table1[h_id],pajak[[#This Row],[//]],Table1[h_hargasetelahdiskon]))</f>
        <v>3178800</v>
      </c>
      <c r="L10" s="89">
        <f>IF(pajak[//]="","",pajak[[#This Row],[Sub Total]]/1.11*11%)</f>
        <v>315016.21621621621</v>
      </c>
      <c r="M10" s="89">
        <f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>IF(pajak[[#This Row],[//]]="","",SUMIF(Table1[h_id],pajak[[#This Row],[//]],Table1[h_hargasebelumdiskon]))</f>
        <v>5616000</v>
      </c>
      <c r="J11" s="89">
        <f>IF(pajak[[#This Row],[//]]="","",SUMIF(Table1[h_id],pajak[[#This Row],[//]],Table1[h_diskon]))</f>
        <v>730080</v>
      </c>
      <c r="K11" s="89">
        <f>IF(pajak[[#This Row],[//]]="","",SUMIF(Table1[h_id],pajak[[#This Row],[//]],Table1[h_hargasetelahdiskon]))</f>
        <v>4885920</v>
      </c>
      <c r="L11" s="89">
        <f>IF(pajak[//]="","",pajak[[#This Row],[Sub Total]]/1.11*11%)</f>
        <v>484190.2702702703</v>
      </c>
      <c r="M11" s="89">
        <f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>IF(pajak[[#This Row],[//]]="","",SUMIF(Table1[h_id],pajak[[#This Row],[//]],Table1[h_hargasebelumdiskon]))</f>
        <v>5616000</v>
      </c>
      <c r="J12" s="89">
        <f>IF(pajak[[#This Row],[//]]="","",SUMIF(Table1[h_id],pajak[[#This Row],[//]],Table1[h_diskon]))</f>
        <v>758160</v>
      </c>
      <c r="K12" s="89">
        <f>IF(pajak[[#This Row],[//]]="","",SUMIF(Table1[h_id],pajak[[#This Row],[//]],Table1[h_hargasetelahdiskon]))</f>
        <v>4857840</v>
      </c>
      <c r="L12" s="89">
        <f>IF(pajak[//]="","",pajak[[#This Row],[Sub Total]]/1.11*11%)</f>
        <v>481407.56756756752</v>
      </c>
      <c r="M12" s="89">
        <f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>IF(pajak[[#This Row],[//]]="","",SUMIF(Table1[h_id],pajak[[#This Row],[//]],Table1[h_hargasebelumdiskon]))</f>
        <v>28080000</v>
      </c>
      <c r="J13" s="89">
        <f>IF(pajak[[#This Row],[//]]="","",SUMIF(Table1[h_id],pajak[[#This Row],[//]],Table1[h_diskon]))</f>
        <v>3790800.0000000005</v>
      </c>
      <c r="K13" s="89">
        <f>IF(pajak[[#This Row],[//]]="","",SUMIF(Table1[h_id],pajak[[#This Row],[//]],Table1[h_hargasetelahdiskon]))</f>
        <v>24289200</v>
      </c>
      <c r="L13" s="89">
        <f>IF(pajak[//]="","",pajak[[#This Row],[Sub Total]]/1.11*11%)</f>
        <v>2407037.8378378376</v>
      </c>
      <c r="M13" s="89">
        <f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( LANCAR ) MALANG</v>
      </c>
      <c r="I14" s="89">
        <f>IF(pajak[[#This Row],[//]]="","",SUMIF(Table1[h_id],pajak[[#This Row],[//]],Table1[h_hargasebelumdiskon]))</f>
        <v>1526400</v>
      </c>
      <c r="J14" s="89">
        <f>IF(pajak[[#This Row],[//]]="","",SUMIF(Table1[h_id],pajak[[#This Row],[//]],Table1[h_diskon]))</f>
        <v>190800</v>
      </c>
      <c r="K14" s="89">
        <f>IF(pajak[[#This Row],[//]]="","",SUMIF(Table1[h_id],pajak[[#This Row],[//]],Table1[h_hargasetelahdiskon]))</f>
        <v>1335600</v>
      </c>
      <c r="L14" s="89">
        <f>IF(pajak[//]="","",pajak[[#This Row],[Sub Total]]/1.11*11%)</f>
        <v>132356.75675675675</v>
      </c>
      <c r="M14" s="89">
        <f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2050000</v>
      </c>
      <c r="J15" s="89">
        <f>IF(pajak[[#This Row],[//]]="","",SUMIF(Table1[h_id],pajak[[#This Row],[//]],Table1[h_diskon]))</f>
        <v>276750</v>
      </c>
      <c r="K15" s="89">
        <f>IF(pajak[[#This Row],[//]]="","",SUMIF(Table1[h_id],pajak[[#This Row],[//]],Table1[h_hargasetelahdiskon]))</f>
        <v>1773250</v>
      </c>
      <c r="L15" s="89">
        <f>IF(pajak[//]="","",pajak[[#This Row],[Sub Total]]/1.11*11%)</f>
        <v>175727.47747747746</v>
      </c>
      <c r="M15" s="89">
        <f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>IF(pajak[[#This Row],[//]]="","",SUMIF(Table1[h_id],pajak[[#This Row],[//]],Table1[h_hargasebelumdiskon]))</f>
        <v>792000</v>
      </c>
      <c r="J16" s="89">
        <f>IF(pajak[[#This Row],[//]]="","",SUMIF(Table1[h_id],pajak[[#This Row],[//]],Table1[h_diskon]))</f>
        <v>102960</v>
      </c>
      <c r="K16" s="89">
        <f>IF(pajak[[#This Row],[//]]="","",SUMIF(Table1[h_id],pajak[[#This Row],[//]],Table1[h_hargasetelahdiskon]))</f>
        <v>689040</v>
      </c>
      <c r="L16" s="89">
        <f>IF(pajak[//]="","",pajak[[#This Row],[Sub Total]]/1.11*11%)</f>
        <v>68283.24324324324</v>
      </c>
      <c r="M16" s="89">
        <f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>IF(pajak[[#This Row],[//]]="","",SUMIF(Table1[h_id],pajak[[#This Row],[//]],Table1[h_hargasebelumdiskon]))</f>
        <v>55790800</v>
      </c>
      <c r="J17" s="89">
        <f>IF(pajak[[#This Row],[//]]="","",SUMIF(Table1[h_id],pajak[[#This Row],[//]],Table1[h_diskon]))</f>
        <v>6973850</v>
      </c>
      <c r="K17" s="89">
        <f>IF(pajak[[#This Row],[//]]="","",SUMIF(Table1[h_id],pajak[[#This Row],[//]],Table1[h_hargasetelahdiskon]))</f>
        <v>48816950</v>
      </c>
      <c r="L17" s="89">
        <f>IF(pajak[//]="","",pajak[[#This Row],[Sub Total]]/1.11*11%)</f>
        <v>4837715.7657657648</v>
      </c>
      <c r="M17" s="89">
        <f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>IF(pajak[[#This Row],[//]]="","",SUMIF(Table1[h_id],pajak[[#This Row],[//]],Table1[h_hargasebelumdiskon]))</f>
        <v>21990400</v>
      </c>
      <c r="J18" s="89">
        <f>IF(pajak[[#This Row],[//]]="","",SUMIF(Table1[h_id],pajak[[#This Row],[//]],Table1[h_diskon]))</f>
        <v>2968704</v>
      </c>
      <c r="K18" s="89">
        <f>IF(pajak[[#This Row],[//]]="","",SUMIF(Table1[h_id],pajak[[#This Row],[//]],Table1[h_hargasetelahdiskon]))</f>
        <v>19021696</v>
      </c>
      <c r="L18" s="89">
        <f>IF(pajak[//]="","",pajak[[#This Row],[Sub Total]]/1.11*11%)</f>
        <v>1885032.9369369368</v>
      </c>
      <c r="M18" s="89">
        <f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 t="str">
        <f>IF(pajak[[#This Row],[//]]="","",INDEX(Table1[Tgl Invoice :],pajak[//]-offset))</f>
        <v>09/02/203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>IF(pajak[[#This Row],[//]]="","",SUMIF(Table1[h_id],pajak[[#This Row],[//]],Table1[h_hargasebelumdiskon]))</f>
        <v>2952000</v>
      </c>
      <c r="J19" s="89">
        <f>IF(pajak[[#This Row],[//]]="","",SUMIF(Table1[h_id],pajak[[#This Row],[//]],Table1[h_diskon]))</f>
        <v>413280.00000000006</v>
      </c>
      <c r="K19" s="89">
        <f>IF(pajak[[#This Row],[//]]="","",SUMIF(Table1[h_id],pajak[[#This Row],[//]],Table1[h_hargasetelahdiskon]))</f>
        <v>2538720</v>
      </c>
      <c r="L19" s="89">
        <f>IF(pajak[//]="","",pajak[[#This Row],[Sub Total]]/1.11*11%)</f>
        <v>251584.86486486488</v>
      </c>
      <c r="M19" s="89">
        <f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>IF(INDEX([2]Invoice!$K:$K,Table4[[#This Row],[cek_rekap(share)]])=pajak[[#This Row],[Total Invoice]],"-",FALSE)</f>
        <v>-</v>
      </c>
    </row>
    <row r="20" spans="1:20" x14ac:dyDescent="0.25">
      <c r="A20" s="88"/>
      <c r="B20" s="88"/>
      <c r="D20" s="86" t="str">
        <f t="shared" si="1"/>
        <v/>
      </c>
      <c r="E20" s="86" t="str">
        <f>IF(pajak[[#This Row],[//]]="","",INDEX(Table1[No. Invoice :],pajak[//]-offset))</f>
        <v/>
      </c>
      <c r="F20" s="90" t="str">
        <f>IF(pajak[[#This Row],[//]]="","",INDEX(Table1[Tgl Invoice :],pajak[//]-offset))</f>
        <v/>
      </c>
      <c r="G20" s="86" t="str">
        <f>IF(pajak[[#This Row],[//]]="","",INDEX(Table1[Kode Sales :],pajak[//]-offset))</f>
        <v/>
      </c>
      <c r="H20" s="86" t="str">
        <f>IF(pajak[[#This Row],[//]]="","",INDEX(Table1[Toko],pajak[//]-offset))</f>
        <v/>
      </c>
      <c r="I20" s="89" t="str">
        <f>IF(pajak[[#This Row],[//]]="","",SUMIF(Table1[h_id],pajak[[#This Row],[//]],Table1[h_hargasebelumdiskon]))</f>
        <v/>
      </c>
      <c r="J20" s="89" t="str">
        <f>IF(pajak[[#This Row],[//]]="","",SUMIF(Table1[h_id],pajak[[#This Row],[//]],Table1[h_diskon]))</f>
        <v/>
      </c>
      <c r="K20" s="89" t="str">
        <f>IF(pajak[[#This Row],[//]]="","",SUMIF(Table1[h_id],pajak[[#This Row],[//]],Table1[h_hargasetelahdiskon]))</f>
        <v/>
      </c>
      <c r="L20" s="89" t="str">
        <f>IF(pajak[//]="","",pajak[[#This Row],[Sub Total]]/1.11*11%)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R20" t="str">
        <f>IF(pajak[[#This Row],[Kode Sales :]]="","",MATCH(pajak[[#This Row],[Kode Sales :]],[2]Invoice!$D:$D,0))</f>
        <v/>
      </c>
      <c r="S20" t="e">
        <f>Table4[[#This Row],[cek_ppn]]+28</f>
        <v>#VALUE!</v>
      </c>
      <c r="T20" s="86" t="e">
        <f>IF(INDEX([2]Invoice!$K:$K,Table4[[#This Row],[cek_rekap(share)]])=pajak[[#This Row],[Total Invoice]],"-",FALSE)</f>
        <v>#VALUE!</v>
      </c>
    </row>
    <row r="21" spans="1:20" x14ac:dyDescent="0.25">
      <c r="A21" s="88" t="s">
        <v>55</v>
      </c>
      <c r="B21" s="88"/>
      <c r="D21" s="86" t="str">
        <f t="shared" si="1"/>
        <v/>
      </c>
      <c r="E21" s="86" t="str">
        <f>IF(pajak[[#This Row],[//]]="","",INDEX(Table1[No. Invoice :],pajak[//]-offset))</f>
        <v/>
      </c>
      <c r="F21" s="90" t="str">
        <f>IF(pajak[[#This Row],[//]]="","",INDEX(Table1[Tgl Invoice :],pajak[//]-offset))</f>
        <v/>
      </c>
      <c r="G21" s="86" t="str">
        <f>IF(pajak[[#This Row],[//]]="","",INDEX(Table1[Kode Sales :],pajak[//]-offset))</f>
        <v/>
      </c>
      <c r="H21" s="86" t="str">
        <f>IF(pajak[[#This Row],[//]]="","",INDEX(Table1[Toko],pajak[//]-offset))</f>
        <v/>
      </c>
      <c r="I21" s="89" t="str">
        <f>IF(pajak[[#This Row],[//]]="","",SUMIF(Table1[h_id],pajak[[#This Row],[//]],Table1[h_hargasebelumdiskon]))</f>
        <v/>
      </c>
      <c r="J21" s="89" t="str">
        <f>IF(pajak[[#This Row],[//]]="","",SUMIF(Table1[h_id],pajak[[#This Row],[//]],Table1[h_diskon]))</f>
        <v/>
      </c>
      <c r="K21" s="89" t="str">
        <f>IF(pajak[[#This Row],[//]]="","",SUMIF(Table1[h_id],pajak[[#This Row],[//]],Table1[h_hargasetelahdiskon]))</f>
        <v/>
      </c>
      <c r="L21" s="89" t="str">
        <f>IF(pajak[//]="","",pajak[[#This Row],[Sub Total]]/1.11*11%)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R21" t="str">
        <f>IF(pajak[[#This Row],[Kode Sales :]]="","",MATCH(pajak[[#This Row],[Kode Sales :]],[2]Invoice!$D:$D,0))</f>
        <v/>
      </c>
      <c r="S21" t="e">
        <f>Table4[[#This Row],[cek_ppn]]+28</f>
        <v>#VALUE!</v>
      </c>
      <c r="T21" s="86" t="e">
        <f>IF(INDEX([2]Invoice!$K:$K,Table4[[#This Row],[cek_rekap(share)]])=pajak[[#This Row],[Total Invoice]],"-",FALSE)</f>
        <v>#VALUE!</v>
      </c>
    </row>
    <row r="22" spans="1:20" x14ac:dyDescent="0.25">
      <c r="B22" s="88"/>
      <c r="D22" s="86" t="str">
        <f t="shared" si="1"/>
        <v/>
      </c>
      <c r="E22" s="86" t="str">
        <f>IF(pajak[[#This Row],[//]]="","",INDEX(Table1[No. Invoice :],pajak[//]-offset))</f>
        <v/>
      </c>
      <c r="F22" s="90" t="str">
        <f>IF(pajak[[#This Row],[//]]="","",INDEX(Table1[Tgl Invoice :],pajak[//]-offset))</f>
        <v/>
      </c>
      <c r="G22" s="86" t="str">
        <f>IF(pajak[[#This Row],[//]]="","",INDEX(Table1[Kode Sales :],pajak[//]-offset))</f>
        <v/>
      </c>
      <c r="H22" s="86" t="str">
        <f>IF(pajak[[#This Row],[//]]="","",INDEX(Table1[Toko],pajak[//]-offset))</f>
        <v/>
      </c>
      <c r="I22" s="89" t="str">
        <f>IF(pajak[[#This Row],[//]]="","",SUMIF(Table1[h_id],pajak[[#This Row],[//]],Table1[h_hargasebelumdiskon]))</f>
        <v/>
      </c>
      <c r="J22" s="89" t="str">
        <f>IF(pajak[[#This Row],[//]]="","",SUMIF(Table1[h_id],pajak[[#This Row],[//]],Table1[h_diskon]))</f>
        <v/>
      </c>
      <c r="K22" s="89" t="str">
        <f>IF(pajak[[#This Row],[//]]="","",SUMIF(Table1[h_id],pajak[[#This Row],[//]],Table1[h_hargasetelahdiskon]))</f>
        <v/>
      </c>
      <c r="L22" s="89" t="str">
        <f>IF(pajak[//]="","",pajak[[#This Row],[Sub Total]]/1.11*11%)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R22" t="str">
        <f>IF(pajak[[#This Row],[Kode Sales :]]="","",MATCH(pajak[[#This Row],[Kode Sales :]],[2]Invoice!$D:$D,0))</f>
        <v/>
      </c>
      <c r="S22" t="e">
        <f>Table4[[#This Row],[cek_ppn]]+28</f>
        <v>#VALUE!</v>
      </c>
      <c r="T22" s="86" t="e">
        <f>IF(INDEX([2]Invoice!$K:$K,Table4[[#This Row],[cek_rekap(share)]])=pajak[[#This Row],[Total Invoice]],"-",FALSE)</f>
        <v>#VALUE!</v>
      </c>
    </row>
    <row r="23" spans="1:20" x14ac:dyDescent="0.25">
      <c r="B23" s="88"/>
      <c r="D23" s="86" t="str">
        <f t="shared" si="1"/>
        <v/>
      </c>
      <c r="E23" s="86" t="str">
        <f>IF(pajak[[#This Row],[//]]="","",INDEX(Table1[No. Invoice :],pajak[//]-offset))</f>
        <v/>
      </c>
      <c r="F23" s="90" t="str">
        <f>IF(pajak[[#This Row],[//]]="","",INDEX(Table1[Tgl Invoice :],pajak[//]-offset))</f>
        <v/>
      </c>
      <c r="G23" s="86" t="str">
        <f>IF(pajak[[#This Row],[//]]="","",INDEX(Table1[Kode Sales :],pajak[//]-offset))</f>
        <v/>
      </c>
      <c r="H23" s="86" t="str">
        <f>IF(pajak[[#This Row],[//]]="","",INDEX(Table1[Toko],pajak[//]-offset))</f>
        <v/>
      </c>
      <c r="I23" s="89" t="str">
        <f>IF(pajak[[#This Row],[//]]="","",SUMIF(Table1[h_id],pajak[[#This Row],[//]],Table1[h_hargasebelumdiskon]))</f>
        <v/>
      </c>
      <c r="J23" s="89" t="str">
        <f>IF(pajak[[#This Row],[//]]="","",SUMIF(Table1[h_id],pajak[[#This Row],[//]],Table1[h_diskon]))</f>
        <v/>
      </c>
      <c r="K23" s="89" t="str">
        <f>IF(pajak[[#This Row],[//]]="","",SUMIF(Table1[h_id],pajak[[#This Row],[//]],Table1[h_hargasetelahdiskon]))</f>
        <v/>
      </c>
      <c r="L23" s="89" t="str">
        <f>IF(pajak[//]="","",pajak[[#This Row],[Sub Total]]/1.11*11%)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R23" t="str">
        <f>IF(pajak[[#This Row],[Kode Sales :]]="","",MATCH(pajak[[#This Row],[Kode Sales :]],[2]Invoice!$D:$D,0))</f>
        <v/>
      </c>
      <c r="S23" t="e">
        <f>Table4[[#This Row],[cek_ppn]]+28</f>
        <v>#VALUE!</v>
      </c>
      <c r="T23" s="86" t="e">
        <f>IF(INDEX([2]Invoice!$K:$K,Table4[[#This Row],[cek_rekap(share)]])=pajak[[#This Row],[Total Invoice]],"-",FALSE)</f>
        <v>#VALUE!</v>
      </c>
    </row>
    <row r="24" spans="1:20" x14ac:dyDescent="0.25">
      <c r="B24" s="88"/>
      <c r="D24" s="86" t="str">
        <f t="shared" si="1"/>
        <v/>
      </c>
      <c r="E24" s="86" t="str">
        <f>IF(pajak[[#This Row],[//]]="","",INDEX(Table1[No. Invoice :],pajak[//]-offset))</f>
        <v/>
      </c>
      <c r="F24" s="90" t="str">
        <f>IF(pajak[[#This Row],[//]]="","",INDEX(Table1[Tgl Invoice :],pajak[//]-offset))</f>
        <v/>
      </c>
      <c r="G24" s="86" t="str">
        <f>IF(pajak[[#This Row],[//]]="","",INDEX(Table1[Kode Sales :],pajak[//]-offset))</f>
        <v/>
      </c>
      <c r="H24" s="86" t="str">
        <f>IF(pajak[[#This Row],[//]]="","",INDEX(Table1[Toko],pajak[//]-offset))</f>
        <v/>
      </c>
      <c r="I24" s="89" t="str">
        <f>IF(pajak[[#This Row],[//]]="","",SUMIF(Table1[h_id],pajak[[#This Row],[//]],Table1[h_hargasebelumdiskon]))</f>
        <v/>
      </c>
      <c r="J24" s="89" t="str">
        <f>IF(pajak[[#This Row],[//]]="","",SUMIF(Table1[h_id],pajak[[#This Row],[//]],Table1[h_diskon]))</f>
        <v/>
      </c>
      <c r="K24" s="89" t="str">
        <f>IF(pajak[[#This Row],[//]]="","",SUMIF(Table1[h_id],pajak[[#This Row],[//]],Table1[h_hargasetelahdiskon]))</f>
        <v/>
      </c>
      <c r="L24" s="89" t="str">
        <f>IF(pajak[//]="","",pajak[[#This Row],[Sub Total]]/1.11*11%)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R24" s="86" t="str">
        <f>IF(pajak[[#This Row],[Kode Sales :]]="","",MATCH(pajak[[#This Row],[Kode Sales :]],[2]Invoice!$D:$D,0))</f>
        <v/>
      </c>
      <c r="S24" s="86" t="e">
        <f>Table4[[#This Row],[cek_ppn]]+28</f>
        <v>#VALUE!</v>
      </c>
      <c r="T24" s="86" t="e">
        <f>IF(INDEX([2]Invoice!$K:$K,Table4[[#This Row],[cek_rekap(share)]])=pajak[[#This Row],[Total Invoice]],"-",FALSE)</f>
        <v>#VALUE!</v>
      </c>
    </row>
    <row r="25" spans="1:20" x14ac:dyDescent="0.25">
      <c r="B25" s="88"/>
      <c r="D25" s="86" t="str">
        <f t="shared" si="1"/>
        <v/>
      </c>
      <c r="E25" s="86" t="str">
        <f>IF(pajak[[#This Row],[//]]="","",INDEX(Table1[No. Invoice :],pajak[//]-offset))</f>
        <v/>
      </c>
      <c r="F25" s="90" t="str">
        <f>IF(pajak[[#This Row],[//]]="","",INDEX(Table1[Tgl Invoice :],pajak[//]-offset))</f>
        <v/>
      </c>
      <c r="G25" s="86" t="str">
        <f>IF(pajak[[#This Row],[//]]="","",INDEX(Table1[Kode Sales :],pajak[//]-offset))</f>
        <v/>
      </c>
      <c r="H25" s="86" t="str">
        <f>IF(pajak[[#This Row],[//]]="","",INDEX(Table1[Toko],pajak[//]-offset))</f>
        <v/>
      </c>
      <c r="I25" s="89" t="str">
        <f>IF(pajak[[#This Row],[//]]="","",SUMIF(Table1[h_id],pajak[[#This Row],[//]],Table1[h_hargasebelumdiskon]))</f>
        <v/>
      </c>
      <c r="J25" s="89" t="str">
        <f>IF(pajak[[#This Row],[//]]="","",SUMIF(Table1[h_id],pajak[[#This Row],[//]],Table1[h_diskon]))</f>
        <v/>
      </c>
      <c r="K25" s="89" t="str">
        <f>IF(pajak[[#This Row],[//]]="","",SUMIF(Table1[h_id],pajak[[#This Row],[//]],Table1[h_hargasetelahdiskon]))</f>
        <v/>
      </c>
      <c r="L25" s="89" t="str">
        <f>IF(pajak[//]="","",pajak[[#This Row],[Sub Total]]/1.11*11%)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R25" s="86" t="str">
        <f>IF(pajak[[#This Row],[Kode Sales :]]="","",MATCH(pajak[[#This Row],[Kode Sales :]],[2]Invoice!$D:$D,0))</f>
        <v/>
      </c>
      <c r="S25" s="86" t="e">
        <f>Table4[[#This Row],[cek_ppn]]+28</f>
        <v>#VALUE!</v>
      </c>
      <c r="T25" s="86" t="e">
        <f>IF(INDEX([2]Invoice!$K:$K,Table4[[#This Row],[cek_rekap(share)]])=pajak[[#This Row],[Total Invoice]],"-",FALSE)</f>
        <v>#VALUE!</v>
      </c>
    </row>
    <row r="26" spans="1:20" x14ac:dyDescent="0.25">
      <c r="B26" s="88"/>
      <c r="D26" s="86" t="str">
        <f t="shared" si="1"/>
        <v/>
      </c>
      <c r="E26" s="86" t="str">
        <f>IF(pajak[[#This Row],[//]]="","",INDEX(Table1[No. Invoice :],pajak[//]-offset))</f>
        <v/>
      </c>
      <c r="F26" s="90" t="str">
        <f>IF(pajak[[#This Row],[//]]="","",INDEX(Table1[Tgl Invoice :],pajak[//]-offset))</f>
        <v/>
      </c>
      <c r="G26" s="86" t="str">
        <f>IF(pajak[[#This Row],[//]]="","",INDEX(Table1[Kode Sales :],pajak[//]-offset))</f>
        <v/>
      </c>
      <c r="H26" s="86" t="str">
        <f>IF(pajak[[#This Row],[//]]="","",INDEX(Table1[Toko],pajak[//]-offset))</f>
        <v/>
      </c>
      <c r="I26" s="89" t="str">
        <f>IF(pajak[[#This Row],[//]]="","",SUMIF(Table1[h_id],pajak[[#This Row],[//]],Table1[h_hargasebelumdiskon]))</f>
        <v/>
      </c>
      <c r="J26" s="89" t="str">
        <f>IF(pajak[[#This Row],[//]]="","",SUMIF(Table1[h_id],pajak[[#This Row],[//]],Table1[h_diskon]))</f>
        <v/>
      </c>
      <c r="K26" s="89" t="str">
        <f>IF(pajak[[#This Row],[//]]="","",SUMIF(Table1[h_id],pajak[[#This Row],[//]],Table1[h_hargasetelahdiskon]))</f>
        <v/>
      </c>
      <c r="L26" s="89" t="str">
        <f>IF(pajak[//]="","",pajak[[#This Row],[Sub Total]]/1.11*11%)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R26" s="86" t="str">
        <f>IF(pajak[[#This Row],[Kode Sales :]]="","",MATCH(pajak[[#This Row],[Kode Sales :]],[2]Invoice!$D:$D,0))</f>
        <v/>
      </c>
      <c r="S26" s="86" t="e">
        <f>Table4[[#This Row],[cek_ppn]]+28</f>
        <v>#VALUE!</v>
      </c>
      <c r="T26" s="86" t="e">
        <f>IF(INDEX([2]Invoice!$K:$K,Table4[[#This Row],[cek_rekap(share)]])=pajak[[#This Row],[Total Invoice]],"-",FALSE)</f>
        <v>#VALUE!</v>
      </c>
    </row>
    <row r="27" spans="1:20" x14ac:dyDescent="0.25">
      <c r="D27" s="86" t="str">
        <f t="shared" si="1"/>
        <v/>
      </c>
      <c r="E27" s="86" t="str">
        <f>IF(pajak[[#This Row],[//]]="","",INDEX(Table1[No. Invoice :],pajak[//]-offset))</f>
        <v/>
      </c>
      <c r="F27" s="90" t="str">
        <f>IF(pajak[[#This Row],[//]]="","",INDEX(Table1[Tgl Invoice :],pajak[//]-offset))</f>
        <v/>
      </c>
      <c r="G27" s="86" t="str">
        <f>IF(pajak[[#This Row],[//]]="","",INDEX(Table1[Kode Sales :],pajak[//]-offset))</f>
        <v/>
      </c>
      <c r="H27" s="86" t="str">
        <f>IF(pajak[[#This Row],[//]]="","",INDEX(Table1[Toko],pajak[//]-offset))</f>
        <v/>
      </c>
      <c r="I27" s="89" t="str">
        <f>IF(pajak[[#This Row],[//]]="","",SUMIF(Table1[h_id],pajak[[#This Row],[//]],Table1[h_hargasebelumdiskon]))</f>
        <v/>
      </c>
      <c r="J27" s="89" t="str">
        <f>IF(pajak[[#This Row],[//]]="","",SUMIF(Table1[h_id],pajak[[#This Row],[//]],Table1[h_diskon]))</f>
        <v/>
      </c>
      <c r="K27" s="89" t="str">
        <f>IF(pajak[[#This Row],[//]]="","",SUMIF(Table1[h_id],pajak[[#This Row],[//]],Table1[h_hargasetelahdiskon]))</f>
        <v/>
      </c>
      <c r="L27" s="89" t="str">
        <f>IF(pajak[//]="","",pajak[[#This Row],[Sub Total]]/1.11*11%)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R27" s="86" t="str">
        <f>IF(pajak[[#This Row],[Kode Sales :]]="","",MATCH(pajak[[#This Row],[Kode Sales :]],[2]Invoice!$D:$D,0))</f>
        <v/>
      </c>
      <c r="S27" s="86" t="e">
        <f>Table4[[#This Row],[cek_ppn]]+28</f>
        <v>#VALUE!</v>
      </c>
      <c r="T27" s="86" t="e">
        <f>IF(INDEX([2]Invoice!$K:$K,Table4[[#This Row],[cek_rekap(share)]])=pajak[[#This Row],[Total Invoice]],"-",FALSE)</f>
        <v>#VALUE!</v>
      </c>
    </row>
    <row r="28" spans="1:20" x14ac:dyDescent="0.25">
      <c r="D28" s="86" t="str">
        <f t="shared" ref="D28:D41" si="2">IF(ROW()-2&lt;=jNota,A28,"")</f>
        <v/>
      </c>
      <c r="E28" s="86" t="str">
        <f>IF(pajak[[#This Row],[//]]="","",INDEX(Table1[No. Invoice :],pajak[//]-offset))</f>
        <v/>
      </c>
      <c r="F28" s="90" t="str">
        <f>IF(pajak[[#This Row],[//]]="","",INDEX(Table1[Tgl Invoice :],pajak[//]-offset))</f>
        <v/>
      </c>
      <c r="G28" s="86" t="str">
        <f>IF(pajak[[#This Row],[//]]="","",INDEX(Table1[Kode Sales :],pajak[//]-offset))</f>
        <v/>
      </c>
      <c r="H28" s="86" t="str">
        <f>IF(pajak[[#This Row],[//]]="","",INDEX(Table1[Toko],pajak[//]-offset))</f>
        <v/>
      </c>
      <c r="I28" s="89" t="str">
        <f>IF(pajak[[#This Row],[//]]="","",SUMIF(Table1[h_id],pajak[[#This Row],[//]],Table1[h_hargasebelumdiskon]))</f>
        <v/>
      </c>
      <c r="J28" s="89" t="str">
        <f>IF(pajak[[#This Row],[//]]="","",SUMIF(Table1[h_id],pajak[[#This Row],[//]],Table1[h_diskon]))</f>
        <v/>
      </c>
      <c r="K28" s="89" t="str">
        <f>IF(pajak[[#This Row],[//]]="","",SUMIF(Table1[h_id],pajak[[#This Row],[//]],Table1[h_hargasetelahdiskon]))</f>
        <v/>
      </c>
      <c r="L28" s="89" t="str">
        <f>IF(pajak[//]="","",pajak[[#This Row],[Sub Total]]/1.11*11%)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R28" s="86" t="str">
        <f>IF(pajak[[#This Row],[Kode Sales :]]="","",MATCH(pajak[[#This Row],[Kode Sales :]],[2]Invoice!$D:$D,0))</f>
        <v/>
      </c>
      <c r="S28" s="86" t="e">
        <f>Table4[[#This Row],[cek_ppn]]+28</f>
        <v>#VALUE!</v>
      </c>
      <c r="T28" s="86" t="e">
        <f>IF(INDEX([2]Invoice!$K:$K,Table4[[#This Row],[cek_rekap(share)]])=pajak[[#This Row],[Total Invoice]],"-",FALSE)</f>
        <v>#VALUE!</v>
      </c>
    </row>
    <row r="29" spans="1:20" x14ac:dyDescent="0.25">
      <c r="D29" s="86" t="str">
        <f t="shared" si="2"/>
        <v/>
      </c>
      <c r="E29" s="86" t="str">
        <f>IF(pajak[[#This Row],[//]]="","",INDEX(Table1[No. Invoice :],pajak[//]-offset))</f>
        <v/>
      </c>
      <c r="F29" s="90" t="str">
        <f>IF(pajak[[#This Row],[//]]="","",INDEX(Table1[Tgl Invoice :],pajak[//]-offset))</f>
        <v/>
      </c>
      <c r="G29" s="86" t="str">
        <f>IF(pajak[[#This Row],[//]]="","",INDEX(Table1[Kode Sales :],pajak[//]-offset))</f>
        <v/>
      </c>
      <c r="H29" s="86" t="str">
        <f>IF(pajak[[#This Row],[//]]="","",INDEX(Table1[Toko],pajak[//]-offset))</f>
        <v/>
      </c>
      <c r="I29" s="89" t="str">
        <f>IF(pajak[[#This Row],[//]]="","",SUMIF(Table1[h_id],pajak[[#This Row],[//]],Table1[h_hargasebelumdiskon]))</f>
        <v/>
      </c>
      <c r="J29" s="89" t="str">
        <f>IF(pajak[[#This Row],[//]]="","",SUMIF(Table1[h_id],pajak[[#This Row],[//]],Table1[h_diskon]))</f>
        <v/>
      </c>
      <c r="K29" s="89" t="str">
        <f>IF(pajak[[#This Row],[//]]="","",SUMIF(Table1[h_id],pajak[[#This Row],[//]],Table1[h_hargasetelahdiskon]))</f>
        <v/>
      </c>
      <c r="L29" s="89" t="str">
        <f>IF(pajak[//]="","",pajak[[#This Row],[Sub Total]]/1.11*11%)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R29" s="86" t="str">
        <f>IF(pajak[[#This Row],[Kode Sales :]]="","",MATCH(pajak[[#This Row],[Kode Sales :]],[2]Invoice!$D:$D,0))</f>
        <v/>
      </c>
      <c r="S29" s="86" t="e">
        <f>Table4[[#This Row],[cek_ppn]]+28</f>
        <v>#VALUE!</v>
      </c>
      <c r="T29" s="86" t="e">
        <f>IF(INDEX([2]Invoice!$K:$K,Table4[[#This Row],[cek_rekap(share)]])=pajak[[#This Row],[Total Invoice]],"-",FALSE)</f>
        <v>#VALUE!</v>
      </c>
    </row>
    <row r="30" spans="1:20" x14ac:dyDescent="0.25">
      <c r="D30" s="86" t="str">
        <f t="shared" si="2"/>
        <v/>
      </c>
      <c r="E30" s="86" t="str">
        <f>IF(pajak[[#This Row],[//]]="","",INDEX(Table1[No. Invoice :],pajak[//]-offset))</f>
        <v/>
      </c>
      <c r="F30" s="90" t="str">
        <f>IF(pajak[[#This Row],[//]]="","",INDEX(Table1[Tgl Invoice :],pajak[//]-offset))</f>
        <v/>
      </c>
      <c r="G30" s="86" t="str">
        <f>IF(pajak[[#This Row],[//]]="","",INDEX(Table1[Kode Sales :],pajak[//]-offset))</f>
        <v/>
      </c>
      <c r="H30" s="86" t="str">
        <f>IF(pajak[[#This Row],[//]]="","",INDEX(Table1[Toko],pajak[//]-offset))</f>
        <v/>
      </c>
      <c r="I30" s="89" t="str">
        <f>IF(pajak[[#This Row],[//]]="","",SUMIF(Table1[h_id],pajak[[#This Row],[//]],Table1[h_hargasebelumdiskon]))</f>
        <v/>
      </c>
      <c r="J30" s="89" t="str">
        <f>IF(pajak[[#This Row],[//]]="","",SUMIF(Table1[h_id],pajak[[#This Row],[//]],Table1[h_diskon]))</f>
        <v/>
      </c>
      <c r="K30" s="89" t="str">
        <f>IF(pajak[[#This Row],[//]]="","",SUMIF(Table1[h_id],pajak[[#This Row],[//]],Table1[h_hargasetelahdiskon]))</f>
        <v/>
      </c>
      <c r="L30" s="89" t="str">
        <f>IF(pajak[//]="","",pajak[[#This Row],[Sub Total]]/1.11*11%)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R30" s="86" t="str">
        <f>IF(pajak[[#This Row],[Kode Sales :]]="","",MATCH(pajak[[#This Row],[Kode Sales :]],[2]Invoice!$D:$D,0))</f>
        <v/>
      </c>
      <c r="S30" s="86" t="e">
        <f>Table4[[#This Row],[cek_ppn]]+28</f>
        <v>#VALUE!</v>
      </c>
      <c r="T30" s="86" t="e">
        <f>IF(INDEX([2]Invoice!$K:$K,Table4[[#This Row],[cek_rekap(share)]])=pajak[[#This Row],[Total Invoice]],"-",FALSE)</f>
        <v>#VALUE!</v>
      </c>
    </row>
    <row r="31" spans="1:20" x14ac:dyDescent="0.25">
      <c r="D31" s="86" t="str">
        <f t="shared" si="2"/>
        <v/>
      </c>
      <c r="E31" s="86" t="str">
        <f>IF(pajak[[#This Row],[//]]="","",INDEX(Table1[No. Invoice :],pajak[//]-offset))</f>
        <v/>
      </c>
      <c r="F31" s="90" t="str">
        <f>IF(pajak[[#This Row],[//]]="","",INDEX(Table1[Tgl Invoice :],pajak[//]-offset))</f>
        <v/>
      </c>
      <c r="G31" s="86" t="str">
        <f>IF(pajak[[#This Row],[//]]="","",INDEX(Table1[Kode Sales :],pajak[//]-offset))</f>
        <v/>
      </c>
      <c r="H31" s="86" t="str">
        <f>IF(pajak[[#This Row],[//]]="","",INDEX(Table1[Toko],pajak[//]-offset))</f>
        <v/>
      </c>
      <c r="I31" s="89" t="str">
        <f>IF(pajak[[#This Row],[//]]="","",SUMIF(Table1[h_id],pajak[[#This Row],[//]],Table1[h_hargasebelumdiskon]))</f>
        <v/>
      </c>
      <c r="J31" s="89" t="str">
        <f>IF(pajak[[#This Row],[//]]="","",SUMIF(Table1[h_id],pajak[[#This Row],[//]],Table1[h_diskon]))</f>
        <v/>
      </c>
      <c r="K31" s="89" t="str">
        <f>IF(pajak[[#This Row],[//]]="","",SUMIF(Table1[h_id],pajak[[#This Row],[//]],Table1[h_hargasetelahdiskon]))</f>
        <v/>
      </c>
      <c r="L31" s="89" t="str">
        <f>IF(pajak[//]="","",pajak[[#This Row],[Sub Total]]/1.11*11%)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R31" s="86" t="str">
        <f>IF(pajak[[#This Row],[Kode Sales :]]="","",MATCH(pajak[[#This Row],[Kode Sales :]],[2]Invoice!$D:$D,0))</f>
        <v/>
      </c>
      <c r="S31" s="86" t="e">
        <f>Table4[[#This Row],[cek_ppn]]+28</f>
        <v>#VALUE!</v>
      </c>
      <c r="T31" s="86" t="e">
        <f>IF(INDEX([2]Invoice!$K:$K,Table4[[#This Row],[cek_rekap(share)]])=pajak[[#This Row],[Total Invoice]],"-",FALSE)</f>
        <v>#VALUE!</v>
      </c>
    </row>
    <row r="32" spans="1:20" x14ac:dyDescent="0.25">
      <c r="D32" s="86" t="str">
        <f t="shared" si="2"/>
        <v/>
      </c>
      <c r="E32" s="86" t="str">
        <f>IF(pajak[[#This Row],[//]]="","",INDEX(Table1[No. Invoice :],pajak[//]-offset))</f>
        <v/>
      </c>
      <c r="F32" s="90" t="str">
        <f>IF(pajak[[#This Row],[//]]="","",INDEX(Table1[Tgl Invoice :],pajak[//]-offset))</f>
        <v/>
      </c>
      <c r="G32" s="86" t="str">
        <f>IF(pajak[[#This Row],[//]]="","",INDEX(Table1[Kode Sales :],pajak[//]-offset))</f>
        <v/>
      </c>
      <c r="H32" s="86" t="str">
        <f>IF(pajak[[#This Row],[//]]="","",INDEX(Table1[Toko],pajak[//]-offset))</f>
        <v/>
      </c>
      <c r="I32" s="89" t="str">
        <f>IF(pajak[[#This Row],[//]]="","",SUMIF(Table1[h_id],pajak[[#This Row],[//]],Table1[h_hargasebelumdiskon]))</f>
        <v/>
      </c>
      <c r="J32" s="89" t="str">
        <f>IF(pajak[[#This Row],[//]]="","",SUMIF(Table1[h_id],pajak[[#This Row],[//]],Table1[h_diskon]))</f>
        <v/>
      </c>
      <c r="K32" s="89" t="str">
        <f>IF(pajak[[#This Row],[//]]="","",SUMIF(Table1[h_id],pajak[[#This Row],[//]],Table1[h_hargasetelahdiskon]))</f>
        <v/>
      </c>
      <c r="L32" s="89" t="str">
        <f>IF(pajak[//]="","",pajak[[#This Row],[Sub Total]]/1.11*11%)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R32" s="86" t="str">
        <f>IF(pajak[[#This Row],[Kode Sales :]]="","",MATCH(pajak[[#This Row],[Kode Sales :]],[2]Invoice!$D:$D,0))</f>
        <v/>
      </c>
      <c r="S32" s="86" t="e">
        <f>Table4[[#This Row],[cek_ppn]]+28</f>
        <v>#VALUE!</v>
      </c>
      <c r="T32" s="86" t="e">
        <f>IF(INDEX([2]Invoice!$K:$K,Table4[[#This Row],[cek_rekap(share)]])=pajak[[#This Row],[Total Invoice]],"-",FALSE)</f>
        <v>#VALUE!</v>
      </c>
    </row>
    <row r="33" spans="4:20" x14ac:dyDescent="0.25">
      <c r="D33" s="86" t="str">
        <f t="shared" si="2"/>
        <v/>
      </c>
      <c r="E33" s="86" t="str">
        <f>IF(pajak[[#This Row],[//]]="","",INDEX(Table1[No. Invoice :],pajak[//]-offset))</f>
        <v/>
      </c>
      <c r="F33" s="90" t="str">
        <f>IF(pajak[[#This Row],[//]]="","",INDEX(Table1[Tgl Invoice :],pajak[//]-offset))</f>
        <v/>
      </c>
      <c r="G33" s="86" t="str">
        <f>IF(pajak[[#This Row],[//]]="","",INDEX(Table1[Kode Sales :],pajak[//]-offset))</f>
        <v/>
      </c>
      <c r="H33" s="86" t="str">
        <f>IF(pajak[[#This Row],[//]]="","",INDEX(Table1[Toko],pajak[//]-offset))</f>
        <v/>
      </c>
      <c r="I33" s="89" t="str">
        <f>IF(pajak[[#This Row],[//]]="","",SUMIF(Table1[h_id],pajak[[#This Row],[//]],Table1[h_hargasebelumdiskon]))</f>
        <v/>
      </c>
      <c r="J33" s="89" t="str">
        <f>IF(pajak[[#This Row],[//]]="","",SUMIF(Table1[h_id],pajak[[#This Row],[//]],Table1[h_diskon]))</f>
        <v/>
      </c>
      <c r="K33" s="89" t="str">
        <f>IF(pajak[[#This Row],[//]]="","",SUMIF(Table1[h_id],pajak[[#This Row],[//]],Table1[h_hargasetelahdiskon]))</f>
        <v/>
      </c>
      <c r="L33" s="89" t="str">
        <f>IF(pajak[//]="","",pajak[[#This Row],[Sub Total]]/1.11*11%)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R33" s="86" t="str">
        <f>IF(pajak[[#This Row],[Kode Sales :]]="","",MATCH(pajak[[#This Row],[Kode Sales :]],[2]Invoice!$D:$D,0))</f>
        <v/>
      </c>
      <c r="S33" s="86" t="e">
        <f>Table4[[#This Row],[cek_ppn]]+28</f>
        <v>#VALUE!</v>
      </c>
      <c r="T33" s="86" t="e">
        <f>IF(INDEX([2]Invoice!$K:$K,Table4[[#This Row],[cek_rekap(share)]])=pajak[[#This Row],[Total Invoice]],"-",FALSE)</f>
        <v>#VALUE!</v>
      </c>
    </row>
    <row r="34" spans="4:20" x14ac:dyDescent="0.25">
      <c r="D34" s="86" t="str">
        <f t="shared" si="2"/>
        <v/>
      </c>
      <c r="E34" s="86" t="str">
        <f>IF(pajak[[#This Row],[//]]="","",INDEX(Table1[No. Invoice :],pajak[//]-offset))</f>
        <v/>
      </c>
      <c r="F34" s="90" t="str">
        <f>IF(pajak[[#This Row],[//]]="","",INDEX(Table1[Tgl Invoice :],pajak[//]-offset))</f>
        <v/>
      </c>
      <c r="G34" s="86" t="str">
        <f>IF(pajak[[#This Row],[//]]="","",INDEX(Table1[Kode Sales :],pajak[//]-offset))</f>
        <v/>
      </c>
      <c r="H34" s="86" t="str">
        <f>IF(pajak[[#This Row],[//]]="","",INDEX(Table1[Toko],pajak[//]-offset))</f>
        <v/>
      </c>
      <c r="I34" s="89" t="str">
        <f>IF(pajak[[#This Row],[//]]="","",SUMIF(Table1[h_id],pajak[[#This Row],[//]],Table1[h_hargasebelumdiskon]))</f>
        <v/>
      </c>
      <c r="J34" s="89" t="str">
        <f>IF(pajak[[#This Row],[//]]="","",SUMIF(Table1[h_id],pajak[[#This Row],[//]],Table1[h_diskon]))</f>
        <v/>
      </c>
      <c r="K34" s="89" t="str">
        <f>IF(pajak[[#This Row],[//]]="","",SUMIF(Table1[h_id],pajak[[#This Row],[//]],Table1[h_hargasetelahdiskon]))</f>
        <v/>
      </c>
      <c r="L34" s="89" t="str">
        <f>IF(pajak[//]="","",pajak[[#This Row],[Sub Total]]/1.11*11%)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R34" s="86" t="str">
        <f>IF(pajak[[#This Row],[Kode Sales :]]="","",MATCH(pajak[[#This Row],[Kode Sales :]],[2]Invoice!$D:$D,0))</f>
        <v/>
      </c>
      <c r="S34" s="86" t="e">
        <f>Table4[[#This Row],[cek_ppn]]+28</f>
        <v>#VALUE!</v>
      </c>
      <c r="T34" s="86" t="e">
        <f>IF(INDEX([2]Invoice!$K:$K,Table4[[#This Row],[cek_rekap(share)]])=pajak[[#This Row],[Total Invoice]],"-",FALSE)</f>
        <v>#VALUE!</v>
      </c>
    </row>
    <row r="35" spans="4:20" x14ac:dyDescent="0.25">
      <c r="D35" s="86" t="str">
        <f t="shared" si="2"/>
        <v/>
      </c>
      <c r="E35" s="86" t="str">
        <f>IF(pajak[[#This Row],[//]]="","",INDEX(Table1[No. Invoice :],pajak[//]-offset))</f>
        <v/>
      </c>
      <c r="F35" s="90" t="str">
        <f>IF(pajak[[#This Row],[//]]="","",INDEX(Table1[Tgl Invoice :],pajak[//]-offset))</f>
        <v/>
      </c>
      <c r="G35" s="86" t="str">
        <f>IF(pajak[[#This Row],[//]]="","",INDEX(Table1[Kode Sales :],pajak[//]-offset))</f>
        <v/>
      </c>
      <c r="H35" s="86" t="str">
        <f>IF(pajak[[#This Row],[//]]="","",INDEX(Table1[Toko],pajak[//]-offset))</f>
        <v/>
      </c>
      <c r="I35" s="89" t="str">
        <f>IF(pajak[[#This Row],[//]]="","",SUMIF(Table1[h_id],pajak[[#This Row],[//]],Table1[h_hargasebelumdiskon]))</f>
        <v/>
      </c>
      <c r="J35" s="89" t="str">
        <f>IF(pajak[[#This Row],[//]]="","",SUMIF(Table1[h_id],pajak[[#This Row],[//]],Table1[h_diskon]))</f>
        <v/>
      </c>
      <c r="K35" s="89" t="str">
        <f>IF(pajak[[#This Row],[//]]="","",SUMIF(Table1[h_id],pajak[[#This Row],[//]],Table1[h_hargasetelahdiskon]))</f>
        <v/>
      </c>
      <c r="L35" s="89" t="str">
        <f>IF(pajak[//]="","",pajak[[#This Row],[Sub Total]]/1.11*11%)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R35" s="86" t="str">
        <f>IF(pajak[[#This Row],[Kode Sales :]]="","",MATCH(pajak[[#This Row],[Kode Sales :]],[2]Invoice!$D:$D,0))</f>
        <v/>
      </c>
      <c r="S35" s="86" t="e">
        <f>Table4[[#This Row],[cek_ppn]]+28</f>
        <v>#VALUE!</v>
      </c>
      <c r="T35" s="86" t="e">
        <f>IF(INDEX([2]Invoice!$K:$K,Table4[[#This Row],[cek_rekap(share)]])=pajak[[#This Row],[Total Invoice]],"-",FALSE)</f>
        <v>#VALUE!</v>
      </c>
    </row>
    <row r="36" spans="4:20" x14ac:dyDescent="0.25">
      <c r="D36" s="86" t="str">
        <f t="shared" si="2"/>
        <v/>
      </c>
      <c r="E36" s="86" t="str">
        <f>IF(pajak[[#This Row],[//]]="","",INDEX(Table1[No. Invoice :],pajak[//]-offset))</f>
        <v/>
      </c>
      <c r="F36" s="90" t="str">
        <f>IF(pajak[[#This Row],[//]]="","",INDEX(Table1[Tgl Invoice :],pajak[//]-offset))</f>
        <v/>
      </c>
      <c r="G36" s="86" t="str">
        <f>IF(pajak[[#This Row],[//]]="","",INDEX(Table1[Kode Sales :],pajak[//]-offset))</f>
        <v/>
      </c>
      <c r="H36" s="86" t="str">
        <f>IF(pajak[[#This Row],[//]]="","",INDEX(Table1[Toko],pajak[//]-offset))</f>
        <v/>
      </c>
      <c r="I36" s="89" t="str">
        <f>IF(pajak[[#This Row],[//]]="","",SUMIF(Table1[h_id],pajak[[#This Row],[//]],Table1[h_hargasebelumdiskon]))</f>
        <v/>
      </c>
      <c r="J36" s="89" t="str">
        <f>IF(pajak[[#This Row],[//]]="","",SUMIF(Table1[h_id],pajak[[#This Row],[//]],Table1[h_diskon]))</f>
        <v/>
      </c>
      <c r="K36" s="89" t="str">
        <f>IF(pajak[[#This Row],[//]]="","",SUMIF(Table1[h_id],pajak[[#This Row],[//]],Table1[h_hargasetelahdiskon]))</f>
        <v/>
      </c>
      <c r="L36" s="89" t="str">
        <f>IF(pajak[//]="","",pajak[[#This Row],[Sub Total]]/1.11*11%)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R36" s="86" t="str">
        <f>IF(pajak[[#This Row],[Kode Sales :]]="","",MATCH(pajak[[#This Row],[Kode Sales :]],[2]Invoice!$D:$D,0))</f>
        <v/>
      </c>
      <c r="S36" s="86" t="e">
        <f>Table4[[#This Row],[cek_ppn]]+28</f>
        <v>#VALUE!</v>
      </c>
      <c r="T36" s="86" t="e">
        <f>IF(INDEX([2]Invoice!$K:$K,Table4[[#This Row],[cek_rekap(share)]])=pajak[[#This Row],[Total Invoice]],"-",FALSE)</f>
        <v>#VALUE!</v>
      </c>
    </row>
    <row r="37" spans="4:20" x14ac:dyDescent="0.25">
      <c r="D37" s="86" t="str">
        <f t="shared" si="2"/>
        <v/>
      </c>
      <c r="E37" s="86" t="str">
        <f>IF(pajak[[#This Row],[//]]="","",INDEX(Table1[No. Invoice :],pajak[//]-offset))</f>
        <v/>
      </c>
      <c r="F37" s="90" t="str">
        <f>IF(pajak[[#This Row],[//]]="","",INDEX(Table1[Tgl Invoice :],pajak[//]-offset))</f>
        <v/>
      </c>
      <c r="G37" s="86" t="str">
        <f>IF(pajak[[#This Row],[//]]="","",INDEX(Table1[Kode Sales :],pajak[//]-offset))</f>
        <v/>
      </c>
      <c r="H37" s="86" t="str">
        <f>IF(pajak[[#This Row],[//]]="","",INDEX(Table1[Toko],pajak[//]-offset))</f>
        <v/>
      </c>
      <c r="I37" s="89" t="str">
        <f>IF(pajak[[#This Row],[//]]="","",SUMIF(Table1[h_id],pajak[[#This Row],[//]],Table1[h_hargasebelumdiskon]))</f>
        <v/>
      </c>
      <c r="J37" s="89" t="str">
        <f>IF(pajak[[#This Row],[//]]="","",SUMIF(Table1[h_id],pajak[[#This Row],[//]],Table1[h_diskon]))</f>
        <v/>
      </c>
      <c r="K37" s="89" t="str">
        <f>IF(pajak[[#This Row],[//]]="","",SUMIF(Table1[h_id],pajak[[#This Row],[//]],Table1[h_hargasetelahdiskon]))</f>
        <v/>
      </c>
      <c r="L37" s="89" t="str">
        <f>IF(pajak[//]="","",pajak[[#This Row],[Sub Total]]/1.11*11%)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R37" s="86" t="str">
        <f>IF(pajak[[#This Row],[Kode Sales :]]="","",MATCH(pajak[[#This Row],[Kode Sales :]],[2]Invoice!$D:$D,0))</f>
        <v/>
      </c>
      <c r="S37" s="86" t="e">
        <f>Table4[[#This Row],[cek_ppn]]+28</f>
        <v>#VALUE!</v>
      </c>
      <c r="T37" s="86" t="e">
        <f>IF(INDEX([2]Invoice!$K:$K,Table4[[#This Row],[cek_rekap(share)]])=pajak[[#This Row],[Total Invoice]],"-",FALSE)</f>
        <v>#VALUE!</v>
      </c>
    </row>
    <row r="38" spans="4:20" x14ac:dyDescent="0.25">
      <c r="D38" s="86" t="str">
        <f t="shared" si="2"/>
        <v/>
      </c>
      <c r="E38" s="86" t="str">
        <f>IF(pajak[[#This Row],[//]]="","",INDEX(Table1[No. Invoice :],pajak[//]-offset))</f>
        <v/>
      </c>
      <c r="F38" s="90" t="str">
        <f>IF(pajak[[#This Row],[//]]="","",INDEX(Table1[Tgl Invoice :],pajak[//]-offset))</f>
        <v/>
      </c>
      <c r="G38" s="86" t="str">
        <f>IF(pajak[[#This Row],[//]]="","",INDEX(Table1[Kode Sales :],pajak[//]-offset))</f>
        <v/>
      </c>
      <c r="H38" s="86" t="str">
        <f>IF(pajak[[#This Row],[//]]="","",INDEX(Table1[Toko],pajak[//]-offset))</f>
        <v/>
      </c>
      <c r="I38" s="89" t="str">
        <f>IF(pajak[[#This Row],[//]]="","",SUMIF(Table1[h_id],pajak[[#This Row],[//]],Table1[h_hargasebelumdiskon]))</f>
        <v/>
      </c>
      <c r="J38" s="89" t="str">
        <f>IF(pajak[[#This Row],[//]]="","",SUMIF(Table1[h_id],pajak[[#This Row],[//]],Table1[h_diskon]))</f>
        <v/>
      </c>
      <c r="K38" s="89" t="str">
        <f>IF(pajak[[#This Row],[//]]="","",SUMIF(Table1[h_id],pajak[[#This Row],[//]],Table1[h_hargasetelahdiskon]))</f>
        <v/>
      </c>
      <c r="L38" s="89" t="str">
        <f>IF(pajak[//]="","",pajak[[#This Row],[Sub Total]]/1.11*11%)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R38" s="86" t="str">
        <f>IF(pajak[[#This Row],[Kode Sales :]]="","",MATCH(pajak[[#This Row],[Kode Sales :]],[2]Invoice!$D:$D,0))</f>
        <v/>
      </c>
      <c r="S38" s="86" t="e">
        <f>Table4[[#This Row],[cek_ppn]]+28</f>
        <v>#VALUE!</v>
      </c>
      <c r="T38" s="86" t="e">
        <f>IF(INDEX([2]Invoice!$K:$K,Table4[[#This Row],[cek_rekap(share)]])=pajak[[#This Row],[Total Invoice]],"-",FALSE)</f>
        <v>#VALUE!</v>
      </c>
    </row>
    <row r="39" spans="4:20" x14ac:dyDescent="0.25"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Table4[[#This Row],[cek_ppn]]+28</f>
        <v>#VALUE!</v>
      </c>
      <c r="T39" s="86" t="e">
        <f>IF(INDEX([2]Invoice!$K:$K,Table4[[#This Row],[cek_rekap(share)]])=pajak[[#This Row],[Total Invoice]],"-",FALSE)</f>
        <v>#VALUE!</v>
      </c>
    </row>
    <row r="40" spans="4:20" x14ac:dyDescent="0.25"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Table4[[#This Row],[cek_ppn]]+28</f>
        <v>#VALUE!</v>
      </c>
      <c r="T40" s="86" t="e">
        <f>IF(INDEX([2]Invoice!$K:$K,Table4[[#This Row],[cek_rekap(share)]])=pajak[[#This Row],[Total Invoice]],"-",FALSE)</f>
        <v>#VALUE!</v>
      </c>
    </row>
    <row r="41" spans="4:20" x14ac:dyDescent="0.25"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Table4[[#This Row],[cek_ppn]]+28</f>
        <v>#VALUE!</v>
      </c>
      <c r="T41" s="86" t="e">
        <f>IF(INDEX([2]Invoice!$K:$K,Table4[[#This Row],[cek_rekap(share)]])=pajak[[#This Row],[Total Invoice]],"-",FALSE)</f>
        <v>#VALUE!</v>
      </c>
    </row>
    <row r="42" spans="4:20" x14ac:dyDescent="0.25"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4:20" x14ac:dyDescent="0.25"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4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4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4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4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4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>SUBTOTAL(109,pajak[Total])</f>
        <v>207605200</v>
      </c>
      <c r="J56" s="89">
        <f>SUBTOTAL(109,pajak[Diskon])</f>
        <v>27163440</v>
      </c>
      <c r="K56" s="89">
        <f>SUBTOTAL(109,pajak[Sub Total])</f>
        <v>180441760</v>
      </c>
      <c r="L56" s="89">
        <f>SUBTOTAL(109,pajak[PPN 11%])</f>
        <v>17881615.855855852</v>
      </c>
      <c r="M56" s="89">
        <f>SUBTOTAL(109,pajak[Total Invoice])</f>
        <v>180441760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81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>INDEX(Table1[h_jumlahbarang],newestIdRow-offset)</f>
        <v>1</v>
      </c>
      <c r="I1" s="290" t="s">
        <v>77</v>
      </c>
      <c r="J1" s="290"/>
    </row>
    <row r="2" spans="1:12" s="4" customFormat="1" ht="7.5" customHeight="1" collapsed="1" x14ac:dyDescent="0.25">
      <c r="A2" s="3"/>
      <c r="D2" s="5"/>
      <c r="I2" s="6"/>
      <c r="J2" s="6" t="s">
        <v>196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23020017</v>
      </c>
      <c r="G3" s="11" t="s">
        <v>16</v>
      </c>
      <c r="H3" s="297" t="str">
        <f>INDEX(Table2[b],MATCH(kToko,Table2[a],0))</f>
        <v>HARNOYO</v>
      </c>
      <c r="I3" s="297"/>
      <c r="J3" s="297"/>
      <c r="K3" s="298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1" t="s">
        <v>18</v>
      </c>
      <c r="G4" s="17"/>
      <c r="H4" s="299"/>
      <c r="I4" s="299"/>
      <c r="J4" s="299"/>
      <c r="K4" s="300"/>
      <c r="L4" s="12"/>
    </row>
    <row r="5" spans="1:12" s="10" customFormat="1" ht="16.5" customHeight="1" x14ac:dyDescent="0.3">
      <c r="A5" s="7"/>
      <c r="B5" s="1" t="s">
        <v>2</v>
      </c>
      <c r="C5" s="8"/>
      <c r="D5" s="302" t="str">
        <f>INDEX(Table1[Tgl Invoice :],newestIdRow-offset)</f>
        <v>09/02/203</v>
      </c>
      <c r="E5" s="303"/>
      <c r="F5" s="301"/>
      <c r="G5" s="18"/>
      <c r="H5" s="304" t="str">
        <f>IF(INDEX(Table2[c],MATCH(kToko,Table2[a],0))="","",INDEX(Table2[c],MATCH(kToko,Table2[a],0)))</f>
        <v>(BENDAN)</v>
      </c>
      <c r="I5" s="304"/>
      <c r="J5" s="304"/>
      <c r="K5" s="305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1"/>
      <c r="G6" s="18"/>
      <c r="H6" s="306" t="str">
        <f>INDEX(Table2[d],MATCH(kToko,Table2[a],0))</f>
        <v>PEKALONGAN</v>
      </c>
      <c r="I6" s="306"/>
      <c r="J6" s="306"/>
      <c r="K6" s="307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0910</v>
      </c>
      <c r="E7" s="9"/>
      <c r="F7" s="21"/>
      <c r="G7" s="22"/>
      <c r="H7" s="308"/>
      <c r="I7" s="308"/>
      <c r="J7" s="308"/>
      <c r="K7" s="309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20</v>
      </c>
      <c r="C11" s="46" t="str">
        <f>IF(A11&gt;jumlahBarang,"",INDEX(Table1[Unit],newestIdRow-offset+A11-1))</f>
        <v>LSN</v>
      </c>
      <c r="D11" s="47">
        <f>IF(A11&gt;jumlahBarang,"",IF(INDEX(Table1[C],newestIdRow-offset+A11-1)="","",INDEX(Table1[C],newestIdRow-offset+A11-1)))</f>
        <v>1</v>
      </c>
      <c r="E11" s="48" t="str">
        <f>IF(A11&gt;jumlahBarang,"",INDEX(Table1[Item Description],newestIdRow-offset+A11-1))</f>
        <v>CUTTER 18 MM KENKO L-500 (BESAR)</v>
      </c>
      <c r="F11" s="49"/>
      <c r="G11" s="50"/>
      <c r="H11" s="51">
        <f>IF(A11&gt;jumlahBarang,"",INDEX(Table1[Unit Price],newestIdRow-offset+A11-1))</f>
        <v>147600</v>
      </c>
      <c r="I11" s="52">
        <f>IF(A11&gt;jumlahBarang,"",INDEX(Table1[Disc 1],newestIdRow-offset+A11-1))</f>
        <v>0.14000000000000001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2538720</v>
      </c>
      <c r="L11" s="36"/>
    </row>
    <row r="12" spans="1:12" s="10" customFormat="1" ht="14.1" customHeight="1" x14ac:dyDescent="0.25">
      <c r="A12" s="45">
        <v>2</v>
      </c>
      <c r="B12" s="46" t="str">
        <f>IF(A12&gt;jumlahBarang,"",INDEX(Table1[Qty],newestIdRow-offset+A12-1))</f>
        <v/>
      </c>
      <c r="C12" s="46" t="str">
        <f>IF(A12&gt;jumlahBarang,"",INDEX(Table1[Unit],newestIdRow-offset+A12-1))</f>
        <v/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/>
      </c>
      <c r="F12" s="49"/>
      <c r="G12" s="50"/>
      <c r="H12" s="51" t="str">
        <f>IF(A12&gt;jumlahBarang,"",INDEX(Table1[Unit Price],newestIdRow-offset+A12-1))</f>
        <v/>
      </c>
      <c r="I12" s="52" t="str">
        <f>IF(A12&gt;jumlahBarang,"",INDEX(Table1[Disc 1],newestIdRow-offset+A12-1))</f>
        <v/>
      </c>
      <c r="J12" s="52" t="str">
        <f>IF(A12&gt;jumlahBarang,"",IF(INDEX(Table1[Disc 2],newestIdRow-offset+A12-1)="","",INDEX(Table1[Disc 2],newestIdRow-offset+A12-1)))</f>
        <v/>
      </c>
      <c r="K12" s="53" t="str">
        <f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>IF(A13&gt;jumlahBarang,"",INDEX(Table1[Qty],newestIdRow-offset+A13-1))</f>
        <v/>
      </c>
      <c r="C13" s="46" t="str">
        <f>IF(A13&gt;jumlahBarang,"",INDEX(Table1[Unit],newestIdRow-offset+A13-1))</f>
        <v/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/>
      </c>
      <c r="F13" s="49"/>
      <c r="G13" s="50"/>
      <c r="H13" s="51" t="str">
        <f>IF(A13&gt;jumlahBarang,"",INDEX(Table1[Unit Price],newestIdRow-offset+A13-1))</f>
        <v/>
      </c>
      <c r="I13" s="52" t="str">
        <f>IF(A13&gt;jumlahBarang,"",INDEX(Table1[Disc 1],newestIdRow-offset+A13-1))</f>
        <v/>
      </c>
      <c r="J13" s="52" t="str">
        <f>IF(A13&gt;jumlahBarang,"",IF(INDEX(Table1[Disc 2],newestIdRow-offset+A13-1)="","",INDEX(Table1[Disc 2],newestIdRow-offset+A13-1)))</f>
        <v/>
      </c>
      <c r="K13" s="53" t="str">
        <f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296"/>
      <c r="K28" s="296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293">
        <f>INDEX(pajak[Sub Total],MATCH(newestIdRow,pajak[//],0))</f>
        <v>2538720</v>
      </c>
      <c r="K29" s="294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295"/>
      <c r="K30" s="295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296"/>
      <c r="K32" s="296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293">
        <f>INDEX(pajak[PPN 11%],MATCH(newestIdRow,pajak[//],0))</f>
        <v>251584.86486486488</v>
      </c>
      <c r="K33" s="294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296"/>
      <c r="K34" s="296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2538720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291" t="str">
        <f>INDEX(pajak[pembuat nota],MATCH(newestIdRow,pajak[//],0))</f>
        <v>NOVI / CONDRO</v>
      </c>
      <c r="K37" s="292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291" t="str">
        <f>INDEX(pajak[edited],MATCH(newestIdRow,pajak[//],0))</f>
        <v/>
      </c>
      <c r="K38" s="292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23020017</v>
      </c>
      <c r="F41" s="210"/>
      <c r="G41" s="211" t="s">
        <v>16</v>
      </c>
      <c r="H41" s="310" t="str">
        <f>H3</f>
        <v>HARNOYO</v>
      </c>
      <c r="I41" s="310"/>
      <c r="J41" s="310"/>
      <c r="K41" s="311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14" t="s">
        <v>18</v>
      </c>
      <c r="G42" s="217"/>
      <c r="H42" s="312"/>
      <c r="I42" s="312"/>
      <c r="J42" s="312"/>
      <c r="K42" s="313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15" t="str">
        <f>D5</f>
        <v>09/02/203</v>
      </c>
      <c r="E43" s="316"/>
      <c r="F43" s="314"/>
      <c r="G43" s="218"/>
      <c r="H43" s="317" t="str">
        <f>H5</f>
        <v>(BENDAN)</v>
      </c>
      <c r="I43" s="317"/>
      <c r="J43" s="317"/>
      <c r="K43" s="318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14"/>
      <c r="G44" s="218"/>
      <c r="H44" s="319" t="str">
        <f>H6</f>
        <v>PEKALONGAN</v>
      </c>
      <c r="I44" s="319"/>
      <c r="J44" s="319"/>
      <c r="K44" s="320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0910</v>
      </c>
      <c r="E45" s="209"/>
      <c r="F45" s="222"/>
      <c r="G45" s="223"/>
      <c r="H45" s="321"/>
      <c r="I45" s="321"/>
      <c r="J45" s="321"/>
      <c r="K45" s="322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>B11</f>
        <v>20</v>
      </c>
      <c r="C49" s="249" t="str">
        <f>C11</f>
        <v>LSN</v>
      </c>
      <c r="D49" s="250">
        <f>D11</f>
        <v>1</v>
      </c>
      <c r="E49" s="251" t="str">
        <f>E11</f>
        <v>CUTTER 18 MM KENKO L-500 (BESAR)</v>
      </c>
      <c r="F49" s="252"/>
      <c r="G49" s="253"/>
      <c r="H49" s="254">
        <f>H11</f>
        <v>147600</v>
      </c>
      <c r="I49" s="255">
        <f>I11</f>
        <v>0.14000000000000001</v>
      </c>
      <c r="J49" s="255" t="str">
        <f>J11</f>
        <v/>
      </c>
      <c r="K49" s="256">
        <f>K11</f>
        <v>2538720</v>
      </c>
      <c r="L49" s="238"/>
    </row>
    <row r="50" spans="1:12" s="10" customFormat="1" ht="14.1" customHeight="1" x14ac:dyDescent="0.25">
      <c r="A50" s="247">
        <v>2</v>
      </c>
      <c r="B50" s="248" t="str">
        <f t="shared" ref="B50:E50" si="0">B12</f>
        <v/>
      </c>
      <c r="C50" s="249" t="str">
        <f t="shared" si="0"/>
        <v/>
      </c>
      <c r="D50" s="250" t="str">
        <f t="shared" si="0"/>
        <v/>
      </c>
      <c r="E50" s="251" t="str">
        <f t="shared" si="0"/>
        <v/>
      </c>
      <c r="F50" s="252"/>
      <c r="G50" s="253"/>
      <c r="H50" s="254" t="str">
        <f t="shared" ref="H50:K50" si="1">H12</f>
        <v/>
      </c>
      <c r="I50" s="255" t="str">
        <f t="shared" si="1"/>
        <v/>
      </c>
      <c r="J50" s="255" t="str">
        <f t="shared" si="1"/>
        <v/>
      </c>
      <c r="K50" s="256" t="str">
        <f t="shared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ref="B51:E51" si="2">B13</f>
        <v/>
      </c>
      <c r="C51" s="249" t="str">
        <f t="shared" si="2"/>
        <v/>
      </c>
      <c r="D51" s="250" t="str">
        <f t="shared" si="2"/>
        <v/>
      </c>
      <c r="E51" s="251" t="str">
        <f t="shared" si="2"/>
        <v/>
      </c>
      <c r="F51" s="252"/>
      <c r="G51" s="253"/>
      <c r="H51" s="254" t="str">
        <f t="shared" ref="H51:K51" si="3">H13</f>
        <v/>
      </c>
      <c r="I51" s="255" t="str">
        <f t="shared" si="3"/>
        <v/>
      </c>
      <c r="J51" s="255" t="str">
        <f t="shared" si="3"/>
        <v/>
      </c>
      <c r="K51" s="256" t="str">
        <f t="shared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si="4">B14</f>
        <v/>
      </c>
      <c r="C52" s="249" t="str">
        <f t="shared" si="4"/>
        <v/>
      </c>
      <c r="D52" s="250" t="str">
        <f t="shared" si="4"/>
        <v/>
      </c>
      <c r="E52" s="251" t="str">
        <f t="shared" si="4"/>
        <v/>
      </c>
      <c r="F52" s="252"/>
      <c r="G52" s="253"/>
      <c r="H52" s="254" t="str">
        <f t="shared" ref="H52:K52" si="5">H14</f>
        <v/>
      </c>
      <c r="I52" s="255" t="str">
        <f t="shared" si="5"/>
        <v/>
      </c>
      <c r="J52" s="255" t="str">
        <f t="shared" si="5"/>
        <v/>
      </c>
      <c r="K52" s="256" t="str">
        <f t="shared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si="6">B15</f>
        <v/>
      </c>
      <c r="C53" s="249" t="str">
        <f t="shared" si="6"/>
        <v/>
      </c>
      <c r="D53" s="250" t="str">
        <f t="shared" si="6"/>
        <v/>
      </c>
      <c r="E53" s="251" t="str">
        <f t="shared" si="6"/>
        <v/>
      </c>
      <c r="F53" s="252"/>
      <c r="G53" s="253"/>
      <c r="H53" s="254" t="str">
        <f t="shared" ref="H53:K53" si="7">H15</f>
        <v/>
      </c>
      <c r="I53" s="255" t="str">
        <f t="shared" si="7"/>
        <v/>
      </c>
      <c r="J53" s="255" t="str">
        <f t="shared" si="7"/>
        <v/>
      </c>
      <c r="K53" s="256" t="str">
        <f t="shared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si="8">B16</f>
        <v/>
      </c>
      <c r="C54" s="249" t="str">
        <f t="shared" si="8"/>
        <v/>
      </c>
      <c r="D54" s="250" t="str">
        <f t="shared" si="8"/>
        <v/>
      </c>
      <c r="E54" s="251" t="str">
        <f t="shared" si="8"/>
        <v/>
      </c>
      <c r="F54" s="252"/>
      <c r="G54" s="253"/>
      <c r="H54" s="254" t="str">
        <f t="shared" ref="H54:K54" si="9">H16</f>
        <v/>
      </c>
      <c r="I54" s="255" t="str">
        <f t="shared" si="9"/>
        <v/>
      </c>
      <c r="J54" s="255" t="str">
        <f t="shared" si="9"/>
        <v/>
      </c>
      <c r="K54" s="256" t="str">
        <f t="shared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si="10">B17</f>
        <v/>
      </c>
      <c r="C55" s="249" t="str">
        <f t="shared" si="10"/>
        <v/>
      </c>
      <c r="D55" s="250" t="str">
        <f t="shared" si="10"/>
        <v/>
      </c>
      <c r="E55" s="251" t="str">
        <f t="shared" si="10"/>
        <v/>
      </c>
      <c r="F55" s="252"/>
      <c r="G55" s="253"/>
      <c r="H55" s="254" t="str">
        <f t="shared" ref="H55:K55" si="11">H17</f>
        <v/>
      </c>
      <c r="I55" s="255" t="str">
        <f t="shared" si="11"/>
        <v/>
      </c>
      <c r="J55" s="255" t="str">
        <f t="shared" si="11"/>
        <v/>
      </c>
      <c r="K55" s="256" t="str">
        <f t="shared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si="12">B18</f>
        <v/>
      </c>
      <c r="C56" s="249" t="str">
        <f t="shared" si="12"/>
        <v/>
      </c>
      <c r="D56" s="250" t="str">
        <f t="shared" si="12"/>
        <v/>
      </c>
      <c r="E56" s="251" t="str">
        <f t="shared" si="12"/>
        <v/>
      </c>
      <c r="F56" s="252"/>
      <c r="G56" s="253"/>
      <c r="H56" s="254" t="str">
        <f t="shared" ref="H56:K56" si="13">H18</f>
        <v/>
      </c>
      <c r="I56" s="255" t="str">
        <f t="shared" si="13"/>
        <v/>
      </c>
      <c r="J56" s="255" t="str">
        <f t="shared" si="13"/>
        <v/>
      </c>
      <c r="K56" s="256" t="str">
        <f t="shared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si="14">B19</f>
        <v/>
      </c>
      <c r="C57" s="249" t="str">
        <f t="shared" si="14"/>
        <v/>
      </c>
      <c r="D57" s="250" t="str">
        <f t="shared" si="14"/>
        <v/>
      </c>
      <c r="E57" s="251" t="str">
        <f t="shared" si="14"/>
        <v/>
      </c>
      <c r="F57" s="252"/>
      <c r="G57" s="253"/>
      <c r="H57" s="254" t="str">
        <f t="shared" ref="H57:K57" si="15">H19</f>
        <v/>
      </c>
      <c r="I57" s="255" t="str">
        <f t="shared" si="15"/>
        <v/>
      </c>
      <c r="J57" s="255" t="str">
        <f t="shared" si="15"/>
        <v/>
      </c>
      <c r="K57" s="256" t="str">
        <f t="shared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si="16">B20</f>
        <v/>
      </c>
      <c r="C58" s="249" t="str">
        <f t="shared" si="16"/>
        <v/>
      </c>
      <c r="D58" s="250" t="str">
        <f t="shared" si="16"/>
        <v/>
      </c>
      <c r="E58" s="251" t="str">
        <f t="shared" si="16"/>
        <v/>
      </c>
      <c r="F58" s="252"/>
      <c r="G58" s="253"/>
      <c r="H58" s="254" t="str">
        <f t="shared" ref="H58:K58" si="17">H20</f>
        <v/>
      </c>
      <c r="I58" s="255" t="str">
        <f t="shared" si="17"/>
        <v/>
      </c>
      <c r="J58" s="255" t="str">
        <f t="shared" si="17"/>
        <v/>
      </c>
      <c r="K58" s="256" t="str">
        <f t="shared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si="18">B21</f>
        <v/>
      </c>
      <c r="C59" s="249" t="str">
        <f t="shared" si="18"/>
        <v/>
      </c>
      <c r="D59" s="250" t="str">
        <f t="shared" si="18"/>
        <v/>
      </c>
      <c r="E59" s="251" t="str">
        <f t="shared" si="18"/>
        <v/>
      </c>
      <c r="F59" s="252"/>
      <c r="G59" s="253"/>
      <c r="H59" s="254" t="str">
        <f t="shared" ref="H59:K59" si="19">H21</f>
        <v/>
      </c>
      <c r="I59" s="255" t="str">
        <f t="shared" si="19"/>
        <v/>
      </c>
      <c r="J59" s="255" t="str">
        <f t="shared" si="19"/>
        <v/>
      </c>
      <c r="K59" s="256" t="str">
        <f t="shared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si="20">B22</f>
        <v/>
      </c>
      <c r="C60" s="249" t="str">
        <f t="shared" si="20"/>
        <v/>
      </c>
      <c r="D60" s="250" t="str">
        <f t="shared" si="20"/>
        <v/>
      </c>
      <c r="E60" s="251" t="str">
        <f t="shared" si="20"/>
        <v/>
      </c>
      <c r="F60" s="252"/>
      <c r="G60" s="253"/>
      <c r="H60" s="254" t="str">
        <f t="shared" ref="H60:K60" si="21">H22</f>
        <v/>
      </c>
      <c r="I60" s="255" t="str">
        <f t="shared" si="21"/>
        <v/>
      </c>
      <c r="J60" s="255" t="str">
        <f t="shared" si="21"/>
        <v/>
      </c>
      <c r="K60" s="256" t="str">
        <f t="shared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si="22">B23</f>
        <v/>
      </c>
      <c r="C61" s="249" t="str">
        <f t="shared" si="22"/>
        <v/>
      </c>
      <c r="D61" s="250" t="str">
        <f t="shared" si="22"/>
        <v/>
      </c>
      <c r="E61" s="251" t="str">
        <f t="shared" si="22"/>
        <v/>
      </c>
      <c r="F61" s="252"/>
      <c r="G61" s="253"/>
      <c r="H61" s="254" t="str">
        <f t="shared" ref="H61:K61" si="23">H23</f>
        <v/>
      </c>
      <c r="I61" s="255" t="str">
        <f t="shared" si="23"/>
        <v/>
      </c>
      <c r="J61" s="255" t="str">
        <f t="shared" si="23"/>
        <v/>
      </c>
      <c r="K61" s="256" t="str">
        <f t="shared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si="24">B24</f>
        <v/>
      </c>
      <c r="C62" s="249" t="str">
        <f t="shared" si="24"/>
        <v/>
      </c>
      <c r="D62" s="250" t="str">
        <f t="shared" si="24"/>
        <v/>
      </c>
      <c r="E62" s="251" t="str">
        <f t="shared" si="24"/>
        <v/>
      </c>
      <c r="F62" s="252"/>
      <c r="G62" s="253"/>
      <c r="H62" s="254" t="str">
        <f t="shared" ref="H62:K62" si="25">H24</f>
        <v/>
      </c>
      <c r="I62" s="255" t="str">
        <f t="shared" si="25"/>
        <v/>
      </c>
      <c r="J62" s="255" t="str">
        <f t="shared" si="25"/>
        <v/>
      </c>
      <c r="K62" s="256" t="str">
        <f t="shared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si="26">B25</f>
        <v/>
      </c>
      <c r="C63" s="249" t="str">
        <f t="shared" si="26"/>
        <v/>
      </c>
      <c r="D63" s="250" t="str">
        <f t="shared" si="26"/>
        <v/>
      </c>
      <c r="E63" s="251" t="str">
        <f t="shared" si="26"/>
        <v/>
      </c>
      <c r="F63" s="252"/>
      <c r="G63" s="253"/>
      <c r="H63" s="254" t="str">
        <f t="shared" ref="H63:K63" si="27">H25</f>
        <v/>
      </c>
      <c r="I63" s="255" t="str">
        <f t="shared" si="27"/>
        <v/>
      </c>
      <c r="J63" s="255" t="str">
        <f t="shared" si="27"/>
        <v/>
      </c>
      <c r="K63" s="256" t="str">
        <f t="shared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si="28">B26</f>
        <v/>
      </c>
      <c r="C64" s="249" t="str">
        <f t="shared" si="28"/>
        <v/>
      </c>
      <c r="D64" s="250" t="str">
        <f t="shared" si="28"/>
        <v/>
      </c>
      <c r="E64" s="251" t="str">
        <f t="shared" si="28"/>
        <v/>
      </c>
      <c r="F64" s="252"/>
      <c r="G64" s="253"/>
      <c r="H64" s="254" t="str">
        <f t="shared" ref="H64:K64" si="29">H26</f>
        <v/>
      </c>
      <c r="I64" s="255" t="str">
        <f t="shared" si="29"/>
        <v/>
      </c>
      <c r="J64" s="255" t="str">
        <f t="shared" si="29"/>
        <v/>
      </c>
      <c r="K64" s="256" t="str">
        <f t="shared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23"/>
      <c r="K66" s="323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4">
        <f>J29</f>
        <v>2538720</v>
      </c>
      <c r="K67" s="325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6"/>
      <c r="K68" s="326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23"/>
      <c r="K70" s="323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4">
        <f>J33</f>
        <v>251584.86486486488</v>
      </c>
      <c r="K71" s="325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23"/>
      <c r="K72" s="323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>K35</f>
        <v>2538720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7" t="str">
        <f>J37</f>
        <v>NOVI / CONDRO</v>
      </c>
      <c r="K75" s="328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7">
        <v>0</v>
      </c>
      <c r="K76" s="328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23020017</v>
      </c>
      <c r="F79" s="110"/>
      <c r="G79" s="111" t="s">
        <v>16</v>
      </c>
      <c r="H79" s="329" t="str">
        <f>H41</f>
        <v>HARNOYO</v>
      </c>
      <c r="I79" s="329"/>
      <c r="J79" s="329"/>
      <c r="K79" s="330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33" t="s">
        <v>18</v>
      </c>
      <c r="G80" s="117"/>
      <c r="H80" s="331"/>
      <c r="I80" s="331"/>
      <c r="J80" s="331"/>
      <c r="K80" s="332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34" t="str">
        <f>D43</f>
        <v>09/02/203</v>
      </c>
      <c r="E81" s="335"/>
      <c r="F81" s="333"/>
      <c r="G81" s="118"/>
      <c r="H81" s="336" t="str">
        <f>H43</f>
        <v>(BENDAN)</v>
      </c>
      <c r="I81" s="336"/>
      <c r="J81" s="336"/>
      <c r="K81" s="337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33"/>
      <c r="G82" s="118"/>
      <c r="H82" s="338" t="str">
        <f>H44</f>
        <v>PEKALONGAN</v>
      </c>
      <c r="I82" s="338"/>
      <c r="J82" s="338"/>
      <c r="K82" s="339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0910</v>
      </c>
      <c r="E83" s="109"/>
      <c r="F83" s="122"/>
      <c r="G83" s="123"/>
      <c r="H83" s="340"/>
      <c r="I83" s="340"/>
      <c r="J83" s="340"/>
      <c r="K83" s="341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>B49</f>
        <v>20</v>
      </c>
      <c r="C87" s="149" t="str">
        <f>C49</f>
        <v>LSN</v>
      </c>
      <c r="D87" s="150">
        <f>D49</f>
        <v>1</v>
      </c>
      <c r="E87" s="151" t="str">
        <f>E49</f>
        <v>CUTTER 18 MM KENKO L-500 (BESAR)</v>
      </c>
      <c r="F87" s="152"/>
      <c r="G87" s="153"/>
      <c r="H87" s="154">
        <f>H49</f>
        <v>147600</v>
      </c>
      <c r="I87" s="155">
        <f>I49</f>
        <v>0.14000000000000001</v>
      </c>
      <c r="J87" s="155" t="str">
        <f>J49</f>
        <v/>
      </c>
      <c r="K87" s="156">
        <f>K49</f>
        <v>2538720</v>
      </c>
      <c r="L87" s="138"/>
    </row>
    <row r="88" spans="1:12" s="10" customFormat="1" ht="14.1" customHeight="1" x14ac:dyDescent="0.25">
      <c r="A88" s="147">
        <v>2</v>
      </c>
      <c r="B88" s="148" t="str">
        <f t="shared" ref="B88:E88" si="30">B50</f>
        <v/>
      </c>
      <c r="C88" s="149" t="str">
        <f t="shared" si="30"/>
        <v/>
      </c>
      <c r="D88" s="150" t="str">
        <f t="shared" si="30"/>
        <v/>
      </c>
      <c r="E88" s="151" t="str">
        <f t="shared" si="30"/>
        <v/>
      </c>
      <c r="F88" s="152"/>
      <c r="G88" s="153"/>
      <c r="H88" s="154" t="str">
        <f t="shared" ref="H88:K88" si="31">H50</f>
        <v/>
      </c>
      <c r="I88" s="155" t="str">
        <f t="shared" si="31"/>
        <v/>
      </c>
      <c r="J88" s="155" t="str">
        <f t="shared" si="31"/>
        <v/>
      </c>
      <c r="K88" s="156" t="str">
        <f t="shared" si="31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ref="B89:E89" si="32">B51</f>
        <v/>
      </c>
      <c r="C89" s="149" t="str">
        <f t="shared" si="32"/>
        <v/>
      </c>
      <c r="D89" s="150" t="str">
        <f t="shared" si="32"/>
        <v/>
      </c>
      <c r="E89" s="151" t="str">
        <f t="shared" si="32"/>
        <v/>
      </c>
      <c r="F89" s="152"/>
      <c r="G89" s="153"/>
      <c r="H89" s="154" t="str">
        <f t="shared" ref="H89:K89" si="33">H51</f>
        <v/>
      </c>
      <c r="I89" s="155" t="str">
        <f t="shared" si="33"/>
        <v/>
      </c>
      <c r="J89" s="155" t="str">
        <f t="shared" si="33"/>
        <v/>
      </c>
      <c r="K89" s="156" t="str">
        <f t="shared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si="34">B52</f>
        <v/>
      </c>
      <c r="C90" s="149" t="str">
        <f t="shared" si="34"/>
        <v/>
      </c>
      <c r="D90" s="150" t="str">
        <f t="shared" si="34"/>
        <v/>
      </c>
      <c r="E90" s="151" t="str">
        <f t="shared" si="34"/>
        <v/>
      </c>
      <c r="F90" s="152"/>
      <c r="G90" s="153"/>
      <c r="H90" s="154" t="str">
        <f t="shared" ref="H90:K90" si="35">H52</f>
        <v/>
      </c>
      <c r="I90" s="155" t="str">
        <f t="shared" si="35"/>
        <v/>
      </c>
      <c r="J90" s="155" t="str">
        <f t="shared" si="35"/>
        <v/>
      </c>
      <c r="K90" s="156" t="str">
        <f t="shared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si="36">B53</f>
        <v/>
      </c>
      <c r="C91" s="149" t="str">
        <f t="shared" si="36"/>
        <v/>
      </c>
      <c r="D91" s="150" t="str">
        <f t="shared" si="36"/>
        <v/>
      </c>
      <c r="E91" s="151" t="str">
        <f t="shared" si="36"/>
        <v/>
      </c>
      <c r="F91" s="152"/>
      <c r="G91" s="153"/>
      <c r="H91" s="154" t="str">
        <f t="shared" ref="H91:K91" si="37">H53</f>
        <v/>
      </c>
      <c r="I91" s="155" t="str">
        <f t="shared" si="37"/>
        <v/>
      </c>
      <c r="J91" s="155" t="str">
        <f t="shared" si="37"/>
        <v/>
      </c>
      <c r="K91" s="156" t="str">
        <f t="shared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si="38">B54</f>
        <v/>
      </c>
      <c r="C92" s="149" t="str">
        <f t="shared" si="38"/>
        <v/>
      </c>
      <c r="D92" s="150" t="str">
        <f t="shared" si="38"/>
        <v/>
      </c>
      <c r="E92" s="151" t="str">
        <f t="shared" si="38"/>
        <v/>
      </c>
      <c r="F92" s="152"/>
      <c r="G92" s="153"/>
      <c r="H92" s="154" t="str">
        <f t="shared" ref="H92:K92" si="39">H54</f>
        <v/>
      </c>
      <c r="I92" s="155" t="str">
        <f t="shared" si="39"/>
        <v/>
      </c>
      <c r="J92" s="155" t="str">
        <f t="shared" si="39"/>
        <v/>
      </c>
      <c r="K92" s="156" t="str">
        <f t="shared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si="40">B55</f>
        <v/>
      </c>
      <c r="C93" s="149" t="str">
        <f t="shared" si="40"/>
        <v/>
      </c>
      <c r="D93" s="150" t="str">
        <f t="shared" si="40"/>
        <v/>
      </c>
      <c r="E93" s="151" t="str">
        <f t="shared" si="40"/>
        <v/>
      </c>
      <c r="F93" s="152"/>
      <c r="G93" s="153"/>
      <c r="H93" s="154" t="str">
        <f t="shared" ref="H93:K93" si="41">H55</f>
        <v/>
      </c>
      <c r="I93" s="155" t="str">
        <f t="shared" si="41"/>
        <v/>
      </c>
      <c r="J93" s="155" t="str">
        <f t="shared" si="41"/>
        <v/>
      </c>
      <c r="K93" s="156" t="str">
        <f t="shared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si="42">B56</f>
        <v/>
      </c>
      <c r="C94" s="149" t="str">
        <f t="shared" si="42"/>
        <v/>
      </c>
      <c r="D94" s="150" t="str">
        <f t="shared" si="42"/>
        <v/>
      </c>
      <c r="E94" s="151" t="str">
        <f t="shared" si="42"/>
        <v/>
      </c>
      <c r="F94" s="152"/>
      <c r="G94" s="153"/>
      <c r="H94" s="154" t="str">
        <f t="shared" ref="H94:K94" si="43">H56</f>
        <v/>
      </c>
      <c r="I94" s="155" t="str">
        <f t="shared" si="43"/>
        <v/>
      </c>
      <c r="J94" s="155" t="str">
        <f t="shared" si="43"/>
        <v/>
      </c>
      <c r="K94" s="156" t="str">
        <f t="shared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si="44">B57</f>
        <v/>
      </c>
      <c r="C95" s="149" t="str">
        <f t="shared" si="44"/>
        <v/>
      </c>
      <c r="D95" s="150" t="str">
        <f t="shared" si="44"/>
        <v/>
      </c>
      <c r="E95" s="151" t="str">
        <f t="shared" si="44"/>
        <v/>
      </c>
      <c r="F95" s="152"/>
      <c r="G95" s="153"/>
      <c r="H95" s="154" t="str">
        <f t="shared" ref="H95:K95" si="45">H57</f>
        <v/>
      </c>
      <c r="I95" s="155" t="str">
        <f t="shared" si="45"/>
        <v/>
      </c>
      <c r="J95" s="155" t="str">
        <f t="shared" si="45"/>
        <v/>
      </c>
      <c r="K95" s="156" t="str">
        <f t="shared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si="46">B58</f>
        <v/>
      </c>
      <c r="C96" s="149" t="str">
        <f t="shared" si="46"/>
        <v/>
      </c>
      <c r="D96" s="150" t="str">
        <f t="shared" si="46"/>
        <v/>
      </c>
      <c r="E96" s="151" t="str">
        <f t="shared" si="46"/>
        <v/>
      </c>
      <c r="F96" s="152"/>
      <c r="G96" s="153"/>
      <c r="H96" s="154" t="str">
        <f t="shared" ref="H96:K96" si="47">H58</f>
        <v/>
      </c>
      <c r="I96" s="155" t="str">
        <f t="shared" si="47"/>
        <v/>
      </c>
      <c r="J96" s="155" t="str">
        <f t="shared" si="47"/>
        <v/>
      </c>
      <c r="K96" s="156" t="str">
        <f t="shared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si="48">B59</f>
        <v/>
      </c>
      <c r="C97" s="149" t="str">
        <f t="shared" si="48"/>
        <v/>
      </c>
      <c r="D97" s="150" t="str">
        <f t="shared" si="48"/>
        <v/>
      </c>
      <c r="E97" s="151" t="str">
        <f t="shared" si="48"/>
        <v/>
      </c>
      <c r="F97" s="152"/>
      <c r="G97" s="153"/>
      <c r="H97" s="154" t="str">
        <f t="shared" ref="H97:K97" si="49">H59</f>
        <v/>
      </c>
      <c r="I97" s="155" t="str">
        <f t="shared" si="49"/>
        <v/>
      </c>
      <c r="J97" s="155" t="str">
        <f t="shared" si="49"/>
        <v/>
      </c>
      <c r="K97" s="156" t="str">
        <f t="shared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si="50">B60</f>
        <v/>
      </c>
      <c r="C98" s="149" t="str">
        <f t="shared" si="50"/>
        <v/>
      </c>
      <c r="D98" s="150" t="str">
        <f t="shared" si="50"/>
        <v/>
      </c>
      <c r="E98" s="151" t="str">
        <f t="shared" si="50"/>
        <v/>
      </c>
      <c r="F98" s="152"/>
      <c r="G98" s="153"/>
      <c r="H98" s="154" t="str">
        <f t="shared" ref="H98:K98" si="51">H60</f>
        <v/>
      </c>
      <c r="I98" s="155" t="str">
        <f t="shared" si="51"/>
        <v/>
      </c>
      <c r="J98" s="155" t="str">
        <f t="shared" si="51"/>
        <v/>
      </c>
      <c r="K98" s="156" t="str">
        <f t="shared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si="52">B61</f>
        <v/>
      </c>
      <c r="C99" s="149" t="str">
        <f t="shared" si="52"/>
        <v/>
      </c>
      <c r="D99" s="150" t="str">
        <f t="shared" si="52"/>
        <v/>
      </c>
      <c r="E99" s="151" t="str">
        <f t="shared" si="52"/>
        <v/>
      </c>
      <c r="F99" s="152"/>
      <c r="G99" s="153"/>
      <c r="H99" s="154" t="str">
        <f t="shared" ref="H99:K99" si="53">H61</f>
        <v/>
      </c>
      <c r="I99" s="155" t="str">
        <f t="shared" si="53"/>
        <v/>
      </c>
      <c r="J99" s="155" t="str">
        <f t="shared" si="53"/>
        <v/>
      </c>
      <c r="K99" s="156" t="str">
        <f t="shared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si="54">B62</f>
        <v/>
      </c>
      <c r="C100" s="149" t="str">
        <f t="shared" si="54"/>
        <v/>
      </c>
      <c r="D100" s="150" t="str">
        <f t="shared" si="54"/>
        <v/>
      </c>
      <c r="E100" s="151" t="str">
        <f t="shared" si="54"/>
        <v/>
      </c>
      <c r="F100" s="152"/>
      <c r="G100" s="153"/>
      <c r="H100" s="154" t="str">
        <f t="shared" ref="H100:K100" si="55">H62</f>
        <v/>
      </c>
      <c r="I100" s="155" t="str">
        <f t="shared" si="55"/>
        <v/>
      </c>
      <c r="J100" s="155" t="str">
        <f t="shared" si="55"/>
        <v/>
      </c>
      <c r="K100" s="156" t="str">
        <f t="shared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si="56">B63</f>
        <v/>
      </c>
      <c r="C101" s="149" t="str">
        <f t="shared" si="56"/>
        <v/>
      </c>
      <c r="D101" s="150" t="str">
        <f t="shared" si="56"/>
        <v/>
      </c>
      <c r="E101" s="151" t="str">
        <f t="shared" si="56"/>
        <v/>
      </c>
      <c r="F101" s="152"/>
      <c r="G101" s="153"/>
      <c r="H101" s="154" t="str">
        <f t="shared" ref="H101:K101" si="57">H63</f>
        <v/>
      </c>
      <c r="I101" s="155" t="str">
        <f t="shared" si="57"/>
        <v/>
      </c>
      <c r="J101" s="155" t="str">
        <f t="shared" si="57"/>
        <v/>
      </c>
      <c r="K101" s="156" t="str">
        <f t="shared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si="58">B64</f>
        <v/>
      </c>
      <c r="C102" s="149" t="str">
        <f t="shared" si="58"/>
        <v/>
      </c>
      <c r="D102" s="150" t="str">
        <f t="shared" si="58"/>
        <v/>
      </c>
      <c r="E102" s="151" t="str">
        <f t="shared" si="58"/>
        <v/>
      </c>
      <c r="F102" s="152"/>
      <c r="G102" s="153"/>
      <c r="H102" s="154" t="str">
        <f t="shared" ref="H102:K102" si="59">H64</f>
        <v/>
      </c>
      <c r="I102" s="155" t="str">
        <f t="shared" si="59"/>
        <v/>
      </c>
      <c r="J102" s="155" t="str">
        <f t="shared" si="59"/>
        <v/>
      </c>
      <c r="K102" s="156" t="str">
        <f t="shared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42"/>
      <c r="K104" s="342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43">
        <f>J67</f>
        <v>2538720</v>
      </c>
      <c r="K105" s="344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47"/>
      <c r="K106" s="34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42"/>
      <c r="K108" s="342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43">
        <f>J71</f>
        <v>251584.86486486488</v>
      </c>
      <c r="K109" s="344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42"/>
      <c r="K110" s="342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>K73</f>
        <v>2538720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45" t="str">
        <f>J75</f>
        <v>NOVI / CONDRO</v>
      </c>
      <c r="K113" s="34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45">
        <v>0</v>
      </c>
      <c r="K114" s="34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G16" sqref="G16"/>
    </sheetView>
  </sheetViews>
  <sheetFormatPr defaultRowHeight="15" x14ac:dyDescent="0.25"/>
  <cols>
    <col min="1" max="1" width="63.71093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111</v>
      </c>
      <c r="F1" t="s">
        <v>116</v>
      </c>
      <c r="G1" t="s">
        <v>112</v>
      </c>
      <c r="H1" t="s">
        <v>114</v>
      </c>
      <c r="I1" t="s">
        <v>115</v>
      </c>
      <c r="J1" t="s">
        <v>7</v>
      </c>
      <c r="K1" s="195" t="s">
        <v>9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237</v>
      </c>
      <c r="B3" s="88"/>
      <c r="C3" s="88"/>
      <c r="E3" s="193">
        <f>MATCH(A3,Table1[H_A1],0)</f>
        <v>44</v>
      </c>
      <c r="F3" s="193">
        <f>MATCH(Table5[[#This Row],[NAMA]],[1]!db[NB PAJAK],0)</f>
        <v>1050</v>
      </c>
      <c r="G3" t="str">
        <f>INDEX(Table1[Item Description],Table5[[#This Row],[//NOTA]])</f>
        <v>BINDER CLIP KENKO NO. 111</v>
      </c>
      <c r="H3">
        <f>SUMIF(Table1[H_A1],Sheet5!A3,Table1[Qty])</f>
        <v>30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49200</v>
      </c>
      <c r="L3" s="86">
        <f>IF(Table5[[#This Row],[a2]]="","",Table5[[#This Row],[QTY]]*12)</f>
        <v>360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4320</v>
      </c>
      <c r="O3" s="86" t="str">
        <f>IF(Table5[[#This Row],[b1]]="","","PCS")</f>
        <v>PCS</v>
      </c>
      <c r="P3" s="86"/>
    </row>
    <row r="4" spans="1:16" x14ac:dyDescent="0.25">
      <c r="A4" s="88" t="s">
        <v>134</v>
      </c>
      <c r="B4" s="88"/>
      <c r="C4" s="88"/>
      <c r="E4" s="194">
        <f>MATCH(A4,Table1[H_A1],0)</f>
        <v>5</v>
      </c>
      <c r="F4" s="194">
        <f>MATCH(Table5[[#This Row],[NAMA]],[1]!db[NB PAJAK],0)</f>
        <v>1052</v>
      </c>
      <c r="G4" t="str">
        <f>INDEX(Table1[Item Description],Table5[[#This Row],[//NOTA]])</f>
        <v>BINDER CLIP KENKO NO. 200</v>
      </c>
      <c r="H4">
        <f>SUMIF(Table1[H_A1],Sheet5!A4,Table1[Qty])</f>
        <v>10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120000</v>
      </c>
      <c r="L4" s="86">
        <f>IF(Table5[[#This Row],[a2]]="","",Table5[[#This Row],[QTY]]*12)</f>
        <v>120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1440</v>
      </c>
      <c r="O4" s="86" t="str">
        <f>IF(Table5[[#This Row],[b1]]="","","PCS")</f>
        <v>PCS</v>
      </c>
      <c r="P4" s="86"/>
    </row>
    <row r="5" spans="1:16" x14ac:dyDescent="0.25">
      <c r="A5" s="88" t="s">
        <v>135</v>
      </c>
      <c r="B5" s="88"/>
      <c r="C5" s="88"/>
      <c r="E5" s="194">
        <f>MATCH(A5,Table1[H_A1],0)</f>
        <v>4</v>
      </c>
      <c r="F5" s="194">
        <f>MATCH(Table5[[#This Row],[NAMA]],[1]!db[NB PAJAK],0)</f>
        <v>1053</v>
      </c>
      <c r="G5" t="str">
        <f>INDEX(Table1[Item Description],Table5[[#This Row],[//NOTA]])</f>
        <v>BINDER CLIP KENKO NO. 260</v>
      </c>
      <c r="H5">
        <f>SUMIF(Table1[H_A1],Sheet5!A5,Table1[Qty])</f>
        <v>15</v>
      </c>
      <c r="I5" t="str">
        <f>INDEX(Table1[Unit],Table5[[#This Row],[//NOTA]])</f>
        <v>GRS</v>
      </c>
      <c r="J5" s="195">
        <f>SUMIF(Table1[H_A1],Sheet5!A5,Table1[C])</f>
        <v>3</v>
      </c>
      <c r="K5" s="195">
        <f>INDEX(Table1[Unit Price],Table5[[#This Row],[//NOTA]])</f>
        <v>180000</v>
      </c>
      <c r="L5" s="86">
        <f>IF(Table5[[#This Row],[a2]]="","",Table5[[#This Row],[QTY]]*12)</f>
        <v>180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2160</v>
      </c>
      <c r="O5" s="86" t="str">
        <f>IF(Table5[[#This Row],[b1]]="","","PCS")</f>
        <v>PCS</v>
      </c>
      <c r="P5" s="86"/>
    </row>
    <row r="6" spans="1:16" x14ac:dyDescent="0.25">
      <c r="A6" s="88" t="s">
        <v>271</v>
      </c>
      <c r="B6" s="88"/>
      <c r="C6" s="88"/>
      <c r="E6" s="194">
        <f>MATCH(A6,Table1[H_A1],0)</f>
        <v>62</v>
      </c>
      <c r="F6" s="194" t="e">
        <f>MATCH(Table5[[#This Row],[NAMA]],[1]!db[NB PAJAK],0)</f>
        <v>#N/A</v>
      </c>
      <c r="G6" t="str">
        <f>INDEX(Table1[Item Description],Table5[[#This Row],[//NOTA]])</f>
        <v>BINDER NOTE JOYKO A5 (CAMPUS/CLASSIC) MIX</v>
      </c>
      <c r="H6">
        <f>SUMIF(Table1[H_A1],Sheet5!A6,Table1[Qty])</f>
        <v>288</v>
      </c>
      <c r="I6" t="str">
        <f>INDEX(Table1[Unit],Table5[[#This Row],[//NOTA]])</f>
        <v>PCS</v>
      </c>
      <c r="J6" s="195">
        <f>SUMIF(Table1[H_A1],Sheet5!A6,Table1[C])</f>
        <v>4</v>
      </c>
      <c r="K6" s="195">
        <f>INDEX(Table1[Unit Price],Table5[[#This Row],[//NOTA]])</f>
        <v>15800</v>
      </c>
      <c r="L6" s="86" t="str">
        <f>IF(Table5[[#This Row],[a2]]="","",Table5[[#This Row],[QTY]]*12)</f>
        <v/>
      </c>
      <c r="M6" s="86" t="str">
        <f>IF(Table5[[#This Row],[UNIT]]="grs","LSN",IF(Table5[[#This Row],[UNIT]]="LSN","PCS",""))</f>
        <v/>
      </c>
      <c r="N6" s="86" t="str">
        <f>IF(Table5[[#This Row],[a2]]="LSN",Table5[[#This Row],[a1]]*12,"")</f>
        <v/>
      </c>
      <c r="O6" s="86" t="str">
        <f>IF(Table5[[#This Row],[b1]]="","","PCS")</f>
        <v/>
      </c>
      <c r="P6" s="86"/>
    </row>
    <row r="7" spans="1:16" x14ac:dyDescent="0.25">
      <c r="A7" s="88" t="s">
        <v>272</v>
      </c>
      <c r="B7" s="88"/>
      <c r="C7" s="88"/>
      <c r="E7" s="194">
        <f>MATCH(A7,Table1[H_A1],0)</f>
        <v>65</v>
      </c>
      <c r="F7" s="194">
        <f>MATCH(Table5[[#This Row],[NAMA]],[1]!db[NB PAJAK],0)</f>
        <v>513</v>
      </c>
      <c r="G7" t="str">
        <f>INDEX(Table1[Item Description],Table5[[#This Row],[//NOTA]])</f>
        <v>CORRECTION FLUID JOYKO JK-101</v>
      </c>
      <c r="H7">
        <f>SUMIF(Table1[H_A1],Sheet5!A7,Table1[Qty])</f>
        <v>144</v>
      </c>
      <c r="I7" t="str">
        <f>INDEX(Table1[Unit],Table5[[#This Row],[//NOTA]])</f>
        <v>LSN</v>
      </c>
      <c r="J7" s="195">
        <f>SUMIF(Table1[H_A1],Sheet5!A7,Table1[C])</f>
        <v>3</v>
      </c>
      <c r="K7" s="195">
        <f>INDEX(Table1[Unit Price],Table5[[#This Row],[//NOTA]])</f>
        <v>36000</v>
      </c>
      <c r="L7" s="86">
        <f>IF(Table5[[#This Row],[a2]]="","",Table5[[#This Row],[QTY]]*12)</f>
        <v>1728</v>
      </c>
      <c r="M7" s="86" t="str">
        <f>IF(Table5[[#This Row],[UNIT]]="grs","LSN",IF(Table5[[#This Row],[UNIT]]="LSN","PCS",""))</f>
        <v>PCS</v>
      </c>
      <c r="N7" s="86" t="str">
        <f>IF(Table5[[#This Row],[a2]]="LSN",Table5[[#This Row],[a1]]*12,"")</f>
        <v/>
      </c>
      <c r="O7" s="86" t="str">
        <f>IF(Table5[[#This Row],[b1]]="","","PCS")</f>
        <v/>
      </c>
      <c r="P7" s="86"/>
    </row>
    <row r="8" spans="1:16" x14ac:dyDescent="0.25">
      <c r="A8" s="88" t="s">
        <v>145</v>
      </c>
      <c r="B8" s="88"/>
      <c r="C8" s="88"/>
      <c r="E8" s="194">
        <f>MATCH(A8,Table1[H_A1],0)</f>
        <v>7</v>
      </c>
      <c r="F8" s="194">
        <f>MATCH(Table5[[#This Row],[NAMA]],[1]!db[NB PAJAK],0)</f>
        <v>1101</v>
      </c>
      <c r="G8" t="str">
        <f>INDEX(Table1[Item Description],Table5[[#This Row],[//NOTA]])</f>
        <v>CORRECTION FLUID KENKO KE-01</v>
      </c>
      <c r="H8">
        <f>SUMIF(Table1[H_A1],Sheet5!A8,Table1[Qty])</f>
        <v>360</v>
      </c>
      <c r="I8" t="str">
        <f>INDEX(Table1[Unit],Table5[[#This Row],[//NOTA]])</f>
        <v>LS</v>
      </c>
      <c r="J8" s="195">
        <f>SUMIF(Table1[H_A1],Sheet5!A8,Table1[C])</f>
        <v>0</v>
      </c>
      <c r="K8" s="195">
        <f>INDEX(Table1[Unit Price],Table5[[#This Row],[//NOTA]])</f>
        <v>54300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273</v>
      </c>
      <c r="B9" s="88"/>
      <c r="C9" s="88"/>
      <c r="E9" s="194">
        <f>MATCH(A9,Table1[H_A1],0)</f>
        <v>67</v>
      </c>
      <c r="F9" s="194">
        <f>MATCH(Table5[[#This Row],[NAMA]],[1]!db[NB PAJAK],0)</f>
        <v>1101</v>
      </c>
      <c r="G9" t="str">
        <f>INDEX(Table1[Item Description],Table5[[#This Row],[//NOTA]])</f>
        <v>CORRECTION FLUID KENKO KE-01</v>
      </c>
      <c r="H9">
        <f>SUMIF(Table1[H_A1],Sheet5!A9,Table1[Qty])</f>
        <v>72</v>
      </c>
      <c r="I9" t="str">
        <f>INDEX(Table1[Unit],Table5[[#This Row],[//NOTA]])</f>
        <v>LSN</v>
      </c>
      <c r="J9" s="195">
        <f>SUMIF(Table1[H_A1],Sheet5!A9,Table1[C])</f>
        <v>1</v>
      </c>
      <c r="K9" s="195">
        <f>INDEX(Table1[Unit Price],Table5[[#This Row],[//NOTA]])</f>
        <v>54300</v>
      </c>
      <c r="L9" s="86">
        <f>IF(Table5[[#This Row],[a2]]="","",Table5[[#This Row],[QTY]]*12)</f>
        <v>864</v>
      </c>
      <c r="M9" s="86" t="str">
        <f>IF(Table5[[#This Row],[UNIT]]="grs","LSN",IF(Table5[[#This Row],[UNIT]]="LSN","PCS",""))</f>
        <v>PCS</v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294</v>
      </c>
      <c r="B10" s="88"/>
      <c r="C10" s="88"/>
      <c r="E10" s="194">
        <f>MATCH(A10,Table1[H_A1],0)</f>
        <v>75</v>
      </c>
      <c r="F10" s="194">
        <f>MATCH(Table5[[#This Row],[NAMA]],[1]!db[NB PAJAK],0)</f>
        <v>1102</v>
      </c>
      <c r="G10" t="str">
        <f>INDEX(Table1[Item Description],Table5[[#This Row],[//NOTA]])</f>
        <v>CORRECTION FLUID KENKO KE-107M</v>
      </c>
      <c r="H10">
        <f>SUMIF(Table1[H_A1],Sheet5!A10,Table1[Qty])</f>
        <v>72</v>
      </c>
      <c r="I10" t="str">
        <f>INDEX(Table1[Unit],Table5[[#This Row],[//NOTA]])</f>
        <v>LSN</v>
      </c>
      <c r="J10" s="195">
        <f>SUMIF(Table1[H_A1],Sheet5!A10,Table1[C])</f>
        <v>1</v>
      </c>
      <c r="K10" s="195">
        <f>INDEX(Table1[Unit Price],Table5[[#This Row],[//NOTA]])</f>
        <v>55800</v>
      </c>
      <c r="L10" s="86">
        <f>IF(Table5[[#This Row],[a2]]="","",Table5[[#This Row],[QTY]]*12)</f>
        <v>864</v>
      </c>
      <c r="M10" s="86" t="str">
        <f>IF(Table5[[#This Row],[UNIT]]="grs","LSN",IF(Table5[[#This Row],[UNIT]]="LSN","PCS",""))</f>
        <v>PCS</v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274</v>
      </c>
      <c r="B11" s="88"/>
      <c r="C11" s="88"/>
      <c r="E11" s="194">
        <f>MATCH(A11,Table1[H_A1],0)</f>
        <v>66</v>
      </c>
      <c r="F11" s="194">
        <f>MATCH(Table5[[#This Row],[NAMA]],[1]!db[NB PAJAK],0)</f>
        <v>1103</v>
      </c>
      <c r="G11" t="str">
        <f>INDEX(Table1[Item Description],Table5[[#This Row],[//NOTA]])</f>
        <v>CORRECTION FLUID KENKO KE-108</v>
      </c>
      <c r="H11">
        <f>SUMIF(Table1[H_A1],Sheet5!A11,Table1[Qty])</f>
        <v>72</v>
      </c>
      <c r="I11" t="str">
        <f>INDEX(Table1[Unit],Table5[[#This Row],[//NOTA]])</f>
        <v>LSN</v>
      </c>
      <c r="J11" s="195">
        <f>SUMIF(Table1[H_A1],Sheet5!A11,Table1[C])</f>
        <v>1</v>
      </c>
      <c r="K11" s="195">
        <f>INDEX(Table1[Unit Price],Table5[[#This Row],[//NOTA]])</f>
        <v>47100</v>
      </c>
      <c r="L11" s="86">
        <f>IF(Table5[[#This Row],[a2]]="","",Table5[[#This Row],[QTY]]*12)</f>
        <v>864</v>
      </c>
      <c r="M11" s="86" t="str">
        <f>IF(Table5[[#This Row],[UNIT]]="grs","LSN",IF(Table5[[#This Row],[UNIT]]="LSN","PCS",""))</f>
        <v>PCS</v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295</v>
      </c>
      <c r="B12" s="88"/>
      <c r="C12" s="88"/>
      <c r="E12" s="194">
        <f>MATCH(A12,Table1[H_A1],0)</f>
        <v>74</v>
      </c>
      <c r="F12" s="194">
        <f>MATCH(Table5[[#This Row],[NAMA]],[1]!db[NB PAJAK],0)</f>
        <v>1104</v>
      </c>
      <c r="G12" t="str">
        <f>INDEX(Table1[Item Description],Table5[[#This Row],[//NOTA]])</f>
        <v>CORRECTION FLUID KENKO KE-301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1</v>
      </c>
      <c r="K12" s="195">
        <f>INDEX(Table1[Unit Price],Table5[[#This Row],[//NOTA]])</f>
        <v>53400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275</v>
      </c>
      <c r="B13" s="88"/>
      <c r="C13" s="88"/>
      <c r="E13" s="194">
        <f>MATCH(A13,Table1[H_A1],0)</f>
        <v>61</v>
      </c>
      <c r="F13" s="194">
        <f>MATCH(Table5[[#This Row],[NAMA]],[1]!db[NB PAJAK],0)</f>
        <v>521</v>
      </c>
      <c r="G13" t="str">
        <f>INDEX(Table1[Item Description],Table5[[#This Row],[//NOTA]])</f>
        <v>CORRECTION TAPE JOYKO CT-522</v>
      </c>
      <c r="H13">
        <f>SUMIF(Table1[H_A1],Sheet5!A13,Table1[Qty])</f>
        <v>420</v>
      </c>
      <c r="I13" t="str">
        <f>INDEX(Table1[Unit],Table5[[#This Row],[//NOTA]])</f>
        <v>LSN</v>
      </c>
      <c r="J13" s="195">
        <f>SUMIF(Table1[H_A1],Sheet5!A13,Table1[C])</f>
        <v>7</v>
      </c>
      <c r="K13" s="195">
        <f>INDEX(Table1[Unit Price],Table5[[#This Row],[//NOTA]])</f>
        <v>57600</v>
      </c>
      <c r="L13" s="86">
        <f>IF(Table5[[#This Row],[a2]]="","",Table5[[#This Row],[QTY]]*12)</f>
        <v>5040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166</v>
      </c>
      <c r="B14" s="88"/>
      <c r="C14" s="88"/>
      <c r="E14" s="194">
        <f>MATCH(A14,Table1[H_A1],0)</f>
        <v>15</v>
      </c>
      <c r="F14" s="194">
        <f>MATCH(Table5[[#This Row],[NAMA]],[1]!db[NB PAJAK],0)</f>
        <v>1558</v>
      </c>
      <c r="G14" t="str">
        <f>INDEX(Table1[Item Description],Table5[[#This Row],[//NOTA]])</f>
        <v>CRAYON / OIL PASTEL JOYKO OP-12CR ROUND (MINI)</v>
      </c>
      <c r="H14">
        <f>SUMIF(Table1[H_A1],Sheet5!A14,Table1[Qty])</f>
        <v>288</v>
      </c>
      <c r="I14" t="str">
        <f>INDEX(Table1[Unit],Table5[[#This Row],[//NOTA]])</f>
        <v>PCS</v>
      </c>
      <c r="J14" s="195">
        <f>SUMIF(Table1[H_A1],Sheet5!A14,Table1[C])</f>
        <v>2</v>
      </c>
      <c r="K14" s="195">
        <f>INDEX(Table1[Unit Price],Table5[[#This Row],[//NOTA]])</f>
        <v>9000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167</v>
      </c>
      <c r="B15" s="88"/>
      <c r="C15" s="88"/>
      <c r="E15" s="194">
        <f>MATCH(A15,Table1[H_A1],0)</f>
        <v>14</v>
      </c>
      <c r="F15" s="194">
        <f>MATCH(Table5[[#This Row],[NAMA]],[1]!db[NB PAJAK],0)</f>
        <v>551</v>
      </c>
      <c r="G15" t="str">
        <f>INDEX(Table1[Item Description],Table5[[#This Row],[//NOTA]])</f>
        <v>CRAYON / OIL PASTEL PUTAR JOYKO TWCR-12MINI (PENDEK)</v>
      </c>
      <c r="H15">
        <f>SUMIF(Table1[H_A1],Sheet5!A15,Table1[Qty])</f>
        <v>288</v>
      </c>
      <c r="I15" t="str">
        <f>INDEX(Table1[Unit],Table5[[#This Row],[//NOTA]])</f>
        <v>PCS</v>
      </c>
      <c r="J15" s="195">
        <f>SUMIF(Table1[H_A1],Sheet5!A15,Table1[C])</f>
        <v>2</v>
      </c>
      <c r="K15" s="195">
        <f>INDEX(Table1[Unit Price],Table5[[#This Row],[//NOTA]])</f>
        <v>18600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307</v>
      </c>
      <c r="B16" s="88"/>
      <c r="C16" s="88"/>
      <c r="E16" s="194">
        <f>MATCH(A16,Table1[H_A1],0)</f>
        <v>79</v>
      </c>
      <c r="F16" s="194">
        <f>MATCH(Table5[[#This Row],[NAMA]],[1]!db[NB PAJAK],0)</f>
        <v>1135</v>
      </c>
      <c r="G16" t="str">
        <f>INDEX(Table1[Item Description],Table5[[#This Row],[//NOTA]])</f>
        <v>CUTTER 18 MM KENKO L-500 (BESAR)</v>
      </c>
      <c r="H16">
        <f>SUMIF(Table1[H_A1],Sheet5!A16,Table1[Qty])</f>
        <v>20</v>
      </c>
      <c r="I16" t="str">
        <f>INDEX(Table1[Unit],Table5[[#This Row],[//NOTA]])</f>
        <v>LSN</v>
      </c>
      <c r="J16" s="195">
        <f>SUMIF(Table1[H_A1],Sheet5!A16,Table1[C])</f>
        <v>1</v>
      </c>
      <c r="K16" s="195">
        <f>INDEX(Table1[Unit Price],Table5[[#This Row],[//NOTA]])</f>
        <v>147600</v>
      </c>
      <c r="L16" s="86">
        <f>IF(Table5[[#This Row],[a2]]="","",Table5[[#This Row],[QTY]]*12)</f>
        <v>240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214</v>
      </c>
      <c r="B17" s="88"/>
      <c r="C17" s="88"/>
      <c r="E17" s="194">
        <f>MATCH(A17,Table1[H_A1],0)</f>
        <v>34</v>
      </c>
      <c r="F17" s="194">
        <f>MATCH(Table5[[#This Row],[NAMA]],[1]!db[NB PAJAK],0)</f>
        <v>1136</v>
      </c>
      <c r="G17" t="str">
        <f>INDEX(Table1[Item Description],Table5[[#This Row],[//NOTA]])</f>
        <v>DATE STAMP KENKO D-3 (Cap Tanggal 5 Mm)</v>
      </c>
      <c r="H17">
        <f>SUMIF(Table1[H_A1],Sheet5!A17,Table1[Qty])</f>
        <v>1</v>
      </c>
      <c r="I17" t="str">
        <f>INDEX(Table1[Unit],Table5[[#This Row],[//NOTA]])</f>
        <v>LSN</v>
      </c>
      <c r="J17" s="195">
        <f>SUMIF(Table1[H_A1],Sheet5!A17,Table1[C])</f>
        <v>0</v>
      </c>
      <c r="K17" s="195">
        <f>INDEX(Table1[Unit Price],Table5[[#This Row],[//NOTA]])</f>
        <v>77400</v>
      </c>
      <c r="L17" s="86">
        <f>IF(Table5[[#This Row],[a2]]="","",Table5[[#This Row],[QTY]]*12)</f>
        <v>12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168</v>
      </c>
      <c r="B18" s="88"/>
      <c r="C18" s="88"/>
      <c r="E18" s="194">
        <f>MATCH(A18,Table1[H_A1],0)</f>
        <v>18</v>
      </c>
      <c r="F18" s="194">
        <f>MATCH(Table5[[#This Row],[NAMA]],[1]!db[NB PAJAK],0)</f>
        <v>1137</v>
      </c>
      <c r="G18" t="str">
        <f>INDEX(Table1[Item Description],Table5[[#This Row],[//NOTA]])</f>
        <v>DATE STAMP KENKO D-4 (Cap Tanggal 4 Mm)</v>
      </c>
      <c r="H18">
        <f>SUMIF(Table1[H_A1],Sheet5!A18,Table1[Qty])</f>
        <v>10</v>
      </c>
      <c r="I18" t="str">
        <f>INDEX(Table1[Unit],Table5[[#This Row],[//NOTA]])</f>
        <v>LSN</v>
      </c>
      <c r="J18" s="195">
        <f>SUMIF(Table1[H_A1],Sheet5!A18,Table1[C])</f>
        <v>0</v>
      </c>
      <c r="K18" s="195">
        <f>INDEX(Table1[Unit Price],Table5[[#This Row],[//NOTA]])</f>
        <v>74400</v>
      </c>
      <c r="L18" s="86">
        <f>IF(Table5[[#This Row],[a2]]="","",Table5[[#This Row],[QTY]]*12)</f>
        <v>120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215</v>
      </c>
      <c r="B19" s="88"/>
      <c r="C19" s="88"/>
      <c r="E19" s="194">
        <f>MATCH(A19,Table1[H_A1],0)</f>
        <v>37</v>
      </c>
      <c r="F19" s="194">
        <f>MATCH(Table5[[#This Row],[NAMA]],[1]!db[NB PAJAK],0)</f>
        <v>1138</v>
      </c>
      <c r="G19" t="str">
        <f>INDEX(Table1[Item Description],Table5[[#This Row],[//NOTA]])</f>
        <v>DESK SET KENKO K-8312 ORGANIZER</v>
      </c>
      <c r="H19">
        <f>SUMIF(Table1[H_A1],Sheet5!A19,Table1[Qty])</f>
        <v>16</v>
      </c>
      <c r="I19" t="str">
        <f>INDEX(Table1[Unit],Table5[[#This Row],[//NOTA]])</f>
        <v>PCS</v>
      </c>
      <c r="J19" s="195">
        <f>SUMIF(Table1[H_A1],Sheet5!A19,Table1[C])</f>
        <v>0</v>
      </c>
      <c r="K19" s="195">
        <f>INDEX(Table1[Unit Price],Table5[[#This Row],[//NOTA]])</f>
        <v>29000</v>
      </c>
      <c r="L19" s="86" t="str">
        <f>IF(Table5[[#This Row],[a2]]="","",Table5[[#This Row],[QTY]]*12)</f>
        <v/>
      </c>
      <c r="M19" s="86" t="str">
        <f>IF(Table5[[#This Row],[UNIT]]="grs","LSN",IF(Table5[[#This Row],[UNIT]]="LSN","PCS",""))</f>
        <v/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216</v>
      </c>
      <c r="B20" s="88"/>
      <c r="C20" s="88"/>
      <c r="E20" s="194">
        <f>MATCH(A20,Table1[H_A1],0)</f>
        <v>30</v>
      </c>
      <c r="F20" s="194">
        <f>MATCH(Table5[[#This Row],[NAMA]],[1]!db[NB PAJAK],0)</f>
        <v>1278</v>
      </c>
      <c r="G20" t="str">
        <f>INDEX(Table1[Item Description],Table5[[#This Row],[//NOTA]])</f>
        <v>GARISAN BESI (STAINLESS STEEL) KENKO 100 CM / 1 M</v>
      </c>
      <c r="H20">
        <f>SUMIF(Table1[H_A1],Sheet5!A20,Table1[Qty])</f>
        <v>3</v>
      </c>
      <c r="I20" t="str">
        <f>INDEX(Table1[Unit],Table5[[#This Row],[//NOTA]])</f>
        <v>LSN</v>
      </c>
      <c r="J20" s="195">
        <f>SUMIF(Table1[H_A1],Sheet5!A20,Table1[C])</f>
        <v>0</v>
      </c>
      <c r="K20" s="195">
        <f>INDEX(Table1[Unit Price],Table5[[#This Row],[//NOTA]])</f>
        <v>522000</v>
      </c>
      <c r="L20" s="86">
        <f>IF(Table5[[#This Row],[a2]]="","",Table5[[#This Row],[QTY]]*12)</f>
        <v>36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193</v>
      </c>
      <c r="B21" s="88"/>
      <c r="C21" s="88"/>
      <c r="E21" s="194">
        <f>MATCH(A21,Table1[H_A1],0)</f>
        <v>27</v>
      </c>
      <c r="F21" s="194">
        <f>MATCH(Table5[[#This Row],[NAMA]],[1]!db[NB PAJAK],0)</f>
        <v>1152</v>
      </c>
      <c r="G21" t="str">
        <f>INDEX(Table1[Item Description],Table5[[#This Row],[//NOTA]])</f>
        <v>GEL PEN KENKO HI-TECH-H 0.28 MM HITAM</v>
      </c>
      <c r="H21">
        <f>SUMIF(Table1[H_A1],Sheet5!A21,Table1[Qty])</f>
        <v>1296</v>
      </c>
      <c r="I21" t="str">
        <f>INDEX(Table1[Unit],Table5[[#This Row],[//NOTA]])</f>
        <v>LSN</v>
      </c>
      <c r="J21" s="195">
        <f>SUMIF(Table1[H_A1],Sheet5!A21,Table1[C])</f>
        <v>9</v>
      </c>
      <c r="K21" s="195">
        <f>INDEX(Table1[Unit Price],Table5[[#This Row],[//NOTA]])</f>
        <v>39000</v>
      </c>
      <c r="L21" s="86">
        <f>IF(Table5[[#This Row],[a2]]="","",Table5[[#This Row],[QTY]]*12)</f>
        <v>15552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238</v>
      </c>
      <c r="B22" s="88"/>
      <c r="C22" s="88"/>
      <c r="E22" s="194">
        <f>MATCH(A22,Table1[H_A1],0)</f>
        <v>43</v>
      </c>
      <c r="F22" s="194">
        <f>MATCH(Table5[[#This Row],[NAMA]],[1]!db[NB PAJAK],0)</f>
        <v>1164</v>
      </c>
      <c r="G22" t="str">
        <f>INDEX(Table1[Item Description],Table5[[#This Row],[//NOTA]])</f>
        <v>GEL PEN KENKO K-1 HITAM</v>
      </c>
      <c r="H22">
        <f>SUMIF(Table1[H_A1],Sheet5!A22,Table1[Qty])</f>
        <v>8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39600</v>
      </c>
      <c r="L22" s="86">
        <f>IF(Table5[[#This Row],[a2]]="","",Table5[[#This Row],[QTY]]*12)</f>
        <v>96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127</v>
      </c>
      <c r="B23" s="88"/>
      <c r="C23" s="88"/>
      <c r="E23" s="194">
        <f>MATCH(A23,Table1[H_A1],0)</f>
        <v>1</v>
      </c>
      <c r="F23" s="194">
        <f>MATCH(Table5[[#This Row],[NAMA]],[1]!db[NB PAJAK],0)</f>
        <v>1921</v>
      </c>
      <c r="G23" t="str">
        <f>INDEX(Table1[Item Description],Table5[[#This Row],[//NOTA]])</f>
        <v>GUNTING JOYKO SC-828 SG</v>
      </c>
      <c r="H23">
        <f>SUMIF(Table1[H_A1],Sheet5!A23,Table1[Qty])</f>
        <v>144</v>
      </c>
      <c r="I23" t="str">
        <f>INDEX(Table1[Unit],Table5[[#This Row],[//NOTA]])</f>
        <v>LSN</v>
      </c>
      <c r="J23" s="195">
        <f>SUMIF(Table1[H_A1],Sheet5!A23,Table1[C])</f>
        <v>1</v>
      </c>
      <c r="K23" s="195">
        <f>INDEX(Table1[Unit Price],Table5[[#This Row],[//NOTA]])</f>
        <v>6100</v>
      </c>
      <c r="L23" s="86">
        <f>IF(Table5[[#This Row],[a2]]="","",Table5[[#This Row],[QTY]]*12)</f>
        <v>1728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169</v>
      </c>
      <c r="B24" s="88"/>
      <c r="C24" s="88"/>
      <c r="E24" s="194">
        <f>MATCH(A24,Table1[H_A1],0)</f>
        <v>2</v>
      </c>
      <c r="F24" s="194">
        <f>MATCH(Table5[[#This Row],[NAMA]],[1]!db[NB PAJAK],0)</f>
        <v>1923</v>
      </c>
      <c r="G24" t="str">
        <f>INDEX(Table1[Item Description],Table5[[#This Row],[//NOTA]])</f>
        <v>GUNTING JOYKO SC-838 SG</v>
      </c>
      <c r="H24">
        <f>SUMIF(Table1[H_A1],Sheet5!A24,Table1[Qty])</f>
        <v>144</v>
      </c>
      <c r="I24" t="str">
        <f>INDEX(Table1[Unit],Table5[[#This Row],[//NOTA]])</f>
        <v>LSN</v>
      </c>
      <c r="J24" s="195">
        <f>SUMIF(Table1[H_A1],Sheet5!A24,Table1[C])</f>
        <v>1</v>
      </c>
      <c r="K24" s="195">
        <f>INDEX(Table1[Unit Price],Table5[[#This Row],[//NOTA]])</f>
        <v>7700</v>
      </c>
      <c r="L24" s="86">
        <f>IF(Table5[[#This Row],[a2]]="","",Table5[[#This Row],[QTY]]*12)</f>
        <v>1728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276</v>
      </c>
      <c r="B25" s="88"/>
      <c r="C25" s="88"/>
      <c r="E25" s="194">
        <f>MATCH(A25,Table1[H_A1],0)</f>
        <v>59</v>
      </c>
      <c r="F25" s="194">
        <f>MATCH(Table5[[#This Row],[NAMA]],[1]!db[NB PAJAK],0)</f>
        <v>2151</v>
      </c>
      <c r="G25" t="str">
        <f>INDEX(Table1[Item Description],Table5[[#This Row],[//NOTA]])</f>
        <v>HIGHLIGHTER / STABILLO JOYKO HL-MIX (5 WARNA)</v>
      </c>
      <c r="H25">
        <f>SUMIF(Table1[H_A1],Sheet5!A25,Table1[Qty])</f>
        <v>720</v>
      </c>
      <c r="I25" t="str">
        <f>INDEX(Table1[Unit],Table5[[#This Row],[//NOTA]])</f>
        <v>PCS</v>
      </c>
      <c r="J25" s="195">
        <f>SUMIF(Table1[H_A1],Sheet5!A25,Table1[C])</f>
        <v>1</v>
      </c>
      <c r="K25" s="195">
        <f>INDEX(Table1[Unit Price],Table5[[#This Row],[//NOTA]])</f>
        <v>3700</v>
      </c>
      <c r="L25" s="86" t="str">
        <f>IF(Table5[[#This Row],[a2]]="","",Table5[[#This Row],[QTY]]*12)</f>
        <v/>
      </c>
      <c r="M25" s="86" t="str">
        <f>IF(Table5[[#This Row],[UNIT]]="grs","LSN",IF(Table5[[#This Row],[UNIT]]="LSN","PCS",""))</f>
        <v/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239</v>
      </c>
      <c r="B26" s="88"/>
      <c r="C26" s="88"/>
      <c r="E26" s="194">
        <f>MATCH(A26,Table1[H_A1],0)</f>
        <v>41</v>
      </c>
      <c r="F26" s="194">
        <f>MATCH(Table5[[#This Row],[NAMA]],[1]!db[NB PAJAK],0)</f>
        <v>1132</v>
      </c>
      <c r="G26" t="str">
        <f>INDEX(Table1[Item Description],Table5[[#This Row],[//NOTA]])</f>
        <v>ISI CUTTER 18 MM KENKO L-150 (BESAR)</v>
      </c>
      <c r="H26">
        <f>SUMIF(Table1[H_A1],Sheet5!A26,Table1[Qty])</f>
        <v>10</v>
      </c>
      <c r="I26" t="str">
        <f>INDEX(Table1[Unit],Table5[[#This Row],[//NOTA]])</f>
        <v>LSN</v>
      </c>
      <c r="J26" s="195">
        <f>SUMIF(Table1[H_A1],Sheet5!A26,Table1[C])</f>
        <v>0</v>
      </c>
      <c r="K26" s="195">
        <f>INDEX(Table1[Unit Price],Table5[[#This Row],[//NOTA]])</f>
        <v>64800</v>
      </c>
      <c r="L26" s="86">
        <f>IF(Table5[[#This Row],[a2]]="","",Table5[[#This Row],[QTY]]*12)</f>
        <v>120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278</v>
      </c>
      <c r="B27" s="88"/>
      <c r="C27" s="88"/>
      <c r="E27" s="194">
        <f>MATCH(A27,Table1[H_A1],0)</f>
        <v>60</v>
      </c>
      <c r="F27" s="194">
        <f>MATCH(Table5[[#This Row],[NAMA]],[1]!db[NB PAJAK],0)</f>
        <v>1760</v>
      </c>
      <c r="G27" t="str">
        <f>INDEX(Table1[Item Description],Table5[[#This Row],[//NOTA]])</f>
        <v>ISI PENSIL 2B 0.5 MM JOYKO PL-05</v>
      </c>
      <c r="H27">
        <f>SUMIF(Table1[H_A1],Sheet5!A27,Table1[Qty])</f>
        <v>12</v>
      </c>
      <c r="I27" t="str">
        <f>INDEX(Table1[Unit],Table5[[#This Row],[//NOTA]])</f>
        <v>GRS</v>
      </c>
      <c r="J27" s="195">
        <f>SUMIF(Table1[H_A1],Sheet5!A27,Table1[C])</f>
        <v>1</v>
      </c>
      <c r="K27" s="195">
        <f>INDEX(Table1[Unit Price],Table5[[#This Row],[//NOTA]])</f>
        <v>176400</v>
      </c>
      <c r="L27" s="86">
        <f>IF(Table5[[#This Row],[a2]]="","",Table5[[#This Row],[QTY]]*12)</f>
        <v>144</v>
      </c>
      <c r="M27" s="86" t="str">
        <f>IF(Table5[[#This Row],[UNIT]]="grs","LSN",IF(Table5[[#This Row],[UNIT]]="LSN","PCS",""))</f>
        <v>LSN</v>
      </c>
      <c r="N27" s="86">
        <f>IF(Table5[[#This Row],[a2]]="LSN",Table5[[#This Row],[a1]]*12,"")</f>
        <v>1728</v>
      </c>
      <c r="O27" s="86" t="str">
        <f>IF(Table5[[#This Row],[b1]]="","","PCS")</f>
        <v>PCS</v>
      </c>
      <c r="P27" s="86"/>
    </row>
    <row r="28" spans="1:16" x14ac:dyDescent="0.25">
      <c r="A28" s="88" t="s">
        <v>146</v>
      </c>
      <c r="B28" s="88"/>
      <c r="C28" s="88"/>
      <c r="E28" s="194">
        <f>MATCH(A28,Table1[H_A1],0)</f>
        <v>11</v>
      </c>
      <c r="F28" s="194">
        <f>MATCH(Table5[[#This Row],[NAMA]],[1]!db[NB PAJAK],0)</f>
        <v>1302</v>
      </c>
      <c r="G28" t="str">
        <f>INDEX(Table1[Item Description],Table5[[#This Row],[//NOTA]])</f>
        <v>ISI STAPLER (STAPLES) KENKO 1210 PREMIUM (23/10)</v>
      </c>
      <c r="H28">
        <f>SUMIF(Table1[H_A1],Sheet5!A28,Table1[Qty])</f>
        <v>600</v>
      </c>
      <c r="I28" t="str">
        <f>INDEX(Table1[Unit],Table5[[#This Row],[//NOTA]])</f>
        <v>BOX</v>
      </c>
      <c r="J28" s="195">
        <f>SUMIF(Table1[H_A1],Sheet5!A28,Table1[C])</f>
        <v>0</v>
      </c>
      <c r="K28" s="195">
        <f>INDEX(Table1[Unit Price],Table5[[#This Row],[//NOTA]])</f>
        <v>4200</v>
      </c>
      <c r="L28" s="86" t="str">
        <f>IF(Table5[[#This Row],[a2]]="","",Table5[[#This Row],[QTY]]*12)</f>
        <v/>
      </c>
      <c r="M28" s="86" t="str">
        <f>IF(Table5[[#This Row],[UNIT]]="grs","LSN",IF(Table5[[#This Row],[UNIT]]="LSN","PCS",""))</f>
        <v/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184</v>
      </c>
      <c r="B29" s="88"/>
      <c r="C29" s="88"/>
      <c r="E29" s="194">
        <f>MATCH(A29,Table1[H_A1],0)</f>
        <v>22</v>
      </c>
      <c r="F29" s="194">
        <f>MATCH(Table5[[#This Row],[NAMA]],[1]!db[NB PAJAK],0)</f>
        <v>1483</v>
      </c>
      <c r="G29" t="str">
        <f>INDEX(Table1[Item Description],Table5[[#This Row],[//NOTA]])</f>
        <v>JANGKA (MATH SET) JOYKO MS-25</v>
      </c>
      <c r="H29">
        <f>SUMIF(Table1[H_A1],Sheet5!A29,Table1[Qty])</f>
        <v>48</v>
      </c>
      <c r="I29" t="str">
        <f>INDEX(Table1[Unit],Table5[[#This Row],[//NOTA]])</f>
        <v>LSN</v>
      </c>
      <c r="J29" s="195">
        <f>SUMIF(Table1[H_A1],Sheet5!A29,Table1[C])</f>
        <v>2</v>
      </c>
      <c r="K29" s="195">
        <f>INDEX(Table1[Unit Price],Table5[[#This Row],[//NOTA]])</f>
        <v>88200</v>
      </c>
      <c r="L29" s="86">
        <f>IF(Table5[[#This Row],[a2]]="","",Table5[[#This Row],[QTY]]*12)</f>
        <v>576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170</v>
      </c>
      <c r="B30" s="88"/>
      <c r="C30" s="88"/>
      <c r="E30" s="194">
        <f>MATCH(A30,Table1[H_A1],0)</f>
        <v>19</v>
      </c>
      <c r="F30" s="194">
        <f>MATCH(Table5[[#This Row],[NAMA]],[1]!db[NB PAJAK],0)</f>
        <v>1487</v>
      </c>
      <c r="G30" t="str">
        <f>INDEX(Table1[Item Description],Table5[[#This Row],[//NOTA]])</f>
        <v>JANGKA (MATH SET) JOYKO MS-55</v>
      </c>
      <c r="H30">
        <f>SUMIF(Table1[H_A1],Sheet5!A30,Table1[Qty])</f>
        <v>77</v>
      </c>
      <c r="I30" t="str">
        <f>INDEX(Table1[Unit],Table5[[#This Row],[//NOTA]])</f>
        <v>LSN</v>
      </c>
      <c r="J30" s="195">
        <f>SUMIF(Table1[H_A1],Sheet5!A30,Table1[C])</f>
        <v>3</v>
      </c>
      <c r="K30" s="195">
        <f>INDEX(Table1[Unit Price],Table5[[#This Row],[//NOTA]])</f>
        <v>88200</v>
      </c>
      <c r="L30" s="86">
        <f>IF(Table5[[#This Row],[a2]]="","",Table5[[#This Row],[QTY]]*12)</f>
        <v>924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171</v>
      </c>
      <c r="B31" s="88"/>
      <c r="C31" s="88"/>
      <c r="E31" s="194">
        <f>MATCH(A31,Table1[H_A1],0)</f>
        <v>13</v>
      </c>
      <c r="F31" s="194">
        <f>MATCH(Table5[[#This Row],[NAMA]],[1]!db[NB PAJAK],0)</f>
        <v>1349</v>
      </c>
      <c r="G31" t="str">
        <f>INDEX(Table1[Item Description],Table5[[#This Row],[//NOTA]])</f>
        <v>LABEL HARGA JOYKO LB-2RL (1 LINE PUTIH)</v>
      </c>
      <c r="H31">
        <f>SUMIF(Table1[H_A1],Sheet5!A31,Table1[Qty])</f>
        <v>2000</v>
      </c>
      <c r="I31" t="str">
        <f>INDEX(Table1[Unit],Table5[[#This Row],[//NOTA]])</f>
        <v>PCS</v>
      </c>
      <c r="J31" s="195">
        <f>SUMIF(Table1[H_A1],Sheet5!A31,Table1[C])</f>
        <v>2</v>
      </c>
      <c r="K31" s="195">
        <f>INDEX(Table1[Unit Price],Table5[[#This Row],[//NOTA]])</f>
        <v>2050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277</v>
      </c>
      <c r="B32" s="88"/>
      <c r="C32" s="88"/>
      <c r="E32" s="194">
        <f>MATCH(A32,Table1[H_A1],0)</f>
        <v>64</v>
      </c>
      <c r="F32" s="194">
        <f>MATCH(Table5[[#This Row],[NAMA]],[1]!db[NB PAJAK],0)</f>
        <v>1349</v>
      </c>
      <c r="G32" t="str">
        <f>INDEX(Table1[Item Description],Table5[[#This Row],[//NOTA]])</f>
        <v>LABEL HARGA JOYKO LB-2RL (1 LINE PUTIH)</v>
      </c>
      <c r="H32">
        <f>SUMIF(Table1[H_A1],Sheet5!A32,Table1[Qty])</f>
        <v>100</v>
      </c>
      <c r="I32" t="str">
        <f>INDEX(Table1[Unit],Table5[[#This Row],[//NOTA]])</f>
        <v>SLOP</v>
      </c>
      <c r="J32" s="195">
        <f>SUMIF(Table1[H_A1],Sheet5!A32,Table1[C])</f>
        <v>1</v>
      </c>
      <c r="K32" s="195">
        <f>INDEX(Table1[Unit Price],Table5[[#This Row],[//NOTA]])</f>
        <v>20500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255</v>
      </c>
      <c r="B33" s="88"/>
      <c r="C33" s="88"/>
      <c r="E33" s="194">
        <f>MATCH(A33,Table1[H_A1],0)</f>
        <v>56</v>
      </c>
      <c r="F33" s="194">
        <f>MATCH(Table5[[#This Row],[NAMA]],[1]!db[NB PAJAK],0)</f>
        <v>1212</v>
      </c>
      <c r="G33" t="str">
        <f>INDEX(Table1[Item Description],Table5[[#This Row],[//NOTA]])</f>
        <v>LEM CAIR 35 ML KENKO LG-35</v>
      </c>
      <c r="H33">
        <f>SUMIF(Table1[H_A1],Sheet5!A33,Table1[Qty])</f>
        <v>40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19800</v>
      </c>
      <c r="L33" s="86">
        <f>IF(Table5[[#This Row],[a2]]="","",Table5[[#This Row],[QTY]]*12)</f>
        <v>480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296</v>
      </c>
      <c r="B34" s="88"/>
      <c r="C34" s="88"/>
      <c r="E34" s="194">
        <f>MATCH(A34,Table1[H_A1],0)</f>
        <v>73</v>
      </c>
      <c r="F34" s="194">
        <f>MATCH(Table5[[#This Row],[NAMA]],[1]!db[NB PAJAK],0)</f>
        <v>1188</v>
      </c>
      <c r="G34" t="str">
        <f>INDEX(Table1[Item Description],Table5[[#This Row],[//NOTA]])</f>
        <v>LEM STICK KENKO 15 GR (TANGGUNG) isi 20 pc</v>
      </c>
      <c r="H34">
        <f>SUMIF(Table1[H_A1],Sheet5!A34,Table1[Qty])</f>
        <v>36</v>
      </c>
      <c r="I34" t="str">
        <f>INDEX(Table1[Unit],Table5[[#This Row],[//NOTA]])</f>
        <v>BOX</v>
      </c>
      <c r="J34" s="195">
        <f>SUMIF(Table1[H_A1],Sheet5!A34,Table1[C])</f>
        <v>1</v>
      </c>
      <c r="K34" s="195">
        <f>INDEX(Table1[Unit Price],Table5[[#This Row],[//NOTA]])</f>
        <v>72000</v>
      </c>
      <c r="L34" s="86" t="str">
        <f>IF(Table5[[#This Row],[a2]]="","",Table5[[#This Row],[QTY]]*12)</f>
        <v/>
      </c>
      <c r="M34" s="86" t="str">
        <f>IF(Table5[[#This Row],[UNIT]]="grs","LSN",IF(Table5[[#This Row],[UNIT]]="LSN","PCS",""))</f>
        <v/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297</v>
      </c>
      <c r="B35" s="88"/>
      <c r="C35" s="88"/>
      <c r="E35" s="194">
        <f>MATCH(A35,Table1[H_A1],0)</f>
        <v>72</v>
      </c>
      <c r="F35" s="194">
        <f>MATCH(Table5[[#This Row],[NAMA]],[1]!db[NB PAJAK],0)</f>
        <v>1190</v>
      </c>
      <c r="G35" t="str">
        <f>INDEX(Table1[Item Description],Table5[[#This Row],[//NOTA]])</f>
        <v>LEM STICK KENKO 8 GR (KECIL) isi 30 pc</v>
      </c>
      <c r="H35">
        <f>SUMIF(Table1[H_A1],Sheet5!A35,Table1[Qty])</f>
        <v>36</v>
      </c>
      <c r="I35" t="str">
        <f>INDEX(Table1[Unit],Table5[[#This Row],[//NOTA]])</f>
        <v>BOX</v>
      </c>
      <c r="J35" s="195">
        <f>SUMIF(Table1[H_A1],Sheet5!A35,Table1[C])</f>
        <v>1</v>
      </c>
      <c r="K35" s="195">
        <f>INDEX(Table1[Unit Price],Table5[[#This Row],[//NOTA]])</f>
        <v>66000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172</v>
      </c>
      <c r="B36" s="88"/>
      <c r="C36" s="88"/>
      <c r="E36" s="194">
        <f>MATCH(A36,Table1[H_A1],0)</f>
        <v>17</v>
      </c>
      <c r="F36" s="194">
        <f>MATCH(Table5[[#This Row],[NAMA]],[1]!db[NB PAJAK],0)</f>
        <v>1256</v>
      </c>
      <c r="G36" t="str">
        <f>INDEX(Table1[Item Description],Table5[[#This Row],[//NOTA]])</f>
        <v>MESIN LABEL HARGA KENKO MX-5500 (8 DIGITS, 1 LINE)</v>
      </c>
      <c r="H36">
        <f>SUMIF(Table1[H_A1],Sheet5!A36,Table1[Qty])</f>
        <v>15</v>
      </c>
      <c r="I36" t="str">
        <f>INDEX(Table1[Unit],Table5[[#This Row],[//NOTA]])</f>
        <v>PCS</v>
      </c>
      <c r="J36" s="195">
        <f>SUMIF(Table1[H_A1],Sheet5!A36,Table1[C])</f>
        <v>0</v>
      </c>
      <c r="K36" s="195">
        <f>INDEX(Table1[Unit Price],Table5[[#This Row],[//NOTA]])</f>
        <v>45000</v>
      </c>
      <c r="L36" s="86" t="str">
        <f>IF(Table5[[#This Row],[a2]]="","",Table5[[#This Row],[QTY]]*12)</f>
        <v/>
      </c>
      <c r="M36" s="86" t="str">
        <f>IF(Table5[[#This Row],[UNIT]]="grs","LSN",IF(Table5[[#This Row],[UNIT]]="LSN","PCS",""))</f>
        <v/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199</v>
      </c>
      <c r="B37" s="88"/>
      <c r="C37" s="88"/>
      <c r="E37" s="194">
        <f>MATCH(A37,Table1[H_A1],0)</f>
        <v>28</v>
      </c>
      <c r="F37" s="194">
        <f>MATCH(Table5[[#This Row],[NAMA]],[1]!db[NB PAJAK],0)</f>
        <v>1625</v>
      </c>
      <c r="G37" t="str">
        <f>INDEX(Table1[Item Description],Table5[[#This Row],[//NOTA]])</f>
        <v>PAPER CLIP WARNA JOYKO C-3100</v>
      </c>
      <c r="H37">
        <f>SUMIF(Table1[H_A1],Sheet5!A37,Table1[Qty])</f>
        <v>24</v>
      </c>
      <c r="I37" t="str">
        <f>INDEX(Table1[Unit],Table5[[#This Row],[//NOTA]])</f>
        <v>LSN</v>
      </c>
      <c r="J37" s="195">
        <f>SUMIF(Table1[H_A1],Sheet5!A37,Table1[C])</f>
        <v>1</v>
      </c>
      <c r="K37" s="195">
        <f>INDEX(Table1[Unit Price],Table5[[#This Row],[//NOTA]])</f>
        <v>37200</v>
      </c>
      <c r="L37" s="86">
        <f>IF(Table5[[#This Row],[a2]]="","",Table5[[#This Row],[QTY]]*12)</f>
        <v>288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298</v>
      </c>
      <c r="B38" s="88"/>
      <c r="C38" s="88"/>
      <c r="E38" s="194">
        <f>MATCH(A38,Table1[H_A1],0)</f>
        <v>71</v>
      </c>
      <c r="F38" s="194">
        <f>MATCH(Table5[[#This Row],[NAMA]],[1]!db[NB PAJAK],0)</f>
        <v>1210</v>
      </c>
      <c r="G38" t="str">
        <f>INDEX(Table1[Item Description],Table5[[#This Row],[//NOTA]])</f>
        <v>PAPER JUMBO CLIP KENKO NO. 5</v>
      </c>
      <c r="H38">
        <f>SUMIF(Table1[H_A1],Sheet5!A38,Table1[Qty])</f>
        <v>400</v>
      </c>
      <c r="I38" t="str">
        <f>INDEX(Table1[Unit],Table5[[#This Row],[//NOTA]])</f>
        <v>PCS</v>
      </c>
      <c r="J38" s="195">
        <f>SUMIF(Table1[H_A1],Sheet5!A38,Table1[C])</f>
        <v>2</v>
      </c>
      <c r="K38" s="195">
        <f>INDEX(Table1[Unit Price],Table5[[#This Row],[//NOTA]])</f>
        <v>4300</v>
      </c>
      <c r="L38" s="86" t="str">
        <f>IF(Table5[[#This Row],[a2]]="","",Table5[[#This Row],[QTY]]*12)</f>
        <v/>
      </c>
      <c r="M38" s="86" t="str">
        <f>IF(Table5[[#This Row],[UNIT]]="grs","LSN",IF(Table5[[#This Row],[UNIT]]="LSN","PCS",""))</f>
        <v/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299</v>
      </c>
      <c r="B39" s="88"/>
      <c r="C39" s="88"/>
      <c r="E39" s="194">
        <f>MATCH(A39,Table1[H_A1],0)</f>
        <v>69</v>
      </c>
      <c r="F39" s="194">
        <f>MATCH(Table5[[#This Row],[NAMA]],[1]!db[NB PAJAK],0)</f>
        <v>1313</v>
      </c>
      <c r="G39" t="str">
        <f>INDEX(Table1[Item Description],Table5[[#This Row],[//NOTA]])</f>
        <v>PAPER TRIGONAL CLIP KENKO NO. 1</v>
      </c>
      <c r="H39">
        <f>SUMIF(Table1[H_A1],Sheet5!A39,Table1[Qty])</f>
        <v>1000</v>
      </c>
      <c r="I39" t="str">
        <f>INDEX(Table1[Unit],Table5[[#This Row],[//NOTA]])</f>
        <v>PCS</v>
      </c>
      <c r="J39" s="195">
        <f>SUMIF(Table1[H_A1],Sheet5!A39,Table1[C])</f>
        <v>2</v>
      </c>
      <c r="K39" s="195">
        <f>INDEX(Table1[Unit Price],Table5[[#This Row],[//NOTA]])</f>
        <v>1700</v>
      </c>
      <c r="L39" s="86" t="str">
        <f>IF(Table5[[#This Row],[a2]]="","",Table5[[#This Row],[QTY]]*12)</f>
        <v/>
      </c>
      <c r="M39" s="86" t="str">
        <f>IF(Table5[[#This Row],[UNIT]]="grs","LSN",IF(Table5[[#This Row],[UNIT]]="LSN","PCS",""))</f>
        <v/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300</v>
      </c>
      <c r="B40" s="88"/>
      <c r="C40" s="88"/>
      <c r="E40" s="194">
        <f>MATCH(A40,Table1[H_A1],0)</f>
        <v>70</v>
      </c>
      <c r="F40" s="194">
        <f>MATCH(Table5[[#This Row],[NAMA]],[1]!db[NB PAJAK],0)</f>
        <v>1312</v>
      </c>
      <c r="G40" t="str">
        <f>INDEX(Table1[Item Description],Table5[[#This Row],[//NOTA]])</f>
        <v>PAPER TRIGONAL CLIP KENKO NO. 3</v>
      </c>
      <c r="H40">
        <f>SUMIF(Table1[H_A1],Sheet5!A40,Table1[Qty])</f>
        <v>1000</v>
      </c>
      <c r="I40" t="str">
        <f>INDEX(Table1[Unit],Table5[[#This Row],[//NOTA]])</f>
        <v>PCS</v>
      </c>
      <c r="J40" s="195">
        <f>SUMIF(Table1[H_A1],Sheet5!A40,Table1[C])</f>
        <v>2</v>
      </c>
      <c r="K40" s="195">
        <f>INDEX(Table1[Unit Price],Table5[[#This Row],[//NOTA]])</f>
        <v>1600</v>
      </c>
      <c r="L40" s="86" t="str">
        <f>IF(Table5[[#This Row],[a2]]="","",Table5[[#This Row],[QTY]]*12)</f>
        <v/>
      </c>
      <c r="M40" s="86" t="str">
        <f>IF(Table5[[#This Row],[UNIT]]="grs","LSN",IF(Table5[[#This Row],[UNIT]]="LSN","PCS",""))</f>
        <v/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250</v>
      </c>
      <c r="B41" s="88"/>
      <c r="C41" s="88"/>
      <c r="E41" s="194">
        <f>MATCH(A41,Table1[H_A1],0)</f>
        <v>52</v>
      </c>
      <c r="F41" s="194">
        <f>MATCH(Table5[[#This Row],[NAMA]],[1]!db[NB PAJAK],0)</f>
        <v>487</v>
      </c>
      <c r="G41" t="str">
        <f>INDEX(Table1[Item Description],Table5[[#This Row],[//NOTA]])</f>
        <v>PENSIL WARNA JOYKO CP-12PB (PANJANG)</v>
      </c>
      <c r="H41">
        <f>SUMIF(Table1[H_A1],Sheet5!A41,Table1[Qty])</f>
        <v>144</v>
      </c>
      <c r="I41" t="str">
        <f>INDEX(Table1[Unit],Table5[[#This Row],[//NOTA]])</f>
        <v>PCS</v>
      </c>
      <c r="J41" s="195">
        <f>SUMIF(Table1[H_A1],Sheet5!A41,Table1[C])</f>
        <v>1</v>
      </c>
      <c r="K41" s="195">
        <f>INDEX(Table1[Unit Price],Table5[[#This Row],[//NOTA]])</f>
        <v>10600</v>
      </c>
      <c r="L41" s="86" t="str">
        <f>IF(Table5[[#This Row],[a2]]="","",Table5[[#This Row],[QTY]]*12)</f>
        <v/>
      </c>
      <c r="M41" s="86" t="str">
        <f>IF(Table5[[#This Row],[UNIT]]="grs","LSN",IF(Table5[[#This Row],[UNIT]]="LSN","PCS",""))</f>
        <v/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173</v>
      </c>
      <c r="B42" s="88"/>
      <c r="C42" s="88"/>
      <c r="E42" s="194">
        <f>MATCH(A42,Table1[H_A1],0)</f>
        <v>16</v>
      </c>
      <c r="F42" s="194">
        <f>MATCH(Table5[[#This Row],[NAMA]],[1]!db[NB PAJAK],0)</f>
        <v>1034</v>
      </c>
      <c r="G42" t="str">
        <f>INDEX(Table1[Item Description],Table5[[#This Row],[//NOTA]])</f>
        <v>PENSIL WARNA KENKO CP-12F CLASSIC (PANJANG)</v>
      </c>
      <c r="H42">
        <f>SUMIF(Table1[H_A1],Sheet5!A42,Table1[Qty])</f>
        <v>48</v>
      </c>
      <c r="I42" t="str">
        <f>INDEX(Table1[Unit],Table5[[#This Row],[//NOTA]])</f>
        <v>LSN</v>
      </c>
      <c r="J42" s="195">
        <f>SUMIF(Table1[H_A1],Sheet5!A42,Table1[C])</f>
        <v>2</v>
      </c>
      <c r="K42" s="195">
        <f>INDEX(Table1[Unit Price],Table5[[#This Row],[//NOTA]])</f>
        <v>124200</v>
      </c>
      <c r="L42" s="86">
        <f>IF(Table5[[#This Row],[a2]]="","",Table5[[#This Row],[QTY]]*12)</f>
        <v>576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217</v>
      </c>
      <c r="B43" s="88"/>
      <c r="C43" s="88"/>
      <c r="E43" s="194">
        <f>MATCH(A43,Table1[H_A1],0)</f>
        <v>36</v>
      </c>
      <c r="F43" s="194">
        <f>MATCH(Table5[[#This Row],[NAMA]],[1]!db[NB PAJAK],0)</f>
        <v>1091</v>
      </c>
      <c r="G43" t="str">
        <f>INDEX(Table1[Item Description],Table5[[#This Row],[//NOTA]])</f>
        <v>PENSIL WARNA KENKO CP-12HALF CLASSIC (PENDEK)</v>
      </c>
      <c r="H43">
        <f>SUMIF(Table1[H_A1],Sheet5!A43,Table1[Qty])</f>
        <v>48</v>
      </c>
      <c r="I43" t="str">
        <f>INDEX(Table1[Unit],Table5[[#This Row],[//NOTA]])</f>
        <v>SET</v>
      </c>
      <c r="J43" s="195">
        <f>SUMIF(Table1[H_A1],Sheet5!A43,Table1[C])</f>
        <v>0</v>
      </c>
      <c r="K43" s="195">
        <f>INDEX(Table1[Unit Price],Table5[[#This Row],[//NOTA]])</f>
        <v>6600</v>
      </c>
      <c r="L43" s="86" t="str">
        <f>IF(Table5[[#This Row],[a2]]="","",Table5[[#This Row],[QTY]]*12)</f>
        <v/>
      </c>
      <c r="M43" s="86" t="str">
        <f>IF(Table5[[#This Row],[UNIT]]="grs","LSN",IF(Table5[[#This Row],[UNIT]]="LSN","PCS",""))</f>
        <v/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240</v>
      </c>
      <c r="B44" s="88"/>
      <c r="C44" s="88"/>
      <c r="E44" s="194">
        <f>MATCH(A44,Table1[H_A1],0)</f>
        <v>39</v>
      </c>
      <c r="F44" s="194">
        <f>MATCH(Table5[[#This Row],[NAMA]],[1]!db[NB PAJAK],0)</f>
        <v>1886</v>
      </c>
      <c r="G44" t="str">
        <f>INDEX(Table1[Item Description],Table5[[#This Row],[//NOTA]])</f>
        <v>PUNCH JOYKO 30</v>
      </c>
      <c r="H44">
        <f>SUMIF(Table1[H_A1],Sheet5!A44,Table1[Qty])</f>
        <v>1</v>
      </c>
      <c r="I44" t="str">
        <f>INDEX(Table1[Unit],Table5[[#This Row],[//NOTA]])</f>
        <v>LSN</v>
      </c>
      <c r="J44" s="195">
        <f>SUMIF(Table1[H_A1],Sheet5!A44,Table1[C])</f>
        <v>0</v>
      </c>
      <c r="K44" s="195">
        <f>INDEX(Table1[Unit Price],Table5[[#This Row],[//NOTA]])</f>
        <v>139200</v>
      </c>
      <c r="L44" s="86">
        <f>IF(Table5[[#This Row],[a2]]="","",Table5[[#This Row],[QTY]]*12)</f>
        <v>12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241</v>
      </c>
      <c r="B45" s="88"/>
      <c r="C45" s="88"/>
      <c r="E45" s="194">
        <f>MATCH(A45,Table1[H_A1],0)</f>
        <v>40</v>
      </c>
      <c r="F45" s="194">
        <f>MATCH(Table5[[#This Row],[NAMA]],[1]!db[NB PAJAK],0)</f>
        <v>1263</v>
      </c>
      <c r="G45" t="str">
        <f>INDEX(Table1[Item Description],Table5[[#This Row],[//NOTA]])</f>
        <v>PUNCH KENKO NO. 85</v>
      </c>
      <c r="H45">
        <f>SUMIF(Table1[H_A1],Sheet5!A45,Table1[Qty])</f>
        <v>12</v>
      </c>
      <c r="I45" t="str">
        <f>INDEX(Table1[Unit],Table5[[#This Row],[//NOTA]])</f>
        <v>PCS</v>
      </c>
      <c r="J45" s="195">
        <f>SUMIF(Table1[H_A1],Sheet5!A45,Table1[C])</f>
        <v>0</v>
      </c>
      <c r="K45" s="195">
        <f>INDEX(Table1[Unit Price],Table5[[#This Row],[//NOTA]])</f>
        <v>48500</v>
      </c>
      <c r="L45" s="86" t="str">
        <f>IF(Table5[[#This Row],[a2]]="","",Table5[[#This Row],[QTY]]*12)</f>
        <v/>
      </c>
      <c r="M45" s="86" t="str">
        <f>IF(Table5[[#This Row],[UNIT]]="grs","LSN",IF(Table5[[#This Row],[UNIT]]="LSN","PCS",""))</f>
        <v/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222</v>
      </c>
      <c r="B46" s="88"/>
      <c r="C46" s="88"/>
      <c r="E46" s="194">
        <f>MATCH(A46,Table1[H_A1],0)</f>
        <v>31</v>
      </c>
      <c r="F46" s="194">
        <f>MATCH(Table5[[#This Row],[NAMA]],[1]!db[NB PAJAK],0)</f>
        <v>1267</v>
      </c>
      <c r="G46" t="str">
        <f>INDEX(Table1[Item Description],Table5[[#This Row],[//NOTA]])</f>
        <v>PUSH PIN KENKO PN-30 TRANSPARAN</v>
      </c>
      <c r="H46">
        <f>SUMIF(Table1[H_A1],Sheet5!A46,Table1[Qty])</f>
        <v>1</v>
      </c>
      <c r="I46" t="str">
        <f>INDEX(Table1[Unit],Table5[[#This Row],[//NOTA]])</f>
        <v>LSN</v>
      </c>
      <c r="J46" s="195">
        <f>SUMIF(Table1[H_A1],Sheet5!A46,Table1[C])</f>
        <v>0</v>
      </c>
      <c r="K46" s="195">
        <f>INDEX(Table1[Unit Price],Table5[[#This Row],[//NOTA]])</f>
        <v>33000</v>
      </c>
      <c r="L46" s="86">
        <f>IF(Table5[[#This Row],[a2]]="","",Table5[[#This Row],[QTY]]*12)</f>
        <v>12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242</v>
      </c>
      <c r="B47" s="88"/>
      <c r="C47" s="88"/>
      <c r="E47" s="194">
        <f>MATCH(A47,Table1[H_A1],0)</f>
        <v>42</v>
      </c>
      <c r="F47" s="194" t="e">
        <f>MATCH(Table5[[#This Row],[NAMA]],[1]!db[NB PAJAK],0)</f>
        <v>#N/A</v>
      </c>
      <c r="G47" t="str">
        <f>INDEX(Table1[Item Description],Table5[[#This Row],[//NOTA]])</f>
        <v>Stabillo Highlighter JK HL MIX BIRU/ HIJAU</v>
      </c>
      <c r="H47">
        <f>SUMIF(Table1[H_A1],Sheet5!A47,Table1[Qty])</f>
        <v>100</v>
      </c>
      <c r="I47" t="str">
        <f>INDEX(Table1[Unit],Table5[[#This Row],[//NOTA]])</f>
        <v>PCS</v>
      </c>
      <c r="J47" s="195">
        <f>SUMIF(Table1[H_A1],Sheet5!A47,Table1[C])</f>
        <v>0</v>
      </c>
      <c r="K47" s="195">
        <f>INDEX(Table1[Unit Price],Table5[[#This Row],[//NOTA]])</f>
        <v>3700</v>
      </c>
      <c r="L47" s="86" t="str">
        <f>IF(Table5[[#This Row],[a2]]="","",Table5[[#This Row],[QTY]]*12)</f>
        <v/>
      </c>
      <c r="M47" s="86" t="str">
        <f>IF(Table5[[#This Row],[UNIT]]="grs","LSN",IF(Table5[[#This Row],[UNIT]]="LSN","PCS",""))</f>
        <v/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218</v>
      </c>
      <c r="B48" s="88"/>
      <c r="C48" s="88"/>
      <c r="E48" s="194">
        <f>MATCH(A48,Table1[H_A1],0)</f>
        <v>32</v>
      </c>
      <c r="F48" s="194">
        <f>MATCH(Table5[[#This Row],[NAMA]],[1]!db[NB PAJAK],0)</f>
        <v>1287</v>
      </c>
      <c r="G48" t="str">
        <f>INDEX(Table1[Item Description],Table5[[#This Row],[//NOTA]])</f>
        <v>STAMP PAD KENKO NO. 0</v>
      </c>
      <c r="H48">
        <f>SUMIF(Table1[H_A1],Sheet5!A48,Table1[Qty])</f>
        <v>10</v>
      </c>
      <c r="I48" t="str">
        <f>INDEX(Table1[Unit],Table5[[#This Row],[//NOTA]])</f>
        <v>LSN</v>
      </c>
      <c r="J48" s="195">
        <f>SUMIF(Table1[H_A1],Sheet5!A48,Table1[C])</f>
        <v>0</v>
      </c>
      <c r="K48" s="195">
        <f>INDEX(Table1[Unit Price],Table5[[#This Row],[//NOTA]])</f>
        <v>59400</v>
      </c>
      <c r="L48" s="86">
        <f>IF(Table5[[#This Row],[a2]]="","",Table5[[#This Row],[QTY]]*12)</f>
        <v>120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219</v>
      </c>
      <c r="B49" s="88"/>
      <c r="C49" s="88"/>
      <c r="E49" s="194">
        <f>MATCH(A49,Table1[H_A1],0)</f>
        <v>33</v>
      </c>
      <c r="F49" s="194">
        <f>MATCH(Table5[[#This Row],[NAMA]],[1]!db[NB PAJAK],0)</f>
        <v>1285</v>
      </c>
      <c r="G49" t="str">
        <f>INDEX(Table1[Item Description],Table5[[#This Row],[//NOTA]])</f>
        <v>STAMP PLATE NUMBER KENKO N-38 (Cap Nomer)</v>
      </c>
      <c r="H49">
        <f>SUMIF(Table1[H_A1],Sheet5!A49,Table1[Qty])</f>
        <v>8</v>
      </c>
      <c r="I49" t="str">
        <f>INDEX(Table1[Unit],Table5[[#This Row],[//NOTA]])</f>
        <v>LSN</v>
      </c>
      <c r="J49" s="195">
        <f>SUMIF(Table1[H_A1],Sheet5!A49,Table1[C])</f>
        <v>0</v>
      </c>
      <c r="K49" s="195">
        <f>INDEX(Table1[Unit Price],Table5[[#This Row],[//NOTA]])</f>
        <v>84000</v>
      </c>
      <c r="L49" s="86">
        <f>IF(Table5[[#This Row],[a2]]="","",Table5[[#This Row],[QTY]]*12)</f>
        <v>96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147</v>
      </c>
      <c r="B50" s="88"/>
      <c r="C50" s="88"/>
      <c r="E50" s="194">
        <f>MATCH(A50,Table1[H_A1],0)</f>
        <v>10</v>
      </c>
      <c r="F50" s="194">
        <f>MATCH(Table5[[#This Row],[NAMA]],[1]!db[NB PAJAK],0)</f>
        <v>1293</v>
      </c>
      <c r="G50" t="str">
        <f>INDEX(Table1[Item Description],Table5[[#This Row],[//NOTA]])</f>
        <v>STAPLER KENKO HD-10D</v>
      </c>
      <c r="H50">
        <f>SUMIF(Table1[H_A1],Sheet5!A50,Table1[Qty])</f>
        <v>40</v>
      </c>
      <c r="I50" t="str">
        <f>INDEX(Table1[Unit],Table5[[#This Row],[//NOTA]])</f>
        <v>LS</v>
      </c>
      <c r="J50" s="195">
        <f>SUMIF(Table1[H_A1],Sheet5!A50,Table1[C])</f>
        <v>0</v>
      </c>
      <c r="K50" s="195">
        <f>INDEX(Table1[Unit Price],Table5[[#This Row],[//NOTA]])</f>
        <v>117600</v>
      </c>
      <c r="L50" s="86" t="str">
        <f>IF(Table5[[#This Row],[a2]]="","",Table5[[#This Row],[QTY]]*12)</f>
        <v/>
      </c>
      <c r="M50" s="86" t="str">
        <f>IF(Table5[[#This Row],[UNIT]]="grs","LSN",IF(Table5[[#This Row],[UNIT]]="LSN","PCS",""))</f>
        <v/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148</v>
      </c>
      <c r="B51" s="88"/>
      <c r="C51" s="88"/>
      <c r="E51" s="194">
        <f>MATCH(A51,Table1[H_A1],0)</f>
        <v>9</v>
      </c>
      <c r="F51" s="194">
        <f>MATCH(Table5[[#This Row],[NAMA]],[1]!db[NB PAJAK],0)</f>
        <v>1292</v>
      </c>
      <c r="G51" t="str">
        <f>INDEX(Table1[Item Description],Table5[[#This Row],[//NOTA]])</f>
        <v>STAPLER KENKO HD-10</v>
      </c>
      <c r="H51">
        <f>SUMIF(Table1[H_A1],Sheet5!A51,Table1[Qty])</f>
        <v>60</v>
      </c>
      <c r="I51" t="str">
        <f>INDEX(Table1[Unit],Table5[[#This Row],[//NOTA]])</f>
        <v>LS</v>
      </c>
      <c r="J51" s="195">
        <f>SUMIF(Table1[H_A1],Sheet5!A51,Table1[C])</f>
        <v>0</v>
      </c>
      <c r="K51" s="195">
        <f>INDEX(Table1[Unit Price],Table5[[#This Row],[//NOTA]])</f>
        <v>93000</v>
      </c>
      <c r="L51" s="86" t="str">
        <f>IF(Table5[[#This Row],[a2]]="","",Table5[[#This Row],[QTY]]*12)</f>
        <v/>
      </c>
      <c r="M51" s="86" t="str">
        <f>IF(Table5[[#This Row],[UNIT]]="grs","LSN",IF(Table5[[#This Row],[UNIT]]="LSN","PCS",""))</f>
        <v/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301</v>
      </c>
      <c r="B52" s="88"/>
      <c r="C52" s="88"/>
      <c r="E52" s="194">
        <f>MATCH(A52,Table1[H_A1],0)</f>
        <v>76</v>
      </c>
      <c r="F52" s="194">
        <f>MATCH(Table5[[#This Row],[NAMA]],[1]!db[NB PAJAK],0)</f>
        <v>1292</v>
      </c>
      <c r="G52" t="str">
        <f>INDEX(Table1[Item Description],Table5[[#This Row],[//NOTA]])</f>
        <v>STAPLER KENKO HD-10</v>
      </c>
      <c r="H52">
        <f>SUMIF(Table1[H_A1],Sheet5!A52,Table1[Qty])</f>
        <v>20</v>
      </c>
      <c r="I52" t="str">
        <f>INDEX(Table1[Unit],Table5[[#This Row],[//NOTA]])</f>
        <v>LSN</v>
      </c>
      <c r="J52" s="195">
        <f>SUMIF(Table1[H_A1],Sheet5!A52,Table1[C])</f>
        <v>1</v>
      </c>
      <c r="K52" s="195">
        <f>INDEX(Table1[Unit Price],Table5[[#This Row],[//NOTA]])</f>
        <v>93000</v>
      </c>
      <c r="L52" s="86">
        <f>IF(Table5[[#This Row],[a2]]="","",Table5[[#This Row],[QTY]]*12)</f>
        <v>240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149</v>
      </c>
      <c r="B53" s="88"/>
      <c r="C53" s="88"/>
      <c r="E53" s="194">
        <f>MATCH(A53,Table1[H_A1],0)</f>
        <v>8</v>
      </c>
      <c r="F53" s="194">
        <f>MATCH(Table5[[#This Row],[NAMA]],[1]!db[NB PAJAK],0)</f>
        <v>1298</v>
      </c>
      <c r="G53" t="str">
        <f>INDEX(Table1[Item Description],Table5[[#This Row],[//NOTA]])</f>
        <v>STAPLER KENKO HD-50</v>
      </c>
      <c r="H53">
        <f>SUMIF(Table1[H_A1],Sheet5!A53,Table1[Qty])</f>
        <v>10</v>
      </c>
      <c r="I53" t="str">
        <f>INDEX(Table1[Unit],Table5[[#This Row],[//NOTA]])</f>
        <v>LS</v>
      </c>
      <c r="J53" s="195">
        <f>SUMIF(Table1[H_A1],Sheet5!A53,Table1[C])</f>
        <v>0</v>
      </c>
      <c r="K53" s="195">
        <f>INDEX(Table1[Unit Price],Table5[[#This Row],[//NOTA]])</f>
        <v>228000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302</v>
      </c>
      <c r="B54" s="88"/>
      <c r="C54" s="88"/>
      <c r="E54" s="194">
        <f>MATCH(A54,Table1[H_A1],0)</f>
        <v>77</v>
      </c>
      <c r="F54" s="194">
        <f>MATCH(Table5[[#This Row],[NAMA]],[1]!db[NB PAJAK],0)</f>
        <v>1298</v>
      </c>
      <c r="G54" t="str">
        <f>INDEX(Table1[Item Description],Table5[[#This Row],[//NOTA]])</f>
        <v>STAPLER KENKO HD-50</v>
      </c>
      <c r="H54">
        <f>SUMIF(Table1[H_A1],Sheet5!A54,Table1[Qty])</f>
        <v>10</v>
      </c>
      <c r="I54" t="str">
        <f>INDEX(Table1[Unit],Table5[[#This Row],[//NOTA]])</f>
        <v>LSN</v>
      </c>
      <c r="J54" s="195">
        <f>SUMIF(Table1[H_A1],Sheet5!A54,Table1[C])</f>
        <v>1</v>
      </c>
      <c r="K54" s="195">
        <f>INDEX(Table1[Unit Price],Table5[[#This Row],[//NOTA]])</f>
        <v>228000</v>
      </c>
      <c r="L54" s="86">
        <f>IF(Table5[[#This Row],[a2]]="","",Table5[[#This Row],[QTY]]*12)</f>
        <v>120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194</v>
      </c>
      <c r="B55" s="88"/>
      <c r="C55" s="88"/>
      <c r="E55" s="194">
        <f>MATCH(A55,Table1[H_A1],0)</f>
        <v>26</v>
      </c>
      <c r="F55" s="194">
        <f>MATCH(Table5[[#This Row],[NAMA]],[1]!db[NB PAJAK],0)</f>
        <v>1398</v>
      </c>
      <c r="G55" t="str">
        <f>INDEX(Table1[Item Description],Table5[[#This Row],[//NOTA]])</f>
        <v>STAPLER LONG REACH JOYKO HD-35LA</v>
      </c>
      <c r="H55">
        <f>SUMIF(Table1[H_A1],Sheet5!A55,Table1[Qty])</f>
        <v>36</v>
      </c>
      <c r="I55" t="str">
        <f>INDEX(Table1[Unit],Table5[[#This Row],[//NOTA]])</f>
        <v>PCS</v>
      </c>
      <c r="J55" s="195">
        <f>SUMIF(Table1[H_A1],Sheet5!A55,Table1[C])</f>
        <v>1</v>
      </c>
      <c r="K55" s="195">
        <f>INDEX(Table1[Unit Price],Table5[[#This Row],[//NOTA]])</f>
        <v>58000</v>
      </c>
      <c r="L55" s="86" t="str">
        <f>IF(Table5[[#This Row],[a2]]="","",Table5[[#This Row],[QTY]]*12)</f>
        <v/>
      </c>
      <c r="M55" s="86" t="str">
        <f>IF(Table5[[#This Row],[UNIT]]="grs","LSN",IF(Table5[[#This Row],[UNIT]]="LSN","PCS",""))</f>
        <v/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195</v>
      </c>
      <c r="B56" s="88"/>
      <c r="C56" s="88"/>
      <c r="E56" s="194">
        <f>MATCH(A56,Table1[H_A1],0)</f>
        <v>25</v>
      </c>
      <c r="F56" s="194">
        <f>MATCH(Table5[[#This Row],[NAMA]],[1]!db[NB PAJAK],0)</f>
        <v>2025</v>
      </c>
      <c r="G56" t="str">
        <f>INDEX(Table1[Item Description],Table5[[#This Row],[//NOTA]])</f>
        <v>TAPE CUTTER JOYKO TD-102</v>
      </c>
      <c r="H56">
        <f>SUMIF(Table1[H_A1],Sheet5!A56,Table1[Qty])</f>
        <v>48</v>
      </c>
      <c r="I56" t="str">
        <f>INDEX(Table1[Unit],Table5[[#This Row],[//NOTA]])</f>
        <v>LSN</v>
      </c>
      <c r="J56" s="195">
        <f>SUMIF(Table1[H_A1],Sheet5!A56,Table1[C])</f>
        <v>2</v>
      </c>
      <c r="K56" s="195">
        <f>INDEX(Table1[Unit Price],Table5[[#This Row],[//NOTA]])</f>
        <v>11100</v>
      </c>
      <c r="L56" s="86">
        <f>IF(Table5[[#This Row],[a2]]="","",Table5[[#This Row],[QTY]]*12)</f>
        <v>576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55</v>
      </c>
      <c r="B57" s="88"/>
      <c r="C57" s="88"/>
      <c r="E57" s="194" t="e">
        <f>MATCH(A57,Table1[H_A1],0)</f>
        <v>#N/A</v>
      </c>
      <c r="F57" s="194" t="e">
        <f>MATCH(Table5[[#This Row],[NAMA]],[1]!db[NB PAJAK],0)</f>
        <v>#N/A</v>
      </c>
      <c r="G57" t="e">
        <f>INDEX(Table1[Item Description],Table5[[#This Row],[//NOTA]])</f>
        <v>#N/A</v>
      </c>
      <c r="H57">
        <f>SUMIF(Table1[H_A1],Sheet5!A57,Table1[Qty])</f>
        <v>0</v>
      </c>
      <c r="I57" t="e">
        <f>INDEX(Table1[Unit],Table5[[#This Row],[//NOTA]])</f>
        <v>#N/A</v>
      </c>
      <c r="J57" s="195">
        <f>SUMIF(Table1[H_A1],Sheet5!A57,Table1[C])</f>
        <v>0</v>
      </c>
      <c r="K57" s="195" t="e">
        <f>INDEX(Table1[Unit Price],Table5[[#This Row],[//NOTA]])</f>
        <v>#N/A</v>
      </c>
      <c r="L57" s="86" t="e">
        <f>IF(Table5[[#This Row],[a2]]="","",Table5[[#This Row],[QTY]]*12)</f>
        <v>#N/A</v>
      </c>
      <c r="M57" s="86" t="e">
        <f>IF(Table5[[#This Row],[UNIT]]="grs","LSN",IF(Table5[[#This Row],[UNIT]]="LSN","PCS",""))</f>
        <v>#N/A</v>
      </c>
      <c r="N57" s="86" t="e">
        <f>IF(Table5[[#This Row],[a2]]="LSN",Table5[[#This Row],[a1]]*12,"")</f>
        <v>#N/A</v>
      </c>
      <c r="O57" s="86" t="e">
        <f>IF(Table5[[#This Row],[b1]]="","","PCS")</f>
        <v>#N/A</v>
      </c>
      <c r="P57" s="86"/>
    </row>
    <row r="58" spans="1:16" x14ac:dyDescent="0.25">
      <c r="B58" s="88"/>
      <c r="C58" s="88"/>
      <c r="E58" s="194" t="e">
        <f>MATCH(A58,Table1[H_A1],0)</f>
        <v>#N/A</v>
      </c>
      <c r="F58" s="194" t="e">
        <f>MATCH(Table5[[#This Row],[NAMA]],[1]!db[NB PAJAK],0)</f>
        <v>#N/A</v>
      </c>
      <c r="G58" t="e">
        <f>INDEX(Table1[Item Description],Table5[[#This Row],[//NOTA]])</f>
        <v>#N/A</v>
      </c>
      <c r="H58">
        <f>SUMIF(Table1[H_A1],Sheet5!A58,Table1[Qty])</f>
        <v>0</v>
      </c>
      <c r="I58" t="e">
        <f>INDEX(Table1[Unit],Table5[[#This Row],[//NOTA]])</f>
        <v>#N/A</v>
      </c>
      <c r="J58" s="195">
        <f>SUMIF(Table1[H_A1],Sheet5!A58,Table1[C])</f>
        <v>0</v>
      </c>
      <c r="K58" s="195" t="e">
        <f>INDEX(Table1[Unit Price],Table5[[#This Row],[//NOTA]])</f>
        <v>#N/A</v>
      </c>
      <c r="L58" s="86" t="e">
        <f>IF(Table5[[#This Row],[a2]]="","",Table5[[#This Row],[QTY]]*12)</f>
        <v>#N/A</v>
      </c>
      <c r="M58" s="86" t="e">
        <f>IF(Table5[[#This Row],[UNIT]]="grs","LSN",IF(Table5[[#This Row],[UNIT]]="LSN","PCS",""))</f>
        <v>#N/A</v>
      </c>
      <c r="N58" s="86" t="e">
        <f>IF(Table5[[#This Row],[a2]]="LSN",Table5[[#This Row],[a1]]*12,"")</f>
        <v>#N/A</v>
      </c>
      <c r="O58" s="86" t="e">
        <f>IF(Table5[[#This Row],[b1]]="","","PCS")</f>
        <v>#N/A</v>
      </c>
      <c r="P58" s="86"/>
    </row>
    <row r="59" spans="1:16" x14ac:dyDescent="0.25">
      <c r="B59" s="88"/>
      <c r="C59" s="88"/>
      <c r="E59" s="194" t="e">
        <f>MATCH(A59,Table1[H_A1],0)</f>
        <v>#N/A</v>
      </c>
      <c r="F59" s="194" t="e">
        <f>MATCH(Table5[[#This Row],[NAMA]],[1]!db[NB PAJAK],0)</f>
        <v>#N/A</v>
      </c>
      <c r="G59" t="e">
        <f>INDEX(Table1[Item Description],Table5[[#This Row],[//NOTA]])</f>
        <v>#N/A</v>
      </c>
      <c r="H59">
        <f>SUMIF(Table1[H_A1],Sheet5!A59,Table1[Qty])</f>
        <v>0</v>
      </c>
      <c r="I59" t="e">
        <f>INDEX(Table1[Unit],Table5[[#This Row],[//NOTA]])</f>
        <v>#N/A</v>
      </c>
      <c r="J59" s="195">
        <f>SUMIF(Table1[H_A1],Sheet5!A59,Table1[C])</f>
        <v>0</v>
      </c>
      <c r="K59" s="195" t="e">
        <f>INDEX(Table1[Unit Price],Table5[[#This Row],[//NOTA]])</f>
        <v>#N/A</v>
      </c>
      <c r="L59" s="86" t="e">
        <f>IF(Table5[[#This Row],[a2]]="","",Table5[[#This Row],[QTY]]*12)</f>
        <v>#N/A</v>
      </c>
      <c r="M59" s="86" t="e">
        <f>IF(Table5[[#This Row],[UNIT]]="grs","LSN",IF(Table5[[#This Row],[UNIT]]="LSN","PCS",""))</f>
        <v>#N/A</v>
      </c>
      <c r="N59" s="86" t="e">
        <f>IF(Table5[[#This Row],[a2]]="LSN",Table5[[#This Row],[a1]]*12,"")</f>
        <v>#N/A</v>
      </c>
      <c r="O59" s="86" t="e">
        <f>IF(Table5[[#This Row],[b1]]="","","PCS")</f>
        <v>#N/A</v>
      </c>
      <c r="P59" s="86"/>
    </row>
    <row r="60" spans="1:16" x14ac:dyDescent="0.25">
      <c r="B60" s="88"/>
      <c r="C60" s="88"/>
      <c r="E60" s="194" t="e">
        <f>MATCH(A60,Table1[H_A1],0)</f>
        <v>#N/A</v>
      </c>
      <c r="F60" s="194" t="e">
        <f>MATCH(Table5[[#This Row],[NAMA]],[1]!db[NB PAJAK],0)</f>
        <v>#N/A</v>
      </c>
      <c r="G60" t="e">
        <f>INDEX(Table1[Item Description],Table5[[#This Row],[//NOTA]])</f>
        <v>#N/A</v>
      </c>
      <c r="H60">
        <f>SUMIF(Table1[H_A1],Sheet5!A60,Table1[Qty])</f>
        <v>0</v>
      </c>
      <c r="I60" t="e">
        <f>INDEX(Table1[Unit],Table5[[#This Row],[//NOTA]])</f>
        <v>#N/A</v>
      </c>
      <c r="J60" s="195">
        <f>SUMIF(Table1[H_A1],Sheet5!A60,Table1[C])</f>
        <v>0</v>
      </c>
      <c r="K60" s="195" t="e">
        <f>INDEX(Table1[Unit Price],Table5[[#This Row],[//NOTA]])</f>
        <v>#N/A</v>
      </c>
      <c r="L60" s="86" t="e">
        <f>IF(Table5[[#This Row],[a2]]="","",Table5[[#This Row],[QTY]]*12)</f>
        <v>#N/A</v>
      </c>
      <c r="M60" s="86" t="e">
        <f>IF(Table5[[#This Row],[UNIT]]="grs","LSN",IF(Table5[[#This Row],[UNIT]]="LSN","PCS",""))</f>
        <v>#N/A</v>
      </c>
      <c r="N60" s="86" t="e">
        <f>IF(Table5[[#This Row],[a2]]="LSN",Table5[[#This Row],[a1]]*12,"")</f>
        <v>#N/A</v>
      </c>
      <c r="O60" s="86" t="e">
        <f>IF(Table5[[#This Row],[b1]]="","","PCS")</f>
        <v>#N/A</v>
      </c>
      <c r="P60" s="86"/>
    </row>
    <row r="61" spans="1:16" x14ac:dyDescent="0.25">
      <c r="B61" s="88"/>
      <c r="C61" s="88"/>
      <c r="E61" s="194" t="e">
        <f>MATCH(A61,Table1[H_A1],0)</f>
        <v>#N/A</v>
      </c>
      <c r="F61" s="194" t="e">
        <f>MATCH(Table5[[#This Row],[NAMA]],[1]!db[NB PAJAK],0)</f>
        <v>#N/A</v>
      </c>
      <c r="G61" t="e">
        <f>INDEX(Table1[Item Description],Table5[[#This Row],[//NOTA]])</f>
        <v>#N/A</v>
      </c>
      <c r="H61">
        <f>SUMIF(Table1[H_A1],Sheet5!A61,Table1[Qty])</f>
        <v>0</v>
      </c>
      <c r="I61" t="e">
        <f>INDEX(Table1[Unit],Table5[[#This Row],[//NOTA]])</f>
        <v>#N/A</v>
      </c>
      <c r="J61" s="195">
        <f>SUMIF(Table1[H_A1],Sheet5!A61,Table1[C])</f>
        <v>0</v>
      </c>
      <c r="K61" s="195" t="e">
        <f>INDEX(Table1[Unit Price],Table5[[#This Row],[//NOTA]])</f>
        <v>#N/A</v>
      </c>
      <c r="L61" s="86" t="e">
        <f>IF(Table5[[#This Row],[a2]]="","",Table5[[#This Row],[QTY]]*12)</f>
        <v>#N/A</v>
      </c>
      <c r="M61" s="86" t="e">
        <f>IF(Table5[[#This Row],[UNIT]]="grs","LSN",IF(Table5[[#This Row],[UNIT]]="LSN","PCS",""))</f>
        <v>#N/A</v>
      </c>
      <c r="N61" s="86" t="e">
        <f>IF(Table5[[#This Row],[a2]]="LSN",Table5[[#This Row],[a1]]*12,"")</f>
        <v>#N/A</v>
      </c>
      <c r="O61" s="86" t="e">
        <f>IF(Table5[[#This Row],[b1]]="","","PCS")</f>
        <v>#N/A</v>
      </c>
      <c r="P61" s="86"/>
    </row>
    <row r="62" spans="1:16" x14ac:dyDescent="0.25">
      <c r="B62" s="88"/>
      <c r="C62" s="88"/>
      <c r="E62" s="194" t="e">
        <f>MATCH(A62,Table1[H_A1],0)</f>
        <v>#N/A</v>
      </c>
      <c r="F62" s="194" t="e">
        <f>MATCH(Table5[[#This Row],[NAMA]],[1]!db[NB PAJAK],0)</f>
        <v>#N/A</v>
      </c>
      <c r="G62" t="e">
        <f>INDEX(Table1[Item Description],Table5[[#This Row],[//NOTA]])</f>
        <v>#N/A</v>
      </c>
      <c r="H62">
        <f>SUMIF(Table1[H_A1],Sheet5!A62,Table1[Qty])</f>
        <v>0</v>
      </c>
      <c r="I62" t="e">
        <f>INDEX(Table1[Unit],Table5[[#This Row],[//NOTA]])</f>
        <v>#N/A</v>
      </c>
      <c r="J62" s="195">
        <f>SUMIF(Table1[H_A1],Sheet5!A62,Table1[C])</f>
        <v>0</v>
      </c>
      <c r="K62" s="195" t="e">
        <f>INDEX(Table1[Unit Price],Table5[[#This Row],[//NOTA]])</f>
        <v>#N/A</v>
      </c>
      <c r="L62" s="86" t="e">
        <f>IF(Table5[[#This Row],[a2]]="","",Table5[[#This Row],[QTY]]*12)</f>
        <v>#N/A</v>
      </c>
      <c r="M62" s="86" t="e">
        <f>IF(Table5[[#This Row],[UNIT]]="grs","LSN",IF(Table5[[#This Row],[UNIT]]="LSN","PCS",""))</f>
        <v>#N/A</v>
      </c>
      <c r="N62" s="86" t="e">
        <f>IF(Table5[[#This Row],[a2]]="LSN",Table5[[#This Row],[a1]]*12,"")</f>
        <v>#N/A</v>
      </c>
      <c r="O62" s="86" t="e">
        <f>IF(Table5[[#This Row],[b1]]="","","PCS")</f>
        <v>#N/A</v>
      </c>
      <c r="P62" s="86"/>
    </row>
    <row r="63" spans="1:16" x14ac:dyDescent="0.25">
      <c r="B63" s="88"/>
      <c r="C63" s="88"/>
      <c r="E63" s="194" t="e">
        <f>MATCH(A63,Table1[H_A1],0)</f>
        <v>#N/A</v>
      </c>
      <c r="F63" s="194" t="e">
        <f>MATCH(Table5[[#This Row],[NAMA]],[1]!db[NB PAJAK],0)</f>
        <v>#N/A</v>
      </c>
      <c r="G63" t="e">
        <f>INDEX(Table1[Item Description],Table5[[#This Row],[//NOTA]])</f>
        <v>#N/A</v>
      </c>
      <c r="H63">
        <f>SUMIF(Table1[H_A1],Sheet5!A63,Table1[Qty])</f>
        <v>0</v>
      </c>
      <c r="I63" t="e">
        <f>INDEX(Table1[Unit],Table5[[#This Row],[//NOTA]])</f>
        <v>#N/A</v>
      </c>
      <c r="J63" s="195">
        <f>SUMIF(Table1[H_A1],Sheet5!A63,Table1[C])</f>
        <v>0</v>
      </c>
      <c r="K63" s="195" t="e">
        <f>INDEX(Table1[Unit Price],Table5[[#This Row],[//NOTA]])</f>
        <v>#N/A</v>
      </c>
      <c r="L63" s="86" t="e">
        <f>IF(Table5[[#This Row],[a2]]="","",Table5[[#This Row],[QTY]]*12)</f>
        <v>#N/A</v>
      </c>
      <c r="M63" s="86" t="e">
        <f>IF(Table5[[#This Row],[UNIT]]="grs","LSN",IF(Table5[[#This Row],[UNIT]]="LSN","PCS",""))</f>
        <v>#N/A</v>
      </c>
      <c r="N63" s="86" t="e">
        <f>IF(Table5[[#This Row],[a2]]="LSN",Table5[[#This Row],[a1]]*12,"")</f>
        <v>#N/A</v>
      </c>
      <c r="O63" s="86" t="e">
        <f>IF(Table5[[#This Row],[b1]]="","","PCS")</f>
        <v>#N/A</v>
      </c>
      <c r="P63" s="86"/>
    </row>
    <row r="64" spans="1:16" x14ac:dyDescent="0.25">
      <c r="B64" s="88"/>
      <c r="C64" s="88"/>
      <c r="E64" s="194" t="e">
        <f>MATCH(A64,Table1[H_A1],0)</f>
        <v>#N/A</v>
      </c>
      <c r="F64" s="194" t="e">
        <f>MATCH(Table5[[#This Row],[NAMA]],[1]!db[NB PAJAK],0)</f>
        <v>#N/A</v>
      </c>
      <c r="G64" t="e">
        <f>INDEX(Table1[Item Description],Table5[[#This Row],[//NOTA]])</f>
        <v>#N/A</v>
      </c>
      <c r="H64">
        <f>SUMIF(Table1[H_A1],Sheet5!A64,Table1[Qty])</f>
        <v>0</v>
      </c>
      <c r="I64" t="e">
        <f>INDEX(Table1[Unit],Table5[[#This Row],[//NOTA]])</f>
        <v>#N/A</v>
      </c>
      <c r="J64" s="195">
        <f>SUMIF(Table1[H_A1],Sheet5!A64,Table1[C])</f>
        <v>0</v>
      </c>
      <c r="K64" s="195" t="e">
        <f>INDEX(Table1[Unit Price],Table5[[#This Row],[//NOTA]])</f>
        <v>#N/A</v>
      </c>
      <c r="L64" s="86" t="e">
        <f>IF(Table5[[#This Row],[a2]]="","",Table5[[#This Row],[QTY]]*12)</f>
        <v>#N/A</v>
      </c>
      <c r="M64" s="86" t="e">
        <f>IF(Table5[[#This Row],[UNIT]]="grs","LSN",IF(Table5[[#This Row],[UNIT]]="LSN","PCS",""))</f>
        <v>#N/A</v>
      </c>
      <c r="N64" s="86" t="e">
        <f>IF(Table5[[#This Row],[a2]]="LSN",Table5[[#This Row],[a1]]*12,"")</f>
        <v>#N/A</v>
      </c>
      <c r="O64" s="86" t="e">
        <f>IF(Table5[[#This Row],[b1]]="","","PCS")</f>
        <v>#N/A</v>
      </c>
      <c r="P64" s="86"/>
    </row>
    <row r="65" spans="2:16" x14ac:dyDescent="0.25">
      <c r="B65" s="88"/>
      <c r="C65" s="88"/>
      <c r="E65" s="194" t="e">
        <f>MATCH(A65,Table1[H_A1],0)</f>
        <v>#N/A</v>
      </c>
      <c r="F65" s="194" t="e">
        <f>MATCH(Table5[[#This Row],[NAMA]],[1]!db[NB PAJAK],0)</f>
        <v>#N/A</v>
      </c>
      <c r="G65" t="e">
        <f>INDEX(Table1[Item Description],Table5[[#This Row],[//NOTA]])</f>
        <v>#N/A</v>
      </c>
      <c r="H65">
        <f>SUMIF(Table1[H_A1],Sheet5!A65,Table1[Qty])</f>
        <v>0</v>
      </c>
      <c r="I65" t="e">
        <f>INDEX(Table1[Unit],Table5[[#This Row],[//NOTA]])</f>
        <v>#N/A</v>
      </c>
      <c r="J65" s="195">
        <f>SUMIF(Table1[H_A1],Sheet5!A65,Table1[C])</f>
        <v>0</v>
      </c>
      <c r="K65" s="195" t="e">
        <f>INDEX(Table1[Unit Price],Table5[[#This Row],[//NOTA]])</f>
        <v>#N/A</v>
      </c>
      <c r="L65" s="86" t="e">
        <f>IF(Table5[[#This Row],[a2]]="","",Table5[[#This Row],[QTY]]*12)</f>
        <v>#N/A</v>
      </c>
      <c r="M65" s="86" t="e">
        <f>IF(Table5[[#This Row],[UNIT]]="grs","LSN",IF(Table5[[#This Row],[UNIT]]="LSN","PCS",""))</f>
        <v>#N/A</v>
      </c>
      <c r="N65" s="86" t="e">
        <f>IF(Table5[[#This Row],[a2]]="LSN",Table5[[#This Row],[a1]]*12,"")</f>
        <v>#N/A</v>
      </c>
      <c r="O65" s="86" t="e">
        <f>IF(Table5[[#This Row],[b1]]="","","PCS")</f>
        <v>#N/A</v>
      </c>
      <c r="P65" s="86"/>
    </row>
    <row r="66" spans="2:16" x14ac:dyDescent="0.25">
      <c r="B66" s="88"/>
      <c r="C66" s="88"/>
      <c r="E66" s="194" t="e">
        <f>MATCH(A66,Table1[H_A1],0)</f>
        <v>#N/A</v>
      </c>
      <c r="F66" s="194" t="e">
        <f>MATCH(Table5[[#This Row],[NAMA]],[1]!db[NB PAJAK],0)</f>
        <v>#N/A</v>
      </c>
      <c r="G66" t="e">
        <f>INDEX(Table1[Item Description],Table5[[#This Row],[//NOTA]])</f>
        <v>#N/A</v>
      </c>
      <c r="H66">
        <f>SUMIF(Table1[H_A1],Sheet5!A66,Table1[Qty])</f>
        <v>0</v>
      </c>
      <c r="I66" t="e">
        <f>INDEX(Table1[Unit],Table5[[#This Row],[//NOTA]])</f>
        <v>#N/A</v>
      </c>
      <c r="J66" s="195">
        <f>SUMIF(Table1[H_A1],Sheet5!A66,Table1[C])</f>
        <v>0</v>
      </c>
      <c r="K66" s="195" t="e">
        <f>INDEX(Table1[Unit Price],Table5[[#This Row],[//NOTA]])</f>
        <v>#N/A</v>
      </c>
      <c r="L66" s="86" t="e">
        <f>IF(Table5[[#This Row],[a2]]="","",Table5[[#This Row],[QTY]]*12)</f>
        <v>#N/A</v>
      </c>
      <c r="M66" s="86" t="e">
        <f>IF(Table5[[#This Row],[UNIT]]="grs","LSN",IF(Table5[[#This Row],[UNIT]]="LSN","PCS",""))</f>
        <v>#N/A</v>
      </c>
      <c r="N66" s="86" t="e">
        <f>IF(Table5[[#This Row],[a2]]="LSN",Table5[[#This Row],[a1]]*12,"")</f>
        <v>#N/A</v>
      </c>
      <c r="O66" s="86" t="e">
        <f>IF(Table5[[#This Row],[b1]]="","","PCS")</f>
        <v>#N/A</v>
      </c>
      <c r="P66" s="86"/>
    </row>
    <row r="67" spans="2:16" x14ac:dyDescent="0.25">
      <c r="B67" s="88"/>
      <c r="C67" s="88"/>
      <c r="E67" s="194" t="e">
        <f>MATCH(A67,Table1[H_A1],0)</f>
        <v>#N/A</v>
      </c>
      <c r="F67" s="194" t="e">
        <f>MATCH(Table5[[#This Row],[NAMA]],[1]!db[NB PAJAK],0)</f>
        <v>#N/A</v>
      </c>
      <c r="G67" t="e">
        <f>INDEX(Table1[Item Description],Table5[[#This Row],[//NOTA]])</f>
        <v>#N/A</v>
      </c>
      <c r="H67">
        <f>SUMIF(Table1[H_A1],Sheet5!A67,Table1[Qty])</f>
        <v>0</v>
      </c>
      <c r="I67" t="e">
        <f>INDEX(Table1[Unit],Table5[[#This Row],[//NOTA]])</f>
        <v>#N/A</v>
      </c>
      <c r="J67" s="195">
        <f>SUMIF(Table1[H_A1],Sheet5!A67,Table1[C])</f>
        <v>0</v>
      </c>
      <c r="K67" s="195" t="e">
        <f>INDEX(Table1[Unit Price],Table5[[#This Row],[//NOTA]])</f>
        <v>#N/A</v>
      </c>
      <c r="L67" s="86" t="e">
        <f>IF(Table5[[#This Row],[a2]]="","",Table5[[#This Row],[QTY]]*12)</f>
        <v>#N/A</v>
      </c>
      <c r="M67" s="86" t="e">
        <f>IF(Table5[[#This Row],[UNIT]]="grs","LSN",IF(Table5[[#This Row],[UNIT]]="LSN","PCS",""))</f>
        <v>#N/A</v>
      </c>
      <c r="N67" s="86" t="e">
        <f>IF(Table5[[#This Row],[a2]]="LSN",Table5[[#This Row],[a1]]*12,"")</f>
        <v>#N/A</v>
      </c>
      <c r="O67" s="86" t="e">
        <f>IF(Table5[[#This Row],[b1]]="","","PCS")</f>
        <v>#N/A</v>
      </c>
      <c r="P67" s="86"/>
    </row>
    <row r="68" spans="2:16" x14ac:dyDescent="0.25">
      <c r="B68" s="88"/>
      <c r="C68" s="88"/>
      <c r="E68" s="194" t="e">
        <f>MATCH(A68,Table1[H_A1],0)</f>
        <v>#N/A</v>
      </c>
      <c r="F68" s="194" t="e">
        <f>MATCH(Table5[[#This Row],[NAMA]],[1]!db[NB PAJAK],0)</f>
        <v>#N/A</v>
      </c>
      <c r="G68" t="e">
        <f>INDEX(Table1[Item Description],Table5[[#This Row],[//NOTA]])</f>
        <v>#N/A</v>
      </c>
      <c r="H68">
        <f>SUMIF(Table1[H_A1],Sheet5!A68,Table1[Qty])</f>
        <v>0</v>
      </c>
      <c r="I68" t="e">
        <f>INDEX(Table1[Unit],Table5[[#This Row],[//NOTA]])</f>
        <v>#N/A</v>
      </c>
      <c r="J68" s="195">
        <f>SUMIF(Table1[H_A1],Sheet5!A68,Table1[C])</f>
        <v>0</v>
      </c>
      <c r="K68" s="195" t="e">
        <f>INDEX(Table1[Unit Price],Table5[[#This Row],[//NOTA]])</f>
        <v>#N/A</v>
      </c>
      <c r="L68" s="86" t="e">
        <f>IF(Table5[[#This Row],[a2]]="","",Table5[[#This Row],[QTY]]*12)</f>
        <v>#N/A</v>
      </c>
      <c r="M68" s="86" t="e">
        <f>IF(Table5[[#This Row],[UNIT]]="grs","LSN",IF(Table5[[#This Row],[UNIT]]="LSN","PCS",""))</f>
        <v>#N/A</v>
      </c>
      <c r="N68" s="86" t="e">
        <f>IF(Table5[[#This Row],[a2]]="LSN",Table5[[#This Row],[a1]]*12,"")</f>
        <v>#N/A</v>
      </c>
      <c r="O68" s="86" t="e">
        <f>IF(Table5[[#This Row],[b1]]="","","PCS")</f>
        <v>#N/A</v>
      </c>
      <c r="P68" s="86"/>
    </row>
    <row r="69" spans="2:16" x14ac:dyDescent="0.25">
      <c r="B69" s="88"/>
      <c r="C69" s="88"/>
      <c r="E69" s="194" t="e">
        <f>MATCH(A69,Table1[H_A1],0)</f>
        <v>#N/A</v>
      </c>
      <c r="F69" s="194" t="e">
        <f>MATCH(Table5[[#This Row],[NAMA]],[1]!db[NB PAJAK],0)</f>
        <v>#N/A</v>
      </c>
      <c r="G69" t="e">
        <f>INDEX(Table1[Item Description],Table5[[#This Row],[//NOTA]])</f>
        <v>#N/A</v>
      </c>
      <c r="H69">
        <f>SUMIF(Table1[H_A1],Sheet5!A69,Table1[Qty])</f>
        <v>0</v>
      </c>
      <c r="I69" t="e">
        <f>INDEX(Table1[Unit],Table5[[#This Row],[//NOTA]])</f>
        <v>#N/A</v>
      </c>
      <c r="J69" s="195">
        <f>SUMIF(Table1[H_A1],Sheet5!A69,Table1[C])</f>
        <v>0</v>
      </c>
      <c r="K69" s="195" t="e">
        <f>INDEX(Table1[Unit Price],Table5[[#This Row],[//NOTA]])</f>
        <v>#N/A</v>
      </c>
      <c r="L69" s="86" t="e">
        <f>IF(Table5[[#This Row],[a2]]="","",Table5[[#This Row],[QTY]]*12)</f>
        <v>#N/A</v>
      </c>
      <c r="M69" s="86" t="e">
        <f>IF(Table5[[#This Row],[UNIT]]="grs","LSN",IF(Table5[[#This Row],[UNIT]]="LSN","PCS",""))</f>
        <v>#N/A</v>
      </c>
      <c r="N69" s="86" t="e">
        <f>IF(Table5[[#This Row],[a2]]="LSN",Table5[[#This Row],[a1]]*12,"")</f>
        <v>#N/A</v>
      </c>
      <c r="O69" s="86" t="e">
        <f>IF(Table5[[#This Row],[b1]]="","","PCS")</f>
        <v>#N/A</v>
      </c>
      <c r="P69" s="86"/>
    </row>
    <row r="70" spans="2:16" x14ac:dyDescent="0.25">
      <c r="B70" s="88"/>
      <c r="C70" s="88"/>
      <c r="E70" s="194" t="e">
        <f>MATCH(A70,Table1[H_A1],0)</f>
        <v>#N/A</v>
      </c>
      <c r="F70" s="194" t="e">
        <f>MATCH(Table5[[#This Row],[NAMA]],[1]!db[NB PAJAK],0)</f>
        <v>#N/A</v>
      </c>
      <c r="G70" t="e">
        <f>INDEX(Table1[Item Description],Table5[[#This Row],[//NOTA]])</f>
        <v>#N/A</v>
      </c>
      <c r="H70">
        <f>SUMIF(Table1[H_A1],Sheet5!A70,Table1[Qty])</f>
        <v>0</v>
      </c>
      <c r="I70" t="e">
        <f>INDEX(Table1[Unit],Table5[[#This Row],[//NOTA]])</f>
        <v>#N/A</v>
      </c>
      <c r="J70" s="195">
        <f>SUMIF(Table1[H_A1],Sheet5!A70,Table1[C])</f>
        <v>0</v>
      </c>
      <c r="K70" s="195" t="e">
        <f>INDEX(Table1[Unit Price],Table5[[#This Row],[//NOTA]])</f>
        <v>#N/A</v>
      </c>
      <c r="L70" s="86" t="e">
        <f>IF(Table5[[#This Row],[a2]]="","",Table5[[#This Row],[QTY]]*12)</f>
        <v>#N/A</v>
      </c>
      <c r="M70" s="86" t="e">
        <f>IF(Table5[[#This Row],[UNIT]]="grs","LSN",IF(Table5[[#This Row],[UNIT]]="LSN","PCS",""))</f>
        <v>#N/A</v>
      </c>
      <c r="N70" s="86" t="e">
        <f>IF(Table5[[#This Row],[a2]]="LSN",Table5[[#This Row],[a1]]*12,"")</f>
        <v>#N/A</v>
      </c>
      <c r="O70" s="86" t="e">
        <f>IF(Table5[[#This Row],[b1]]="","","PCS")</f>
        <v>#N/A</v>
      </c>
      <c r="P70" s="86"/>
    </row>
    <row r="71" spans="2:16" x14ac:dyDescent="0.25">
      <c r="B71" s="88"/>
      <c r="C71" s="88"/>
      <c r="E71" s="194" t="e">
        <f>MATCH(A71,Table1[H_A1],0)</f>
        <v>#N/A</v>
      </c>
      <c r="F71" s="194" t="e">
        <f>MATCH(Table5[[#This Row],[NAMA]],[1]!db[NB PAJAK],0)</f>
        <v>#N/A</v>
      </c>
      <c r="G71" t="e">
        <f>INDEX(Table1[Item Description],Table5[[#This Row],[//NOTA]])</f>
        <v>#N/A</v>
      </c>
      <c r="H71">
        <f>SUMIF(Table1[H_A1],Sheet5!A71,Table1[Qty])</f>
        <v>0</v>
      </c>
      <c r="I71" t="e">
        <f>INDEX(Table1[Unit],Table5[[#This Row],[//NOTA]])</f>
        <v>#N/A</v>
      </c>
      <c r="J71" s="195">
        <f>SUMIF(Table1[H_A1],Sheet5!A71,Table1[C])</f>
        <v>0</v>
      </c>
      <c r="K71" s="195" t="e">
        <f>INDEX(Table1[Unit Price],Table5[[#This Row],[//NOTA]])</f>
        <v>#N/A</v>
      </c>
      <c r="L71" s="86" t="e">
        <f>IF(Table5[[#This Row],[a2]]="","",Table5[[#This Row],[QTY]]*12)</f>
        <v>#N/A</v>
      </c>
      <c r="M71" s="86" t="e">
        <f>IF(Table5[[#This Row],[UNIT]]="grs","LSN",IF(Table5[[#This Row],[UNIT]]="LSN","PCS",""))</f>
        <v>#N/A</v>
      </c>
      <c r="N71" s="86" t="e">
        <f>IF(Table5[[#This Row],[a2]]="LSN",Table5[[#This Row],[a1]]*12,"")</f>
        <v>#N/A</v>
      </c>
      <c r="O71" s="86" t="e">
        <f>IF(Table5[[#This Row],[b1]]="","","PCS")</f>
        <v>#N/A</v>
      </c>
      <c r="P71" s="86"/>
    </row>
    <row r="72" spans="2:16" x14ac:dyDescent="0.25">
      <c r="B72" s="88"/>
      <c r="C72" s="88"/>
      <c r="E72" s="194" t="e">
        <f>MATCH(A72,Table1[H_A1],0)</f>
        <v>#N/A</v>
      </c>
      <c r="F72" s="194" t="e">
        <f>MATCH(Table5[[#This Row],[NAMA]],[1]!db[NB PAJAK],0)</f>
        <v>#N/A</v>
      </c>
      <c r="G72" t="e">
        <f>INDEX(Table1[Item Description],Table5[[#This Row],[//NOTA]])</f>
        <v>#N/A</v>
      </c>
      <c r="H72">
        <f>SUMIF(Table1[H_A1],Sheet5!A72,Table1[Qty])</f>
        <v>0</v>
      </c>
      <c r="I72" t="e">
        <f>INDEX(Table1[Unit],Table5[[#This Row],[//NOTA]])</f>
        <v>#N/A</v>
      </c>
      <c r="J72" s="195">
        <f>SUMIF(Table1[H_A1],Sheet5!A72,Table1[C])</f>
        <v>0</v>
      </c>
      <c r="K72" s="195" t="e">
        <f>INDEX(Table1[Unit Price],Table5[[#This Row],[//NOTA]])</f>
        <v>#N/A</v>
      </c>
      <c r="L72" s="86" t="e">
        <f>IF(Table5[[#This Row],[a2]]="","",Table5[[#This Row],[QTY]]*12)</f>
        <v>#N/A</v>
      </c>
      <c r="M72" s="86" t="e">
        <f>IF(Table5[[#This Row],[UNIT]]="grs","LSN",IF(Table5[[#This Row],[UNIT]]="LSN","PCS",""))</f>
        <v>#N/A</v>
      </c>
      <c r="N72" s="86" t="e">
        <f>IF(Table5[[#This Row],[a2]]="LSN",Table5[[#This Row],[a1]]*12,"")</f>
        <v>#N/A</v>
      </c>
      <c r="O72" s="86" t="e">
        <f>IF(Table5[[#This Row],[b1]]="","","PCS")</f>
        <v>#N/A</v>
      </c>
      <c r="P72" s="86"/>
    </row>
    <row r="73" spans="2:16" x14ac:dyDescent="0.25">
      <c r="B73" s="88"/>
      <c r="C73" s="88"/>
      <c r="E73" s="194" t="e">
        <f>MATCH(A73,Table1[H_A1],0)</f>
        <v>#N/A</v>
      </c>
      <c r="F73" s="194" t="e">
        <f>MATCH(Table5[[#This Row],[NAMA]],[1]!db[NB PAJAK],0)</f>
        <v>#N/A</v>
      </c>
      <c r="G73" t="e">
        <f>INDEX(Table1[Item Description],Table5[[#This Row],[//NOTA]])</f>
        <v>#N/A</v>
      </c>
      <c r="H73">
        <f>SUMIF(Table1[H_A1],Sheet5!A73,Table1[Qty])</f>
        <v>0</v>
      </c>
      <c r="I73" t="e">
        <f>INDEX(Table1[Unit],Table5[[#This Row],[//NOTA]])</f>
        <v>#N/A</v>
      </c>
      <c r="J73" s="195">
        <f>SUMIF(Table1[H_A1],Sheet5!A73,Table1[C])</f>
        <v>0</v>
      </c>
      <c r="K73" s="195" t="e">
        <f>INDEX(Table1[Unit Price],Table5[[#This Row],[//NOTA]])</f>
        <v>#N/A</v>
      </c>
      <c r="L73" s="86" t="e">
        <f>IF(Table5[[#This Row],[a2]]="","",Table5[[#This Row],[QTY]]*12)</f>
        <v>#N/A</v>
      </c>
      <c r="M73" s="86" t="e">
        <f>IF(Table5[[#This Row],[UNIT]]="grs","LSN",IF(Table5[[#This Row],[UNIT]]="LSN","PCS",""))</f>
        <v>#N/A</v>
      </c>
      <c r="N73" s="86" t="e">
        <f>IF(Table5[[#This Row],[a2]]="LSN",Table5[[#This Row],[a1]]*12,"")</f>
        <v>#N/A</v>
      </c>
      <c r="O73" s="86" t="e">
        <f>IF(Table5[[#This Row],[b1]]="","","PCS")</f>
        <v>#N/A</v>
      </c>
      <c r="P73" s="86"/>
    </row>
    <row r="74" spans="2:16" x14ac:dyDescent="0.25">
      <c r="B74" s="88"/>
      <c r="C74" s="88"/>
      <c r="E74" s="194" t="e">
        <f>MATCH(A74,Table1[H_A1],0)</f>
        <v>#N/A</v>
      </c>
      <c r="F74" s="194" t="e">
        <f>MATCH(Table5[[#This Row],[NAMA]],[1]!db[NB PAJAK],0)</f>
        <v>#N/A</v>
      </c>
      <c r="G74" t="e">
        <f>INDEX(Table1[Item Description],Table5[[#This Row],[//NOTA]])</f>
        <v>#N/A</v>
      </c>
      <c r="H74">
        <f>SUMIF(Table1[H_A1],Sheet5!A74,Table1[Qty])</f>
        <v>0</v>
      </c>
      <c r="I74" t="e">
        <f>INDEX(Table1[Unit],Table5[[#This Row],[//NOTA]])</f>
        <v>#N/A</v>
      </c>
      <c r="J74" s="195">
        <f>SUMIF(Table1[H_A1],Sheet5!A74,Table1[C])</f>
        <v>0</v>
      </c>
      <c r="K74" s="195" t="e">
        <f>INDEX(Table1[Unit Price],Table5[[#This Row],[//NOTA]])</f>
        <v>#N/A</v>
      </c>
      <c r="L74" s="86" t="e">
        <f>IF(Table5[[#This Row],[a2]]="","",Table5[[#This Row],[QTY]]*12)</f>
        <v>#N/A</v>
      </c>
      <c r="M74" s="86" t="e">
        <f>IF(Table5[[#This Row],[UNIT]]="grs","LSN",IF(Table5[[#This Row],[UNIT]]="LSN","PCS",""))</f>
        <v>#N/A</v>
      </c>
      <c r="N74" s="86" t="e">
        <f>IF(Table5[[#This Row],[a2]]="LSN",Table5[[#This Row],[a1]]*12,"")</f>
        <v>#N/A</v>
      </c>
      <c r="O74" s="86" t="e">
        <f>IF(Table5[[#This Row],[b1]]="","","PCS")</f>
        <v>#N/A</v>
      </c>
      <c r="P74" s="86"/>
    </row>
    <row r="75" spans="2:16" x14ac:dyDescent="0.25">
      <c r="B75" s="88"/>
      <c r="C75" s="88"/>
      <c r="E75" s="194" t="e">
        <f>MATCH(A75,Table1[H_A1],0)</f>
        <v>#N/A</v>
      </c>
      <c r="F75" s="194" t="e">
        <f>MATCH(Table5[[#This Row],[NAMA]],[1]!db[NB PAJAK],0)</f>
        <v>#N/A</v>
      </c>
      <c r="G75" t="e">
        <f>INDEX(Table1[Item Description],Table5[[#This Row],[//NOTA]])</f>
        <v>#N/A</v>
      </c>
      <c r="H75">
        <f>SUMIF(Table1[H_A1],Sheet5!A75,Table1[Qty])</f>
        <v>0</v>
      </c>
      <c r="I75" t="e">
        <f>INDEX(Table1[Unit],Table5[[#This Row],[//NOTA]])</f>
        <v>#N/A</v>
      </c>
      <c r="J75" s="195">
        <f>SUMIF(Table1[H_A1],Sheet5!A75,Table1[C])</f>
        <v>0</v>
      </c>
      <c r="K75" s="195" t="e">
        <f>INDEX(Table1[Unit Price],Table5[[#This Row],[//NOTA]])</f>
        <v>#N/A</v>
      </c>
      <c r="L75" s="86" t="e">
        <f>IF(Table5[[#This Row],[a2]]="","",Table5[[#This Row],[QTY]]*12)</f>
        <v>#N/A</v>
      </c>
      <c r="M75" s="86" t="e">
        <f>IF(Table5[[#This Row],[UNIT]]="grs","LSN",IF(Table5[[#This Row],[UNIT]]="LSN","PCS",""))</f>
        <v>#N/A</v>
      </c>
      <c r="N75" s="86" t="e">
        <f>IF(Table5[[#This Row],[a2]]="LSN",Table5[[#This Row],[a1]]*12,"")</f>
        <v>#N/A</v>
      </c>
      <c r="O75" s="86" t="e">
        <f>IF(Table5[[#This Row],[b1]]="","","PCS")</f>
        <v>#N/A</v>
      </c>
      <c r="P75" s="86"/>
    </row>
    <row r="76" spans="2:16" x14ac:dyDescent="0.25">
      <c r="B76" s="88"/>
      <c r="C76" s="88"/>
      <c r="E76" s="194" t="e">
        <f>MATCH(A76,Table1[H_A1],0)</f>
        <v>#N/A</v>
      </c>
      <c r="F76" s="194" t="e">
        <f>MATCH(Table5[[#This Row],[NAMA]],[1]!db[NB PAJAK],0)</f>
        <v>#N/A</v>
      </c>
      <c r="G76" t="e">
        <f>INDEX(Table1[Item Description],Table5[[#This Row],[//NOTA]])</f>
        <v>#N/A</v>
      </c>
      <c r="H76">
        <f>SUMIF(Table1[H_A1],Sheet5!A76,Table1[Qty])</f>
        <v>0</v>
      </c>
      <c r="I76" t="e">
        <f>INDEX(Table1[Unit],Table5[[#This Row],[//NOTA]])</f>
        <v>#N/A</v>
      </c>
      <c r="J76" s="195">
        <f>SUMIF(Table1[H_A1],Sheet5!A76,Table1[C])</f>
        <v>0</v>
      </c>
      <c r="K76" s="195" t="e">
        <f>INDEX(Table1[Unit Price],Table5[[#This Row],[//NOTA]])</f>
        <v>#N/A</v>
      </c>
      <c r="L76" s="86" t="e">
        <f>IF(Table5[[#This Row],[a2]]="","",Table5[[#This Row],[QTY]]*12)</f>
        <v>#N/A</v>
      </c>
      <c r="M76" s="86" t="e">
        <f>IF(Table5[[#This Row],[UNIT]]="grs","LSN",IF(Table5[[#This Row],[UNIT]]="LSN","PCS",""))</f>
        <v>#N/A</v>
      </c>
      <c r="N76" s="86" t="e">
        <f>IF(Table5[[#This Row],[a2]]="LSN",Table5[[#This Row],[a1]]*12,"")</f>
        <v>#N/A</v>
      </c>
      <c r="O76" s="86" t="e">
        <f>IF(Table5[[#This Row],[b1]]="","","PCS")</f>
        <v>#N/A</v>
      </c>
      <c r="P76" s="86"/>
    </row>
    <row r="77" spans="2:16" x14ac:dyDescent="0.25">
      <c r="B77" s="88"/>
      <c r="C77" s="88"/>
      <c r="E77" s="194" t="e">
        <f>MATCH(A77,Table1[H_A1],0)</f>
        <v>#N/A</v>
      </c>
      <c r="F77" s="194" t="e">
        <f>MATCH(Table5[[#This Row],[NAMA]],[1]!db[NB PAJAK],0)</f>
        <v>#N/A</v>
      </c>
      <c r="G77" t="e">
        <f>INDEX(Table1[Item Description],Table5[[#This Row],[//NOTA]])</f>
        <v>#N/A</v>
      </c>
      <c r="H77">
        <f>SUMIF(Table1[H_A1],Sheet5!A77,Table1[Qty])</f>
        <v>0</v>
      </c>
      <c r="I77" t="e">
        <f>INDEX(Table1[Unit],Table5[[#This Row],[//NOTA]])</f>
        <v>#N/A</v>
      </c>
      <c r="J77" s="195">
        <f>SUMIF(Table1[H_A1],Sheet5!A77,Table1[C])</f>
        <v>0</v>
      </c>
      <c r="K77" s="195" t="e">
        <f>INDEX(Table1[Unit Price],Table5[[#This Row],[//NOTA]])</f>
        <v>#N/A</v>
      </c>
      <c r="L77" s="86" t="e">
        <f>IF(Table5[[#This Row],[a2]]="","",Table5[[#This Row],[QTY]]*12)</f>
        <v>#N/A</v>
      </c>
      <c r="M77" s="86" t="e">
        <f>IF(Table5[[#This Row],[UNIT]]="grs","LSN",IF(Table5[[#This Row],[UNIT]]="LSN","PCS",""))</f>
        <v>#N/A</v>
      </c>
      <c r="N77" s="86" t="e">
        <f>IF(Table5[[#This Row],[a2]]="LSN",Table5[[#This Row],[a1]]*12,"")</f>
        <v>#N/A</v>
      </c>
      <c r="O77" s="86" t="e">
        <f>IF(Table5[[#This Row],[b1]]="","","PCS")</f>
        <v>#N/A</v>
      </c>
      <c r="P77" s="86"/>
    </row>
    <row r="78" spans="2:16" x14ac:dyDescent="0.25">
      <c r="B78" s="88"/>
      <c r="C78" s="88"/>
      <c r="E78" s="194" t="e">
        <f>MATCH(A78,Table1[H_A1],0)</f>
        <v>#N/A</v>
      </c>
      <c r="F78" s="194" t="e">
        <f>MATCH(Table5[[#This Row],[NAMA]],[1]!db[NB PAJAK],0)</f>
        <v>#N/A</v>
      </c>
      <c r="G78" t="e">
        <f>INDEX(Table1[Item Description],Table5[[#This Row],[//NOTA]])</f>
        <v>#N/A</v>
      </c>
      <c r="H78">
        <f>SUMIF(Table1[H_A1],Sheet5!A78,Table1[Qty])</f>
        <v>0</v>
      </c>
      <c r="I78" t="e">
        <f>INDEX(Table1[Unit],Table5[[#This Row],[//NOTA]])</f>
        <v>#N/A</v>
      </c>
      <c r="J78" s="195">
        <f>SUMIF(Table1[H_A1],Sheet5!A78,Table1[C])</f>
        <v>0</v>
      </c>
      <c r="K78" s="195" t="e">
        <f>INDEX(Table1[Unit Price],Table5[[#This Row],[//NOTA]])</f>
        <v>#N/A</v>
      </c>
      <c r="L78" s="86" t="e">
        <f>IF(Table5[[#This Row],[a2]]="","",Table5[[#This Row],[QTY]]*12)</f>
        <v>#N/A</v>
      </c>
      <c r="M78" s="86" t="e">
        <f>IF(Table5[[#This Row],[UNIT]]="grs","LSN",IF(Table5[[#This Row],[UNIT]]="LSN","PCS",""))</f>
        <v>#N/A</v>
      </c>
      <c r="N78" s="86" t="e">
        <f>IF(Table5[[#This Row],[a2]]="LSN",Table5[[#This Row],[a1]]*12,"")</f>
        <v>#N/A</v>
      </c>
      <c r="O78" s="86" t="e">
        <f>IF(Table5[[#This Row],[b1]]="","","PCS")</f>
        <v>#N/A</v>
      </c>
      <c r="P78" s="86"/>
    </row>
    <row r="79" spans="2:16" x14ac:dyDescent="0.25">
      <c r="B79" s="88"/>
      <c r="C79" s="88"/>
      <c r="E79" s="194" t="e">
        <f>MATCH(A79,Table1[H_A1],0)</f>
        <v>#N/A</v>
      </c>
      <c r="F79" s="194" t="e">
        <f>MATCH(Table5[[#This Row],[NAMA]],[1]!db[NB PAJAK],0)</f>
        <v>#N/A</v>
      </c>
      <c r="G79" t="e">
        <f>INDEX(Table1[Item Description],Table5[[#This Row],[//NOTA]])</f>
        <v>#N/A</v>
      </c>
      <c r="H79">
        <f>SUMIF(Table1[H_A1],Sheet5!A79,Table1[Qty])</f>
        <v>0</v>
      </c>
      <c r="I79" t="e">
        <f>INDEX(Table1[Unit],Table5[[#This Row],[//NOTA]])</f>
        <v>#N/A</v>
      </c>
      <c r="J79" s="195">
        <f>SUMIF(Table1[H_A1],Sheet5!A79,Table1[C])</f>
        <v>0</v>
      </c>
      <c r="K79" s="195" t="e">
        <f>INDEX(Table1[Unit Price],Table5[[#This Row],[//NOTA]])</f>
        <v>#N/A</v>
      </c>
      <c r="L79" s="86" t="e">
        <f>IF(Table5[[#This Row],[a2]]="","",Table5[[#This Row],[QTY]]*12)</f>
        <v>#N/A</v>
      </c>
      <c r="M79" s="86" t="e">
        <f>IF(Table5[[#This Row],[UNIT]]="grs","LSN",IF(Table5[[#This Row],[UNIT]]="LSN","PCS",""))</f>
        <v>#N/A</v>
      </c>
      <c r="N79" s="86" t="e">
        <f>IF(Table5[[#This Row],[a2]]="LSN",Table5[[#This Row],[a1]]*12,"")</f>
        <v>#N/A</v>
      </c>
      <c r="O79" s="86" t="e">
        <f>IF(Table5[[#This Row],[b1]]="","","PCS")</f>
        <v>#N/A</v>
      </c>
      <c r="P79" s="86"/>
    </row>
    <row r="80" spans="2:16" x14ac:dyDescent="0.25">
      <c r="B80" s="88"/>
      <c r="C80" s="88"/>
      <c r="E80" s="194" t="e">
        <f>MATCH(A80,Table1[H_A1],0)</f>
        <v>#N/A</v>
      </c>
      <c r="F80" s="194" t="e">
        <f>MATCH(Table5[[#This Row],[NAMA]],[1]!db[NB PAJAK],0)</f>
        <v>#N/A</v>
      </c>
      <c r="G80" t="e">
        <f>INDEX(Table1[Item Description],Table5[[#This Row],[//NOTA]])</f>
        <v>#N/A</v>
      </c>
      <c r="H80">
        <f>SUMIF(Table1[H_A1],Sheet5!A80,Table1[Qty])</f>
        <v>0</v>
      </c>
      <c r="I80" t="e">
        <f>INDEX(Table1[Unit],Table5[[#This Row],[//NOTA]])</f>
        <v>#N/A</v>
      </c>
      <c r="J80" s="195">
        <f>SUMIF(Table1[H_A1],Sheet5!A80,Table1[C])</f>
        <v>0</v>
      </c>
      <c r="K80" s="195" t="e">
        <f>INDEX(Table1[Unit Price],Table5[[#This Row],[//NOTA]])</f>
        <v>#N/A</v>
      </c>
      <c r="L80" s="86" t="e">
        <f>IF(Table5[[#This Row],[a2]]="","",Table5[[#This Row],[QTY]]*12)</f>
        <v>#N/A</v>
      </c>
      <c r="M80" s="86" t="e">
        <f>IF(Table5[[#This Row],[UNIT]]="grs","LSN",IF(Table5[[#This Row],[UNIT]]="LSN","PCS",""))</f>
        <v>#N/A</v>
      </c>
      <c r="N80" s="86" t="e">
        <f>IF(Table5[[#This Row],[a2]]="LSN",Table5[[#This Row],[a1]]*12,"")</f>
        <v>#N/A</v>
      </c>
      <c r="O80" s="86" t="e">
        <f>IF(Table5[[#This Row],[b1]]="","","PCS")</f>
        <v>#N/A</v>
      </c>
      <c r="P80" s="86"/>
    </row>
    <row r="81" spans="2:16" x14ac:dyDescent="0.25">
      <c r="B81" s="88"/>
      <c r="C81" s="88"/>
      <c r="E81" s="194" t="e">
        <f>MATCH(A81,Table1[H_A1],0)</f>
        <v>#N/A</v>
      </c>
      <c r="F81" s="194" t="e">
        <f>MATCH(Table5[[#This Row],[NAMA]],[1]!db[NB PAJAK],0)</f>
        <v>#N/A</v>
      </c>
      <c r="G81" t="e">
        <f>INDEX(Table1[Item Description],Table5[[#This Row],[//NOTA]])</f>
        <v>#N/A</v>
      </c>
      <c r="H81">
        <f>SUMIF(Table1[H_A1],Sheet5!A81,Table1[Qty])</f>
        <v>0</v>
      </c>
      <c r="I81" t="e">
        <f>INDEX(Table1[Unit],Table5[[#This Row],[//NOTA]])</f>
        <v>#N/A</v>
      </c>
      <c r="J81" s="195">
        <f>SUMIF(Table1[H_A1],Sheet5!A81,Table1[C])</f>
        <v>0</v>
      </c>
      <c r="K81" s="195" t="e">
        <f>INDEX(Table1[Unit Price],Table5[[#This Row],[//NOTA]])</f>
        <v>#N/A</v>
      </c>
      <c r="L81" s="86" t="e">
        <f>IF(Table5[[#This Row],[a2]]="","",Table5[[#This Row],[QTY]]*12)</f>
        <v>#N/A</v>
      </c>
      <c r="M81" s="86" t="e">
        <f>IF(Table5[[#This Row],[UNIT]]="grs","LSN",IF(Table5[[#This Row],[UNIT]]="LSN","PCS",""))</f>
        <v>#N/A</v>
      </c>
      <c r="N81" s="86" t="e">
        <f>IF(Table5[[#This Row],[a2]]="LSN",Table5[[#This Row],[a1]]*12,"")</f>
        <v>#N/A</v>
      </c>
      <c r="O81" s="86" t="e">
        <f>IF(Table5[[#This Row],[b1]]="","","PCS")</f>
        <v>#N/A</v>
      </c>
      <c r="P81" s="86"/>
    </row>
    <row r="82" spans="2:16" x14ac:dyDescent="0.25">
      <c r="B82" s="88"/>
      <c r="C82" s="88"/>
      <c r="E82" s="194" t="e">
        <f>MATCH(A82,Table1[H_A1],0)</f>
        <v>#N/A</v>
      </c>
      <c r="F82" s="194" t="e">
        <f>MATCH(Table5[[#This Row],[NAMA]],[1]!db[NB PAJAK],0)</f>
        <v>#N/A</v>
      </c>
      <c r="G82" t="e">
        <f>INDEX(Table1[Item Description],Table5[[#This Row],[//NOTA]])</f>
        <v>#N/A</v>
      </c>
      <c r="H82">
        <f>SUMIF(Table1[H_A1],Sheet5!A82,Table1[Qty])</f>
        <v>0</v>
      </c>
      <c r="I82" t="e">
        <f>INDEX(Table1[Unit],Table5[[#This Row],[//NOTA]])</f>
        <v>#N/A</v>
      </c>
      <c r="J82" s="195">
        <f>SUMIF(Table1[H_A1],Sheet5!A82,Table1[C])</f>
        <v>0</v>
      </c>
      <c r="K82" s="195" t="e">
        <f>INDEX(Table1[Unit Price],Table5[[#This Row],[//NOTA]])</f>
        <v>#N/A</v>
      </c>
      <c r="L82" s="86" t="e">
        <f>IF(Table5[[#This Row],[a2]]="","",Table5[[#This Row],[QTY]]*12)</f>
        <v>#N/A</v>
      </c>
      <c r="M82" s="86" t="e">
        <f>IF(Table5[[#This Row],[UNIT]]="grs","LSN",IF(Table5[[#This Row],[UNIT]]="LSN","PCS",""))</f>
        <v>#N/A</v>
      </c>
      <c r="N82" s="86" t="e">
        <f>IF(Table5[[#This Row],[a2]]="LSN",Table5[[#This Row],[a1]]*12,"")</f>
        <v>#N/A</v>
      </c>
      <c r="O82" s="86" t="e">
        <f>IF(Table5[[#This Row],[b1]]="","","PCS")</f>
        <v>#N/A</v>
      </c>
      <c r="P82" s="86"/>
    </row>
    <row r="83" spans="2:16" x14ac:dyDescent="0.25">
      <c r="B83" s="88"/>
      <c r="C83" s="88"/>
      <c r="E83" s="194" t="e">
        <f>MATCH(A83,Table1[H_A1],0)</f>
        <v>#N/A</v>
      </c>
      <c r="F83" s="194" t="e">
        <f>MATCH(Table5[[#This Row],[NAMA]],[1]!db[NB PAJAK],0)</f>
        <v>#N/A</v>
      </c>
      <c r="G83" t="e">
        <f>INDEX(Table1[Item Description],Table5[[#This Row],[//NOTA]])</f>
        <v>#N/A</v>
      </c>
      <c r="H83">
        <f>SUMIF(Table1[H_A1],Sheet5!A83,Table1[Qty])</f>
        <v>0</v>
      </c>
      <c r="I83" t="e">
        <f>INDEX(Table1[Unit],Table5[[#This Row],[//NOTA]])</f>
        <v>#N/A</v>
      </c>
      <c r="J83" s="195">
        <f>SUMIF(Table1[H_A1],Sheet5!A83,Table1[C])</f>
        <v>0</v>
      </c>
      <c r="K83" s="195" t="e">
        <f>INDEX(Table1[Unit Price],Table5[[#This Row],[//NOTA]])</f>
        <v>#N/A</v>
      </c>
      <c r="L83" s="86" t="e">
        <f>IF(Table5[[#This Row],[a2]]="","",Table5[[#This Row],[QTY]]*12)</f>
        <v>#N/A</v>
      </c>
      <c r="M83" s="86" t="e">
        <f>IF(Table5[[#This Row],[UNIT]]="grs","LSN",IF(Table5[[#This Row],[UNIT]]="LSN","PCS",""))</f>
        <v>#N/A</v>
      </c>
      <c r="N83" s="86" t="e">
        <f>IF(Table5[[#This Row],[a2]]="LSN",Table5[[#This Row],[a1]]*12,"")</f>
        <v>#N/A</v>
      </c>
      <c r="O83" s="86" t="e">
        <f>IF(Table5[[#This Row],[b1]]="","","PCS")</f>
        <v>#N/A</v>
      </c>
      <c r="P83" s="86"/>
    </row>
    <row r="84" spans="2:16" x14ac:dyDescent="0.25">
      <c r="B84" s="88"/>
      <c r="C84" s="88"/>
      <c r="E84" s="194" t="e">
        <f>MATCH(A84,Table1[H_A1],0)</f>
        <v>#N/A</v>
      </c>
      <c r="F84" s="194" t="e">
        <f>MATCH(Table5[[#This Row],[NAMA]],[1]!db[NB PAJAK],0)</f>
        <v>#N/A</v>
      </c>
      <c r="G84" t="e">
        <f>INDEX(Table1[Item Description],Table5[[#This Row],[//NOTA]])</f>
        <v>#N/A</v>
      </c>
      <c r="H84">
        <f>SUMIF(Table1[H_A1],Sheet5!A84,Table1[Qty])</f>
        <v>0</v>
      </c>
      <c r="I84" t="e">
        <f>INDEX(Table1[Unit],Table5[[#This Row],[//NOTA]])</f>
        <v>#N/A</v>
      </c>
      <c r="J84" s="195">
        <f>SUMIF(Table1[H_A1],Sheet5!A84,Table1[C])</f>
        <v>0</v>
      </c>
      <c r="K84" s="195" t="e">
        <f>INDEX(Table1[Unit Price],Table5[[#This Row],[//NOTA]])</f>
        <v>#N/A</v>
      </c>
      <c r="L84" s="86" t="e">
        <f>IF(Table5[[#This Row],[a2]]="","",Table5[[#This Row],[QTY]]*12)</f>
        <v>#N/A</v>
      </c>
      <c r="M84" s="86" t="e">
        <f>IF(Table5[[#This Row],[UNIT]]="grs","LSN",IF(Table5[[#This Row],[UNIT]]="LSN","PCS",""))</f>
        <v>#N/A</v>
      </c>
      <c r="N84" s="86" t="e">
        <f>IF(Table5[[#This Row],[a2]]="LSN",Table5[[#This Row],[a1]]*12,"")</f>
        <v>#N/A</v>
      </c>
      <c r="O84" s="86" t="e">
        <f>IF(Table5[[#This Row],[b1]]="","","PCS")</f>
        <v>#N/A</v>
      </c>
      <c r="P84" s="86"/>
    </row>
    <row r="85" spans="2:16" x14ac:dyDescent="0.25">
      <c r="B85" s="88"/>
      <c r="C85" s="88"/>
      <c r="E85" s="194" t="e">
        <f>MATCH(A85,Table1[H_A1],0)</f>
        <v>#N/A</v>
      </c>
      <c r="F85" s="194" t="e">
        <f>MATCH(Table5[[#This Row],[NAMA]],[1]!db[NB PAJAK],0)</f>
        <v>#N/A</v>
      </c>
      <c r="G85" t="e">
        <f>INDEX(Table1[Item Description],Table5[[#This Row],[//NOTA]])</f>
        <v>#N/A</v>
      </c>
      <c r="H85">
        <f>SUMIF(Table1[H_A1],Sheet5!A85,Table1[Qty])</f>
        <v>0</v>
      </c>
      <c r="I85" t="e">
        <f>INDEX(Table1[Unit],Table5[[#This Row],[//NOTA]])</f>
        <v>#N/A</v>
      </c>
      <c r="J85" s="195">
        <f>SUMIF(Table1[H_A1],Sheet5!A85,Table1[C])</f>
        <v>0</v>
      </c>
      <c r="K85" s="195" t="e">
        <f>INDEX(Table1[Unit Price],Table5[[#This Row],[//NOTA]])</f>
        <v>#N/A</v>
      </c>
      <c r="L85" s="86" t="e">
        <f>IF(Table5[[#This Row],[a2]]="","",Table5[[#This Row],[QTY]]*12)</f>
        <v>#N/A</v>
      </c>
      <c r="M85" s="86" t="e">
        <f>IF(Table5[[#This Row],[UNIT]]="grs","LSN",IF(Table5[[#This Row],[UNIT]]="LSN","PCS",""))</f>
        <v>#N/A</v>
      </c>
      <c r="N85" s="86" t="e">
        <f>IF(Table5[[#This Row],[a2]]="LSN",Table5[[#This Row],[a1]]*12,"")</f>
        <v>#N/A</v>
      </c>
      <c r="O85" s="86" t="e">
        <f>IF(Table5[[#This Row],[b1]]="","","PCS")</f>
        <v>#N/A</v>
      </c>
      <c r="P85" s="86"/>
    </row>
    <row r="86" spans="2:16" x14ac:dyDescent="0.25">
      <c r="B86" s="88"/>
      <c r="C86" s="88"/>
      <c r="E86" s="194" t="e">
        <f>MATCH(A86,Table1[H_A1],0)</f>
        <v>#N/A</v>
      </c>
      <c r="F86" s="194" t="e">
        <f>MATCH(Table5[[#This Row],[NAMA]],[1]!db[NB PAJAK],0)</f>
        <v>#N/A</v>
      </c>
      <c r="G86" t="e">
        <f>INDEX(Table1[Item Description],Table5[[#This Row],[//NOTA]])</f>
        <v>#N/A</v>
      </c>
      <c r="H86">
        <f>SUMIF(Table1[H_A1],Sheet5!A86,Table1[Qty])</f>
        <v>0</v>
      </c>
      <c r="I86" t="e">
        <f>INDEX(Table1[Unit],Table5[[#This Row],[//NOTA]])</f>
        <v>#N/A</v>
      </c>
      <c r="J86" s="195">
        <f>SUMIF(Table1[H_A1],Sheet5!A86,Table1[C])</f>
        <v>0</v>
      </c>
      <c r="K86" s="195" t="e">
        <f>INDEX(Table1[Unit Price],Table5[[#This Row],[//NOTA]])</f>
        <v>#N/A</v>
      </c>
      <c r="L86" s="86" t="e">
        <f>IF(Table5[[#This Row],[a2]]="","",Table5[[#This Row],[QTY]]*12)</f>
        <v>#N/A</v>
      </c>
      <c r="M86" s="86" t="e">
        <f>IF(Table5[[#This Row],[UNIT]]="grs","LSN",IF(Table5[[#This Row],[UNIT]]="LSN","PCS",""))</f>
        <v>#N/A</v>
      </c>
      <c r="N86" s="86" t="e">
        <f>IF(Table5[[#This Row],[a2]]="LSN",Table5[[#This Row],[a1]]*12,"")</f>
        <v>#N/A</v>
      </c>
      <c r="O86" s="86" t="e">
        <f>IF(Table5[[#This Row],[b1]]="","","PCS")</f>
        <v>#N/A</v>
      </c>
      <c r="P86" s="86"/>
    </row>
    <row r="87" spans="2:16" x14ac:dyDescent="0.25">
      <c r="B87" s="88"/>
      <c r="C87" s="88"/>
      <c r="E87" s="194" t="e">
        <f>MATCH(A87,Table1[H_A1],0)</f>
        <v>#N/A</v>
      </c>
      <c r="F87" s="194" t="e">
        <f>MATCH(Table5[[#This Row],[NAMA]],[1]!db[NB PAJAK],0)</f>
        <v>#N/A</v>
      </c>
      <c r="G87" t="e">
        <f>INDEX(Table1[Item Description],Table5[[#This Row],[//NOTA]])</f>
        <v>#N/A</v>
      </c>
      <c r="H87">
        <f>SUMIF(Table1[H_A1],Sheet5!A87,Table1[Qty])</f>
        <v>0</v>
      </c>
      <c r="I87" t="e">
        <f>INDEX(Table1[Unit],Table5[[#This Row],[//NOTA]])</f>
        <v>#N/A</v>
      </c>
      <c r="J87" s="195">
        <f>SUMIF(Table1[H_A1],Sheet5!A87,Table1[C])</f>
        <v>0</v>
      </c>
      <c r="K87" s="195" t="e">
        <f>INDEX(Table1[Unit Price],Table5[[#This Row],[//NOTA]])</f>
        <v>#N/A</v>
      </c>
      <c r="L87" s="86" t="e">
        <f>IF(Table5[[#This Row],[a2]]="","",Table5[[#This Row],[QTY]]*12)</f>
        <v>#N/A</v>
      </c>
      <c r="M87" s="86" t="e">
        <f>IF(Table5[[#This Row],[UNIT]]="grs","LSN",IF(Table5[[#This Row],[UNIT]]="LSN","PCS",""))</f>
        <v>#N/A</v>
      </c>
      <c r="N87" s="86" t="e">
        <f>IF(Table5[[#This Row],[a2]]="LSN",Table5[[#This Row],[a1]]*12,"")</f>
        <v>#N/A</v>
      </c>
      <c r="O87" s="86" t="e">
        <f>IF(Table5[[#This Row],[b1]]="","","PCS")</f>
        <v>#N/A</v>
      </c>
      <c r="P87" s="86"/>
    </row>
    <row r="88" spans="2:16" x14ac:dyDescent="0.25">
      <c r="B88" s="88"/>
      <c r="C88" s="88"/>
      <c r="E88" s="194" t="e">
        <f>MATCH(A88,Table1[H_A1],0)</f>
        <v>#N/A</v>
      </c>
      <c r="F88" s="194" t="e">
        <f>MATCH(Table5[[#This Row],[NAMA]],[1]!db[NB PAJAK],0)</f>
        <v>#N/A</v>
      </c>
      <c r="G88" t="e">
        <f>INDEX(Table1[Item Description],Table5[[#This Row],[//NOTA]])</f>
        <v>#N/A</v>
      </c>
      <c r="H88">
        <f>SUMIF(Table1[H_A1],Sheet5!A88,Table1[Qty])</f>
        <v>0</v>
      </c>
      <c r="I88" t="e">
        <f>INDEX(Table1[Unit],Table5[[#This Row],[//NOTA]])</f>
        <v>#N/A</v>
      </c>
      <c r="J88" s="195">
        <f>SUMIF(Table1[H_A1],Sheet5!A88,Table1[C])</f>
        <v>0</v>
      </c>
      <c r="K88" s="195" t="e">
        <f>INDEX(Table1[Unit Price],Table5[[#This Row],[//NOTA]])</f>
        <v>#N/A</v>
      </c>
      <c r="L88" s="86" t="e">
        <f>IF(Table5[[#This Row],[a2]]="","",Table5[[#This Row],[QTY]]*12)</f>
        <v>#N/A</v>
      </c>
      <c r="M88" s="86" t="e">
        <f>IF(Table5[[#This Row],[UNIT]]="grs","LSN",IF(Table5[[#This Row],[UNIT]]="LSN","PCS",""))</f>
        <v>#N/A</v>
      </c>
      <c r="N88" s="86" t="e">
        <f>IF(Table5[[#This Row],[a2]]="LSN",Table5[[#This Row],[a1]]*12,"")</f>
        <v>#N/A</v>
      </c>
      <c r="O88" s="86" t="e">
        <f>IF(Table5[[#This Row],[b1]]="","","PCS")</f>
        <v>#N/A</v>
      </c>
      <c r="P88" s="86"/>
    </row>
    <row r="89" spans="2:16" x14ac:dyDescent="0.25">
      <c r="B89" s="88"/>
      <c r="C89" s="88"/>
      <c r="E89" s="194" t="e">
        <f>MATCH(A89,Table1[H_A1],0)</f>
        <v>#N/A</v>
      </c>
      <c r="F89" s="194" t="e">
        <f>MATCH(Table5[[#This Row],[NAMA]],[1]!db[NB PAJAK],0)</f>
        <v>#N/A</v>
      </c>
      <c r="G89" t="e">
        <f>INDEX(Table1[Item Description],Table5[[#This Row],[//NOTA]])</f>
        <v>#N/A</v>
      </c>
      <c r="H89">
        <f>SUMIF(Table1[H_A1],Sheet5!A89,Table1[Qty])</f>
        <v>0</v>
      </c>
      <c r="I89" t="e">
        <f>INDEX(Table1[Unit],Table5[[#This Row],[//NOTA]])</f>
        <v>#N/A</v>
      </c>
      <c r="J89" s="195">
        <f>SUMIF(Table1[H_A1],Sheet5!A89,Table1[C])</f>
        <v>0</v>
      </c>
      <c r="K89" s="195" t="e">
        <f>INDEX(Table1[Unit Price],Table5[[#This Row],[//NOTA]])</f>
        <v>#N/A</v>
      </c>
      <c r="L89" s="86" t="e">
        <f>IF(Table5[[#This Row],[a2]]="","",Table5[[#This Row],[QTY]]*12)</f>
        <v>#N/A</v>
      </c>
      <c r="M89" s="86" t="e">
        <f>IF(Table5[[#This Row],[UNIT]]="grs","LSN",IF(Table5[[#This Row],[UNIT]]="LSN","PCS",""))</f>
        <v>#N/A</v>
      </c>
      <c r="N89" s="86" t="e">
        <f>IF(Table5[[#This Row],[a2]]="LSN",Table5[[#This Row],[a1]]*12,"")</f>
        <v>#N/A</v>
      </c>
      <c r="O89" s="86" t="e">
        <f>IF(Table5[[#This Row],[b1]]="","","PCS")</f>
        <v>#N/A</v>
      </c>
      <c r="P89" s="86"/>
    </row>
    <row r="90" spans="2:16" x14ac:dyDescent="0.25">
      <c r="B90" s="88"/>
      <c r="C90" s="88"/>
      <c r="E90" s="194" t="e">
        <f>MATCH(A90,Table1[H_A1],0)</f>
        <v>#N/A</v>
      </c>
      <c r="F90" s="194" t="e">
        <f>MATCH(Table5[[#This Row],[NAMA]],[1]!db[NB PAJAK],0)</f>
        <v>#N/A</v>
      </c>
      <c r="G90" t="e">
        <f>INDEX(Table1[Item Description],Table5[[#This Row],[//NOTA]])</f>
        <v>#N/A</v>
      </c>
      <c r="H90">
        <f>SUMIF(Table1[H_A1],Sheet5!A90,Table1[Qty])</f>
        <v>0</v>
      </c>
      <c r="I90" t="e">
        <f>INDEX(Table1[Unit],Table5[[#This Row],[//NOTA]])</f>
        <v>#N/A</v>
      </c>
      <c r="J90" s="195">
        <f>SUMIF(Table1[H_A1],Sheet5!A90,Table1[C])</f>
        <v>0</v>
      </c>
      <c r="K90" s="195" t="e">
        <f>INDEX(Table1[Unit Price],Table5[[#This Row],[//NOTA]])</f>
        <v>#N/A</v>
      </c>
      <c r="L90" s="86" t="e">
        <f>IF(Table5[[#This Row],[a2]]="","",Table5[[#This Row],[QTY]]*12)</f>
        <v>#N/A</v>
      </c>
      <c r="M90" s="86" t="e">
        <f>IF(Table5[[#This Row],[UNIT]]="grs","LSN",IF(Table5[[#This Row],[UNIT]]="LSN","PCS",""))</f>
        <v>#N/A</v>
      </c>
      <c r="N90" s="86" t="e">
        <f>IF(Table5[[#This Row],[a2]]="LSN",Table5[[#This Row],[a1]]*12,"")</f>
        <v>#N/A</v>
      </c>
      <c r="O90" s="86" t="e">
        <f>IF(Table5[[#This Row],[b1]]="","","PCS")</f>
        <v>#N/A</v>
      </c>
      <c r="P90" s="86"/>
    </row>
    <row r="91" spans="2:16" x14ac:dyDescent="0.25">
      <c r="B91" s="88"/>
      <c r="C91" s="88"/>
      <c r="E91" s="194" t="e">
        <f>MATCH(A91,Table1[H_A1],0)</f>
        <v>#N/A</v>
      </c>
      <c r="F91" s="194" t="e">
        <f>MATCH(Table5[[#This Row],[NAMA]],[1]!db[NB PAJAK],0)</f>
        <v>#N/A</v>
      </c>
      <c r="G91" t="e">
        <f>INDEX(Table1[Item Description],Table5[[#This Row],[//NOTA]])</f>
        <v>#N/A</v>
      </c>
      <c r="H91">
        <f>SUMIF(Table1[H_A1],Sheet5!A91,Table1[Qty])</f>
        <v>0</v>
      </c>
      <c r="I91" t="e">
        <f>INDEX(Table1[Unit],Table5[[#This Row],[//NOTA]])</f>
        <v>#N/A</v>
      </c>
      <c r="J91" s="195">
        <f>SUMIF(Table1[H_A1],Sheet5!A91,Table1[C])</f>
        <v>0</v>
      </c>
      <c r="K91" s="195" t="e">
        <f>INDEX(Table1[Unit Price],Table5[[#This Row],[//NOTA]])</f>
        <v>#N/A</v>
      </c>
      <c r="L91" s="86" t="e">
        <f>IF(Table5[[#This Row],[a2]]="","",Table5[[#This Row],[QTY]]*12)</f>
        <v>#N/A</v>
      </c>
      <c r="M91" s="86" t="e">
        <f>IF(Table5[[#This Row],[UNIT]]="grs","LSN",IF(Table5[[#This Row],[UNIT]]="LSN","PCS",""))</f>
        <v>#N/A</v>
      </c>
      <c r="N91" s="86" t="e">
        <f>IF(Table5[[#This Row],[a2]]="LSN",Table5[[#This Row],[a1]]*12,"")</f>
        <v>#N/A</v>
      </c>
      <c r="O91" s="86" t="e">
        <f>IF(Table5[[#This Row],[b1]]="","","PCS")</f>
        <v>#N/A</v>
      </c>
      <c r="P91" s="86"/>
    </row>
    <row r="92" spans="2:16" x14ac:dyDescent="0.25">
      <c r="B92" s="88"/>
      <c r="C92" s="88"/>
      <c r="E92" s="194" t="e">
        <f>MATCH(A92,Table1[H_A1],0)</f>
        <v>#N/A</v>
      </c>
      <c r="F92" s="194" t="e">
        <f>MATCH(Table5[[#This Row],[NAMA]],[1]!db[NB PAJAK],0)</f>
        <v>#N/A</v>
      </c>
      <c r="G92" t="e">
        <f>INDEX(Table1[Item Description],Table5[[#This Row],[//NOTA]])</f>
        <v>#N/A</v>
      </c>
      <c r="H92">
        <f>SUMIF(Table1[H_A1],Sheet5!A92,Table1[Qty])</f>
        <v>0</v>
      </c>
      <c r="I92" t="e">
        <f>INDEX(Table1[Unit],Table5[[#This Row],[//NOTA]])</f>
        <v>#N/A</v>
      </c>
      <c r="J92" s="195">
        <f>SUMIF(Table1[H_A1],Sheet5!A92,Table1[C])</f>
        <v>0</v>
      </c>
      <c r="K92" s="195" t="e">
        <f>INDEX(Table1[Unit Price],Table5[[#This Row],[//NOTA]])</f>
        <v>#N/A</v>
      </c>
      <c r="L92" s="86" t="e">
        <f>IF(Table5[[#This Row],[a2]]="","",Table5[[#This Row],[QTY]]*12)</f>
        <v>#N/A</v>
      </c>
      <c r="M92" s="86" t="e">
        <f>IF(Table5[[#This Row],[UNIT]]="grs","LSN",IF(Table5[[#This Row],[UNIT]]="LSN","PCS",""))</f>
        <v>#N/A</v>
      </c>
      <c r="N92" s="86" t="e">
        <f>IF(Table5[[#This Row],[a2]]="LSN",Table5[[#This Row],[a1]]*12,"")</f>
        <v>#N/A</v>
      </c>
      <c r="O92" s="86" t="e">
        <f>IF(Table5[[#This Row],[b1]]="","","PCS")</f>
        <v>#N/A</v>
      </c>
      <c r="P92" s="86"/>
    </row>
    <row r="93" spans="2:16" x14ac:dyDescent="0.25">
      <c r="B93" s="88"/>
      <c r="C93" s="88"/>
      <c r="E93" s="194" t="e">
        <f>MATCH(A93,Table1[H_A1],0)</f>
        <v>#N/A</v>
      </c>
      <c r="F93" s="194" t="e">
        <f>MATCH(Table5[[#This Row],[NAMA]],[1]!db[NB PAJAK],0)</f>
        <v>#N/A</v>
      </c>
      <c r="G93" t="e">
        <f>INDEX(Table1[Item Description],Table5[[#This Row],[//NOTA]])</f>
        <v>#N/A</v>
      </c>
      <c r="H93">
        <f>SUMIF(Table1[H_A1],Sheet5!A93,Table1[Qty])</f>
        <v>0</v>
      </c>
      <c r="I93" t="e">
        <f>INDEX(Table1[Unit],Table5[[#This Row],[//NOTA]])</f>
        <v>#N/A</v>
      </c>
      <c r="J93" s="195">
        <f>SUMIF(Table1[H_A1],Sheet5!A93,Table1[C])</f>
        <v>0</v>
      </c>
      <c r="K93" s="195" t="e">
        <f>INDEX(Table1[Unit Price],Table5[[#This Row],[//NOTA]])</f>
        <v>#N/A</v>
      </c>
      <c r="L93" s="86" t="e">
        <f>IF(Table5[[#This Row],[a2]]="","",Table5[[#This Row],[QTY]]*12)</f>
        <v>#N/A</v>
      </c>
      <c r="M93" s="86" t="e">
        <f>IF(Table5[[#This Row],[UNIT]]="grs","LSN",IF(Table5[[#This Row],[UNIT]]="LSN","PCS",""))</f>
        <v>#N/A</v>
      </c>
      <c r="N93" s="86" t="e">
        <f>IF(Table5[[#This Row],[a2]]="LSN",Table5[[#This Row],[a1]]*12,"")</f>
        <v>#N/A</v>
      </c>
      <c r="O93" s="86" t="e">
        <f>IF(Table5[[#This Row],[b1]]="","","PCS")</f>
        <v>#N/A</v>
      </c>
      <c r="P93" s="86"/>
    </row>
    <row r="94" spans="2:16" x14ac:dyDescent="0.25">
      <c r="B94" s="88"/>
      <c r="C94" s="88"/>
      <c r="E94" s="194" t="e">
        <f>MATCH(A94,Table1[H_A1],0)</f>
        <v>#N/A</v>
      </c>
      <c r="F94" s="194" t="e">
        <f>MATCH(Table5[[#This Row],[NAMA]],[1]!db[NB PAJAK],0)</f>
        <v>#N/A</v>
      </c>
      <c r="G94" t="e">
        <f>INDEX(Table1[Item Description],Table5[[#This Row],[//NOTA]])</f>
        <v>#N/A</v>
      </c>
      <c r="H94">
        <f>SUMIF(Table1[H_A1],Sheet5!A94,Table1[Qty])</f>
        <v>0</v>
      </c>
      <c r="I94" t="e">
        <f>INDEX(Table1[Unit],Table5[[#This Row],[//NOTA]])</f>
        <v>#N/A</v>
      </c>
      <c r="J94" s="195">
        <f>SUMIF(Table1[H_A1],Sheet5!A94,Table1[C])</f>
        <v>0</v>
      </c>
      <c r="K94" s="195" t="e">
        <f>INDEX(Table1[Unit Price],Table5[[#This Row],[//NOTA]])</f>
        <v>#N/A</v>
      </c>
      <c r="L94" s="86" t="e">
        <f>IF(Table5[[#This Row],[a2]]="","",Table5[[#This Row],[QTY]]*12)</f>
        <v>#N/A</v>
      </c>
      <c r="M94" s="86" t="e">
        <f>IF(Table5[[#This Row],[UNIT]]="grs","LSN",IF(Table5[[#This Row],[UNIT]]="LSN","PCS",""))</f>
        <v>#N/A</v>
      </c>
      <c r="N94" s="86" t="e">
        <f>IF(Table5[[#This Row],[a2]]="LSN",Table5[[#This Row],[a1]]*12,"")</f>
        <v>#N/A</v>
      </c>
      <c r="O94" s="86" t="e">
        <f>IF(Table5[[#This Row],[b1]]="","","PCS")</f>
        <v>#N/A</v>
      </c>
      <c r="P94" s="86"/>
    </row>
    <row r="95" spans="2:16" x14ac:dyDescent="0.25">
      <c r="B95" s="88"/>
      <c r="C95" s="88"/>
      <c r="E95" s="194" t="e">
        <f>MATCH(A95,Table1[H_A1],0)</f>
        <v>#N/A</v>
      </c>
      <c r="F95" s="194" t="e">
        <f>MATCH(Table5[[#This Row],[NAMA]],[1]!db[NB PAJAK],0)</f>
        <v>#N/A</v>
      </c>
      <c r="G95" t="e">
        <f>INDEX(Table1[Item Description],Table5[[#This Row],[//NOTA]])</f>
        <v>#N/A</v>
      </c>
      <c r="H95">
        <f>SUMIF(Table1[H_A1],Sheet5!A95,Table1[Qty])</f>
        <v>0</v>
      </c>
      <c r="I95" t="e">
        <f>INDEX(Table1[Unit],Table5[[#This Row],[//NOTA]])</f>
        <v>#N/A</v>
      </c>
      <c r="J95" s="195">
        <f>SUMIF(Table1[H_A1],Sheet5!A95,Table1[C])</f>
        <v>0</v>
      </c>
      <c r="K95" s="195" t="e">
        <f>INDEX(Table1[Unit Price],Table5[[#This Row],[//NOTA]])</f>
        <v>#N/A</v>
      </c>
      <c r="L95" s="86" t="e">
        <f>IF(Table5[[#This Row],[a2]]="","",Table5[[#This Row],[QTY]]*12)</f>
        <v>#N/A</v>
      </c>
      <c r="M95" s="86" t="e">
        <f>IF(Table5[[#This Row],[UNIT]]="grs","LSN",IF(Table5[[#This Row],[UNIT]]="LSN","PCS",""))</f>
        <v>#N/A</v>
      </c>
      <c r="N95" s="86" t="e">
        <f>IF(Table5[[#This Row],[a2]]="LSN",Table5[[#This Row],[a1]]*12,"")</f>
        <v>#N/A</v>
      </c>
      <c r="O95" s="86" t="e">
        <f>IF(Table5[[#This Row],[b1]]="","","PCS")</f>
        <v>#N/A</v>
      </c>
      <c r="P95" s="86"/>
    </row>
    <row r="96" spans="2:16" x14ac:dyDescent="0.25">
      <c r="B96" s="88"/>
      <c r="C96" s="88"/>
      <c r="E96" s="194" t="e">
        <f>MATCH(A96,Table1[H_A1],0)</f>
        <v>#N/A</v>
      </c>
      <c r="F96" s="194" t="e">
        <f>MATCH(Table5[[#This Row],[NAMA]],[1]!db[NB PAJAK],0)</f>
        <v>#N/A</v>
      </c>
      <c r="G96" t="e">
        <f>INDEX(Table1[Item Description],Table5[[#This Row],[//NOTA]])</f>
        <v>#N/A</v>
      </c>
      <c r="H96">
        <f>SUMIF(Table1[H_A1],Sheet5!A96,Table1[Qty])</f>
        <v>0</v>
      </c>
      <c r="I96" t="e">
        <f>INDEX(Table1[Unit],Table5[[#This Row],[//NOTA]])</f>
        <v>#N/A</v>
      </c>
      <c r="J96" s="195">
        <f>SUMIF(Table1[H_A1],Sheet5!A96,Table1[C])</f>
        <v>0</v>
      </c>
      <c r="K96" s="195" t="e">
        <f>INDEX(Table1[Unit Price],Table5[[#This Row],[//NOTA]])</f>
        <v>#N/A</v>
      </c>
      <c r="L96" s="86" t="e">
        <f>IF(Table5[[#This Row],[a2]]="","",Table5[[#This Row],[QTY]]*12)</f>
        <v>#N/A</v>
      </c>
      <c r="M96" s="86" t="e">
        <f>IF(Table5[[#This Row],[UNIT]]="grs","LSN",IF(Table5[[#This Row],[UNIT]]="LSN","PCS",""))</f>
        <v>#N/A</v>
      </c>
      <c r="N96" s="86" t="e">
        <f>IF(Table5[[#This Row],[a2]]="LSN",Table5[[#This Row],[a1]]*12,"")</f>
        <v>#N/A</v>
      </c>
      <c r="O96" s="86" t="e">
        <f>IF(Table5[[#This Row],[b1]]="","","PCS")</f>
        <v>#N/A</v>
      </c>
      <c r="P96" s="86"/>
    </row>
    <row r="97" spans="2:16" x14ac:dyDescent="0.25">
      <c r="B97" s="88"/>
      <c r="C97" s="88"/>
      <c r="E97" s="194" t="e">
        <f>MATCH(A97,Table1[H_A1],0)</f>
        <v>#N/A</v>
      </c>
      <c r="F97" s="194" t="e">
        <f>MATCH(Table5[[#This Row],[NAMA]],[1]!db[NB PAJAK],0)</f>
        <v>#N/A</v>
      </c>
      <c r="G97" s="86" t="e">
        <f>INDEX(Table1[Item Description],Table5[[#This Row],[//NOTA]])</f>
        <v>#N/A</v>
      </c>
      <c r="H97">
        <f>SUMIF(Table1[H_A1],Sheet5!A97,Table1[Qty])</f>
        <v>0</v>
      </c>
      <c r="I97" t="e">
        <f>INDEX(Table1[Unit],Table5[[#This Row],[//NOTA]])</f>
        <v>#N/A</v>
      </c>
      <c r="J97" s="195">
        <f>SUMIF(Table1[H_A1],Sheet5!A97,Table1[C])</f>
        <v>0</v>
      </c>
      <c r="K97" s="195" t="e">
        <f>INDEX(Table1[Unit Price],Table5[[#This Row],[//NOTA]])</f>
        <v>#N/A</v>
      </c>
      <c r="L97" s="86" t="e">
        <f>IF(Table5[[#This Row],[a2]]="","",Table5[[#This Row],[QTY]]*12)</f>
        <v>#N/A</v>
      </c>
      <c r="M97" s="86" t="e">
        <f>IF(Table5[[#This Row],[UNIT]]="grs","LSN",IF(Table5[[#This Row],[UNIT]]="LSN","PCS",""))</f>
        <v>#N/A</v>
      </c>
      <c r="N97" s="86" t="e">
        <f>IF(Table5[[#This Row],[a2]]="LSN",Table5[[#This Row],[a1]]*12,"")</f>
        <v>#N/A</v>
      </c>
      <c r="O97" s="86" t="e">
        <f>IF(Table5[[#This Row],[b1]]="","","PCS")</f>
        <v>#N/A</v>
      </c>
      <c r="P97" s="86"/>
    </row>
    <row r="98" spans="2:16" x14ac:dyDescent="0.25">
      <c r="E98" s="194" t="e">
        <f>MATCH(A98,Table1[H_A1],0)</f>
        <v>#N/A</v>
      </c>
      <c r="F98" s="194" t="e">
        <f>MATCH(Table5[[#This Row],[NAMA]],[1]!db[NB PAJAK],0)</f>
        <v>#N/A</v>
      </c>
      <c r="G98" s="86" t="e">
        <f>INDEX(Table1[Item Description],Table5[[#This Row],[//NOTA]])</f>
        <v>#N/A</v>
      </c>
      <c r="H98">
        <f>SUMIF(Table1[H_A1],Sheet5!A98,Table1[Qty])</f>
        <v>0</v>
      </c>
      <c r="I98" t="e">
        <f>INDEX(Table1[Unit],Table5[[#This Row],[//NOTA]])</f>
        <v>#N/A</v>
      </c>
      <c r="J98" s="195">
        <f>SUMIF(Table1[H_A1],Sheet5!A98,Table1[C])</f>
        <v>0</v>
      </c>
      <c r="K98" s="195" t="e">
        <f>INDEX(Table1[Unit Price],Table5[[#This Row],[//NOTA]])</f>
        <v>#N/A</v>
      </c>
      <c r="L98" s="86" t="e">
        <f>IF(Table5[[#This Row],[a2]]="","",Table5[[#This Row],[QTY]]*12)</f>
        <v>#N/A</v>
      </c>
      <c r="M98" s="86" t="e">
        <f>IF(Table5[[#This Row],[UNIT]]="grs","LSN",IF(Table5[[#This Row],[UNIT]]="LSN","PCS",""))</f>
        <v>#N/A</v>
      </c>
      <c r="N98" s="86" t="e">
        <f>IF(Table5[[#This Row],[a2]]="LSN",Table5[[#This Row],[a1]]*12,"")</f>
        <v>#N/A</v>
      </c>
      <c r="O98" s="86" t="e">
        <f>IF(Table5[[#This Row],[b1]]="","","PCS")</f>
        <v>#N/A</v>
      </c>
      <c r="P98" s="86"/>
    </row>
    <row r="99" spans="2:16" x14ac:dyDescent="0.25">
      <c r="E99" s="194" t="e">
        <f>MATCH(A99,Table1[H_A1],0)</f>
        <v>#N/A</v>
      </c>
      <c r="F99" s="194" t="e">
        <f>MATCH(Table5[[#This Row],[NAMA]],[1]!db[NB PAJAK],0)</f>
        <v>#N/A</v>
      </c>
      <c r="G99" s="86" t="e">
        <f>INDEX(Table1[Item Description],Table5[[#This Row],[//NOTA]])</f>
        <v>#N/A</v>
      </c>
      <c r="H99">
        <f>SUMIF(Table1[H_A1],Sheet5!A99,Table1[Qty])</f>
        <v>0</v>
      </c>
      <c r="I99" t="e">
        <f>INDEX(Table1[Unit],Table5[[#This Row],[//NOTA]])</f>
        <v>#N/A</v>
      </c>
      <c r="J99" s="195">
        <f>SUMIF(Table1[H_A1],Sheet5!A99,Table1[C])</f>
        <v>0</v>
      </c>
      <c r="K99" s="195" t="e">
        <f>INDEX(Table1[Unit Price],Table5[[#This Row],[//NOTA]])</f>
        <v>#N/A</v>
      </c>
      <c r="L99" s="86" t="e">
        <f>IF(Table5[[#This Row],[a2]]="","",Table5[[#This Row],[QTY]]*12)</f>
        <v>#N/A</v>
      </c>
      <c r="M99" s="86" t="e">
        <f>IF(Table5[[#This Row],[UNIT]]="grs","LSN",IF(Table5[[#This Row],[UNIT]]="LSN","PCS",""))</f>
        <v>#N/A</v>
      </c>
      <c r="N99" s="86" t="e">
        <f>IF(Table5[[#This Row],[a2]]="LSN",Table5[[#This Row],[a1]]*12,"")</f>
        <v>#N/A</v>
      </c>
      <c r="O99" s="86" t="e">
        <f>IF(Table5[[#This Row],[b1]]="","","PCS")</f>
        <v>#N/A</v>
      </c>
      <c r="P99" s="86"/>
    </row>
    <row r="100" spans="2:16" x14ac:dyDescent="0.25">
      <c r="E100" s="194" t="e">
        <f>MATCH(A100,Table1[H_A1],0)</f>
        <v>#N/A</v>
      </c>
      <c r="F100" s="194" t="e">
        <f>MATCH(Table5[[#This Row],[NAMA]],[1]!db[NB PAJAK],0)</f>
        <v>#N/A</v>
      </c>
      <c r="G100" s="86" t="e">
        <f>INDEX(Table1[Item Description],Table5[[#This Row],[//NOTA]])</f>
        <v>#N/A</v>
      </c>
      <c r="H100">
        <f>SUMIF(Table1[H_A1],Sheet5!A100,Table1[Qty])</f>
        <v>0</v>
      </c>
      <c r="I100" t="e">
        <f>INDEX(Table1[Unit],Table5[[#This Row],[//NOTA]])</f>
        <v>#N/A</v>
      </c>
      <c r="J100" s="195">
        <f>SUMIF(Table1[H_A1],Sheet5!A100,Table1[C])</f>
        <v>0</v>
      </c>
      <c r="K100" s="195" t="e">
        <f>INDEX(Table1[Unit Price],Table5[[#This Row],[//NOTA]])</f>
        <v>#N/A</v>
      </c>
      <c r="L100" s="86" t="e">
        <f>IF(Table5[[#This Row],[a2]]="","",Table5[[#This Row],[QTY]]*12)</f>
        <v>#N/A</v>
      </c>
      <c r="M100" s="86" t="e">
        <f>IF(Table5[[#This Row],[UNIT]]="grs","LSN",IF(Table5[[#This Row],[UNIT]]="LSN","PCS",""))</f>
        <v>#N/A</v>
      </c>
      <c r="N100" s="86" t="e">
        <f>IF(Table5[[#This Row],[a2]]="LSN",Table5[[#This Row],[a1]]*12,"")</f>
        <v>#N/A</v>
      </c>
      <c r="O100" s="86" t="e">
        <f>IF(Table5[[#This Row],[b1]]="","","PCS")</f>
        <v>#N/A</v>
      </c>
      <c r="P100" s="86"/>
    </row>
    <row r="101" spans="2:16" x14ac:dyDescent="0.25">
      <c r="E101" s="194" t="e">
        <f>MATCH(A101,Table1[H_A1],0)</f>
        <v>#N/A</v>
      </c>
      <c r="F101" s="194" t="e">
        <f>MATCH(Table5[[#This Row],[NAMA]],[1]!db[NB PAJAK],0)</f>
        <v>#N/A</v>
      </c>
      <c r="G101" s="86" t="e">
        <f>INDEX(Table1[Item Description],Table5[[#This Row],[//NOTA]])</f>
        <v>#N/A</v>
      </c>
      <c r="H101">
        <f>SUMIF(Table1[H_A1],Sheet5!A101,Table1[Qty])</f>
        <v>0</v>
      </c>
      <c r="I101" t="e">
        <f>INDEX(Table1[Unit],Table5[[#This Row],[//NOTA]])</f>
        <v>#N/A</v>
      </c>
      <c r="J101" s="195">
        <f>SUMIF(Table1[H_A1],Sheet5!A101,Table1[C])</f>
        <v>0</v>
      </c>
      <c r="K101" s="195" t="e">
        <f>INDEX(Table1[Unit Price],Table5[[#This Row],[//NOTA]])</f>
        <v>#N/A</v>
      </c>
      <c r="L101" s="86" t="e">
        <f>IF(Table5[[#This Row],[a2]]="","",Table5[[#This Row],[QTY]]*12)</f>
        <v>#N/A</v>
      </c>
      <c r="M101" s="86" t="e">
        <f>IF(Table5[[#This Row],[UNIT]]="grs","LSN",IF(Table5[[#This Row],[UNIT]]="LSN","PCS",""))</f>
        <v>#N/A</v>
      </c>
      <c r="N101" s="86" t="e">
        <f>IF(Table5[[#This Row],[a2]]="LSN",Table5[[#This Row],[a1]]*12,"")</f>
        <v>#N/A</v>
      </c>
      <c r="O101" s="86" t="e">
        <f>IF(Table5[[#This Row],[b1]]="","","PCS")</f>
        <v>#N/A</v>
      </c>
      <c r="P101" s="86"/>
    </row>
    <row r="102" spans="2:16" x14ac:dyDescent="0.25">
      <c r="E102" s="194" t="e">
        <f>MATCH(A102,Table1[H_A1],0)</f>
        <v>#N/A</v>
      </c>
      <c r="F102" s="194" t="e">
        <f>MATCH(Table5[[#This Row],[NAMA]],[1]!db[NB PAJAK],0)</f>
        <v>#N/A</v>
      </c>
      <c r="G102" s="86" t="e">
        <f>INDEX(Table1[Item Description],Table5[[#This Row],[//NOTA]])</f>
        <v>#N/A</v>
      </c>
      <c r="H102" s="86">
        <f>SUMIF(Table1[H_A1],Sheet5!A102,Table1[Qty])</f>
        <v>0</v>
      </c>
      <c r="I102" s="86" t="e">
        <f>INDEX(Table1[Unit],Table5[[#This Row],[//NOTA]])</f>
        <v>#N/A</v>
      </c>
      <c r="J102" s="195">
        <f>SUMIF(Table1[H_A1],Sheet5!A102,Table1[C])</f>
        <v>0</v>
      </c>
      <c r="K102" s="195" t="e">
        <f>INDEX(Table1[Unit Price],Table5[[#This Row],[//NOTA]])</f>
        <v>#N/A</v>
      </c>
      <c r="L102" s="86" t="e">
        <f>IF(Table5[[#This Row],[a2]]="","",Table5[[#This Row],[QTY]]*12)</f>
        <v>#N/A</v>
      </c>
      <c r="M102" s="86" t="e">
        <f>IF(Table5[[#This Row],[UNIT]]="grs","LSN",IF(Table5[[#This Row],[UNIT]]="LSN","PCS",""))</f>
        <v>#N/A</v>
      </c>
      <c r="N102" s="86" t="e">
        <f>IF(Table5[[#This Row],[a2]]="LSN",Table5[[#This Row],[a1]]*12,"")</f>
        <v>#N/A</v>
      </c>
      <c r="O102" s="86" t="e">
        <f>IF(Table5[[#This Row],[b1]]="","","PCS")</f>
        <v>#N/A</v>
      </c>
      <c r="P102" s="86"/>
    </row>
    <row r="103" spans="2:16" x14ac:dyDescent="0.25">
      <c r="E103" s="194" t="e">
        <f>MATCH(A103,Table1[H_A1],0)</f>
        <v>#N/A</v>
      </c>
      <c r="F103" s="194" t="e">
        <f>MATCH(Table5[[#This Row],[NAMA]],[1]!db[NB PAJAK],0)</f>
        <v>#N/A</v>
      </c>
      <c r="G103" s="86" t="e">
        <f>INDEX(Table1[Item Description],Table5[[#This Row],[//NOTA]])</f>
        <v>#N/A</v>
      </c>
      <c r="H103" s="86">
        <f>SUMIF(Table1[H_A1],Sheet5!A103,Table1[Qty])</f>
        <v>0</v>
      </c>
      <c r="I103" s="86" t="e">
        <f>INDEX(Table1[Unit],Table5[[#This Row],[//NOTA]])</f>
        <v>#N/A</v>
      </c>
      <c r="J103" s="195">
        <f>SUMIF(Table1[H_A1],Sheet5!A103,Table1[C])</f>
        <v>0</v>
      </c>
      <c r="K103" s="195" t="e">
        <f>INDEX(Table1[Unit Price],Table5[[#This Row],[//NOTA]])</f>
        <v>#N/A</v>
      </c>
      <c r="L103" s="86" t="e">
        <f>IF(Table5[[#This Row],[a2]]="","",Table5[[#This Row],[QTY]]*12)</f>
        <v>#N/A</v>
      </c>
      <c r="M103" s="86" t="e">
        <f>IF(Table5[[#This Row],[UNIT]]="grs","LSN",IF(Table5[[#This Row],[UNIT]]="LSN","PCS",""))</f>
        <v>#N/A</v>
      </c>
      <c r="N103" s="86" t="e">
        <f>IF(Table5[[#This Row],[a2]]="LSN",Table5[[#This Row],[a1]]*12,"")</f>
        <v>#N/A</v>
      </c>
      <c r="O103" s="86" t="e">
        <f>IF(Table5[[#This Row],[b1]]="","","PCS")</f>
        <v>#N/A</v>
      </c>
      <c r="P103" s="86"/>
    </row>
    <row r="104" spans="2:16" x14ac:dyDescent="0.25">
      <c r="E104" s="194" t="e">
        <f>MATCH(A104,Table1[H_A1],0)</f>
        <v>#N/A</v>
      </c>
      <c r="F104" s="194" t="e">
        <f>MATCH(Table5[[#This Row],[NAMA]],[1]!db[NB PAJAK],0)</f>
        <v>#N/A</v>
      </c>
      <c r="G104" s="86" t="e">
        <f>INDEX(Table1[Item Description],Table5[[#This Row],[//NOTA]])</f>
        <v>#N/A</v>
      </c>
      <c r="H104" s="86">
        <f>SUMIF(Table1[H_A1],Sheet5!A104,Table1[Qty])</f>
        <v>0</v>
      </c>
      <c r="I104" s="86" t="e">
        <f>INDEX(Table1[Unit],Table5[[#This Row],[//NOTA]])</f>
        <v>#N/A</v>
      </c>
      <c r="J104" s="195">
        <f>SUMIF(Table1[H_A1],Sheet5!A104,Table1[C])</f>
        <v>0</v>
      </c>
      <c r="K104" s="195" t="e">
        <f>INDEX(Table1[Unit Price],Table5[[#This Row],[//NOTA]])</f>
        <v>#N/A</v>
      </c>
      <c r="L104" s="86" t="e">
        <f>IF(Table5[[#This Row],[a2]]="","",Table5[[#This Row],[QTY]]*12)</f>
        <v>#N/A</v>
      </c>
      <c r="M104" s="86" t="e">
        <f>IF(Table5[[#This Row],[UNIT]]="grs","LSN",IF(Table5[[#This Row],[UNIT]]="LSN","PCS",""))</f>
        <v>#N/A</v>
      </c>
      <c r="N104" s="86" t="e">
        <f>IF(Table5[[#This Row],[a2]]="LSN",Table5[[#This Row],[a1]]*12,"")</f>
        <v>#N/A</v>
      </c>
      <c r="O104" s="86" t="e">
        <f>IF(Table5[[#This Row],[b1]]="","","PCS")</f>
        <v>#N/A</v>
      </c>
      <c r="P104" s="86"/>
    </row>
    <row r="105" spans="2:16" x14ac:dyDescent="0.25">
      <c r="E105" s="194" t="e">
        <f>MATCH(A105,Table1[H_A1],0)</f>
        <v>#N/A</v>
      </c>
      <c r="F105" s="194" t="e">
        <f>MATCH(Table5[[#This Row],[NAMA]],[1]!db[NB PAJAK],0)</f>
        <v>#N/A</v>
      </c>
      <c r="G105" s="86" t="e">
        <f>INDEX(Table1[Item Description],Table5[[#This Row],[//NOTA]])</f>
        <v>#N/A</v>
      </c>
      <c r="H105" s="86">
        <f>SUMIF(Table1[H_A1],Sheet5!A105,Table1[Qty])</f>
        <v>0</v>
      </c>
      <c r="I105" s="86" t="e">
        <f>INDEX(Table1[Unit],Table5[[#This Row],[//NOTA]])</f>
        <v>#N/A</v>
      </c>
      <c r="J105" s="195">
        <f>SUMIF(Table1[H_A1],Sheet5!A105,Table1[C])</f>
        <v>0</v>
      </c>
      <c r="K105" s="195" t="e">
        <f>INDEX(Table1[Unit Price],Table5[[#This Row],[//NOTA]])</f>
        <v>#N/A</v>
      </c>
      <c r="L105" s="86" t="e">
        <f>IF(Table5[[#This Row],[a2]]="","",Table5[[#This Row],[QTY]]*12)</f>
        <v>#N/A</v>
      </c>
      <c r="M105" s="86" t="e">
        <f>IF(Table5[[#This Row],[UNIT]]="grs","LSN",IF(Table5[[#This Row],[UNIT]]="LSN","PCS",""))</f>
        <v>#N/A</v>
      </c>
      <c r="N105" s="86" t="e">
        <f>IF(Table5[[#This Row],[a2]]="LSN",Table5[[#This Row],[a1]]*12,"")</f>
        <v>#N/A</v>
      </c>
      <c r="O105" s="86" t="e">
        <f>IF(Table5[[#This Row],[b1]]="","","PCS")</f>
        <v>#N/A</v>
      </c>
      <c r="P105" s="86"/>
    </row>
    <row r="106" spans="2:16" x14ac:dyDescent="0.25">
      <c r="E106" s="194" t="e">
        <f>MATCH(A106,Table1[H_A1],0)</f>
        <v>#N/A</v>
      </c>
      <c r="F106" s="194" t="e">
        <f>MATCH(Table5[[#This Row],[NAMA]],[1]!db[NB PAJAK],0)</f>
        <v>#N/A</v>
      </c>
      <c r="G106" s="86" t="e">
        <f>INDEX(Table1[Item Description],Table5[[#This Row],[//NOTA]])</f>
        <v>#N/A</v>
      </c>
      <c r="H106" s="86">
        <f>SUMIF(Table1[H_A1],Sheet5!A106,Table1[Qty])</f>
        <v>0</v>
      </c>
      <c r="I106" s="86" t="e">
        <f>INDEX(Table1[Unit],Table5[[#This Row],[//NOTA]])</f>
        <v>#N/A</v>
      </c>
      <c r="J106" s="195">
        <f>SUMIF(Table1[H_A1],Sheet5!A106,Table1[C])</f>
        <v>0</v>
      </c>
      <c r="K106" s="195" t="e">
        <f>INDEX(Table1[Unit Price],Table5[[#This Row],[//NOTA]])</f>
        <v>#N/A</v>
      </c>
      <c r="L106" s="86" t="e">
        <f>IF(Table5[[#This Row],[a2]]="","",Table5[[#This Row],[QTY]]*12)</f>
        <v>#N/A</v>
      </c>
      <c r="M106" s="86" t="e">
        <f>IF(Table5[[#This Row],[UNIT]]="grs","LSN",IF(Table5[[#This Row],[UNIT]]="LSN","PCS",""))</f>
        <v>#N/A</v>
      </c>
      <c r="N106" s="86" t="e">
        <f>IF(Table5[[#This Row],[a2]]="LSN",Table5[[#This Row],[a1]]*12,"")</f>
        <v>#N/A</v>
      </c>
      <c r="O106" s="86" t="e">
        <f>IF(Table5[[#This Row],[b1]]="","","PCS")</f>
        <v>#N/A</v>
      </c>
      <c r="P106" s="86"/>
    </row>
    <row r="107" spans="2:16" x14ac:dyDescent="0.25">
      <c r="E107" s="194" t="e">
        <f>MATCH(A107,Table1[H_A1],0)</f>
        <v>#N/A</v>
      </c>
      <c r="F107" s="194" t="e">
        <f>MATCH(Table5[[#This Row],[NAMA]],[1]!db[NB PAJAK],0)</f>
        <v>#N/A</v>
      </c>
      <c r="G107" s="86" t="e">
        <f>INDEX(Table1[Item Description],Table5[[#This Row],[//NOTA]])</f>
        <v>#N/A</v>
      </c>
      <c r="H107" s="86">
        <f>SUMIF(Table1[H_A1],Sheet5!A107,Table1[Qty])</f>
        <v>0</v>
      </c>
      <c r="I107" s="86" t="e">
        <f>INDEX(Table1[Unit],Table5[[#This Row],[//NOTA]])</f>
        <v>#N/A</v>
      </c>
      <c r="J107" s="195">
        <f>SUMIF(Table1[H_A1],Sheet5!A107,Table1[C])</f>
        <v>0</v>
      </c>
      <c r="K107" s="195" t="e">
        <f>INDEX(Table1[Unit Price],Table5[[#This Row],[//NOTA]])</f>
        <v>#N/A</v>
      </c>
      <c r="L107" s="86" t="e">
        <f>IF(Table5[[#This Row],[a2]]="","",Table5[[#This Row],[QTY]]*12)</f>
        <v>#N/A</v>
      </c>
      <c r="M107" s="86" t="e">
        <f>IF(Table5[[#This Row],[UNIT]]="grs","LSN",IF(Table5[[#This Row],[UNIT]]="LSN","PCS",""))</f>
        <v>#N/A</v>
      </c>
      <c r="N107" s="86" t="e">
        <f>IF(Table5[[#This Row],[a2]]="LSN",Table5[[#This Row],[a1]]*12,"")</f>
        <v>#N/A</v>
      </c>
      <c r="O107" s="86" t="e">
        <f>IF(Table5[[#This Row],[b1]]="","","PCS")</f>
        <v>#N/A</v>
      </c>
      <c r="P107" s="86"/>
    </row>
    <row r="108" spans="2:16" x14ac:dyDescent="0.25">
      <c r="E108" s="194" t="e">
        <f>MATCH(A108,Table1[H_A1],0)</f>
        <v>#N/A</v>
      </c>
      <c r="F108" s="194" t="e">
        <f>MATCH(Table5[[#This Row],[NAMA]],[1]!db[NB PAJAK],0)</f>
        <v>#N/A</v>
      </c>
      <c r="G108" s="86" t="e">
        <f>INDEX(Table1[Item Description],Table5[[#This Row],[//NOTA]])</f>
        <v>#N/A</v>
      </c>
      <c r="H108" s="86">
        <f>SUMIF(Table1[H_A1],Sheet5!A108,Table1[Qty])</f>
        <v>0</v>
      </c>
      <c r="I108" s="86" t="e">
        <f>INDEX(Table1[Unit],Table5[[#This Row],[//NOTA]])</f>
        <v>#N/A</v>
      </c>
      <c r="J108" s="195">
        <f>SUMIF(Table1[H_A1],Sheet5!A108,Table1[C])</f>
        <v>0</v>
      </c>
      <c r="K108" s="195" t="e">
        <f>INDEX(Table1[Unit Price],Table5[[#This Row],[//NOTA]])</f>
        <v>#N/A</v>
      </c>
      <c r="L108" s="86" t="e">
        <f>IF(Table5[[#This Row],[a2]]="","",Table5[[#This Row],[QTY]]*12)</f>
        <v>#N/A</v>
      </c>
      <c r="M108" s="86" t="e">
        <f>IF(Table5[[#This Row],[UNIT]]="grs","LSN",IF(Table5[[#This Row],[UNIT]]="LSN","PCS",""))</f>
        <v>#N/A</v>
      </c>
      <c r="N108" s="86" t="e">
        <f>IF(Table5[[#This Row],[a2]]="LSN",Table5[[#This Row],[a1]]*12,"")</f>
        <v>#N/A</v>
      </c>
      <c r="O108" s="86" t="e">
        <f>IF(Table5[[#This Row],[b1]]="","","PCS")</f>
        <v>#N/A</v>
      </c>
      <c r="P108" s="86"/>
    </row>
    <row r="109" spans="2:16" x14ac:dyDescent="0.25">
      <c r="E109" s="194" t="e">
        <f>MATCH(A109,Table1[H_A1],0)</f>
        <v>#N/A</v>
      </c>
      <c r="F109" s="194" t="e">
        <f>MATCH(Table5[[#This Row],[NAMA]],[1]!db[NB PAJAK],0)</f>
        <v>#N/A</v>
      </c>
      <c r="G109" s="86" t="e">
        <f>INDEX(Table1[Item Description],Table5[[#This Row],[//NOTA]])</f>
        <v>#N/A</v>
      </c>
      <c r="H109" s="86">
        <f>SUMIF(Table1[H_A1],Sheet5!A109,Table1[Qty])</f>
        <v>0</v>
      </c>
      <c r="I109" s="86" t="e">
        <f>INDEX(Table1[Unit],Table5[[#This Row],[//NOTA]])</f>
        <v>#N/A</v>
      </c>
      <c r="J109" s="195">
        <f>SUMIF(Table1[H_A1],Sheet5!A109,Table1[C])</f>
        <v>0</v>
      </c>
      <c r="K109" s="195" t="e">
        <f>INDEX(Table1[Unit Price],Table5[[#This Row],[//NOTA]])</f>
        <v>#N/A</v>
      </c>
      <c r="L109" s="86" t="e">
        <f>IF(Table5[[#This Row],[a2]]="","",Table5[[#This Row],[QTY]]*12)</f>
        <v>#N/A</v>
      </c>
      <c r="M109" s="86" t="e">
        <f>IF(Table5[[#This Row],[UNIT]]="grs","LSN",IF(Table5[[#This Row],[UNIT]]="LSN","PCS",""))</f>
        <v>#N/A</v>
      </c>
      <c r="N109" s="86" t="e">
        <f>IF(Table5[[#This Row],[a2]]="LSN",Table5[[#This Row],[a1]]*12,"")</f>
        <v>#N/A</v>
      </c>
      <c r="O109" s="86" t="e">
        <f>IF(Table5[[#This Row],[b1]]="","","PCS")</f>
        <v>#N/A</v>
      </c>
      <c r="P109" s="86"/>
    </row>
    <row r="110" spans="2:16" x14ac:dyDescent="0.25">
      <c r="E110" s="194" t="e">
        <f>MATCH(A110,Table1[H_A1],0)</f>
        <v>#N/A</v>
      </c>
      <c r="F110" s="194" t="e">
        <f>MATCH(Table5[[#This Row],[NAMA]],[1]!db[NB PAJAK],0)</f>
        <v>#N/A</v>
      </c>
      <c r="G110" s="86" t="e">
        <f>INDEX(Table1[Item Description],Table5[[#This Row],[//NOTA]])</f>
        <v>#N/A</v>
      </c>
      <c r="H110" s="86">
        <f>SUMIF(Table1[H_A1],Sheet5!A110,Table1[Qty])</f>
        <v>0</v>
      </c>
      <c r="I110" s="86" t="e">
        <f>INDEX(Table1[Unit],Table5[[#This Row],[//NOTA]])</f>
        <v>#N/A</v>
      </c>
      <c r="J110" s="195">
        <f>SUMIF(Table1[H_A1],Sheet5!A110,Table1[C])</f>
        <v>0</v>
      </c>
      <c r="K110" s="195" t="e">
        <f>INDEX(Table1[Unit Price],Table5[[#This Row],[//NOTA]])</f>
        <v>#N/A</v>
      </c>
      <c r="L110" s="86" t="e">
        <f>IF(Table5[[#This Row],[a2]]="","",Table5[[#This Row],[QTY]]*12)</f>
        <v>#N/A</v>
      </c>
      <c r="M110" s="86" t="e">
        <f>IF(Table5[[#This Row],[UNIT]]="grs","LSN",IF(Table5[[#This Row],[UNIT]]="LSN","PCS",""))</f>
        <v>#N/A</v>
      </c>
      <c r="N110" s="86" t="e">
        <f>IF(Table5[[#This Row],[a2]]="LSN",Table5[[#This Row],[a1]]*12,"")</f>
        <v>#N/A</v>
      </c>
      <c r="O110" s="86" t="e">
        <f>IF(Table5[[#This Row],[b1]]="","","PCS")</f>
        <v>#N/A</v>
      </c>
      <c r="P110" s="86"/>
    </row>
    <row r="111" spans="2:16" x14ac:dyDescent="0.25">
      <c r="E111" s="194" t="e">
        <f>MATCH(A111,Table1[H_A1],0)</f>
        <v>#N/A</v>
      </c>
      <c r="F111" s="194" t="e">
        <f>MATCH(Table5[[#This Row],[NAMA]],[1]!db[NB PAJAK],0)</f>
        <v>#N/A</v>
      </c>
      <c r="G111" s="86" t="e">
        <f>INDEX(Table1[Item Description],Table5[[#This Row],[//NOTA]])</f>
        <v>#N/A</v>
      </c>
      <c r="H111" s="86">
        <f>SUMIF(Table1[H_A1],Sheet5!A111,Table1[Qty])</f>
        <v>0</v>
      </c>
      <c r="I111" s="86" t="e">
        <f>INDEX(Table1[Unit],Table5[[#This Row],[//NOTA]])</f>
        <v>#N/A</v>
      </c>
      <c r="J111" s="195">
        <f>SUMIF(Table1[H_A1],Sheet5!A111,Table1[C])</f>
        <v>0</v>
      </c>
      <c r="K111" s="195" t="e">
        <f>INDEX(Table1[Unit Price],Table5[[#This Row],[//NOTA]])</f>
        <v>#N/A</v>
      </c>
      <c r="L111" s="86" t="e">
        <f>IF(Table5[[#This Row],[a2]]="","",Table5[[#This Row],[QTY]]*12)</f>
        <v>#N/A</v>
      </c>
      <c r="M111" s="86" t="e">
        <f>IF(Table5[[#This Row],[UNIT]]="grs","LSN",IF(Table5[[#This Row],[UNIT]]="LSN","PCS",""))</f>
        <v>#N/A</v>
      </c>
      <c r="N111" s="86" t="e">
        <f>IF(Table5[[#This Row],[a2]]="LSN",Table5[[#This Row],[a1]]*12,"")</f>
        <v>#N/A</v>
      </c>
      <c r="O111" s="86" t="e">
        <f>IF(Table5[[#This Row],[b1]]="","","PCS")</f>
        <v>#N/A</v>
      </c>
      <c r="P111" s="86"/>
    </row>
    <row r="112" spans="2:16" x14ac:dyDescent="0.25">
      <c r="E112" s="194" t="e">
        <f>MATCH(A112,Table1[H_A1],0)</f>
        <v>#N/A</v>
      </c>
      <c r="F112" s="194" t="e">
        <f>MATCH(Table5[[#This Row],[NAMA]],[1]!db[NB PAJAK],0)</f>
        <v>#N/A</v>
      </c>
      <c r="G112" s="86" t="e">
        <f>INDEX(Table1[Item Description],Table5[[#This Row],[//NOTA]])</f>
        <v>#N/A</v>
      </c>
      <c r="H112" s="86">
        <f>SUMIF(Table1[H_A1],Sheet5!A112,Table1[Qty])</f>
        <v>0</v>
      </c>
      <c r="I112" s="86" t="e">
        <f>INDEX(Table1[Unit],Table5[[#This Row],[//NOTA]])</f>
        <v>#N/A</v>
      </c>
      <c r="J112" s="195">
        <f>SUMIF(Table1[H_A1],Sheet5!A112,Table1[C])</f>
        <v>0</v>
      </c>
      <c r="K112" s="195" t="e">
        <f>INDEX(Table1[Unit Price],Table5[[#This Row],[//NOTA]])</f>
        <v>#N/A</v>
      </c>
      <c r="L112" s="86" t="e">
        <f>IF(Table5[[#This Row],[a2]]="","",Table5[[#This Row],[QTY]]*12)</f>
        <v>#N/A</v>
      </c>
      <c r="M112" s="86" t="e">
        <f>IF(Table5[[#This Row],[UNIT]]="grs","LSN",IF(Table5[[#This Row],[UNIT]]="LSN","PCS",""))</f>
        <v>#N/A</v>
      </c>
      <c r="N112" s="86" t="e">
        <f>IF(Table5[[#This Row],[a2]]="LSN",Table5[[#This Row],[a1]]*12,"")</f>
        <v>#N/A</v>
      </c>
      <c r="O112" s="86" t="e">
        <f>IF(Table5[[#This Row],[b1]]="","","PCS")</f>
        <v>#N/A</v>
      </c>
      <c r="P112" s="86"/>
    </row>
    <row r="113" spans="5:16" x14ac:dyDescent="0.25">
      <c r="E113" s="194" t="e">
        <f>MATCH(A113,Table1[H_A1],0)</f>
        <v>#N/A</v>
      </c>
      <c r="F113" s="194" t="e">
        <f>MATCH(Table5[[#This Row],[NAMA]],[1]!db[NB PAJAK],0)</f>
        <v>#N/A</v>
      </c>
      <c r="G113" s="86" t="e">
        <f>INDEX(Table1[Item Description],Table5[[#This Row],[//NOTA]])</f>
        <v>#N/A</v>
      </c>
      <c r="H113" s="86">
        <f>SUMIF(Table1[H_A1],Sheet5!A113,Table1[Qty])</f>
        <v>0</v>
      </c>
      <c r="I113" s="86" t="e">
        <f>INDEX(Table1[Unit],Table5[[#This Row],[//NOTA]])</f>
        <v>#N/A</v>
      </c>
      <c r="J113" s="195">
        <f>SUMIF(Table1[H_A1],Sheet5!A113,Table1[C])</f>
        <v>0</v>
      </c>
      <c r="K113" s="195" t="e">
        <f>INDEX(Table1[Unit Price],Table5[[#This Row],[//NOTA]])</f>
        <v>#N/A</v>
      </c>
      <c r="L113" s="86" t="e">
        <f>IF(Table5[[#This Row],[a2]]="","",Table5[[#This Row],[QTY]]*12)</f>
        <v>#N/A</v>
      </c>
      <c r="M113" s="86" t="e">
        <f>IF(Table5[[#This Row],[UNIT]]="grs","LSN",IF(Table5[[#This Row],[UNIT]]="LSN","PCS",""))</f>
        <v>#N/A</v>
      </c>
      <c r="N113" s="86" t="e">
        <f>IF(Table5[[#This Row],[a2]]="LSN",Table5[[#This Row],[a1]]*12,"")</f>
        <v>#N/A</v>
      </c>
      <c r="O113" s="86" t="e">
        <f>IF(Table5[[#This Row],[b1]]="","","PCS")</f>
        <v>#N/A</v>
      </c>
      <c r="P113" s="86"/>
    </row>
    <row r="114" spans="5:16" x14ac:dyDescent="0.25">
      <c r="E114" s="194" t="e">
        <f>MATCH(A114,Table1[H_A1],0)</f>
        <v>#N/A</v>
      </c>
      <c r="F114" s="194" t="e">
        <f>MATCH(Table5[[#This Row],[NAMA]],[1]!db[NB PAJAK],0)</f>
        <v>#N/A</v>
      </c>
      <c r="G114" s="86" t="e">
        <f>INDEX(Table1[Item Description],Table5[[#This Row],[//NOTA]])</f>
        <v>#N/A</v>
      </c>
      <c r="H114" s="86">
        <f>SUMIF(Table1[H_A1],Sheet5!A114,Table1[Qty])</f>
        <v>0</v>
      </c>
      <c r="I114" s="86" t="e">
        <f>INDEX(Table1[Unit],Table5[[#This Row],[//NOTA]])</f>
        <v>#N/A</v>
      </c>
      <c r="J114" s="195">
        <f>SUMIF(Table1[H_A1],Sheet5!A114,Table1[C])</f>
        <v>0</v>
      </c>
      <c r="K114" s="195" t="e">
        <f>INDEX(Table1[Unit Price],Table5[[#This Row],[//NOTA]])</f>
        <v>#N/A</v>
      </c>
      <c r="L114" s="86" t="e">
        <f>IF(Table5[[#This Row],[a2]]="","",Table5[[#This Row],[QTY]]*12)</f>
        <v>#N/A</v>
      </c>
      <c r="M114" s="86" t="e">
        <f>IF(Table5[[#This Row],[UNIT]]="grs","LSN",IF(Table5[[#This Row],[UNIT]]="LSN","PCS",""))</f>
        <v>#N/A</v>
      </c>
      <c r="N114" s="86" t="e">
        <f>IF(Table5[[#This Row],[a2]]="LSN",Table5[[#This Row],[a1]]*12,"")</f>
        <v>#N/A</v>
      </c>
      <c r="O114" s="86" t="e">
        <f>IF(Table5[[#This Row],[b1]]="","","PCS")</f>
        <v>#N/A</v>
      </c>
      <c r="P114" s="86"/>
    </row>
    <row r="115" spans="5:16" x14ac:dyDescent="0.25">
      <c r="E115" s="194" t="e">
        <f>MATCH(A115,Table1[H_A1],0)</f>
        <v>#N/A</v>
      </c>
      <c r="F115" s="194" t="e">
        <f>MATCH(Table5[[#This Row],[NAMA]],[1]!db[NB PAJAK],0)</f>
        <v>#N/A</v>
      </c>
      <c r="G115" s="86" t="e">
        <f>INDEX(Table1[Item Description],Table5[[#This Row],[//NOTA]])</f>
        <v>#N/A</v>
      </c>
      <c r="H115" s="86">
        <f>SUMIF(Table1[H_A1],Sheet5!A115,Table1[Qty])</f>
        <v>0</v>
      </c>
      <c r="I115" s="86" t="e">
        <f>INDEX(Table1[Unit],Table5[[#This Row],[//NOTA]])</f>
        <v>#N/A</v>
      </c>
      <c r="J115" s="195">
        <f>SUMIF(Table1[H_A1],Sheet5!A115,Table1[C])</f>
        <v>0</v>
      </c>
      <c r="K115" s="195" t="e">
        <f>INDEX(Table1[Unit Price],Table5[[#This Row],[//NOTA]])</f>
        <v>#N/A</v>
      </c>
      <c r="L115" s="86" t="e">
        <f>IF(Table5[[#This Row],[a2]]="","",Table5[[#This Row],[QTY]]*12)</f>
        <v>#N/A</v>
      </c>
      <c r="M115" s="86" t="e">
        <f>IF(Table5[[#This Row],[UNIT]]="grs","LSN",IF(Table5[[#This Row],[UNIT]]="LSN","PCS",""))</f>
        <v>#N/A</v>
      </c>
      <c r="N115" s="86" t="e">
        <f>IF(Table5[[#This Row],[a2]]="LSN",Table5[[#This Row],[a1]]*12,"")</f>
        <v>#N/A</v>
      </c>
      <c r="O115" s="86" t="e">
        <f>IF(Table5[[#This Row],[b1]]="","","PCS")</f>
        <v>#N/A</v>
      </c>
      <c r="P115" s="86"/>
    </row>
    <row r="116" spans="5:16" x14ac:dyDescent="0.25">
      <c r="E116" s="194" t="e">
        <f>MATCH(A116,Table1[H_A1],0)</f>
        <v>#N/A</v>
      </c>
      <c r="F116" s="194" t="e">
        <f>MATCH(Table5[[#This Row],[NAMA]],[1]!db[NB PAJAK],0)</f>
        <v>#N/A</v>
      </c>
      <c r="G116" s="86" t="e">
        <f>INDEX(Table1[Item Description],Table5[[#This Row],[//NOTA]])</f>
        <v>#N/A</v>
      </c>
      <c r="H116" s="86">
        <f>SUMIF(Table1[H_A1],Sheet5!A116,Table1[Qty])</f>
        <v>0</v>
      </c>
      <c r="I116" s="86" t="e">
        <f>INDEX(Table1[Unit],Table5[[#This Row],[//NOTA]])</f>
        <v>#N/A</v>
      </c>
      <c r="J116" s="195">
        <f>SUMIF(Table1[H_A1],Sheet5!A116,Table1[C])</f>
        <v>0</v>
      </c>
      <c r="K116" s="195" t="e">
        <f>INDEX(Table1[Unit Price],Table5[[#This Row],[//NOTA]])</f>
        <v>#N/A</v>
      </c>
      <c r="L116" s="86" t="e">
        <f>IF(Table5[[#This Row],[a2]]="","",Table5[[#This Row],[QTY]]*12)</f>
        <v>#N/A</v>
      </c>
      <c r="M116" s="86" t="e">
        <f>IF(Table5[[#This Row],[UNIT]]="grs","LSN",IF(Table5[[#This Row],[UNIT]]="LSN","PCS",""))</f>
        <v>#N/A</v>
      </c>
      <c r="N116" s="86" t="e">
        <f>IF(Table5[[#This Row],[a2]]="LSN",Table5[[#This Row],[a1]]*12,"")</f>
        <v>#N/A</v>
      </c>
      <c r="O116" s="86" t="e">
        <f>IF(Table5[[#This Row],[b1]]="","","PCS")</f>
        <v>#N/A</v>
      </c>
      <c r="P116" s="86"/>
    </row>
    <row r="117" spans="5:16" x14ac:dyDescent="0.25">
      <c r="E117" s="194" t="e">
        <f>MATCH(A117,Table1[H_A1],0)</f>
        <v>#N/A</v>
      </c>
      <c r="F117" s="194" t="e">
        <f>MATCH(Table5[[#This Row],[NAMA]],[1]!db[NB PAJAK],0)</f>
        <v>#N/A</v>
      </c>
      <c r="G117" s="86" t="e">
        <f>INDEX(Table1[Item Description],Table5[[#This Row],[//NOTA]])</f>
        <v>#N/A</v>
      </c>
      <c r="H117" s="86">
        <f>SUMIF(Table1[H_A1],Sheet5!A117,Table1[Qty])</f>
        <v>0</v>
      </c>
      <c r="I117" s="86" t="e">
        <f>INDEX(Table1[Unit],Table5[[#This Row],[//NOTA]])</f>
        <v>#N/A</v>
      </c>
      <c r="J117" s="195">
        <f>SUMIF(Table1[H_A1],Sheet5!A117,Table1[C])</f>
        <v>0</v>
      </c>
      <c r="K117" s="195" t="e">
        <f>INDEX(Table1[Unit Price],Table5[[#This Row],[//NOTA]])</f>
        <v>#N/A</v>
      </c>
      <c r="L117" s="86" t="e">
        <f>IF(Table5[[#This Row],[a2]]="","",Table5[[#This Row],[QTY]]*12)</f>
        <v>#N/A</v>
      </c>
      <c r="M117" s="86" t="e">
        <f>IF(Table5[[#This Row],[UNIT]]="grs","LSN",IF(Table5[[#This Row],[UNIT]]="LSN","PCS",""))</f>
        <v>#N/A</v>
      </c>
      <c r="N117" s="86" t="e">
        <f>IF(Table5[[#This Row],[a2]]="LSN",Table5[[#This Row],[a1]]*12,"")</f>
        <v>#N/A</v>
      </c>
      <c r="O117" s="86" t="e">
        <f>IF(Table5[[#This Row],[b1]]="","","PCS")</f>
        <v>#N/A</v>
      </c>
      <c r="P117" s="86"/>
    </row>
    <row r="118" spans="5:16" x14ac:dyDescent="0.25">
      <c r="E118" s="194" t="e">
        <f>MATCH(A118,Table1[H_A1],0)</f>
        <v>#N/A</v>
      </c>
      <c r="F118" s="194" t="e">
        <f>MATCH(Table5[[#This Row],[NAMA]],[1]!db[NB PAJAK],0)</f>
        <v>#N/A</v>
      </c>
      <c r="G118" s="86" t="e">
        <f>INDEX(Table1[Item Description],Table5[[#This Row],[//NOTA]])</f>
        <v>#N/A</v>
      </c>
      <c r="H118" s="86">
        <f>SUMIF(Table1[H_A1],Sheet5!A118,Table1[Qty])</f>
        <v>0</v>
      </c>
      <c r="I118" s="86" t="e">
        <f>INDEX(Table1[Unit],Table5[[#This Row],[//NOTA]])</f>
        <v>#N/A</v>
      </c>
      <c r="J118" s="195">
        <f>SUMIF(Table1[H_A1],Sheet5!A118,Table1[C])</f>
        <v>0</v>
      </c>
      <c r="K118" s="195" t="e">
        <f>INDEX(Table1[Unit Price],Table5[[#This Row],[//NOTA]])</f>
        <v>#N/A</v>
      </c>
      <c r="L118" s="86" t="e">
        <f>IF(Table5[[#This Row],[a2]]="","",Table5[[#This Row],[QTY]]*12)</f>
        <v>#N/A</v>
      </c>
      <c r="M118" s="86" t="e">
        <f>IF(Table5[[#This Row],[UNIT]]="grs","LSN",IF(Table5[[#This Row],[UNIT]]="LSN","PCS",""))</f>
        <v>#N/A</v>
      </c>
      <c r="N118" s="86" t="e">
        <f>IF(Table5[[#This Row],[a2]]="LSN",Table5[[#This Row],[a1]]*12,"")</f>
        <v>#N/A</v>
      </c>
      <c r="O118" s="86" t="e">
        <f>IF(Table5[[#This Row],[b1]]="","","PCS")</f>
        <v>#N/A</v>
      </c>
      <c r="P118" s="86"/>
    </row>
    <row r="119" spans="5:16" x14ac:dyDescent="0.25"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5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5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5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5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5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5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5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5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5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105</v>
      </c>
      <c r="C17" t="s">
        <v>106</v>
      </c>
      <c r="D17" t="s">
        <v>107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108</v>
      </c>
      <c r="B18" t="s">
        <v>110</v>
      </c>
      <c r="D18" t="s">
        <v>109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2023-02-09T09:22:31Z</dcterms:modified>
</cp:coreProperties>
</file>