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PAJAK!$E$3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PAJAK!$H$3</definedName>
    <definedName name="ponter">PAJAK!$H$3</definedName>
  </definedNames>
  <calcPr calcId="152511"/>
  <pivotCaches>
    <pivotCache cacheId="26" r:id="rId6"/>
  </pivotCaches>
</workbook>
</file>

<file path=xl/calcChain.xml><?xml version="1.0" encoding="utf-8"?>
<calcChain xmlns="http://schemas.openxmlformats.org/spreadsheetml/2006/main">
  <c r="E15" i="3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B42" i="1"/>
  <c r="H42" i="1" s="1"/>
  <c r="A42" i="1" s="1"/>
  <c r="AD42" i="1" s="1"/>
  <c r="I42" i="1"/>
  <c r="J42" i="1"/>
  <c r="O42" i="1"/>
  <c r="W42" i="1"/>
  <c r="X42" i="1" s="1"/>
  <c r="Y42" i="1"/>
  <c r="Z42" i="1" s="1"/>
  <c r="AA42" i="1"/>
  <c r="AB42" i="1"/>
  <c r="AC42" i="1"/>
  <c r="T42" i="1" s="1"/>
  <c r="AF42" i="1"/>
  <c r="B40" i="1"/>
  <c r="H40" i="1" s="1"/>
  <c r="A40" i="1" s="1"/>
  <c r="AD40" i="1" s="1"/>
  <c r="B41" i="1"/>
  <c r="H41" i="1" s="1"/>
  <c r="A41" i="1" s="1"/>
  <c r="AD41" i="1" s="1"/>
  <c r="I39" i="1"/>
  <c r="I40" i="1"/>
  <c r="I41" i="1"/>
  <c r="J39" i="1"/>
  <c r="J40" i="1"/>
  <c r="J41" i="1"/>
  <c r="O39" i="1"/>
  <c r="O40" i="1"/>
  <c r="O41" i="1"/>
  <c r="Y39" i="1"/>
  <c r="Z39" i="1" s="1"/>
  <c r="Y40" i="1"/>
  <c r="Z40" i="1" s="1"/>
  <c r="Y41" i="1"/>
  <c r="Z41" i="1"/>
  <c r="AA41" i="1"/>
  <c r="AB41" i="1"/>
  <c r="AC41" i="1" s="1"/>
  <c r="T41" i="1" s="1"/>
  <c r="AF39" i="1"/>
  <c r="AF40" i="1"/>
  <c r="AF41" i="1"/>
  <c r="B32" i="1"/>
  <c r="H32" i="1" s="1"/>
  <c r="A32" i="1" s="1"/>
  <c r="AD32" i="1" s="1"/>
  <c r="I32" i="1"/>
  <c r="J32" i="1"/>
  <c r="O32" i="1"/>
  <c r="W32" i="1"/>
  <c r="X32" i="1" s="1"/>
  <c r="Y32" i="1"/>
  <c r="Z32" i="1" s="1"/>
  <c r="AB32" i="1"/>
  <c r="AC32" i="1"/>
  <c r="T32" i="1" s="1"/>
  <c r="AF32" i="1"/>
  <c r="AA32" i="1" l="1"/>
  <c r="AA39" i="1"/>
  <c r="AB39" i="1" s="1"/>
  <c r="AC39" i="1" s="1"/>
  <c r="T39" i="1" s="1"/>
  <c r="AA40" i="1"/>
  <c r="AB40" i="1" s="1"/>
  <c r="AC40" i="1" s="1"/>
  <c r="T40" i="1" s="1"/>
  <c r="E22" i="3" l="1"/>
  <c r="B98" i="1" l="1"/>
  <c r="H98" i="1" s="1"/>
  <c r="A98" i="1" s="1"/>
  <c r="AD98" i="1" s="1"/>
  <c r="I98" i="1"/>
  <c r="J98" i="1"/>
  <c r="O98" i="1"/>
  <c r="Y98" i="1"/>
  <c r="Z98" i="1" s="1"/>
  <c r="AF98" i="1"/>
  <c r="AA98" i="1" l="1"/>
  <c r="AB98" i="1" s="1"/>
  <c r="AC98" i="1" s="1"/>
  <c r="T98" i="1" s="1"/>
  <c r="B88" i="1" l="1"/>
  <c r="H88" i="1" s="1"/>
  <c r="A88" i="1" s="1"/>
  <c r="AD88" i="1" s="1"/>
  <c r="B89" i="1"/>
  <c r="H89" i="1" s="1"/>
  <c r="A89" i="1" s="1"/>
  <c r="AD89" i="1" s="1"/>
  <c r="B90" i="1"/>
  <c r="H90" i="1" s="1"/>
  <c r="A90" i="1" s="1"/>
  <c r="AD90" i="1" s="1"/>
  <c r="B91" i="1"/>
  <c r="H91" i="1" s="1"/>
  <c r="A91" i="1" s="1"/>
  <c r="AD91" i="1" s="1"/>
  <c r="I88" i="1"/>
  <c r="I89" i="1"/>
  <c r="I90" i="1"/>
  <c r="I91" i="1"/>
  <c r="J88" i="1"/>
  <c r="J89" i="1"/>
  <c r="J90" i="1"/>
  <c r="J91" i="1"/>
  <c r="O88" i="1"/>
  <c r="O89" i="1"/>
  <c r="O90" i="1"/>
  <c r="O91" i="1"/>
  <c r="Y88" i="1"/>
  <c r="Y89" i="1"/>
  <c r="Y90" i="1"/>
  <c r="Y91" i="1"/>
  <c r="Z88" i="1"/>
  <c r="Z89" i="1"/>
  <c r="Z90" i="1"/>
  <c r="Z91" i="1"/>
  <c r="AA88" i="1"/>
  <c r="AA89" i="1"/>
  <c r="AA90" i="1"/>
  <c r="AA91" i="1"/>
  <c r="AB88" i="1"/>
  <c r="AB89" i="1"/>
  <c r="AB90" i="1"/>
  <c r="AB91" i="1"/>
  <c r="AC88" i="1"/>
  <c r="T88" i="1" s="1"/>
  <c r="AC89" i="1"/>
  <c r="T89" i="1" s="1"/>
  <c r="AC90" i="1"/>
  <c r="T90" i="1" s="1"/>
  <c r="AC91" i="1"/>
  <c r="T91" i="1" s="1"/>
  <c r="AF88" i="1"/>
  <c r="AF89" i="1"/>
  <c r="AF90" i="1"/>
  <c r="AF91" i="1"/>
  <c r="O100" i="1" l="1"/>
  <c r="B23" i="1" l="1"/>
  <c r="H23" i="1" s="1"/>
  <c r="A23" i="1" s="1"/>
  <c r="AD23" i="1" s="1"/>
  <c r="I23" i="1"/>
  <c r="J23" i="1"/>
  <c r="O23" i="1"/>
  <c r="Y23" i="1"/>
  <c r="Z23" i="1" s="1"/>
  <c r="AF23" i="1"/>
  <c r="AA23" i="1" l="1"/>
  <c r="AB23" i="1" s="1"/>
  <c r="AC23" i="1" s="1"/>
  <c r="T23" i="1" s="1"/>
  <c r="O17" i="1"/>
  <c r="B5" i="1" l="1"/>
  <c r="B7" i="1"/>
  <c r="B8" i="1"/>
  <c r="B10" i="1"/>
  <c r="B11" i="1"/>
  <c r="B14" i="1"/>
  <c r="B16" i="1"/>
  <c r="B18" i="1"/>
  <c r="B20" i="1"/>
  <c r="B21" i="1"/>
  <c r="B22" i="1"/>
  <c r="B24" i="1"/>
  <c r="B27" i="1"/>
  <c r="B29" i="1"/>
  <c r="B31" i="1"/>
  <c r="B34" i="1"/>
  <c r="B36" i="1"/>
  <c r="B38" i="1"/>
  <c r="B44" i="1"/>
  <c r="B46" i="1"/>
  <c r="B48" i="1"/>
  <c r="B49" i="1"/>
  <c r="B50" i="1"/>
  <c r="B55" i="1"/>
  <c r="B56" i="1"/>
  <c r="B58" i="1"/>
  <c r="B59" i="1"/>
  <c r="B63" i="1"/>
  <c r="B65" i="1"/>
  <c r="B66" i="1"/>
  <c r="B68" i="1"/>
  <c r="B70" i="1"/>
  <c r="B71" i="1"/>
  <c r="B73" i="1"/>
  <c r="B75" i="1"/>
  <c r="B76" i="1"/>
  <c r="B78" i="1"/>
  <c r="B79" i="1"/>
  <c r="B80" i="1"/>
  <c r="B82" i="1"/>
  <c r="B84" i="1"/>
  <c r="B85" i="1"/>
  <c r="B86" i="1"/>
  <c r="B99" i="1"/>
  <c r="B101" i="1"/>
  <c r="B102" i="1"/>
  <c r="B104" i="1"/>
  <c r="B105" i="1"/>
  <c r="B107" i="1"/>
  <c r="B110" i="1"/>
  <c r="B111" i="1"/>
  <c r="B113" i="1"/>
  <c r="B114" i="1"/>
  <c r="B116" i="1"/>
  <c r="B117" i="1"/>
  <c r="B119" i="1"/>
  <c r="B120" i="1"/>
  <c r="B122" i="1"/>
  <c r="B123" i="1"/>
  <c r="B124" i="1"/>
  <c r="B125" i="1"/>
  <c r="B126" i="1"/>
  <c r="B127" i="1"/>
  <c r="B129" i="1"/>
  <c r="B131" i="1"/>
  <c r="B132" i="1"/>
  <c r="B133" i="1"/>
  <c r="B136" i="1"/>
  <c r="B140" i="1"/>
  <c r="B143" i="1"/>
  <c r="B145" i="1"/>
  <c r="B146" i="1"/>
  <c r="B147" i="1"/>
  <c r="B148" i="1"/>
  <c r="B150" i="1"/>
  <c r="B152" i="1"/>
  <c r="B154" i="1"/>
  <c r="B155" i="1"/>
  <c r="B156" i="1"/>
  <c r="B157" i="1"/>
  <c r="B158" i="1"/>
  <c r="B159" i="1"/>
  <c r="B160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5" i="1"/>
  <c r="B176" i="1"/>
  <c r="B177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3" i="1"/>
  <c r="B13" i="1"/>
  <c r="B25" i="1"/>
  <c r="B52" i="1"/>
  <c r="B54" i="1"/>
  <c r="B57" i="1"/>
  <c r="B60" i="1"/>
  <c r="B62" i="1"/>
  <c r="B69" i="1"/>
  <c r="B77" i="1"/>
  <c r="B81" i="1"/>
  <c r="B83" i="1"/>
  <c r="B92" i="1"/>
  <c r="B94" i="1"/>
  <c r="B96" i="1"/>
  <c r="B103" i="1"/>
  <c r="B106" i="1"/>
  <c r="B108" i="1"/>
  <c r="B115" i="1"/>
  <c r="B118" i="1"/>
  <c r="B121" i="1"/>
  <c r="B135" i="1"/>
  <c r="B137" i="1"/>
  <c r="B139" i="1"/>
  <c r="B142" i="1" s="1"/>
  <c r="B4" i="1"/>
  <c r="I141" i="1" l="1"/>
  <c r="J141" i="1"/>
  <c r="O141" i="1"/>
  <c r="Y141" i="1"/>
  <c r="Z141" i="1" s="1"/>
  <c r="AF141" i="1"/>
  <c r="B144" i="1"/>
  <c r="B161" i="1"/>
  <c r="B174" i="1" s="1"/>
  <c r="B6" i="1"/>
  <c r="AA141" i="1" l="1"/>
  <c r="AB141" i="1" s="1"/>
  <c r="AC141" i="1" s="1"/>
  <c r="T141" i="1" s="1"/>
  <c r="I97" i="1"/>
  <c r="O97" i="1"/>
  <c r="Y97" i="1"/>
  <c r="Z97" i="1" s="1"/>
  <c r="AF97" i="1"/>
  <c r="H110" i="1"/>
  <c r="A110" i="1" s="1"/>
  <c r="AD110" i="1" s="1"/>
  <c r="I109" i="1"/>
  <c r="I110" i="1"/>
  <c r="J110" i="1"/>
  <c r="O109" i="1"/>
  <c r="O110" i="1"/>
  <c r="Y109" i="1"/>
  <c r="Y110" i="1"/>
  <c r="Z109" i="1"/>
  <c r="Z110" i="1"/>
  <c r="AA109" i="1"/>
  <c r="AA110" i="1"/>
  <c r="AB109" i="1"/>
  <c r="AC109" i="1" s="1"/>
  <c r="T109" i="1" s="1"/>
  <c r="AB110" i="1"/>
  <c r="AC110" i="1"/>
  <c r="T110" i="1" s="1"/>
  <c r="AF109" i="1"/>
  <c r="AF110" i="1"/>
  <c r="B178" i="1"/>
  <c r="B9" i="1"/>
  <c r="AA97" i="1" l="1"/>
  <c r="AB97" i="1" s="1"/>
  <c r="AC97" i="1" s="1"/>
  <c r="T97" i="1" s="1"/>
  <c r="B12" i="1"/>
  <c r="H3" i="4" l="1"/>
  <c r="B15" i="1"/>
  <c r="O3" i="4" l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S5" i="4" s="1"/>
  <c r="U3" i="4"/>
  <c r="R3" i="4"/>
  <c r="T3" i="4"/>
  <c r="V3" i="4"/>
  <c r="W3" i="4"/>
  <c r="X3" i="4"/>
  <c r="B17" i="1"/>
  <c r="S56" i="4" l="1"/>
  <c r="S52" i="4"/>
  <c r="S48" i="4"/>
  <c r="S44" i="4"/>
  <c r="S40" i="4"/>
  <c r="S36" i="4"/>
  <c r="S32" i="4"/>
  <c r="S28" i="4"/>
  <c r="S24" i="4"/>
  <c r="S20" i="4"/>
  <c r="S16" i="4"/>
  <c r="S12" i="4"/>
  <c r="S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B19" i="1"/>
  <c r="B26" i="1"/>
  <c r="H232" i="1" l="1"/>
  <c r="A232" i="1" s="1"/>
  <c r="AD232" i="1" s="1"/>
  <c r="I232" i="1"/>
  <c r="J232" i="1"/>
  <c r="Y232" i="1"/>
  <c r="Z232" i="1" s="1"/>
  <c r="AF232" i="1"/>
  <c r="B28" i="1"/>
  <c r="B30" i="1"/>
  <c r="AA232" i="1" l="1"/>
  <c r="AB232" i="1" s="1"/>
  <c r="AC232" i="1" s="1"/>
  <c r="T232" i="1" s="1"/>
  <c r="B33" i="1"/>
  <c r="H186" i="1" l="1"/>
  <c r="A186" i="1" s="1"/>
  <c r="AD186" i="1" s="1"/>
  <c r="I186" i="1"/>
  <c r="J186" i="1"/>
  <c r="O186" i="1"/>
  <c r="W186" i="1"/>
  <c r="X186" i="1" s="1"/>
  <c r="Y186" i="1"/>
  <c r="Z186" i="1" s="1"/>
  <c r="AB186" i="1"/>
  <c r="AC186" i="1"/>
  <c r="T186" i="1" s="1"/>
  <c r="AF186" i="1"/>
  <c r="E3" i="3"/>
  <c r="E4" i="3"/>
  <c r="E5" i="3"/>
  <c r="E6" i="3"/>
  <c r="J109" i="1" s="1"/>
  <c r="E7" i="3"/>
  <c r="E8" i="3"/>
  <c r="E9" i="3"/>
  <c r="E10" i="3"/>
  <c r="E11" i="3"/>
  <c r="E12" i="3"/>
  <c r="E13" i="3"/>
  <c r="E14" i="3"/>
  <c r="J97" i="1" s="1"/>
  <c r="E16" i="3"/>
  <c r="E17" i="3"/>
  <c r="E18" i="3"/>
  <c r="E19" i="3"/>
  <c r="E20" i="3"/>
  <c r="E21" i="3"/>
  <c r="B35" i="1"/>
  <c r="B37" i="1"/>
  <c r="B39" i="1"/>
  <c r="B43" i="1"/>
  <c r="H39" i="1" l="1"/>
  <c r="A39" i="1" s="1"/>
  <c r="W39" i="1" s="1"/>
  <c r="AA186" i="1"/>
  <c r="O170" i="1"/>
  <c r="W40" i="1"/>
  <c r="B45" i="1"/>
  <c r="W41" i="1"/>
  <c r="H163" i="1" l="1"/>
  <c r="A163" i="1" s="1"/>
  <c r="AD163" i="1" s="1"/>
  <c r="I163" i="1"/>
  <c r="J163" i="1"/>
  <c r="O163" i="1"/>
  <c r="Y163" i="1"/>
  <c r="Z163" i="1" s="1"/>
  <c r="AF163" i="1"/>
  <c r="B47" i="1"/>
  <c r="B51" i="1"/>
  <c r="B53" i="1"/>
  <c r="B61" i="1"/>
  <c r="B64" i="1"/>
  <c r="AA163" i="1" l="1"/>
  <c r="AB163" i="1" s="1"/>
  <c r="AC163" i="1" s="1"/>
  <c r="T163" i="1" s="1"/>
  <c r="H157" i="1"/>
  <c r="A157" i="1" s="1"/>
  <c r="AD157" i="1" s="1"/>
  <c r="I157" i="1"/>
  <c r="J157" i="1"/>
  <c r="O157" i="1"/>
  <c r="Y157" i="1"/>
  <c r="Z157" i="1" s="1"/>
  <c r="AF157" i="1"/>
  <c r="B67" i="1"/>
  <c r="B72" i="1"/>
  <c r="B74" i="1"/>
  <c r="B87" i="1"/>
  <c r="AA157" i="1" l="1"/>
  <c r="AB157" i="1" s="1"/>
  <c r="AC157" i="1" s="1"/>
  <c r="T157" i="1" s="1"/>
  <c r="H145" i="1"/>
  <c r="A145" i="1" s="1"/>
  <c r="AD145" i="1" s="1"/>
  <c r="I145" i="1"/>
  <c r="J145" i="1"/>
  <c r="O145" i="1"/>
  <c r="Y145" i="1"/>
  <c r="Z145" i="1" s="1"/>
  <c r="AF145" i="1"/>
  <c r="I139" i="1"/>
  <c r="J139" i="1"/>
  <c r="O139" i="1"/>
  <c r="Y139" i="1"/>
  <c r="Z139" i="1" s="1"/>
  <c r="AF139" i="1"/>
  <c r="H123" i="1"/>
  <c r="A123" i="1" s="1"/>
  <c r="AD123" i="1" s="1"/>
  <c r="H124" i="1"/>
  <c r="A124" i="1" s="1"/>
  <c r="AD124" i="1" s="1"/>
  <c r="H125" i="1"/>
  <c r="A125" i="1" s="1"/>
  <c r="AD125" i="1" s="1"/>
  <c r="H126" i="1"/>
  <c r="A126" i="1" s="1"/>
  <c r="AD126" i="1" s="1"/>
  <c r="H127" i="1"/>
  <c r="A127" i="1" s="1"/>
  <c r="AD127" i="1" s="1"/>
  <c r="H129" i="1"/>
  <c r="A129" i="1" s="1"/>
  <c r="AD129" i="1" s="1"/>
  <c r="H131" i="1"/>
  <c r="A131" i="1" s="1"/>
  <c r="AD131" i="1" s="1"/>
  <c r="H122" i="1"/>
  <c r="A122" i="1" s="1"/>
  <c r="AD122" i="1" s="1"/>
  <c r="I121" i="1"/>
  <c r="I122" i="1"/>
  <c r="I123" i="1"/>
  <c r="I124" i="1"/>
  <c r="I125" i="1"/>
  <c r="I126" i="1"/>
  <c r="I127" i="1"/>
  <c r="I128" i="1"/>
  <c r="I129" i="1"/>
  <c r="I130" i="1"/>
  <c r="I131" i="1"/>
  <c r="J121" i="1"/>
  <c r="J122" i="1"/>
  <c r="J123" i="1"/>
  <c r="J124" i="1"/>
  <c r="J125" i="1"/>
  <c r="J126" i="1"/>
  <c r="J127" i="1"/>
  <c r="J128" i="1"/>
  <c r="J129" i="1"/>
  <c r="J130" i="1"/>
  <c r="J131" i="1"/>
  <c r="O121" i="1"/>
  <c r="O122" i="1"/>
  <c r="O123" i="1"/>
  <c r="O124" i="1"/>
  <c r="O125" i="1"/>
  <c r="O126" i="1"/>
  <c r="O127" i="1"/>
  <c r="O128" i="1"/>
  <c r="O129" i="1"/>
  <c r="O130" i="1"/>
  <c r="O131" i="1"/>
  <c r="Y121" i="1"/>
  <c r="Z121" i="1" s="1"/>
  <c r="Y122" i="1"/>
  <c r="AA122" i="1" s="1"/>
  <c r="Y123" i="1"/>
  <c r="Z123" i="1" s="1"/>
  <c r="Y124" i="1"/>
  <c r="Z124" i="1" s="1"/>
  <c r="Y125" i="1"/>
  <c r="Z125" i="1" s="1"/>
  <c r="Y126" i="1"/>
  <c r="Z126" i="1" s="1"/>
  <c r="Y127" i="1"/>
  <c r="Z127" i="1" s="1"/>
  <c r="Y128" i="1"/>
  <c r="Z128" i="1" s="1"/>
  <c r="Y129" i="1"/>
  <c r="Z129" i="1" s="1"/>
  <c r="Y130" i="1"/>
  <c r="Z130" i="1" s="1"/>
  <c r="Y131" i="1"/>
  <c r="Z131" i="1" s="1"/>
  <c r="Z122" i="1"/>
  <c r="AF121" i="1"/>
  <c r="AF122" i="1"/>
  <c r="AF123" i="1"/>
  <c r="AF124" i="1"/>
  <c r="AF125" i="1"/>
  <c r="AF126" i="1"/>
  <c r="AF127" i="1"/>
  <c r="AF128" i="1"/>
  <c r="AF129" i="1"/>
  <c r="AF130" i="1"/>
  <c r="AF131" i="1"/>
  <c r="B93" i="1"/>
  <c r="B95" i="1"/>
  <c r="B97" i="1"/>
  <c r="H97" i="1" l="1"/>
  <c r="A97" i="1" s="1"/>
  <c r="AA126" i="1"/>
  <c r="AB126" i="1" s="1"/>
  <c r="AC126" i="1" s="1"/>
  <c r="T126" i="1" s="1"/>
  <c r="AA145" i="1"/>
  <c r="AB145" i="1" s="1"/>
  <c r="AC145" i="1" s="1"/>
  <c r="T145" i="1" s="1"/>
  <c r="AA131" i="1"/>
  <c r="AB131" i="1" s="1"/>
  <c r="AC131" i="1" s="1"/>
  <c r="T131" i="1" s="1"/>
  <c r="AA139" i="1"/>
  <c r="AB139" i="1" s="1"/>
  <c r="AC139" i="1" s="1"/>
  <c r="T139" i="1" s="1"/>
  <c r="AA130" i="1"/>
  <c r="AB130" i="1" s="1"/>
  <c r="AC130" i="1" s="1"/>
  <c r="T130" i="1" s="1"/>
  <c r="AA128" i="1"/>
  <c r="AB128" i="1" s="1"/>
  <c r="AC128" i="1" s="1"/>
  <c r="T128" i="1" s="1"/>
  <c r="AA124" i="1"/>
  <c r="AB124" i="1" s="1"/>
  <c r="AC124" i="1" s="1"/>
  <c r="T124" i="1" s="1"/>
  <c r="AA129" i="1"/>
  <c r="AB129" i="1" s="1"/>
  <c r="AC129" i="1" s="1"/>
  <c r="T129" i="1" s="1"/>
  <c r="AA127" i="1"/>
  <c r="AB127" i="1" s="1"/>
  <c r="AC127" i="1" s="1"/>
  <c r="T127" i="1" s="1"/>
  <c r="AA125" i="1"/>
  <c r="AB125" i="1" s="1"/>
  <c r="AC125" i="1" s="1"/>
  <c r="T125" i="1" s="1"/>
  <c r="AA123" i="1"/>
  <c r="AB123" i="1" s="1"/>
  <c r="AC123" i="1" s="1"/>
  <c r="T123" i="1" s="1"/>
  <c r="AA121" i="1"/>
  <c r="AB121" i="1" s="1"/>
  <c r="AC121" i="1" s="1"/>
  <c r="T121" i="1" s="1"/>
  <c r="AB122" i="1"/>
  <c r="AC122" i="1" s="1"/>
  <c r="T122" i="1" s="1"/>
  <c r="B100" i="1"/>
  <c r="H143" i="1" l="1"/>
  <c r="A143" i="1" s="1"/>
  <c r="AD143" i="1" s="1"/>
  <c r="I142" i="1"/>
  <c r="I143" i="1"/>
  <c r="J142" i="1"/>
  <c r="J143" i="1"/>
  <c r="O142" i="1"/>
  <c r="O143" i="1"/>
  <c r="Y142" i="1"/>
  <c r="Y143" i="1"/>
  <c r="Z142" i="1"/>
  <c r="Z143" i="1"/>
  <c r="AA142" i="1"/>
  <c r="AB142" i="1" s="1"/>
  <c r="AC142" i="1" s="1"/>
  <c r="T142" i="1" s="1"/>
  <c r="AA143" i="1"/>
  <c r="AB143" i="1"/>
  <c r="AC143" i="1" s="1"/>
  <c r="T143" i="1" s="1"/>
  <c r="AF142" i="1"/>
  <c r="AF143" i="1"/>
  <c r="H136" i="1"/>
  <c r="A136" i="1" s="1"/>
  <c r="AD136" i="1" s="1"/>
  <c r="I136" i="1"/>
  <c r="I137" i="1"/>
  <c r="I138" i="1"/>
  <c r="J136" i="1"/>
  <c r="J137" i="1"/>
  <c r="J138" i="1"/>
  <c r="O136" i="1"/>
  <c r="O137" i="1"/>
  <c r="O138" i="1"/>
  <c r="Y136" i="1"/>
  <c r="Z136" i="1" s="1"/>
  <c r="Y137" i="1"/>
  <c r="Y138" i="1"/>
  <c r="Z138" i="1" s="1"/>
  <c r="Z137" i="1"/>
  <c r="AA136" i="1"/>
  <c r="AA137" i="1"/>
  <c r="AA138" i="1"/>
  <c r="AB137" i="1"/>
  <c r="AC137" i="1" s="1"/>
  <c r="T137" i="1" s="1"/>
  <c r="AF136" i="1"/>
  <c r="AF137" i="1"/>
  <c r="AF138" i="1"/>
  <c r="H133" i="1"/>
  <c r="A133" i="1" s="1"/>
  <c r="AD133" i="1" s="1"/>
  <c r="I133" i="1"/>
  <c r="I134" i="1"/>
  <c r="J133" i="1"/>
  <c r="J134" i="1"/>
  <c r="O133" i="1"/>
  <c r="O134" i="1"/>
  <c r="Y133" i="1"/>
  <c r="Z133" i="1" s="1"/>
  <c r="Y134" i="1"/>
  <c r="Z134" i="1" s="1"/>
  <c r="AF133" i="1"/>
  <c r="AF134" i="1"/>
  <c r="H119" i="1"/>
  <c r="A119" i="1" s="1"/>
  <c r="AD119" i="1" s="1"/>
  <c r="H120" i="1"/>
  <c r="A120" i="1" s="1"/>
  <c r="AD120" i="1" s="1"/>
  <c r="I118" i="1"/>
  <c r="I119" i="1"/>
  <c r="I120" i="1"/>
  <c r="J118" i="1"/>
  <c r="J119" i="1"/>
  <c r="J120" i="1"/>
  <c r="O118" i="1"/>
  <c r="O119" i="1"/>
  <c r="O120" i="1"/>
  <c r="Y118" i="1"/>
  <c r="Z118" i="1" s="1"/>
  <c r="Y119" i="1"/>
  <c r="AA119" i="1" s="1"/>
  <c r="Y120" i="1"/>
  <c r="Z120" i="1" s="1"/>
  <c r="Z119" i="1"/>
  <c r="AF118" i="1"/>
  <c r="AF119" i="1"/>
  <c r="AF120" i="1"/>
  <c r="H148" i="1"/>
  <c r="A148" i="1" s="1"/>
  <c r="AD148" i="1" s="1"/>
  <c r="I148" i="1"/>
  <c r="J148" i="1"/>
  <c r="O148" i="1"/>
  <c r="Y148" i="1"/>
  <c r="Z148" i="1" s="1"/>
  <c r="AF148" i="1"/>
  <c r="B109" i="1"/>
  <c r="B112" i="1"/>
  <c r="H109" i="1" l="1"/>
  <c r="A109" i="1" s="1"/>
  <c r="AB119" i="1"/>
  <c r="AC119" i="1" s="1"/>
  <c r="T119" i="1" s="1"/>
  <c r="AA120" i="1"/>
  <c r="AA118" i="1"/>
  <c r="AA134" i="1"/>
  <c r="AB134" i="1" s="1"/>
  <c r="AC134" i="1" s="1"/>
  <c r="T134" i="1" s="1"/>
  <c r="AA133" i="1"/>
  <c r="AB133" i="1" s="1"/>
  <c r="AC133" i="1" s="1"/>
  <c r="T133" i="1" s="1"/>
  <c r="AB138" i="1"/>
  <c r="AC138" i="1" s="1"/>
  <c r="T138" i="1" s="1"/>
  <c r="AB136" i="1"/>
  <c r="AC136" i="1" s="1"/>
  <c r="T136" i="1" s="1"/>
  <c r="AB120" i="1"/>
  <c r="AC120" i="1" s="1"/>
  <c r="T120" i="1" s="1"/>
  <c r="AB118" i="1"/>
  <c r="AC118" i="1" s="1"/>
  <c r="T118" i="1" s="1"/>
  <c r="AA148" i="1"/>
  <c r="AB148" i="1" s="1"/>
  <c r="AC148" i="1" s="1"/>
  <c r="T148" i="1" s="1"/>
  <c r="B128" i="1"/>
  <c r="I140" i="1" l="1"/>
  <c r="J140" i="1"/>
  <c r="O140" i="1"/>
  <c r="Y140" i="1"/>
  <c r="Z140" i="1" s="1"/>
  <c r="AF140" i="1"/>
  <c r="I117" i="1"/>
  <c r="J117" i="1"/>
  <c r="O117" i="1"/>
  <c r="Y117" i="1"/>
  <c r="Z117" i="1" s="1"/>
  <c r="AF117" i="1"/>
  <c r="I132" i="1"/>
  <c r="J132" i="1"/>
  <c r="O132" i="1"/>
  <c r="Y132" i="1"/>
  <c r="Z132" i="1" s="1"/>
  <c r="AF132" i="1"/>
  <c r="I135" i="1"/>
  <c r="J135" i="1"/>
  <c r="O135" i="1"/>
  <c r="Y135" i="1"/>
  <c r="Z135" i="1" s="1"/>
  <c r="AF135" i="1"/>
  <c r="I144" i="1"/>
  <c r="J144" i="1"/>
  <c r="O144" i="1"/>
  <c r="Y144" i="1"/>
  <c r="Z144" i="1" s="1"/>
  <c r="AF144" i="1"/>
  <c r="B130" i="1"/>
  <c r="AA140" i="1" l="1"/>
  <c r="AB140" i="1" s="1"/>
  <c r="AC140" i="1" s="1"/>
  <c r="T140" i="1" s="1"/>
  <c r="AA144" i="1"/>
  <c r="AB144" i="1" s="1"/>
  <c r="AC144" i="1" s="1"/>
  <c r="T144" i="1" s="1"/>
  <c r="AA135" i="1"/>
  <c r="AB135" i="1" s="1"/>
  <c r="AC135" i="1" s="1"/>
  <c r="T135" i="1" s="1"/>
  <c r="AA132" i="1"/>
  <c r="AB132" i="1" s="1"/>
  <c r="AC132" i="1" s="1"/>
  <c r="T132" i="1" s="1"/>
  <c r="AA117" i="1"/>
  <c r="AB117" i="1" s="1"/>
  <c r="AC117" i="1" s="1"/>
  <c r="T117" i="1" s="1"/>
  <c r="B134" i="1"/>
  <c r="B138" i="1"/>
  <c r="B141" i="1"/>
  <c r="B149" i="1"/>
  <c r="B151" i="1"/>
  <c r="B153" i="1" s="1"/>
  <c r="H141" i="1" l="1"/>
  <c r="A141" i="1" s="1"/>
  <c r="W141" i="1" s="1"/>
  <c r="H138" i="1"/>
  <c r="A138" i="1" s="1"/>
  <c r="H134" i="1"/>
  <c r="A134" i="1" s="1"/>
  <c r="W134" i="1" s="1"/>
  <c r="Y113" i="1"/>
  <c r="Z113" i="1" s="1"/>
  <c r="H113" i="1"/>
  <c r="A113" i="1" s="1"/>
  <c r="AD113" i="1" s="1"/>
  <c r="I113" i="1"/>
  <c r="J113" i="1"/>
  <c r="O113" i="1"/>
  <c r="AF113" i="1" l="1"/>
  <c r="AA113" i="1"/>
  <c r="AB113" i="1" s="1"/>
  <c r="AC113" i="1" s="1"/>
  <c r="T113" i="1" s="1"/>
  <c r="O94" i="1"/>
  <c r="O64" i="1" l="1"/>
  <c r="O61" i="1" l="1"/>
  <c r="H15" i="1" l="1"/>
  <c r="A15" i="1" s="1"/>
  <c r="I15" i="1"/>
  <c r="J15" i="1"/>
  <c r="O15" i="1"/>
  <c r="Y15" i="1"/>
  <c r="Z15" i="1" s="1"/>
  <c r="AF15" i="1"/>
  <c r="AA15" i="1" l="1"/>
  <c r="AB15" i="1" s="1"/>
  <c r="AC15" i="1" s="1"/>
  <c r="T15" i="1" s="1"/>
  <c r="H226" i="1"/>
  <c r="A226" i="1" s="1"/>
  <c r="AD226" i="1" s="1"/>
  <c r="I226" i="1"/>
  <c r="J226" i="1"/>
  <c r="O226" i="1"/>
  <c r="Y226" i="1"/>
  <c r="Z226" i="1" s="1"/>
  <c r="AF226" i="1"/>
  <c r="AA226" i="1" l="1"/>
  <c r="AB226" i="1" s="1"/>
  <c r="AC226" i="1" s="1"/>
  <c r="T226" i="1" s="1"/>
  <c r="H181" i="1" l="1"/>
  <c r="A181" i="1" s="1"/>
  <c r="AD181" i="1" s="1"/>
  <c r="I180" i="1"/>
  <c r="I181" i="1"/>
  <c r="J180" i="1"/>
  <c r="J181" i="1"/>
  <c r="O180" i="1"/>
  <c r="O181" i="1"/>
  <c r="W181" i="1"/>
  <c r="X181" i="1" s="1"/>
  <c r="Y180" i="1"/>
  <c r="Y181" i="1"/>
  <c r="Z181" i="1" s="1"/>
  <c r="AB181" i="1"/>
  <c r="AC181" i="1"/>
  <c r="T181" i="1" s="1"/>
  <c r="AF180" i="1"/>
  <c r="AF181" i="1"/>
  <c r="H108" i="1" l="1"/>
  <c r="AA181" i="1"/>
  <c r="Z180" i="1"/>
  <c r="AA180" i="1"/>
  <c r="AB180" i="1" s="1"/>
  <c r="AC180" i="1" s="1"/>
  <c r="T180" i="1" s="1"/>
  <c r="H171" i="1" l="1"/>
  <c r="A171" i="1" s="1"/>
  <c r="AD171" i="1" s="1"/>
  <c r="I171" i="1"/>
  <c r="J171" i="1"/>
  <c r="O171" i="1"/>
  <c r="Y171" i="1"/>
  <c r="Z171" i="1" s="1"/>
  <c r="AF171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8" i="1"/>
  <c r="O19" i="1"/>
  <c r="O20" i="1"/>
  <c r="O21" i="1"/>
  <c r="O22" i="1"/>
  <c r="O24" i="1"/>
  <c r="O25" i="1"/>
  <c r="O26" i="1"/>
  <c r="O27" i="1"/>
  <c r="O28" i="1"/>
  <c r="O29" i="1"/>
  <c r="O30" i="1"/>
  <c r="O31" i="1"/>
  <c r="O33" i="1"/>
  <c r="O34" i="1"/>
  <c r="O35" i="1"/>
  <c r="O36" i="1"/>
  <c r="O37" i="1"/>
  <c r="O38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2" i="1"/>
  <c r="O63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92" i="1"/>
  <c r="O93" i="1"/>
  <c r="O95" i="1"/>
  <c r="O96" i="1"/>
  <c r="O99" i="1"/>
  <c r="O101" i="1"/>
  <c r="O102" i="1"/>
  <c r="O103" i="1"/>
  <c r="O104" i="1"/>
  <c r="O105" i="1"/>
  <c r="O106" i="1"/>
  <c r="O107" i="1"/>
  <c r="O108" i="1"/>
  <c r="O111" i="1"/>
  <c r="O112" i="1"/>
  <c r="O114" i="1"/>
  <c r="O115" i="1"/>
  <c r="O116" i="1"/>
  <c r="O146" i="1"/>
  <c r="O147" i="1"/>
  <c r="O149" i="1"/>
  <c r="O150" i="1"/>
  <c r="O151" i="1"/>
  <c r="O152" i="1"/>
  <c r="O153" i="1"/>
  <c r="O154" i="1"/>
  <c r="O155" i="1"/>
  <c r="O156" i="1"/>
  <c r="O158" i="1"/>
  <c r="O159" i="1"/>
  <c r="O160" i="1"/>
  <c r="O161" i="1"/>
  <c r="O162" i="1"/>
  <c r="O164" i="1"/>
  <c r="O165" i="1"/>
  <c r="O166" i="1"/>
  <c r="O167" i="1"/>
  <c r="O168" i="1"/>
  <c r="O169" i="1"/>
  <c r="O172" i="1"/>
  <c r="O173" i="1"/>
  <c r="O174" i="1"/>
  <c r="O175" i="1"/>
  <c r="O176" i="1"/>
  <c r="O177" i="1"/>
  <c r="O178" i="1"/>
  <c r="O182" i="1"/>
  <c r="O183" i="1"/>
  <c r="O184" i="1"/>
  <c r="O185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7" i="1"/>
  <c r="O228" i="1"/>
  <c r="O229" i="1"/>
  <c r="O231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H118" i="1" l="1"/>
  <c r="A118" i="1" s="1"/>
  <c r="AA171" i="1"/>
  <c r="AB171" i="1" s="1"/>
  <c r="AC171" i="1" s="1"/>
  <c r="T171" i="1" s="1"/>
  <c r="H121" i="1" l="1"/>
  <c r="A121" i="1" s="1"/>
  <c r="Y13" i="1"/>
  <c r="H10" i="1"/>
  <c r="A10" i="1" s="1"/>
  <c r="H11" i="1"/>
  <c r="H12" i="1"/>
  <c r="A12" i="1" s="1"/>
  <c r="H13" i="1"/>
  <c r="A13" i="1" s="1"/>
  <c r="I10" i="1"/>
  <c r="I11" i="1"/>
  <c r="I12" i="1"/>
  <c r="I13" i="1"/>
  <c r="J10" i="1"/>
  <c r="J11" i="1"/>
  <c r="J12" i="1"/>
  <c r="J13" i="1"/>
  <c r="Y10" i="1"/>
  <c r="Z10" i="1" s="1"/>
  <c r="Y11" i="1"/>
  <c r="Z11" i="1" s="1"/>
  <c r="Y12" i="1"/>
  <c r="AF10" i="1"/>
  <c r="AF11" i="1"/>
  <c r="AF12" i="1"/>
  <c r="A11" i="1" l="1"/>
  <c r="AD11" i="1" s="1"/>
  <c r="H128" i="1"/>
  <c r="A128" i="1" s="1"/>
  <c r="H130" i="1"/>
  <c r="A130" i="1" s="1"/>
  <c r="AA11" i="1"/>
  <c r="H99" i="1"/>
  <c r="A99" i="1" s="1"/>
  <c r="AD10" i="1"/>
  <c r="Z12" i="1"/>
  <c r="AA10" i="1"/>
  <c r="AB10" i="1" s="1"/>
  <c r="AC10" i="1" s="1"/>
  <c r="T10" i="1" s="1"/>
  <c r="AB11" i="1"/>
  <c r="AC11" i="1" s="1"/>
  <c r="T11" i="1" s="1"/>
  <c r="Z13" i="1"/>
  <c r="AA13" i="1"/>
  <c r="AF13" i="1"/>
  <c r="I99" i="1"/>
  <c r="J99" i="1"/>
  <c r="Y99" i="1"/>
  <c r="Z99" i="1" s="1"/>
  <c r="AF99" i="1"/>
  <c r="AA12" i="1" l="1"/>
  <c r="AB12" i="1" s="1"/>
  <c r="AC12" i="1" s="1"/>
  <c r="T12" i="1" s="1"/>
  <c r="AB13" i="1"/>
  <c r="AC13" i="1" s="1"/>
  <c r="T13" i="1" s="1"/>
  <c r="AA99" i="1"/>
  <c r="AB99" i="1" s="1"/>
  <c r="AC99" i="1" s="1"/>
  <c r="T99" i="1" s="1"/>
  <c r="H137" i="1" l="1"/>
  <c r="A137" i="1" s="1"/>
  <c r="H139" i="1"/>
  <c r="A139" i="1" s="1"/>
  <c r="H142" i="1"/>
  <c r="A142" i="1" s="1"/>
  <c r="H132" i="1"/>
  <c r="A132" i="1" s="1"/>
  <c r="H117" i="1"/>
  <c r="A117" i="1" s="1"/>
  <c r="H135" i="1"/>
  <c r="A135" i="1" s="1"/>
  <c r="AF68" i="1"/>
  <c r="AF67" i="1"/>
  <c r="AF66" i="1"/>
  <c r="AF65" i="1"/>
  <c r="AF64" i="1"/>
  <c r="AF63" i="1"/>
  <c r="AF62" i="1"/>
  <c r="Y68" i="1"/>
  <c r="Z68" i="1" s="1"/>
  <c r="Y67" i="1"/>
  <c r="AA67" i="1" s="1"/>
  <c r="Y66" i="1"/>
  <c r="Z66" i="1" s="1"/>
  <c r="Y65" i="1"/>
  <c r="AA65" i="1" s="1"/>
  <c r="Y64" i="1"/>
  <c r="Z64" i="1" s="1"/>
  <c r="Y63" i="1"/>
  <c r="AA63" i="1" s="1"/>
  <c r="Y62" i="1"/>
  <c r="AA62" i="1" s="1"/>
  <c r="J68" i="1"/>
  <c r="J67" i="1"/>
  <c r="J64" i="1"/>
  <c r="J62" i="1"/>
  <c r="I68" i="1"/>
  <c r="I67" i="1"/>
  <c r="I66" i="1"/>
  <c r="I65" i="1"/>
  <c r="I64" i="1"/>
  <c r="I63" i="1"/>
  <c r="I62" i="1"/>
  <c r="H68" i="1"/>
  <c r="A68" i="1" s="1"/>
  <c r="AD68" i="1" s="1"/>
  <c r="H67" i="1"/>
  <c r="A67" i="1" s="1"/>
  <c r="H66" i="1"/>
  <c r="A66" i="1" s="1"/>
  <c r="H64" i="1"/>
  <c r="A64" i="1" s="1"/>
  <c r="H62" i="1"/>
  <c r="A62" i="1" s="1"/>
  <c r="A71" i="1"/>
  <c r="AD71" i="1" s="1"/>
  <c r="J71" i="1"/>
  <c r="Y71" i="1"/>
  <c r="Z71" i="1" s="1"/>
  <c r="AF71" i="1"/>
  <c r="W135" i="1"/>
  <c r="H144" i="1" l="1"/>
  <c r="A144" i="1" s="1"/>
  <c r="H180" i="1"/>
  <c r="A180" i="1" s="1"/>
  <c r="H140" i="1"/>
  <c r="A140" i="1" s="1"/>
  <c r="Z62" i="1"/>
  <c r="AB62" i="1" s="1"/>
  <c r="AC62" i="1" s="1"/>
  <c r="T62" i="1" s="1"/>
  <c r="Z65" i="1"/>
  <c r="AB65" i="1" s="1"/>
  <c r="AC65" i="1" s="1"/>
  <c r="T65" i="1" s="1"/>
  <c r="Z63" i="1"/>
  <c r="AB63" i="1" s="1"/>
  <c r="AC63" i="1" s="1"/>
  <c r="T63" i="1" s="1"/>
  <c r="Z67" i="1"/>
  <c r="AB67" i="1" s="1"/>
  <c r="AC67" i="1" s="1"/>
  <c r="T67" i="1" s="1"/>
  <c r="AA64" i="1"/>
  <c r="AB64" i="1" s="1"/>
  <c r="AC64" i="1" s="1"/>
  <c r="T64" i="1" s="1"/>
  <c r="AA66" i="1"/>
  <c r="AB66" i="1" s="1"/>
  <c r="AC66" i="1" s="1"/>
  <c r="T66" i="1" s="1"/>
  <c r="AA68" i="1"/>
  <c r="AB68" i="1" s="1"/>
  <c r="AC68" i="1" s="1"/>
  <c r="T68" i="1" s="1"/>
  <c r="AA71" i="1"/>
  <c r="AB71" i="1" s="1"/>
  <c r="AC71" i="1" s="1"/>
  <c r="T71" i="1" s="1"/>
  <c r="W137" i="1"/>
  <c r="W142" i="1"/>
  <c r="W136" i="1"/>
  <c r="H14" i="1" l="1"/>
  <c r="A14" i="1" s="1"/>
  <c r="I14" i="1"/>
  <c r="J14" i="1"/>
  <c r="Y14" i="1"/>
  <c r="Z14" i="1" s="1"/>
  <c r="AF14" i="1"/>
  <c r="W143" i="1"/>
  <c r="W138" i="1"/>
  <c r="W139" i="1" s="1"/>
  <c r="W140" i="1" l="1"/>
  <c r="AD14" i="1"/>
  <c r="AA14" i="1"/>
  <c r="AB14" i="1" s="1"/>
  <c r="AC14" i="1" s="1"/>
  <c r="T14" i="1" s="1"/>
  <c r="I49" i="1"/>
  <c r="W144" i="1"/>
  <c r="W145" i="1"/>
  <c r="H6" i="1" l="1"/>
  <c r="A6" i="1" s="1"/>
  <c r="I6" i="1"/>
  <c r="J6" i="1"/>
  <c r="Y6" i="1"/>
  <c r="Z6" i="1" s="1"/>
  <c r="AF6" i="1"/>
  <c r="AA6" i="1" l="1"/>
  <c r="AB6" i="1" s="1"/>
  <c r="AC6" i="1" s="1"/>
  <c r="T6" i="1" s="1"/>
  <c r="H45" i="1"/>
  <c r="A45" i="1" s="1"/>
  <c r="I45" i="1"/>
  <c r="Y45" i="1"/>
  <c r="Z45" i="1" s="1"/>
  <c r="AF45" i="1"/>
  <c r="AA45" i="1" l="1"/>
  <c r="AB45" i="1" s="1"/>
  <c r="AC45" i="1" s="1"/>
  <c r="T45" i="1" s="1"/>
  <c r="J8" i="1"/>
  <c r="J17" i="1"/>
  <c r="J19" i="1"/>
  <c r="J21" i="1"/>
  <c r="J22" i="1"/>
  <c r="J25" i="1"/>
  <c r="J26" i="1"/>
  <c r="J27" i="1"/>
  <c r="J29" i="1"/>
  <c r="J31" i="1"/>
  <c r="J33" i="1"/>
  <c r="J34" i="1"/>
  <c r="J35" i="1"/>
  <c r="J36" i="1"/>
  <c r="J37" i="1"/>
  <c r="J38" i="1"/>
  <c r="J44" i="1"/>
  <c r="J46" i="1"/>
  <c r="J48" i="1"/>
  <c r="J50" i="1"/>
  <c r="J51" i="1"/>
  <c r="J52" i="1"/>
  <c r="J53" i="1"/>
  <c r="J54" i="1"/>
  <c r="J59" i="1"/>
  <c r="J60" i="1"/>
  <c r="J70" i="1"/>
  <c r="J73" i="1"/>
  <c r="J74" i="1"/>
  <c r="J75" i="1"/>
  <c r="J77" i="1"/>
  <c r="J78" i="1"/>
  <c r="J79" i="1"/>
  <c r="J80" i="1"/>
  <c r="J81" i="1"/>
  <c r="J84" i="1"/>
  <c r="J85" i="1"/>
  <c r="J86" i="1"/>
  <c r="J87" i="1"/>
  <c r="J92" i="1"/>
  <c r="J94" i="1"/>
  <c r="J95" i="1"/>
  <c r="J96" i="1"/>
  <c r="J100" i="1"/>
  <c r="J101" i="1"/>
  <c r="J102" i="1"/>
  <c r="J103" i="1"/>
  <c r="J104" i="1"/>
  <c r="J105" i="1"/>
  <c r="J106" i="1"/>
  <c r="J107" i="1"/>
  <c r="J111" i="1"/>
  <c r="J115" i="1"/>
  <c r="J116" i="1"/>
  <c r="J146" i="1"/>
  <c r="J147" i="1"/>
  <c r="J149" i="1"/>
  <c r="J151" i="1"/>
  <c r="J153" i="1"/>
  <c r="J154" i="1"/>
  <c r="J155" i="1"/>
  <c r="J158" i="1"/>
  <c r="J159" i="1"/>
  <c r="J161" i="1"/>
  <c r="J162" i="1"/>
  <c r="J164" i="1"/>
  <c r="J166" i="1"/>
  <c r="J167" i="1"/>
  <c r="J168" i="1"/>
  <c r="J169" i="1"/>
  <c r="J170" i="1"/>
  <c r="J172" i="1"/>
  <c r="J173" i="1"/>
  <c r="J174" i="1"/>
  <c r="J175" i="1"/>
  <c r="J177" i="1"/>
  <c r="J179" i="1"/>
  <c r="J183" i="1"/>
  <c r="J184" i="1"/>
  <c r="J187" i="1"/>
  <c r="J188" i="1"/>
  <c r="J189" i="1"/>
  <c r="J190" i="1"/>
  <c r="J191" i="1"/>
  <c r="J193" i="1"/>
  <c r="J194" i="1"/>
  <c r="J196" i="1"/>
  <c r="J198" i="1"/>
  <c r="J200" i="1"/>
  <c r="J201" i="1"/>
  <c r="J202" i="1"/>
  <c r="J203" i="1"/>
  <c r="J205" i="1"/>
  <c r="J207" i="1"/>
  <c r="J208" i="1"/>
  <c r="J210" i="1"/>
  <c r="J211" i="1"/>
  <c r="J213" i="1"/>
  <c r="J215" i="1"/>
  <c r="J216" i="1"/>
  <c r="J217" i="1"/>
  <c r="J218" i="1"/>
  <c r="J219" i="1"/>
  <c r="J220" i="1"/>
  <c r="J221" i="1"/>
  <c r="J222" i="1"/>
  <c r="J223" i="1"/>
  <c r="J224" i="1"/>
  <c r="J225" i="1"/>
  <c r="J227" i="1"/>
  <c r="J228" i="1"/>
  <c r="J229" i="1"/>
  <c r="J230" i="1"/>
  <c r="J231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A1" i="1" l="1"/>
  <c r="AB271" i="1"/>
  <c r="AB270" i="1"/>
  <c r="AB269" i="1"/>
  <c r="AB268" i="1"/>
  <c r="AB267" i="1"/>
  <c r="AB266" i="1"/>
  <c r="AB265" i="1"/>
  <c r="AB264" i="1"/>
  <c r="AB263" i="1"/>
  <c r="AB260" i="1"/>
  <c r="AB245" i="1"/>
  <c r="AB243" i="1"/>
  <c r="AB241" i="1"/>
  <c r="AB236" i="1"/>
  <c r="J76" i="1" l="1"/>
  <c r="J57" i="1"/>
  <c r="J43" i="1"/>
  <c r="J5" i="1"/>
  <c r="J20" i="1"/>
  <c r="J45" i="1"/>
  <c r="J24" i="1"/>
  <c r="J69" i="2"/>
  <c r="J107" i="2" s="1"/>
  <c r="D41" i="2"/>
  <c r="D79" i="2" s="1"/>
  <c r="C1" i="2"/>
  <c r="AF271" i="1"/>
  <c r="AC271" i="1"/>
  <c r="T271" i="1" s="1"/>
  <c r="Y271" i="1"/>
  <c r="W271" i="1"/>
  <c r="X271" i="1" s="1"/>
  <c r="I271" i="1"/>
  <c r="H271" i="1"/>
  <c r="A271" i="1" s="1"/>
  <c r="AD271" i="1" s="1"/>
  <c r="AF270" i="1"/>
  <c r="AC270" i="1"/>
  <c r="T270" i="1" s="1"/>
  <c r="Y270" i="1"/>
  <c r="W270" i="1"/>
  <c r="X270" i="1" s="1"/>
  <c r="I270" i="1"/>
  <c r="H270" i="1"/>
  <c r="A270" i="1" s="1"/>
  <c r="AD270" i="1" s="1"/>
  <c r="AF269" i="1"/>
  <c r="AC269" i="1"/>
  <c r="T269" i="1" s="1"/>
  <c r="Y269" i="1"/>
  <c r="W269" i="1"/>
  <c r="X269" i="1" s="1"/>
  <c r="I269" i="1"/>
  <c r="H269" i="1"/>
  <c r="A269" i="1" s="1"/>
  <c r="AD269" i="1" s="1"/>
  <c r="AF268" i="1"/>
  <c r="AC268" i="1"/>
  <c r="T268" i="1" s="1"/>
  <c r="Y268" i="1"/>
  <c r="W268" i="1"/>
  <c r="X268" i="1" s="1"/>
  <c r="I268" i="1"/>
  <c r="H268" i="1"/>
  <c r="A268" i="1" s="1"/>
  <c r="AD268" i="1" s="1"/>
  <c r="AF267" i="1"/>
  <c r="AC267" i="1"/>
  <c r="T267" i="1" s="1"/>
  <c r="Y267" i="1"/>
  <c r="W267" i="1"/>
  <c r="X267" i="1" s="1"/>
  <c r="I267" i="1"/>
  <c r="H267" i="1"/>
  <c r="A267" i="1" s="1"/>
  <c r="AD267" i="1" s="1"/>
  <c r="AF266" i="1"/>
  <c r="AC266" i="1"/>
  <c r="T266" i="1" s="1"/>
  <c r="Y266" i="1"/>
  <c r="W266" i="1"/>
  <c r="X266" i="1" s="1"/>
  <c r="I266" i="1"/>
  <c r="H266" i="1"/>
  <c r="A266" i="1" s="1"/>
  <c r="AD266" i="1" s="1"/>
  <c r="AF265" i="1"/>
  <c r="AC265" i="1"/>
  <c r="T265" i="1" s="1"/>
  <c r="Y265" i="1"/>
  <c r="W265" i="1"/>
  <c r="X265" i="1" s="1"/>
  <c r="I265" i="1"/>
  <c r="H265" i="1"/>
  <c r="A265" i="1" s="1"/>
  <c r="AD265" i="1" s="1"/>
  <c r="AF264" i="1"/>
  <c r="AC264" i="1"/>
  <c r="T264" i="1" s="1"/>
  <c r="Y264" i="1"/>
  <c r="W264" i="1"/>
  <c r="X264" i="1" s="1"/>
  <c r="I264" i="1"/>
  <c r="H264" i="1"/>
  <c r="A264" i="1" s="1"/>
  <c r="AD264" i="1" s="1"/>
  <c r="AF263" i="1"/>
  <c r="AC263" i="1"/>
  <c r="T263" i="1" s="1"/>
  <c r="Y263" i="1"/>
  <c r="W263" i="1"/>
  <c r="X263" i="1" s="1"/>
  <c r="I263" i="1"/>
  <c r="H263" i="1"/>
  <c r="A263" i="1" s="1"/>
  <c r="AD263" i="1" s="1"/>
  <c r="AF262" i="1"/>
  <c r="Y262" i="1"/>
  <c r="I262" i="1"/>
  <c r="H262" i="1"/>
  <c r="A262" i="1" s="1"/>
  <c r="AD262" i="1" s="1"/>
  <c r="AF261" i="1"/>
  <c r="Y261" i="1"/>
  <c r="W261" i="1"/>
  <c r="I261" i="1"/>
  <c r="H261" i="1"/>
  <c r="A261" i="1" s="1"/>
  <c r="AF260" i="1"/>
  <c r="AC260" i="1"/>
  <c r="T260" i="1" s="1"/>
  <c r="Y260" i="1"/>
  <c r="W260" i="1"/>
  <c r="X260" i="1" s="1"/>
  <c r="I260" i="1"/>
  <c r="H260" i="1"/>
  <c r="A260" i="1" s="1"/>
  <c r="AD260" i="1" s="1"/>
  <c r="AF259" i="1"/>
  <c r="Y259" i="1"/>
  <c r="I259" i="1"/>
  <c r="H259" i="1"/>
  <c r="A259" i="1" s="1"/>
  <c r="AD259" i="1" s="1"/>
  <c r="AF258" i="1"/>
  <c r="Y258" i="1"/>
  <c r="I258" i="1"/>
  <c r="H258" i="1"/>
  <c r="A258" i="1" s="1"/>
  <c r="AD258" i="1" s="1"/>
  <c r="AF257" i="1"/>
  <c r="Y257" i="1"/>
  <c r="I257" i="1"/>
  <c r="H257" i="1"/>
  <c r="A257" i="1" s="1"/>
  <c r="AD257" i="1" s="1"/>
  <c r="AF256" i="1"/>
  <c r="Y256" i="1"/>
  <c r="I256" i="1"/>
  <c r="H256" i="1"/>
  <c r="A256" i="1" s="1"/>
  <c r="AD256" i="1" s="1"/>
  <c r="AF255" i="1"/>
  <c r="Y255" i="1"/>
  <c r="I255" i="1"/>
  <c r="H255" i="1"/>
  <c r="A255" i="1" s="1"/>
  <c r="AD255" i="1" s="1"/>
  <c r="AF254" i="1"/>
  <c r="Y254" i="1"/>
  <c r="I254" i="1"/>
  <c r="H254" i="1"/>
  <c r="A254" i="1" s="1"/>
  <c r="AD254" i="1" s="1"/>
  <c r="AF253" i="1"/>
  <c r="Y253" i="1"/>
  <c r="I253" i="1"/>
  <c r="H253" i="1"/>
  <c r="A253" i="1" s="1"/>
  <c r="AD253" i="1" s="1"/>
  <c r="AF252" i="1"/>
  <c r="Y252" i="1"/>
  <c r="I252" i="1"/>
  <c r="H252" i="1"/>
  <c r="A252" i="1" s="1"/>
  <c r="AD252" i="1" s="1"/>
  <c r="AF251" i="1"/>
  <c r="Y251" i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I249" i="1"/>
  <c r="H249" i="1"/>
  <c r="A249" i="1" s="1"/>
  <c r="AD249" i="1" s="1"/>
  <c r="AF248" i="1"/>
  <c r="Y248" i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W246" i="1"/>
  <c r="I246" i="1"/>
  <c r="H246" i="1"/>
  <c r="A246" i="1" s="1"/>
  <c r="AF245" i="1"/>
  <c r="AC245" i="1"/>
  <c r="T245" i="1" s="1"/>
  <c r="Y245" i="1"/>
  <c r="W245" i="1"/>
  <c r="X245" i="1" s="1"/>
  <c r="I245" i="1"/>
  <c r="H245" i="1"/>
  <c r="A245" i="1" s="1"/>
  <c r="AD245" i="1" s="1"/>
  <c r="AF244" i="1"/>
  <c r="Y244" i="1"/>
  <c r="W244" i="1"/>
  <c r="I244" i="1"/>
  <c r="H244" i="1"/>
  <c r="A244" i="1" s="1"/>
  <c r="AF243" i="1"/>
  <c r="AC243" i="1"/>
  <c r="T243" i="1" s="1"/>
  <c r="Y243" i="1"/>
  <c r="W243" i="1"/>
  <c r="X243" i="1" s="1"/>
  <c r="I243" i="1"/>
  <c r="H243" i="1"/>
  <c r="A243" i="1" s="1"/>
  <c r="AD243" i="1" s="1"/>
  <c r="AF242" i="1"/>
  <c r="Y242" i="1"/>
  <c r="W242" i="1"/>
  <c r="I242" i="1"/>
  <c r="H242" i="1"/>
  <c r="A242" i="1" s="1"/>
  <c r="AF241" i="1"/>
  <c r="AC241" i="1"/>
  <c r="T241" i="1" s="1"/>
  <c r="Y241" i="1"/>
  <c r="W241" i="1"/>
  <c r="X241" i="1" s="1"/>
  <c r="I241" i="1"/>
  <c r="H241" i="1"/>
  <c r="A241" i="1" s="1"/>
  <c r="AD241" i="1" s="1"/>
  <c r="AF240" i="1"/>
  <c r="Y240" i="1"/>
  <c r="I240" i="1"/>
  <c r="H240" i="1"/>
  <c r="A240" i="1" s="1"/>
  <c r="AD240" i="1" s="1"/>
  <c r="AF239" i="1"/>
  <c r="Y239" i="1"/>
  <c r="I239" i="1"/>
  <c r="H239" i="1"/>
  <c r="A239" i="1" s="1"/>
  <c r="AD239" i="1" s="1"/>
  <c r="AF238" i="1"/>
  <c r="Y238" i="1"/>
  <c r="I238" i="1"/>
  <c r="H238" i="1"/>
  <c r="A238" i="1" s="1"/>
  <c r="AD238" i="1" s="1"/>
  <c r="AF237" i="1"/>
  <c r="Y237" i="1"/>
  <c r="W237" i="1"/>
  <c r="I237" i="1"/>
  <c r="H237" i="1"/>
  <c r="A237" i="1" s="1"/>
  <c r="AF236" i="1"/>
  <c r="AC236" i="1"/>
  <c r="T236" i="1" s="1"/>
  <c r="Y236" i="1"/>
  <c r="W236" i="1"/>
  <c r="X236" i="1" s="1"/>
  <c r="I236" i="1"/>
  <c r="H236" i="1"/>
  <c r="A236" i="1" s="1"/>
  <c r="AD236" i="1" s="1"/>
  <c r="AF235" i="1"/>
  <c r="Y235" i="1"/>
  <c r="I235" i="1"/>
  <c r="H235" i="1"/>
  <c r="A235" i="1" s="1"/>
  <c r="AD235" i="1" s="1"/>
  <c r="AF234" i="1"/>
  <c r="Y234" i="1"/>
  <c r="I234" i="1"/>
  <c r="H234" i="1"/>
  <c r="A234" i="1" s="1"/>
  <c r="AD234" i="1" s="1"/>
  <c r="AF233" i="1"/>
  <c r="Y233" i="1"/>
  <c r="I233" i="1"/>
  <c r="H233" i="1"/>
  <c r="A233" i="1" s="1"/>
  <c r="AD233" i="1" s="1"/>
  <c r="AF231" i="1"/>
  <c r="Y231" i="1"/>
  <c r="I231" i="1"/>
  <c r="H231" i="1"/>
  <c r="A231" i="1" s="1"/>
  <c r="AD231" i="1" s="1"/>
  <c r="AF230" i="1"/>
  <c r="Y230" i="1"/>
  <c r="I230" i="1"/>
  <c r="H230" i="1"/>
  <c r="A230" i="1" s="1"/>
  <c r="AD230" i="1" s="1"/>
  <c r="AF229" i="1"/>
  <c r="Y229" i="1"/>
  <c r="I229" i="1"/>
  <c r="H229" i="1"/>
  <c r="A229" i="1" s="1"/>
  <c r="AD229" i="1" s="1"/>
  <c r="AF228" i="1"/>
  <c r="Y228" i="1"/>
  <c r="I228" i="1"/>
  <c r="H228" i="1"/>
  <c r="A228" i="1" s="1"/>
  <c r="AD228" i="1" s="1"/>
  <c r="AF227" i="1"/>
  <c r="Y227" i="1"/>
  <c r="I227" i="1"/>
  <c r="AF225" i="1"/>
  <c r="Y225" i="1"/>
  <c r="I225" i="1"/>
  <c r="H225" i="1"/>
  <c r="A225" i="1" s="1"/>
  <c r="AD225" i="1" s="1"/>
  <c r="AF224" i="1"/>
  <c r="Y224" i="1"/>
  <c r="I224" i="1"/>
  <c r="AF223" i="1"/>
  <c r="Y223" i="1"/>
  <c r="I223" i="1"/>
  <c r="H223" i="1"/>
  <c r="A223" i="1" s="1"/>
  <c r="AD223" i="1" s="1"/>
  <c r="AF222" i="1"/>
  <c r="Y222" i="1"/>
  <c r="I222" i="1"/>
  <c r="H222" i="1"/>
  <c r="A222" i="1" s="1"/>
  <c r="AF221" i="1"/>
  <c r="Y221" i="1"/>
  <c r="I221" i="1"/>
  <c r="AF220" i="1"/>
  <c r="Y220" i="1"/>
  <c r="I220" i="1"/>
  <c r="H220" i="1"/>
  <c r="A220" i="1" s="1"/>
  <c r="AF219" i="1"/>
  <c r="Y219" i="1"/>
  <c r="I219" i="1"/>
  <c r="AF218" i="1"/>
  <c r="Y218" i="1"/>
  <c r="I218" i="1"/>
  <c r="H218" i="1"/>
  <c r="A218" i="1" s="1"/>
  <c r="AF217" i="1"/>
  <c r="Y217" i="1"/>
  <c r="I217" i="1"/>
  <c r="AF216" i="1"/>
  <c r="Y216" i="1"/>
  <c r="I216" i="1"/>
  <c r="H216" i="1"/>
  <c r="A216" i="1" s="1"/>
  <c r="AD216" i="1" s="1"/>
  <c r="AF215" i="1"/>
  <c r="Y215" i="1"/>
  <c r="I215" i="1"/>
  <c r="H215" i="1"/>
  <c r="A215" i="1" s="1"/>
  <c r="AF214" i="1"/>
  <c r="Y214" i="1"/>
  <c r="I214" i="1"/>
  <c r="AF213" i="1"/>
  <c r="Y213" i="1"/>
  <c r="I213" i="1"/>
  <c r="H213" i="1"/>
  <c r="A213" i="1" s="1"/>
  <c r="AF212" i="1"/>
  <c r="Y212" i="1"/>
  <c r="I212" i="1"/>
  <c r="AF211" i="1"/>
  <c r="Y211" i="1"/>
  <c r="I211" i="1"/>
  <c r="H211" i="1"/>
  <c r="A211" i="1" s="1"/>
  <c r="AD211" i="1" s="1"/>
  <c r="AF210" i="1"/>
  <c r="Y210" i="1"/>
  <c r="I210" i="1"/>
  <c r="AF209" i="1"/>
  <c r="Y209" i="1"/>
  <c r="I209" i="1"/>
  <c r="AF208" i="1"/>
  <c r="Y208" i="1"/>
  <c r="I208" i="1"/>
  <c r="H208" i="1"/>
  <c r="A208" i="1" s="1"/>
  <c r="AD208" i="1" s="1"/>
  <c r="AF207" i="1"/>
  <c r="Y207" i="1"/>
  <c r="I207" i="1"/>
  <c r="H207" i="1"/>
  <c r="A207" i="1" s="1"/>
  <c r="AD207" i="1" s="1"/>
  <c r="AF206" i="1"/>
  <c r="Y206" i="1"/>
  <c r="I206" i="1"/>
  <c r="AF205" i="1"/>
  <c r="Y205" i="1"/>
  <c r="I205" i="1"/>
  <c r="AF204" i="1"/>
  <c r="Y204" i="1"/>
  <c r="I204" i="1"/>
  <c r="AF203" i="1"/>
  <c r="Y203" i="1"/>
  <c r="I203" i="1"/>
  <c r="AF202" i="1"/>
  <c r="Y202" i="1"/>
  <c r="I202" i="1"/>
  <c r="H202" i="1"/>
  <c r="A202" i="1" s="1"/>
  <c r="AF201" i="1"/>
  <c r="Y201" i="1"/>
  <c r="I201" i="1"/>
  <c r="AF200" i="1"/>
  <c r="Y200" i="1"/>
  <c r="I200" i="1"/>
  <c r="H200" i="1"/>
  <c r="A200" i="1" s="1"/>
  <c r="AD200" i="1" s="1"/>
  <c r="AF199" i="1"/>
  <c r="Y199" i="1"/>
  <c r="I199" i="1"/>
  <c r="AF198" i="1"/>
  <c r="Y198" i="1"/>
  <c r="I198" i="1"/>
  <c r="H198" i="1"/>
  <c r="A198" i="1" s="1"/>
  <c r="AD198" i="1" s="1"/>
  <c r="AF197" i="1"/>
  <c r="Y197" i="1"/>
  <c r="I197" i="1"/>
  <c r="AF196" i="1"/>
  <c r="Y196" i="1"/>
  <c r="I196" i="1"/>
  <c r="AF195" i="1"/>
  <c r="Y195" i="1"/>
  <c r="I195" i="1"/>
  <c r="AF194" i="1"/>
  <c r="Y194" i="1"/>
  <c r="I194" i="1"/>
  <c r="H194" i="1"/>
  <c r="A194" i="1" s="1"/>
  <c r="AD194" i="1" s="1"/>
  <c r="AF193" i="1"/>
  <c r="Y193" i="1"/>
  <c r="I193" i="1"/>
  <c r="H193" i="1"/>
  <c r="A193" i="1" s="1"/>
  <c r="AD193" i="1" s="1"/>
  <c r="AF192" i="1"/>
  <c r="Y192" i="1"/>
  <c r="I192" i="1"/>
  <c r="AF191" i="1"/>
  <c r="Y191" i="1"/>
  <c r="I191" i="1"/>
  <c r="H191" i="1"/>
  <c r="A191" i="1" s="1"/>
  <c r="AD191" i="1" s="1"/>
  <c r="AF190" i="1"/>
  <c r="Y190" i="1"/>
  <c r="I190" i="1"/>
  <c r="AF189" i="1"/>
  <c r="Y189" i="1"/>
  <c r="I189" i="1"/>
  <c r="H189" i="1"/>
  <c r="A189" i="1" s="1"/>
  <c r="AD189" i="1" s="1"/>
  <c r="AF188" i="1"/>
  <c r="Y188" i="1"/>
  <c r="I188" i="1"/>
  <c r="AF187" i="1"/>
  <c r="Y187" i="1"/>
  <c r="I187" i="1"/>
  <c r="H187" i="1"/>
  <c r="A187" i="1" s="1"/>
  <c r="AF185" i="1"/>
  <c r="Y185" i="1"/>
  <c r="I185" i="1"/>
  <c r="AF184" i="1"/>
  <c r="Y184" i="1"/>
  <c r="I184" i="1"/>
  <c r="H184" i="1"/>
  <c r="A184" i="1" s="1"/>
  <c r="W184" i="1" s="1"/>
  <c r="AF183" i="1"/>
  <c r="Y183" i="1"/>
  <c r="I183" i="1"/>
  <c r="H183" i="1"/>
  <c r="A183" i="1" s="1"/>
  <c r="AD183" i="1" s="1"/>
  <c r="AF182" i="1"/>
  <c r="Y182" i="1"/>
  <c r="I182" i="1"/>
  <c r="AF179" i="1"/>
  <c r="Y179" i="1"/>
  <c r="I179" i="1"/>
  <c r="H179" i="1"/>
  <c r="A179" i="1" s="1"/>
  <c r="AD179" i="1" s="1"/>
  <c r="AF178" i="1"/>
  <c r="Y178" i="1"/>
  <c r="I178" i="1"/>
  <c r="AF177" i="1"/>
  <c r="Y177" i="1"/>
  <c r="I177" i="1"/>
  <c r="H177" i="1"/>
  <c r="A177" i="1" s="1"/>
  <c r="AD177" i="1" s="1"/>
  <c r="AF176" i="1"/>
  <c r="Y176" i="1"/>
  <c r="I176" i="1"/>
  <c r="AF175" i="1"/>
  <c r="Y175" i="1"/>
  <c r="I175" i="1"/>
  <c r="H175" i="1"/>
  <c r="A175" i="1" s="1"/>
  <c r="AD175" i="1" s="1"/>
  <c r="AF174" i="1"/>
  <c r="Y174" i="1"/>
  <c r="I174" i="1"/>
  <c r="H174" i="1"/>
  <c r="A174" i="1" s="1"/>
  <c r="AF173" i="1"/>
  <c r="Y173" i="1"/>
  <c r="I173" i="1"/>
  <c r="H173" i="1"/>
  <c r="A173" i="1" s="1"/>
  <c r="AD173" i="1" s="1"/>
  <c r="AF172" i="1"/>
  <c r="Y172" i="1"/>
  <c r="I172" i="1"/>
  <c r="H172" i="1"/>
  <c r="A172" i="1" s="1"/>
  <c r="AD172" i="1" s="1"/>
  <c r="AF170" i="1"/>
  <c r="Y170" i="1"/>
  <c r="I170" i="1"/>
  <c r="H170" i="1"/>
  <c r="A170" i="1" s="1"/>
  <c r="AF169" i="1"/>
  <c r="Y169" i="1"/>
  <c r="I169" i="1"/>
  <c r="H169" i="1"/>
  <c r="A169" i="1" s="1"/>
  <c r="AD169" i="1" s="1"/>
  <c r="AF168" i="1"/>
  <c r="Y168" i="1"/>
  <c r="I168" i="1"/>
  <c r="AF167" i="1"/>
  <c r="Y167" i="1"/>
  <c r="I167" i="1"/>
  <c r="H167" i="1"/>
  <c r="A167" i="1" s="1"/>
  <c r="AF166" i="1"/>
  <c r="Y166" i="1"/>
  <c r="I166" i="1"/>
  <c r="H166" i="1"/>
  <c r="A166" i="1" s="1"/>
  <c r="AD166" i="1" s="1"/>
  <c r="AF165" i="1"/>
  <c r="Y165" i="1"/>
  <c r="I165" i="1"/>
  <c r="AF164" i="1"/>
  <c r="Y164" i="1"/>
  <c r="I164" i="1"/>
  <c r="H164" i="1"/>
  <c r="A164" i="1" s="1"/>
  <c r="AF162" i="1"/>
  <c r="Y162" i="1"/>
  <c r="I162" i="1"/>
  <c r="AF161" i="1"/>
  <c r="Y161" i="1"/>
  <c r="I161" i="1"/>
  <c r="H161" i="1"/>
  <c r="A161" i="1" s="1"/>
  <c r="AF160" i="1"/>
  <c r="Y160" i="1"/>
  <c r="I160" i="1"/>
  <c r="AF159" i="1"/>
  <c r="Y159" i="1"/>
  <c r="I159" i="1"/>
  <c r="H159" i="1"/>
  <c r="A159" i="1" s="1"/>
  <c r="AD159" i="1" s="1"/>
  <c r="AF158" i="1"/>
  <c r="Y158" i="1"/>
  <c r="I158" i="1"/>
  <c r="H158" i="1"/>
  <c r="A158" i="1" s="1"/>
  <c r="AF156" i="1"/>
  <c r="Y156" i="1"/>
  <c r="I156" i="1"/>
  <c r="AF155" i="1"/>
  <c r="Y155" i="1"/>
  <c r="I155" i="1"/>
  <c r="AF154" i="1"/>
  <c r="Y154" i="1"/>
  <c r="I154" i="1"/>
  <c r="H154" i="1"/>
  <c r="A154" i="1" s="1"/>
  <c r="AD154" i="1" s="1"/>
  <c r="AF153" i="1"/>
  <c r="Y153" i="1"/>
  <c r="I153" i="1"/>
  <c r="H153" i="1"/>
  <c r="A153" i="1" s="1"/>
  <c r="AF152" i="1"/>
  <c r="Y152" i="1"/>
  <c r="I152" i="1"/>
  <c r="AF151" i="1"/>
  <c r="Y151" i="1"/>
  <c r="I151" i="1"/>
  <c r="H151" i="1"/>
  <c r="A151" i="1" s="1"/>
  <c r="AF150" i="1"/>
  <c r="Y150" i="1"/>
  <c r="I150" i="1"/>
  <c r="AF149" i="1"/>
  <c r="Y149" i="1"/>
  <c r="I149" i="1"/>
  <c r="H149" i="1"/>
  <c r="A149" i="1" s="1"/>
  <c r="AF147" i="1"/>
  <c r="Y147" i="1"/>
  <c r="I147" i="1"/>
  <c r="AF146" i="1"/>
  <c r="Y146" i="1"/>
  <c r="I146" i="1"/>
  <c r="H146" i="1"/>
  <c r="A146" i="1" s="1"/>
  <c r="AF116" i="1"/>
  <c r="Y116" i="1"/>
  <c r="I116" i="1"/>
  <c r="H116" i="1"/>
  <c r="A116" i="1" s="1"/>
  <c r="AD116" i="1" s="1"/>
  <c r="AF115" i="1"/>
  <c r="Y115" i="1"/>
  <c r="I115" i="1"/>
  <c r="H115" i="1"/>
  <c r="A115" i="1" s="1"/>
  <c r="AF114" i="1"/>
  <c r="Y114" i="1"/>
  <c r="I114" i="1"/>
  <c r="AF112" i="1"/>
  <c r="Y112" i="1"/>
  <c r="I112" i="1"/>
  <c r="AF111" i="1"/>
  <c r="Y111" i="1"/>
  <c r="I111" i="1"/>
  <c r="H111" i="1"/>
  <c r="A111" i="1" s="1"/>
  <c r="AD111" i="1" s="1"/>
  <c r="AF108" i="1"/>
  <c r="Y108" i="1"/>
  <c r="I108" i="1"/>
  <c r="AF107" i="1"/>
  <c r="Y107" i="1"/>
  <c r="I107" i="1"/>
  <c r="H107" i="1"/>
  <c r="A107" i="1" s="1"/>
  <c r="AD107" i="1" s="1"/>
  <c r="AF106" i="1"/>
  <c r="Y106" i="1"/>
  <c r="I106" i="1"/>
  <c r="AF105" i="1"/>
  <c r="Y105" i="1"/>
  <c r="I105" i="1"/>
  <c r="H105" i="1"/>
  <c r="A105" i="1" s="1"/>
  <c r="AF104" i="1"/>
  <c r="Y104" i="1"/>
  <c r="I104" i="1"/>
  <c r="AF103" i="1"/>
  <c r="Y103" i="1"/>
  <c r="I103" i="1"/>
  <c r="H103" i="1"/>
  <c r="A103" i="1" s="1"/>
  <c r="AF102" i="1"/>
  <c r="Y102" i="1"/>
  <c r="I102" i="1"/>
  <c r="H102" i="1"/>
  <c r="A102" i="1" s="1"/>
  <c r="AD102" i="1" s="1"/>
  <c r="AF101" i="1"/>
  <c r="Y101" i="1"/>
  <c r="I101" i="1"/>
  <c r="H101" i="1"/>
  <c r="A101" i="1" s="1"/>
  <c r="AD101" i="1" s="1"/>
  <c r="AF100" i="1"/>
  <c r="I100" i="1"/>
  <c r="H100" i="1"/>
  <c r="A100" i="1" s="1"/>
  <c r="AF96" i="1"/>
  <c r="Y96" i="1"/>
  <c r="I96" i="1"/>
  <c r="H96" i="1"/>
  <c r="A96" i="1" s="1"/>
  <c r="AF95" i="1"/>
  <c r="Y95" i="1"/>
  <c r="I95" i="1"/>
  <c r="AF94" i="1"/>
  <c r="Y94" i="1"/>
  <c r="I94" i="1"/>
  <c r="H94" i="1"/>
  <c r="A94" i="1" s="1"/>
  <c r="AF93" i="1"/>
  <c r="Y93" i="1"/>
  <c r="I93" i="1"/>
  <c r="AF92" i="1"/>
  <c r="Y92" i="1"/>
  <c r="I92" i="1"/>
  <c r="H92" i="1"/>
  <c r="A92" i="1" s="1"/>
  <c r="AF87" i="1"/>
  <c r="Y87" i="1"/>
  <c r="I87" i="1"/>
  <c r="H87" i="1"/>
  <c r="A87" i="1" s="1"/>
  <c r="AF86" i="1"/>
  <c r="Y86" i="1"/>
  <c r="I86" i="1"/>
  <c r="AF85" i="1"/>
  <c r="Y85" i="1"/>
  <c r="I85" i="1"/>
  <c r="H85" i="1"/>
  <c r="A85" i="1" s="1"/>
  <c r="AD85" i="1" s="1"/>
  <c r="AF84" i="1"/>
  <c r="Y84" i="1"/>
  <c r="I84" i="1"/>
  <c r="AF83" i="1"/>
  <c r="Y83" i="1"/>
  <c r="I83" i="1"/>
  <c r="AF82" i="1"/>
  <c r="Y82" i="1"/>
  <c r="I82" i="1"/>
  <c r="AF81" i="1"/>
  <c r="Y81" i="1"/>
  <c r="I81" i="1"/>
  <c r="H81" i="1"/>
  <c r="A81" i="1" s="1"/>
  <c r="AF80" i="1"/>
  <c r="Y80" i="1"/>
  <c r="I80" i="1"/>
  <c r="H80" i="1"/>
  <c r="A80" i="1" s="1"/>
  <c r="AD80" i="1" s="1"/>
  <c r="AF79" i="1"/>
  <c r="Y79" i="1"/>
  <c r="I79" i="1"/>
  <c r="AF78" i="1"/>
  <c r="Y78" i="1"/>
  <c r="I78" i="1"/>
  <c r="H78" i="1"/>
  <c r="A78" i="1" s="1"/>
  <c r="AD78" i="1" s="1"/>
  <c r="AF77" i="1"/>
  <c r="Y77" i="1"/>
  <c r="I77" i="1"/>
  <c r="AF76" i="1"/>
  <c r="Y76" i="1"/>
  <c r="I76" i="1"/>
  <c r="H76" i="1"/>
  <c r="A76" i="1" s="1"/>
  <c r="AF75" i="1"/>
  <c r="Y75" i="1"/>
  <c r="I75" i="1"/>
  <c r="H75" i="1"/>
  <c r="A75" i="1" s="1"/>
  <c r="AD75" i="1" s="1"/>
  <c r="AF74" i="1"/>
  <c r="Y74" i="1"/>
  <c r="I74" i="1"/>
  <c r="H74" i="1"/>
  <c r="A74" i="1" s="1"/>
  <c r="AF73" i="1"/>
  <c r="Y73" i="1"/>
  <c r="I73" i="1"/>
  <c r="H73" i="1"/>
  <c r="A73" i="1" s="1"/>
  <c r="AD73" i="1" s="1"/>
  <c r="AF72" i="1"/>
  <c r="Y72" i="1"/>
  <c r="I72" i="1"/>
  <c r="AF70" i="1"/>
  <c r="Y70" i="1"/>
  <c r="I70" i="1"/>
  <c r="H70" i="1"/>
  <c r="A70" i="1" s="1"/>
  <c r="AD70" i="1" s="1"/>
  <c r="AF69" i="1"/>
  <c r="Y69" i="1"/>
  <c r="I69" i="1"/>
  <c r="AF61" i="1"/>
  <c r="Y61" i="1"/>
  <c r="I61" i="1"/>
  <c r="AF60" i="1"/>
  <c r="Y60" i="1"/>
  <c r="I60" i="1"/>
  <c r="AF59" i="1"/>
  <c r="Y59" i="1"/>
  <c r="I59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AF48" i="1"/>
  <c r="Y48" i="1"/>
  <c r="I48" i="1"/>
  <c r="AF47" i="1"/>
  <c r="Y47" i="1"/>
  <c r="I47" i="1"/>
  <c r="AF46" i="1"/>
  <c r="Y46" i="1"/>
  <c r="I46" i="1"/>
  <c r="Y44" i="1"/>
  <c r="I44" i="1"/>
  <c r="AF43" i="1"/>
  <c r="Y43" i="1"/>
  <c r="I43" i="1"/>
  <c r="H43" i="1"/>
  <c r="A43" i="1" s="1"/>
  <c r="AF38" i="1"/>
  <c r="Y38" i="1"/>
  <c r="I38" i="1"/>
  <c r="AF37" i="1"/>
  <c r="Y37" i="1"/>
  <c r="I37" i="1"/>
  <c r="H37" i="1"/>
  <c r="A37" i="1" s="1"/>
  <c r="AF36" i="1"/>
  <c r="Y36" i="1"/>
  <c r="I36" i="1"/>
  <c r="AF35" i="1"/>
  <c r="Y35" i="1"/>
  <c r="I35" i="1"/>
  <c r="H35" i="1"/>
  <c r="A35" i="1" s="1"/>
  <c r="AF34" i="1"/>
  <c r="Y34" i="1"/>
  <c r="I34" i="1"/>
  <c r="AF33" i="1"/>
  <c r="Y33" i="1"/>
  <c r="I33" i="1"/>
  <c r="H33" i="1"/>
  <c r="A33" i="1" s="1"/>
  <c r="AF31" i="1"/>
  <c r="Y31" i="1"/>
  <c r="I31" i="1"/>
  <c r="H31" i="1"/>
  <c r="A31" i="1" s="1"/>
  <c r="AD31" i="1" s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4" i="1"/>
  <c r="Y24" i="1"/>
  <c r="I24" i="1"/>
  <c r="AF22" i="1"/>
  <c r="Y22" i="1"/>
  <c r="I22" i="1"/>
  <c r="AF21" i="1"/>
  <c r="Y21" i="1"/>
  <c r="I21" i="1"/>
  <c r="H21" i="1"/>
  <c r="A21" i="1" s="1"/>
  <c r="AD21" i="1" s="1"/>
  <c r="AF20" i="1"/>
  <c r="Y20" i="1"/>
  <c r="I20" i="1"/>
  <c r="AF19" i="1"/>
  <c r="Y19" i="1"/>
  <c r="I19" i="1"/>
  <c r="AF18" i="1"/>
  <c r="Y18" i="1"/>
  <c r="I18" i="1"/>
  <c r="AF17" i="1"/>
  <c r="Y17" i="1"/>
  <c r="I17" i="1"/>
  <c r="AF16" i="1"/>
  <c r="Y16" i="1"/>
  <c r="I16" i="1"/>
  <c r="AF9" i="1"/>
  <c r="Y9" i="1"/>
  <c r="I9" i="1"/>
  <c r="AF8" i="1"/>
  <c r="Y8" i="1"/>
  <c r="I8" i="1"/>
  <c r="H8" i="1"/>
  <c r="A8" i="1" s="1"/>
  <c r="AF7" i="1"/>
  <c r="Y7" i="1"/>
  <c r="I7" i="1"/>
  <c r="AF5" i="1"/>
  <c r="Y5" i="1"/>
  <c r="I5" i="1"/>
  <c r="AF4" i="1"/>
  <c r="Y4" i="1"/>
  <c r="I4" i="1"/>
  <c r="AF3" i="1"/>
  <c r="Y3" i="1"/>
  <c r="I3" i="1"/>
  <c r="W216" i="1"/>
  <c r="W247" i="1"/>
  <c r="W238" i="1"/>
  <c r="W248" i="1"/>
  <c r="W249" i="1" s="1"/>
  <c r="W262" i="1"/>
  <c r="J69" i="1" l="1"/>
  <c r="J58" i="1"/>
  <c r="J212" i="1"/>
  <c r="J49" i="1"/>
  <c r="J3" i="1"/>
  <c r="J197" i="1"/>
  <c r="J72" i="1"/>
  <c r="J66" i="1"/>
  <c r="J30" i="1"/>
  <c r="J56" i="1"/>
  <c r="AD8" i="1"/>
  <c r="J55" i="1"/>
  <c r="J9" i="1"/>
  <c r="J176" i="1"/>
  <c r="J63" i="1"/>
  <c r="J204" i="1"/>
  <c r="J83" i="1"/>
  <c r="J108" i="1"/>
  <c r="J165" i="1"/>
  <c r="J182" i="1"/>
  <c r="J209" i="1"/>
  <c r="J185" i="1"/>
  <c r="J160" i="1"/>
  <c r="J65" i="1"/>
  <c r="J114" i="1"/>
  <c r="J150" i="1"/>
  <c r="J152" i="1"/>
  <c r="J214" i="1"/>
  <c r="J93" i="1"/>
  <c r="J178" i="1"/>
  <c r="J156" i="1"/>
  <c r="J192" i="1"/>
  <c r="J206" i="1"/>
  <c r="J82" i="1"/>
  <c r="J112" i="1"/>
  <c r="J195" i="1"/>
  <c r="J199" i="1"/>
  <c r="J47" i="1"/>
  <c r="J7" i="1"/>
  <c r="J28" i="1"/>
  <c r="J18" i="1"/>
  <c r="J16" i="1"/>
  <c r="J61" i="1"/>
  <c r="J4" i="1"/>
  <c r="H4" i="1"/>
  <c r="A4" i="1" s="1"/>
  <c r="W4" i="1" s="1"/>
  <c r="H3" i="1"/>
  <c r="A3" i="1" s="1"/>
  <c r="Z3" i="1"/>
  <c r="AA3" i="1" s="1"/>
  <c r="AA4" i="1"/>
  <c r="Z4" i="1"/>
  <c r="Z7" i="1"/>
  <c r="AA7" i="1" s="1"/>
  <c r="AA19" i="1"/>
  <c r="Z19" i="1"/>
  <c r="Z27" i="1"/>
  <c r="AA30" i="1"/>
  <c r="Z30" i="1"/>
  <c r="AA35" i="1"/>
  <c r="Z35" i="1"/>
  <c r="Z38" i="1"/>
  <c r="AA38" i="1"/>
  <c r="AA47" i="1"/>
  <c r="Z47" i="1"/>
  <c r="AA48" i="1"/>
  <c r="Z48" i="1"/>
  <c r="AA51" i="1"/>
  <c r="Z51" i="1"/>
  <c r="AA54" i="1"/>
  <c r="Z54" i="1"/>
  <c r="AA56" i="1"/>
  <c r="Z56" i="1"/>
  <c r="AA58" i="1"/>
  <c r="Z58" i="1"/>
  <c r="AA60" i="1"/>
  <c r="Z60" i="1"/>
  <c r="AA72" i="1"/>
  <c r="Z72" i="1"/>
  <c r="Z74" i="1"/>
  <c r="AA74" i="1"/>
  <c r="AA77" i="1"/>
  <c r="Z77" i="1"/>
  <c r="Z78" i="1"/>
  <c r="AA78" i="1"/>
  <c r="AA80" i="1"/>
  <c r="Z80" i="1"/>
  <c r="Z82" i="1"/>
  <c r="AA82" i="1"/>
  <c r="AA84" i="1"/>
  <c r="Z84" i="1"/>
  <c r="Z85" i="1"/>
  <c r="AA85" i="1"/>
  <c r="AA92" i="1"/>
  <c r="Z92" i="1"/>
  <c r="AA95" i="1"/>
  <c r="Z95" i="1"/>
  <c r="AA101" i="1"/>
  <c r="Z101" i="1"/>
  <c r="Z104" i="1"/>
  <c r="AA104" i="1"/>
  <c r="AA105" i="1"/>
  <c r="Z105" i="1"/>
  <c r="AA107" i="1"/>
  <c r="Z107" i="1"/>
  <c r="AA111" i="1"/>
  <c r="Z111" i="1"/>
  <c r="AA114" i="1"/>
  <c r="Z114" i="1"/>
  <c r="AA116" i="1"/>
  <c r="Z116" i="1"/>
  <c r="Z146" i="1"/>
  <c r="AA146" i="1"/>
  <c r="AA149" i="1"/>
  <c r="Z149" i="1"/>
  <c r="AA152" i="1"/>
  <c r="Z152" i="1"/>
  <c r="Z155" i="1"/>
  <c r="AA155" i="1"/>
  <c r="AA158" i="1"/>
  <c r="Z158" i="1"/>
  <c r="Z160" i="1"/>
  <c r="AA160" i="1"/>
  <c r="AA161" i="1"/>
  <c r="Z161" i="1"/>
  <c r="AA164" i="1"/>
  <c r="Z164" i="1"/>
  <c r="AA166" i="1"/>
  <c r="Z166" i="1"/>
  <c r="AA167" i="1"/>
  <c r="Z167" i="1"/>
  <c r="Z169" i="1"/>
  <c r="AA169" i="1"/>
  <c r="AA172" i="1"/>
  <c r="Z172" i="1"/>
  <c r="AA174" i="1"/>
  <c r="Z174" i="1"/>
  <c r="AA176" i="1"/>
  <c r="Z176" i="1"/>
  <c r="AA178" i="1"/>
  <c r="Z178" i="1"/>
  <c r="AA182" i="1"/>
  <c r="Z182" i="1"/>
  <c r="Z185" i="1"/>
  <c r="AA185" i="1"/>
  <c r="AA187" i="1"/>
  <c r="Z187" i="1"/>
  <c r="Z190" i="1"/>
  <c r="AA190" i="1"/>
  <c r="AA192" i="1"/>
  <c r="Z192" i="1"/>
  <c r="Z194" i="1"/>
  <c r="AA194" i="1"/>
  <c r="AA195" i="1"/>
  <c r="Z195" i="1"/>
  <c r="AA197" i="1"/>
  <c r="Z197" i="1"/>
  <c r="AA199" i="1"/>
  <c r="Z199" i="1"/>
  <c r="AA200" i="1"/>
  <c r="Z200" i="1"/>
  <c r="AA203" i="1"/>
  <c r="Z203" i="1"/>
  <c r="AA204" i="1"/>
  <c r="Z204" i="1"/>
  <c r="Z206" i="1"/>
  <c r="AA206" i="1"/>
  <c r="Z208" i="1"/>
  <c r="AA209" i="1"/>
  <c r="Z209" i="1"/>
  <c r="Z9" i="1"/>
  <c r="AA9" i="1" s="1"/>
  <c r="Z22" i="1"/>
  <c r="AA26" i="1"/>
  <c r="Z26" i="1"/>
  <c r="Z34" i="1"/>
  <c r="AA34" i="1"/>
  <c r="AA5" i="1"/>
  <c r="Z5" i="1"/>
  <c r="Z8" i="1"/>
  <c r="AA8" i="1" s="1"/>
  <c r="AA16" i="1"/>
  <c r="Z16" i="1"/>
  <c r="AA17" i="1"/>
  <c r="Z17" i="1"/>
  <c r="AA18" i="1"/>
  <c r="Z18" i="1"/>
  <c r="Z20" i="1"/>
  <c r="AA20" i="1" s="1"/>
  <c r="AA21" i="1"/>
  <c r="Z21" i="1"/>
  <c r="AA24" i="1"/>
  <c r="Z24" i="1"/>
  <c r="Z25" i="1"/>
  <c r="AA25" i="1"/>
  <c r="AA28" i="1"/>
  <c r="Z28" i="1"/>
  <c r="Z29" i="1"/>
  <c r="AA29" i="1"/>
  <c r="AA31" i="1"/>
  <c r="Z31" i="1"/>
  <c r="AA33" i="1"/>
  <c r="Z33" i="1"/>
  <c r="AA36" i="1"/>
  <c r="Z36" i="1"/>
  <c r="AA37" i="1"/>
  <c r="Z37" i="1"/>
  <c r="AA43" i="1"/>
  <c r="Z43" i="1"/>
  <c r="AA44" i="1"/>
  <c r="Z44" i="1"/>
  <c r="AA46" i="1"/>
  <c r="Z46" i="1"/>
  <c r="Z49" i="1"/>
  <c r="AA49" i="1"/>
  <c r="AA50" i="1"/>
  <c r="Z50" i="1"/>
  <c r="AA52" i="1"/>
  <c r="Z52" i="1"/>
  <c r="Z53" i="1"/>
  <c r="AA53" i="1"/>
  <c r="AA55" i="1"/>
  <c r="Z55" i="1"/>
  <c r="Z57" i="1"/>
  <c r="AA57" i="1"/>
  <c r="AA59" i="1"/>
  <c r="Z59" i="1"/>
  <c r="Z61" i="1"/>
  <c r="AA61" i="1"/>
  <c r="AA69" i="1"/>
  <c r="Z69" i="1"/>
  <c r="AA70" i="1"/>
  <c r="Z70" i="1"/>
  <c r="AA73" i="1"/>
  <c r="Z73" i="1"/>
  <c r="AA75" i="1"/>
  <c r="Z75" i="1"/>
  <c r="AA76" i="1"/>
  <c r="Z76" i="1"/>
  <c r="AA79" i="1"/>
  <c r="Z79" i="1"/>
  <c r="AA81" i="1"/>
  <c r="Z81" i="1"/>
  <c r="AA83" i="1"/>
  <c r="Z83" i="1"/>
  <c r="AA86" i="1"/>
  <c r="Z86" i="1"/>
  <c r="AA87" i="1"/>
  <c r="Z87" i="1"/>
  <c r="Z93" i="1"/>
  <c r="AA93" i="1"/>
  <c r="AA94" i="1"/>
  <c r="Z94" i="1"/>
  <c r="AA96" i="1"/>
  <c r="Z96" i="1"/>
  <c r="AA102" i="1"/>
  <c r="Z102" i="1"/>
  <c r="AA103" i="1"/>
  <c r="Z103" i="1"/>
  <c r="AA106" i="1"/>
  <c r="Z106" i="1"/>
  <c r="Z108" i="1"/>
  <c r="AA108" i="1"/>
  <c r="AA112" i="1"/>
  <c r="Z112" i="1"/>
  <c r="AA115" i="1"/>
  <c r="Z115" i="1"/>
  <c r="AA147" i="1"/>
  <c r="Z147" i="1"/>
  <c r="AA150" i="1"/>
  <c r="Z150" i="1"/>
  <c r="Z151" i="1"/>
  <c r="AA151" i="1"/>
  <c r="AA153" i="1"/>
  <c r="Z153" i="1"/>
  <c r="AA154" i="1"/>
  <c r="Z154" i="1"/>
  <c r="AA156" i="1"/>
  <c r="Z156" i="1"/>
  <c r="AA159" i="1"/>
  <c r="Z159" i="1"/>
  <c r="AA162" i="1"/>
  <c r="Z162" i="1"/>
  <c r="Z165" i="1"/>
  <c r="AA165" i="1"/>
  <c r="AA168" i="1"/>
  <c r="Z168" i="1"/>
  <c r="AA173" i="1"/>
  <c r="Z173" i="1"/>
  <c r="Z175" i="1"/>
  <c r="AA175" i="1"/>
  <c r="AA177" i="1"/>
  <c r="Z177" i="1"/>
  <c r="AB177" i="1" s="1"/>
  <c r="Z179" i="1"/>
  <c r="AA179" i="1"/>
  <c r="AA183" i="1"/>
  <c r="Z183" i="1"/>
  <c r="AA184" i="1"/>
  <c r="Z184" i="1"/>
  <c r="AA188" i="1"/>
  <c r="Z188" i="1"/>
  <c r="AA189" i="1"/>
  <c r="Z189" i="1"/>
  <c r="AA191" i="1"/>
  <c r="Z191" i="1"/>
  <c r="AB191" i="1" s="1"/>
  <c r="AA193" i="1"/>
  <c r="Z193" i="1"/>
  <c r="AA196" i="1"/>
  <c r="Z196" i="1"/>
  <c r="AB196" i="1" s="1"/>
  <c r="AC196" i="1" s="1"/>
  <c r="T196" i="1" s="1"/>
  <c r="Z198" i="1"/>
  <c r="AA198" i="1"/>
  <c r="AA201" i="1"/>
  <c r="Z201" i="1"/>
  <c r="Z202" i="1"/>
  <c r="AA202" i="1"/>
  <c r="Z205" i="1"/>
  <c r="Z207" i="1"/>
  <c r="Z210" i="1"/>
  <c r="AA210" i="1"/>
  <c r="AA211" i="1"/>
  <c r="Z211" i="1"/>
  <c r="AA170" i="1"/>
  <c r="Z170" i="1"/>
  <c r="Z213" i="1"/>
  <c r="AA213" i="1"/>
  <c r="Z214" i="1"/>
  <c r="AA214" i="1"/>
  <c r="AA216" i="1"/>
  <c r="Z216" i="1"/>
  <c r="AA218" i="1"/>
  <c r="Z218" i="1"/>
  <c r="Z220" i="1"/>
  <c r="AA220" i="1"/>
  <c r="AA222" i="1"/>
  <c r="Z222" i="1"/>
  <c r="AA224" i="1"/>
  <c r="Z224" i="1"/>
  <c r="AB224" i="1" s="1"/>
  <c r="AC224" i="1" s="1"/>
  <c r="T224" i="1" s="1"/>
  <c r="Z227" i="1"/>
  <c r="AA227" i="1"/>
  <c r="AA229" i="1"/>
  <c r="Z229" i="1"/>
  <c r="AB229" i="1" s="1"/>
  <c r="AC229" i="1" s="1"/>
  <c r="T229" i="1" s="1"/>
  <c r="AA231" i="1"/>
  <c r="Z231" i="1"/>
  <c r="AB231" i="1" s="1"/>
  <c r="AC231" i="1" s="1"/>
  <c r="T231" i="1" s="1"/>
  <c r="Z234" i="1"/>
  <c r="AA234" i="1"/>
  <c r="AA236" i="1"/>
  <c r="Z236" i="1"/>
  <c r="Z238" i="1"/>
  <c r="AA238" i="1"/>
  <c r="AA240" i="1"/>
  <c r="Z240" i="1"/>
  <c r="AB240" i="1" s="1"/>
  <c r="AC240" i="1" s="1"/>
  <c r="T240" i="1" s="1"/>
  <c r="AA242" i="1"/>
  <c r="Z242" i="1"/>
  <c r="Z244" i="1"/>
  <c r="AB244" i="1" s="1"/>
  <c r="AC244" i="1" s="1"/>
  <c r="T244" i="1" s="1"/>
  <c r="AA244" i="1"/>
  <c r="AA246" i="1"/>
  <c r="Z246" i="1"/>
  <c r="AB246" i="1" s="1"/>
  <c r="AC246" i="1" s="1"/>
  <c r="T246" i="1" s="1"/>
  <c r="Z248" i="1"/>
  <c r="AA248" i="1"/>
  <c r="AA250" i="1"/>
  <c r="Z250" i="1"/>
  <c r="AB250" i="1" s="1"/>
  <c r="AC250" i="1" s="1"/>
  <c r="T250" i="1" s="1"/>
  <c r="AA252" i="1"/>
  <c r="Z252" i="1"/>
  <c r="AB252" i="1" s="1"/>
  <c r="AC252" i="1" s="1"/>
  <c r="T252" i="1" s="1"/>
  <c r="Z254" i="1"/>
  <c r="AA254" i="1"/>
  <c r="AA256" i="1"/>
  <c r="Z256" i="1"/>
  <c r="AB256" i="1" s="1"/>
  <c r="AC256" i="1" s="1"/>
  <c r="T256" i="1" s="1"/>
  <c r="AA258" i="1"/>
  <c r="Z258" i="1"/>
  <c r="AB258" i="1" s="1"/>
  <c r="AC258" i="1" s="1"/>
  <c r="T258" i="1" s="1"/>
  <c r="Z260" i="1"/>
  <c r="AA260" i="1"/>
  <c r="AA262" i="1"/>
  <c r="Z262" i="1"/>
  <c r="AB262" i="1" s="1"/>
  <c r="AC262" i="1" s="1"/>
  <c r="T262" i="1" s="1"/>
  <c r="Z264" i="1"/>
  <c r="AA264" i="1"/>
  <c r="AA266" i="1"/>
  <c r="Z266" i="1"/>
  <c r="Z268" i="1"/>
  <c r="AA268" i="1"/>
  <c r="AA270" i="1"/>
  <c r="Z270" i="1"/>
  <c r="AA212" i="1"/>
  <c r="Z212" i="1"/>
  <c r="Z215" i="1"/>
  <c r="AA215" i="1"/>
  <c r="Z217" i="1"/>
  <c r="AA217" i="1"/>
  <c r="Z219" i="1"/>
  <c r="AA219" i="1"/>
  <c r="Z221" i="1"/>
  <c r="AA221" i="1"/>
  <c r="Z223" i="1"/>
  <c r="AA223" i="1"/>
  <c r="Z225" i="1"/>
  <c r="AA225" i="1"/>
  <c r="Z228" i="1"/>
  <c r="AA228" i="1"/>
  <c r="AA230" i="1"/>
  <c r="Z230" i="1"/>
  <c r="AB230" i="1" s="1"/>
  <c r="AC230" i="1" s="1"/>
  <c r="T230" i="1" s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Z253" i="1"/>
  <c r="AA253" i="1"/>
  <c r="Z255" i="1"/>
  <c r="AA255" i="1"/>
  <c r="Z257" i="1"/>
  <c r="AA257" i="1"/>
  <c r="Z259" i="1"/>
  <c r="AA259" i="1"/>
  <c r="Z261" i="1"/>
  <c r="AA261" i="1"/>
  <c r="Z263" i="1"/>
  <c r="AA263" i="1"/>
  <c r="AA265" i="1"/>
  <c r="Z265" i="1"/>
  <c r="Z267" i="1"/>
  <c r="AA267" i="1"/>
  <c r="Z269" i="1"/>
  <c r="AA269" i="1"/>
  <c r="Z271" i="1"/>
  <c r="AA271" i="1"/>
  <c r="Y100" i="1"/>
  <c r="AC191" i="1"/>
  <c r="T191" i="1" s="1"/>
  <c r="AC177" i="1"/>
  <c r="T177" i="1" s="1"/>
  <c r="W220" i="1"/>
  <c r="W250" i="1"/>
  <c r="W127" i="1"/>
  <c r="W239" i="1"/>
  <c r="W240" i="1" s="1"/>
  <c r="W3" i="1"/>
  <c r="AB261" i="1" l="1"/>
  <c r="AC261" i="1" s="1"/>
  <c r="T261" i="1" s="1"/>
  <c r="AB247" i="1"/>
  <c r="AC247" i="1" s="1"/>
  <c r="T247" i="1" s="1"/>
  <c r="AB248" i="1"/>
  <c r="AC248" i="1" s="1"/>
  <c r="T248" i="1" s="1"/>
  <c r="AB259" i="1"/>
  <c r="AC259" i="1" s="1"/>
  <c r="T259" i="1" s="1"/>
  <c r="AB257" i="1"/>
  <c r="AC257" i="1" s="1"/>
  <c r="T257" i="1" s="1"/>
  <c r="AB255" i="1"/>
  <c r="AC255" i="1" s="1"/>
  <c r="T255" i="1" s="1"/>
  <c r="AB253" i="1"/>
  <c r="AC253" i="1" s="1"/>
  <c r="T253" i="1" s="1"/>
  <c r="AB251" i="1"/>
  <c r="AC251" i="1" s="1"/>
  <c r="T251" i="1" s="1"/>
  <c r="AB249" i="1"/>
  <c r="AC249" i="1" s="1"/>
  <c r="T249" i="1" s="1"/>
  <c r="AB254" i="1"/>
  <c r="AC254" i="1" s="1"/>
  <c r="T254" i="1" s="1"/>
  <c r="AB242" i="1"/>
  <c r="AC242" i="1" s="1"/>
  <c r="T242" i="1" s="1"/>
  <c r="AB239" i="1"/>
  <c r="AC239" i="1" s="1"/>
  <c r="T239" i="1" s="1"/>
  <c r="AB237" i="1"/>
  <c r="AC237" i="1" s="1"/>
  <c r="T237" i="1" s="1"/>
  <c r="AB238" i="1"/>
  <c r="AC238" i="1" s="1"/>
  <c r="T238" i="1" s="1"/>
  <c r="AB235" i="1"/>
  <c r="AC235" i="1" s="1"/>
  <c r="T235" i="1" s="1"/>
  <c r="AB233" i="1"/>
  <c r="AC233" i="1" s="1"/>
  <c r="T233" i="1" s="1"/>
  <c r="AB228" i="1"/>
  <c r="AC228" i="1" s="1"/>
  <c r="T228" i="1" s="1"/>
  <c r="AB223" i="1"/>
  <c r="AC223" i="1" s="1"/>
  <c r="T223" i="1" s="1"/>
  <c r="AB234" i="1"/>
  <c r="AC234" i="1" s="1"/>
  <c r="T234" i="1" s="1"/>
  <c r="AB227" i="1"/>
  <c r="AC227" i="1" s="1"/>
  <c r="T227" i="1" s="1"/>
  <c r="AB218" i="1"/>
  <c r="AC218" i="1" s="1"/>
  <c r="T218" i="1" s="1"/>
  <c r="AB206" i="1"/>
  <c r="AC206" i="1" s="1"/>
  <c r="T206" i="1" s="1"/>
  <c r="AB203" i="1"/>
  <c r="AC203" i="1" s="1"/>
  <c r="T203" i="1" s="1"/>
  <c r="AB211" i="1"/>
  <c r="AC211" i="1" s="1"/>
  <c r="T211" i="1" s="1"/>
  <c r="AB200" i="1"/>
  <c r="AC200" i="1" s="1"/>
  <c r="T200" i="1" s="1"/>
  <c r="AB199" i="1"/>
  <c r="AC199" i="1" s="1"/>
  <c r="T199" i="1" s="1"/>
  <c r="AB187" i="1"/>
  <c r="AC187" i="1" s="1"/>
  <c r="T187" i="1" s="1"/>
  <c r="AB159" i="1"/>
  <c r="AC159" i="1" s="1"/>
  <c r="T159" i="1" s="1"/>
  <c r="AB184" i="1"/>
  <c r="AC184" i="1" s="1"/>
  <c r="T184" i="1" s="1"/>
  <c r="AB164" i="1"/>
  <c r="AC164" i="1" s="1"/>
  <c r="T164" i="1" s="1"/>
  <c r="AB161" i="1"/>
  <c r="AC161" i="1" s="1"/>
  <c r="T161" i="1" s="1"/>
  <c r="AB151" i="1"/>
  <c r="AC151" i="1" s="1"/>
  <c r="T151" i="1" s="1"/>
  <c r="AB149" i="1"/>
  <c r="AC149" i="1" s="1"/>
  <c r="T149" i="1" s="1"/>
  <c r="AB60" i="1"/>
  <c r="AC60" i="1" s="1"/>
  <c r="T60" i="1" s="1"/>
  <c r="AB54" i="1"/>
  <c r="AC54" i="1" s="1"/>
  <c r="T54" i="1" s="1"/>
  <c r="AB111" i="1"/>
  <c r="AC111" i="1" s="1"/>
  <c r="T111" i="1" s="1"/>
  <c r="AB107" i="1"/>
  <c r="AC107" i="1" s="1"/>
  <c r="T107" i="1" s="1"/>
  <c r="AB92" i="1"/>
  <c r="AC92" i="1" s="1"/>
  <c r="T92" i="1" s="1"/>
  <c r="AB81" i="1"/>
  <c r="AC81" i="1" s="1"/>
  <c r="T81" i="1" s="1"/>
  <c r="AB225" i="1"/>
  <c r="AC225" i="1" s="1"/>
  <c r="T225" i="1" s="1"/>
  <c r="AB212" i="1"/>
  <c r="AC212" i="1" s="1"/>
  <c r="T212" i="1" s="1"/>
  <c r="AB222" i="1"/>
  <c r="AC222" i="1" s="1"/>
  <c r="T222" i="1" s="1"/>
  <c r="AB209" i="1"/>
  <c r="AC209" i="1" s="1"/>
  <c r="T209" i="1" s="1"/>
  <c r="AB217" i="1"/>
  <c r="AC217" i="1" s="1"/>
  <c r="T217" i="1" s="1"/>
  <c r="AB214" i="1"/>
  <c r="AC214" i="1" s="1"/>
  <c r="T214" i="1" s="1"/>
  <c r="AB204" i="1"/>
  <c r="AC204" i="1" s="1"/>
  <c r="T204" i="1" s="1"/>
  <c r="AB202" i="1"/>
  <c r="AC202" i="1" s="1"/>
  <c r="T202" i="1" s="1"/>
  <c r="AB201" i="1"/>
  <c r="AC201" i="1" s="1"/>
  <c r="T201" i="1" s="1"/>
  <c r="AB197" i="1"/>
  <c r="AC197" i="1" s="1"/>
  <c r="T197" i="1" s="1"/>
  <c r="AB195" i="1"/>
  <c r="AC195" i="1" s="1"/>
  <c r="T195" i="1" s="1"/>
  <c r="AB178" i="1"/>
  <c r="AC178" i="1" s="1"/>
  <c r="T178" i="1" s="1"/>
  <c r="AB193" i="1"/>
  <c r="AC193" i="1" s="1"/>
  <c r="T193" i="1" s="1"/>
  <c r="AB183" i="1"/>
  <c r="AC183" i="1" s="1"/>
  <c r="T183" i="1" s="1"/>
  <c r="AB192" i="1"/>
  <c r="AC192" i="1" s="1"/>
  <c r="T192" i="1" s="1"/>
  <c r="AB190" i="1"/>
  <c r="AC190" i="1" s="1"/>
  <c r="T190" i="1" s="1"/>
  <c r="AB189" i="1"/>
  <c r="AC189" i="1" s="1"/>
  <c r="T189" i="1" s="1"/>
  <c r="AB188" i="1"/>
  <c r="AC188" i="1" s="1"/>
  <c r="T188" i="1" s="1"/>
  <c r="AB182" i="1"/>
  <c r="AC182" i="1" s="1"/>
  <c r="T182" i="1" s="1"/>
  <c r="AB176" i="1"/>
  <c r="AC176" i="1" s="1"/>
  <c r="T176" i="1" s="1"/>
  <c r="AB173" i="1"/>
  <c r="AC173" i="1" s="1"/>
  <c r="T173" i="1" s="1"/>
  <c r="AB168" i="1"/>
  <c r="AC168" i="1" s="1"/>
  <c r="T168" i="1" s="1"/>
  <c r="AB156" i="1"/>
  <c r="AC156" i="1" s="1"/>
  <c r="T156" i="1" s="1"/>
  <c r="AB154" i="1"/>
  <c r="AC154" i="1" s="1"/>
  <c r="T154" i="1" s="1"/>
  <c r="AB153" i="1"/>
  <c r="AC153" i="1" s="1"/>
  <c r="T153" i="1" s="1"/>
  <c r="AB150" i="1"/>
  <c r="AC150" i="1" s="1"/>
  <c r="T150" i="1" s="1"/>
  <c r="AB146" i="1"/>
  <c r="AC146" i="1" s="1"/>
  <c r="T146" i="1" s="1"/>
  <c r="AB85" i="1"/>
  <c r="AC85" i="1" s="1"/>
  <c r="T85" i="1" s="1"/>
  <c r="AB174" i="1"/>
  <c r="AC174" i="1" s="1"/>
  <c r="T174" i="1" s="1"/>
  <c r="AB167" i="1"/>
  <c r="AC167" i="1" s="1"/>
  <c r="T167" i="1" s="1"/>
  <c r="AB166" i="1"/>
  <c r="AC166" i="1" s="1"/>
  <c r="T166" i="1" s="1"/>
  <c r="AB172" i="1"/>
  <c r="AC172" i="1" s="1"/>
  <c r="T172" i="1" s="1"/>
  <c r="AB162" i="1"/>
  <c r="AC162" i="1" s="1"/>
  <c r="T162" i="1" s="1"/>
  <c r="AB158" i="1"/>
  <c r="AC158" i="1" s="1"/>
  <c r="T158" i="1" s="1"/>
  <c r="AB147" i="1"/>
  <c r="AC147" i="1" s="1"/>
  <c r="T147" i="1" s="1"/>
  <c r="AB115" i="1"/>
  <c r="AC115" i="1" s="1"/>
  <c r="T115" i="1" s="1"/>
  <c r="AB112" i="1"/>
  <c r="AC112" i="1" s="1"/>
  <c r="T112" i="1" s="1"/>
  <c r="AB116" i="1"/>
  <c r="AC116" i="1" s="1"/>
  <c r="T116" i="1" s="1"/>
  <c r="AB114" i="1"/>
  <c r="AC114" i="1" s="1"/>
  <c r="T114" i="1" s="1"/>
  <c r="AB105" i="1"/>
  <c r="AC105" i="1" s="1"/>
  <c r="T105" i="1" s="1"/>
  <c r="AB101" i="1"/>
  <c r="AC101" i="1" s="1"/>
  <c r="T101" i="1" s="1"/>
  <c r="AB106" i="1"/>
  <c r="AC106" i="1" s="1"/>
  <c r="T106" i="1" s="1"/>
  <c r="AB96" i="1"/>
  <c r="AC96" i="1" s="1"/>
  <c r="T96" i="1" s="1"/>
  <c r="AB94" i="1"/>
  <c r="AC94" i="1" s="1"/>
  <c r="T94" i="1" s="1"/>
  <c r="AB87" i="1"/>
  <c r="AC87" i="1" s="1"/>
  <c r="T87" i="1" s="1"/>
  <c r="AB83" i="1"/>
  <c r="AC83" i="1" s="1"/>
  <c r="T83" i="1" s="1"/>
  <c r="AB103" i="1"/>
  <c r="AC103" i="1" s="1"/>
  <c r="T103" i="1" s="1"/>
  <c r="AB102" i="1"/>
  <c r="AC102" i="1" s="1"/>
  <c r="T102" i="1" s="1"/>
  <c r="AB95" i="1"/>
  <c r="AC95" i="1" s="1"/>
  <c r="T95" i="1" s="1"/>
  <c r="AB84" i="1"/>
  <c r="AC84" i="1" s="1"/>
  <c r="T84" i="1" s="1"/>
  <c r="AB76" i="1"/>
  <c r="AC76" i="1" s="1"/>
  <c r="T76" i="1" s="1"/>
  <c r="AB75" i="1"/>
  <c r="AC75" i="1" s="1"/>
  <c r="T75" i="1" s="1"/>
  <c r="AB73" i="1"/>
  <c r="AC73" i="1" s="1"/>
  <c r="T73" i="1" s="1"/>
  <c r="AB69" i="1"/>
  <c r="AC69" i="1" s="1"/>
  <c r="T69" i="1" s="1"/>
  <c r="AB29" i="1"/>
  <c r="AC29" i="1" s="1"/>
  <c r="T29" i="1" s="1"/>
  <c r="AB78" i="1"/>
  <c r="AC78" i="1" s="1"/>
  <c r="T78" i="1" s="1"/>
  <c r="AB80" i="1"/>
  <c r="AC80" i="1" s="1"/>
  <c r="T80" i="1" s="1"/>
  <c r="AB77" i="1"/>
  <c r="AC77" i="1" s="1"/>
  <c r="T77" i="1" s="1"/>
  <c r="AB72" i="1"/>
  <c r="AC72" i="1" s="1"/>
  <c r="T72" i="1" s="1"/>
  <c r="AB70" i="1"/>
  <c r="AC70" i="1" s="1"/>
  <c r="T70" i="1" s="1"/>
  <c r="AB59" i="1"/>
  <c r="AC59" i="1" s="1"/>
  <c r="T59" i="1" s="1"/>
  <c r="AB24" i="1"/>
  <c r="AC24" i="1" s="1"/>
  <c r="T24" i="1" s="1"/>
  <c r="AB58" i="1"/>
  <c r="AC58" i="1" s="1"/>
  <c r="T58" i="1" s="1"/>
  <c r="AB37" i="1"/>
  <c r="AC37" i="1" s="1"/>
  <c r="T37" i="1" s="1"/>
  <c r="AB28" i="1"/>
  <c r="AC28" i="1" s="1"/>
  <c r="T28" i="1" s="1"/>
  <c r="H7" i="1"/>
  <c r="A7" i="1" s="1"/>
  <c r="AB4" i="1"/>
  <c r="AC4" i="1" s="1"/>
  <c r="T4" i="1" s="1"/>
  <c r="AB55" i="1"/>
  <c r="AC55" i="1" s="1"/>
  <c r="T55" i="1" s="1"/>
  <c r="AB9" i="1"/>
  <c r="AC9" i="1" s="1"/>
  <c r="T9" i="1" s="1"/>
  <c r="H5" i="1"/>
  <c r="A5" i="1" s="1"/>
  <c r="W5" i="1" s="1"/>
  <c r="AB21" i="1"/>
  <c r="AC21" i="1" s="1"/>
  <c r="T21" i="1" s="1"/>
  <c r="AB5" i="1"/>
  <c r="AC5" i="1" s="1"/>
  <c r="T5" i="1" s="1"/>
  <c r="AB53" i="1"/>
  <c r="AC53" i="1" s="1"/>
  <c r="T53" i="1" s="1"/>
  <c r="AB52" i="1"/>
  <c r="AC52" i="1" s="1"/>
  <c r="T52" i="1" s="1"/>
  <c r="AB50" i="1"/>
  <c r="AC50" i="1" s="1"/>
  <c r="T50" i="1" s="1"/>
  <c r="AB46" i="1"/>
  <c r="AC46" i="1" s="1"/>
  <c r="T46" i="1" s="1"/>
  <c r="AB51" i="1"/>
  <c r="AC51" i="1" s="1"/>
  <c r="T51" i="1" s="1"/>
  <c r="AB48" i="1"/>
  <c r="AC48" i="1" s="1"/>
  <c r="T48" i="1" s="1"/>
  <c r="AB47" i="1"/>
  <c r="AC47" i="1" s="1"/>
  <c r="T47" i="1" s="1"/>
  <c r="H44" i="1"/>
  <c r="A44" i="1" s="1"/>
  <c r="AB44" i="1"/>
  <c r="AC44" i="1" s="1"/>
  <c r="T44" i="1" s="1"/>
  <c r="AB43" i="1"/>
  <c r="AC43" i="1" s="1"/>
  <c r="T43" i="1" s="1"/>
  <c r="AB36" i="1"/>
  <c r="AC36" i="1" s="1"/>
  <c r="T36" i="1" s="1"/>
  <c r="AB33" i="1"/>
  <c r="AC33" i="1" s="1"/>
  <c r="T33" i="1" s="1"/>
  <c r="AB31" i="1"/>
  <c r="AC31" i="1" s="1"/>
  <c r="T31" i="1" s="1"/>
  <c r="AB35" i="1"/>
  <c r="AC35" i="1" s="1"/>
  <c r="T35" i="1" s="1"/>
  <c r="AB30" i="1"/>
  <c r="AC30" i="1" s="1"/>
  <c r="T30" i="1" s="1"/>
  <c r="AA27" i="1"/>
  <c r="AB27" i="1" s="1"/>
  <c r="AC27" i="1" s="1"/>
  <c r="T27" i="1" s="1"/>
  <c r="AB25" i="1"/>
  <c r="AC25" i="1" s="1"/>
  <c r="T25" i="1" s="1"/>
  <c r="AA22" i="1"/>
  <c r="AB22" i="1" s="1"/>
  <c r="AC22" i="1" s="1"/>
  <c r="T22" i="1" s="1"/>
  <c r="AB18" i="1"/>
  <c r="AC18" i="1" s="1"/>
  <c r="T18" i="1" s="1"/>
  <c r="AB17" i="1"/>
  <c r="AC17" i="1" s="1"/>
  <c r="T17" i="1" s="1"/>
  <c r="AB16" i="1"/>
  <c r="AC16" i="1" s="1"/>
  <c r="T16" i="1" s="1"/>
  <c r="AB7" i="1"/>
  <c r="AC7" i="1" s="1"/>
  <c r="T7" i="1" s="1"/>
  <c r="Z100" i="1"/>
  <c r="AA100" i="1"/>
  <c r="AB215" i="1"/>
  <c r="AC215" i="1" s="1"/>
  <c r="T215" i="1" s="1"/>
  <c r="AB210" i="1"/>
  <c r="AC210" i="1" s="1"/>
  <c r="T210" i="1" s="1"/>
  <c r="AA207" i="1"/>
  <c r="AB207" i="1" s="1"/>
  <c r="AC207" i="1" s="1"/>
  <c r="T207" i="1" s="1"/>
  <c r="AA205" i="1"/>
  <c r="AB205" i="1" s="1"/>
  <c r="AC205" i="1" s="1"/>
  <c r="T205" i="1" s="1"/>
  <c r="AB198" i="1"/>
  <c r="AC198" i="1" s="1"/>
  <c r="T198" i="1" s="1"/>
  <c r="AB179" i="1"/>
  <c r="AC179" i="1" s="1"/>
  <c r="T179" i="1" s="1"/>
  <c r="AB175" i="1"/>
  <c r="AC175" i="1" s="1"/>
  <c r="T175" i="1" s="1"/>
  <c r="AB165" i="1"/>
  <c r="AC165" i="1" s="1"/>
  <c r="T165" i="1" s="1"/>
  <c r="AB108" i="1"/>
  <c r="AC108" i="1" s="1"/>
  <c r="T108" i="1" s="1"/>
  <c r="AB93" i="1"/>
  <c r="AC93" i="1" s="1"/>
  <c r="T93" i="1" s="1"/>
  <c r="AB86" i="1"/>
  <c r="AC86" i="1" s="1"/>
  <c r="T86" i="1" s="1"/>
  <c r="AB79" i="1"/>
  <c r="AC79" i="1" s="1"/>
  <c r="T79" i="1" s="1"/>
  <c r="AB61" i="1"/>
  <c r="AC61" i="1" s="1"/>
  <c r="T61" i="1" s="1"/>
  <c r="AB57" i="1"/>
  <c r="AC57" i="1" s="1"/>
  <c r="T57" i="1" s="1"/>
  <c r="AB49" i="1"/>
  <c r="AC49" i="1" s="1"/>
  <c r="T49" i="1" s="1"/>
  <c r="AB20" i="1"/>
  <c r="AC20" i="1" s="1"/>
  <c r="T20" i="1" s="1"/>
  <c r="AB8" i="1"/>
  <c r="AC8" i="1" s="1"/>
  <c r="T8" i="1" s="1"/>
  <c r="AB34" i="1"/>
  <c r="AC34" i="1" s="1"/>
  <c r="T34" i="1" s="1"/>
  <c r="AB26" i="1"/>
  <c r="AC26" i="1" s="1"/>
  <c r="T26" i="1" s="1"/>
  <c r="AA208" i="1"/>
  <c r="AB208" i="1" s="1"/>
  <c r="AC208" i="1" s="1"/>
  <c r="T208" i="1" s="1"/>
  <c r="AB194" i="1"/>
  <c r="AC194" i="1" s="1"/>
  <c r="T194" i="1" s="1"/>
  <c r="AB185" i="1"/>
  <c r="AC185" i="1" s="1"/>
  <c r="T185" i="1" s="1"/>
  <c r="AB169" i="1"/>
  <c r="AC169" i="1" s="1"/>
  <c r="T169" i="1" s="1"/>
  <c r="AB160" i="1"/>
  <c r="AC160" i="1" s="1"/>
  <c r="T160" i="1" s="1"/>
  <c r="AB155" i="1"/>
  <c r="AC155" i="1" s="1"/>
  <c r="T155" i="1" s="1"/>
  <c r="AB152" i="1"/>
  <c r="AC152" i="1" s="1"/>
  <c r="T152" i="1" s="1"/>
  <c r="AB104" i="1"/>
  <c r="AC104" i="1" s="1"/>
  <c r="T104" i="1" s="1"/>
  <c r="AB82" i="1"/>
  <c r="AC82" i="1" s="1"/>
  <c r="T82" i="1" s="1"/>
  <c r="AB74" i="1"/>
  <c r="AC74" i="1" s="1"/>
  <c r="T74" i="1" s="1"/>
  <c r="AB56" i="1"/>
  <c r="AC56" i="1" s="1"/>
  <c r="T56" i="1" s="1"/>
  <c r="AB38" i="1"/>
  <c r="AC38" i="1" s="1"/>
  <c r="T38" i="1" s="1"/>
  <c r="AB19" i="1"/>
  <c r="AC19" i="1" s="1"/>
  <c r="T19" i="1" s="1"/>
  <c r="AB3" i="1"/>
  <c r="AC3" i="1" s="1"/>
  <c r="T3" i="1" s="1"/>
  <c r="AB221" i="1"/>
  <c r="AC221" i="1" s="1"/>
  <c r="T221" i="1" s="1"/>
  <c r="AB219" i="1"/>
  <c r="AC219" i="1" s="1"/>
  <c r="T219" i="1" s="1"/>
  <c r="AB220" i="1"/>
  <c r="AC220" i="1" s="1"/>
  <c r="T220" i="1" s="1"/>
  <c r="AB170" i="1"/>
  <c r="AC170" i="1" s="1"/>
  <c r="T170" i="1" s="1"/>
  <c r="AB216" i="1"/>
  <c r="AC216" i="1" s="1"/>
  <c r="T216" i="1" s="1"/>
  <c r="AB213" i="1"/>
  <c r="AC213" i="1" s="1"/>
  <c r="T213" i="1" s="1"/>
  <c r="W251" i="1"/>
  <c r="W6" i="1"/>
  <c r="W128" i="1"/>
  <c r="H16" i="1" l="1"/>
  <c r="A16" i="1" s="1"/>
  <c r="H17" i="1"/>
  <c r="A17" i="1" s="1"/>
  <c r="AB100" i="1"/>
  <c r="AC100" i="1" s="1"/>
  <c r="T100" i="1" s="1"/>
  <c r="W252" i="1"/>
  <c r="W129" i="1"/>
  <c r="W7" i="1"/>
  <c r="H9" i="1" l="1"/>
  <c r="A9" i="1" s="1"/>
  <c r="H20" i="1"/>
  <c r="A20" i="1" s="1"/>
  <c r="H25" i="1"/>
  <c r="A25" i="1" s="1"/>
  <c r="H26" i="1"/>
  <c r="A26" i="1" s="1"/>
  <c r="W253" i="1"/>
  <c r="W8" i="1"/>
  <c r="W130" i="1"/>
  <c r="W131" i="1"/>
  <c r="H18" i="1" l="1"/>
  <c r="A18" i="1" s="1"/>
  <c r="W18" i="1" s="1"/>
  <c r="H27" i="1"/>
  <c r="A27" i="1" s="1"/>
  <c r="H22" i="1"/>
  <c r="A22" i="1" s="1"/>
  <c r="W254" i="1"/>
  <c r="W9" i="1"/>
  <c r="W10" i="1"/>
  <c r="W132" i="1"/>
  <c r="H19" i="1" l="1"/>
  <c r="A19" i="1" s="1"/>
  <c r="W19" i="1" s="1"/>
  <c r="H29" i="1"/>
  <c r="A29" i="1" s="1"/>
  <c r="W255" i="1"/>
  <c r="W133" i="1"/>
  <c r="W11" i="1"/>
  <c r="H24" i="1" l="1"/>
  <c r="A24" i="1" s="1"/>
  <c r="H28" i="1"/>
  <c r="A28" i="1" s="1"/>
  <c r="H30" i="1"/>
  <c r="A30" i="1" s="1"/>
  <c r="W29" i="1"/>
  <c r="W256" i="1"/>
  <c r="W12" i="1"/>
  <c r="W20" i="1"/>
  <c r="H34" i="1" l="1"/>
  <c r="A34" i="1" s="1"/>
  <c r="W257" i="1"/>
  <c r="W30" i="1"/>
  <c r="W13" i="1"/>
  <c r="W21" i="1"/>
  <c r="H36" i="1" l="1"/>
  <c r="A36" i="1" s="1"/>
  <c r="W258" i="1"/>
  <c r="W14" i="1"/>
  <c r="W31" i="1"/>
  <c r="W22" i="1"/>
  <c r="H38" i="1" l="1"/>
  <c r="A38" i="1" s="1"/>
  <c r="W259" i="1"/>
  <c r="W25" i="1"/>
  <c r="W33" i="1"/>
  <c r="W15" i="1"/>
  <c r="W23" i="1"/>
  <c r="W34" i="1" l="1"/>
  <c r="W26" i="1"/>
  <c r="W16" i="1"/>
  <c r="W24" i="1"/>
  <c r="H47" i="1" l="1"/>
  <c r="A47" i="1" s="1"/>
  <c r="H46" i="1"/>
  <c r="A46" i="1" s="1"/>
  <c r="W27" i="1"/>
  <c r="W35" i="1"/>
  <c r="W17" i="1"/>
  <c r="H49" i="1" l="1"/>
  <c r="A49" i="1" s="1"/>
  <c r="H48" i="1"/>
  <c r="A48" i="1" s="1"/>
  <c r="W44" i="1"/>
  <c r="W28" i="1"/>
  <c r="W36" i="1"/>
  <c r="H50" i="1" l="1"/>
  <c r="A50" i="1" s="1"/>
  <c r="H51" i="1"/>
  <c r="A51" i="1" s="1"/>
  <c r="H52" i="1"/>
  <c r="A52" i="1" s="1"/>
  <c r="W45" i="1"/>
  <c r="W37" i="1"/>
  <c r="W46" i="1"/>
  <c r="H53" i="1" l="1"/>
  <c r="A53" i="1" s="1"/>
  <c r="W47" i="1"/>
  <c r="W38" i="1"/>
  <c r="H54" i="1" l="1"/>
  <c r="A54" i="1" s="1"/>
  <c r="H56" i="1"/>
  <c r="A56" i="1" s="1"/>
  <c r="W43" i="1"/>
  <c r="W48" i="1"/>
  <c r="H55" i="1" l="1"/>
  <c r="A55" i="1" s="1"/>
  <c r="W49" i="1"/>
  <c r="H57" i="1" l="1"/>
  <c r="A57" i="1" s="1"/>
  <c r="H77" i="1"/>
  <c r="A77" i="1" s="1"/>
  <c r="W50" i="1"/>
  <c r="H58" i="1" l="1"/>
  <c r="A58" i="1" s="1"/>
  <c r="H79" i="1"/>
  <c r="A79" i="1" s="1"/>
  <c r="W51" i="1"/>
  <c r="H59" i="1" l="1"/>
  <c r="A59" i="1" s="1"/>
  <c r="H84" i="1"/>
  <c r="A84" i="1" s="1"/>
  <c r="W52" i="1"/>
  <c r="H60" i="1" l="1"/>
  <c r="A60" i="1" s="1"/>
  <c r="H86" i="1"/>
  <c r="A86" i="1" s="1"/>
  <c r="W53" i="1"/>
  <c r="W60" i="1"/>
  <c r="H63" i="1" l="1"/>
  <c r="A63" i="1" s="1"/>
  <c r="H61" i="1"/>
  <c r="A61" i="1" s="1"/>
  <c r="W61" i="1" s="1"/>
  <c r="W54" i="1"/>
  <c r="H65" i="1" l="1"/>
  <c r="A65" i="1" s="1"/>
  <c r="H69" i="1"/>
  <c r="A69" i="1" s="1"/>
  <c r="H95" i="1"/>
  <c r="A95" i="1" s="1"/>
  <c r="W55" i="1"/>
  <c r="W62" i="1"/>
  <c r="H104" i="1" l="1"/>
  <c r="A104" i="1" s="1"/>
  <c r="W71" i="1"/>
  <c r="W63" i="1"/>
  <c r="W56" i="1"/>
  <c r="H106" i="1" l="1"/>
  <c r="A106" i="1" s="1"/>
  <c r="W64" i="1"/>
  <c r="W57" i="1"/>
  <c r="H72" i="1" l="1"/>
  <c r="A72" i="1" s="1"/>
  <c r="W72" i="1" s="1"/>
  <c r="H147" i="1"/>
  <c r="A147" i="1" s="1"/>
  <c r="W73" i="1"/>
  <c r="W65" i="1"/>
  <c r="W58" i="1"/>
  <c r="H82" i="1" l="1"/>
  <c r="A82" i="1" s="1"/>
  <c r="W74" i="1"/>
  <c r="W66" i="1"/>
  <c r="W67" i="1"/>
  <c r="W68" i="1"/>
  <c r="W59" i="1"/>
  <c r="H83" i="1" l="1"/>
  <c r="A83" i="1" s="1"/>
  <c r="H155" i="1"/>
  <c r="A155" i="1" s="1"/>
  <c r="W75" i="1"/>
  <c r="W69" i="1"/>
  <c r="H93" i="1" l="1"/>
  <c r="A93" i="1" s="1"/>
  <c r="H162" i="1"/>
  <c r="A162" i="1" s="1"/>
  <c r="W76" i="1"/>
  <c r="W70" i="1"/>
  <c r="A108" i="1" l="1"/>
  <c r="H168" i="1"/>
  <c r="A168" i="1" s="1"/>
  <c r="W86" i="1"/>
  <c r="W77" i="1"/>
  <c r="H112" i="1" l="1"/>
  <c r="A112" i="1" s="1"/>
  <c r="W87" i="1"/>
  <c r="W92" i="1"/>
  <c r="W78" i="1"/>
  <c r="W88" i="1"/>
  <c r="H114" i="1" l="1"/>
  <c r="A114" i="1" s="1"/>
  <c r="H150" i="1"/>
  <c r="A150" i="1" s="1"/>
  <c r="H188" i="1"/>
  <c r="A188" i="1" s="1"/>
  <c r="W99" i="1"/>
  <c r="W93" i="1"/>
  <c r="W94" i="1"/>
  <c r="W89" i="1"/>
  <c r="W79" i="1"/>
  <c r="W90" i="1"/>
  <c r="H152" i="1" l="1"/>
  <c r="A152" i="1" s="1"/>
  <c r="H190" i="1"/>
  <c r="A190" i="1" s="1"/>
  <c r="W95" i="1"/>
  <c r="W100" i="1"/>
  <c r="W96" i="1"/>
  <c r="W97" i="1" s="1"/>
  <c r="W146" i="1"/>
  <c r="W91" i="1"/>
  <c r="W98" i="1"/>
  <c r="W80" i="1"/>
  <c r="H156" i="1" l="1"/>
  <c r="A156" i="1" s="1"/>
  <c r="H196" i="1"/>
  <c r="A196" i="1" s="1"/>
  <c r="W147" i="1"/>
  <c r="W81" i="1"/>
  <c r="W101" i="1"/>
  <c r="H160" i="1" l="1"/>
  <c r="A160" i="1" s="1"/>
  <c r="H201" i="1"/>
  <c r="A201" i="1" s="1"/>
  <c r="W177" i="1"/>
  <c r="W160" i="1"/>
  <c r="W148" i="1"/>
  <c r="W82" i="1"/>
  <c r="W102" i="1"/>
  <c r="H165" i="1" l="1"/>
  <c r="A165" i="1" s="1"/>
  <c r="H203" i="1"/>
  <c r="A203" i="1" s="1"/>
  <c r="W161" i="1"/>
  <c r="W162" i="1"/>
  <c r="W149" i="1"/>
  <c r="W83" i="1"/>
  <c r="W103" i="1"/>
  <c r="H176" i="1" l="1"/>
  <c r="A176" i="1" s="1"/>
  <c r="H205" i="1"/>
  <c r="A205" i="1" s="1"/>
  <c r="W150" i="1"/>
  <c r="W163" i="1"/>
  <c r="W104" i="1"/>
  <c r="W84" i="1"/>
  <c r="H178" i="1" l="1"/>
  <c r="A178" i="1" s="1"/>
  <c r="H210" i="1"/>
  <c r="A210" i="1" s="1"/>
  <c r="W178" i="1"/>
  <c r="W151" i="1"/>
  <c r="W164" i="1"/>
  <c r="W165" i="1" s="1"/>
  <c r="W179" i="1"/>
  <c r="W105" i="1"/>
  <c r="W85" i="1"/>
  <c r="H182" i="1" l="1"/>
  <c r="A182" i="1" s="1"/>
  <c r="W182" i="1" s="1"/>
  <c r="W213" i="1"/>
  <c r="W183" i="1"/>
  <c r="W180" i="1"/>
  <c r="W166" i="1"/>
  <c r="W152" i="1"/>
  <c r="W106" i="1"/>
  <c r="H185" i="1" l="1"/>
  <c r="A185" i="1" s="1"/>
  <c r="W167" i="1"/>
  <c r="W153" i="1"/>
  <c r="W107" i="1"/>
  <c r="H192" i="1" l="1"/>
  <c r="A192" i="1" s="1"/>
  <c r="AD44" i="1"/>
  <c r="AD59" i="1"/>
  <c r="AD48" i="1"/>
  <c r="AD50" i="1"/>
  <c r="AD29" i="1"/>
  <c r="AD27" i="1"/>
  <c r="X216" i="1"/>
  <c r="AD215" i="1"/>
  <c r="AD196" i="1"/>
  <c r="AD188" i="1"/>
  <c r="AD34" i="1"/>
  <c r="AD22" i="1"/>
  <c r="AD36" i="1"/>
  <c r="AD38" i="1"/>
  <c r="AD147" i="1"/>
  <c r="AD155" i="1"/>
  <c r="AD162" i="1"/>
  <c r="AD168" i="1"/>
  <c r="X177" i="1"/>
  <c r="AD205" i="1"/>
  <c r="AD218" i="1"/>
  <c r="AD210" i="1"/>
  <c r="AD203" i="1"/>
  <c r="AD46" i="1"/>
  <c r="AD84" i="1"/>
  <c r="AD79" i="1"/>
  <c r="AD86" i="1"/>
  <c r="AD104" i="1"/>
  <c r="AD190" i="1"/>
  <c r="AD201" i="1"/>
  <c r="W187" i="1"/>
  <c r="W185" i="1"/>
  <c r="W108" i="1"/>
  <c r="W154" i="1"/>
  <c r="W168" i="1"/>
  <c r="W109" i="1"/>
  <c r="W110" i="1"/>
  <c r="H195" i="1" l="1"/>
  <c r="A195" i="1" s="1"/>
  <c r="W111" i="1"/>
  <c r="W173" i="1"/>
  <c r="W188" i="1"/>
  <c r="W169" i="1"/>
  <c r="W155" i="1"/>
  <c r="H197" i="1" l="1"/>
  <c r="A197" i="1" s="1"/>
  <c r="W189" i="1"/>
  <c r="W112" i="1"/>
  <c r="W174" i="1"/>
  <c r="W170" i="1"/>
  <c r="W156" i="1"/>
  <c r="W175" i="1"/>
  <c r="W176" i="1" s="1"/>
  <c r="H199" i="1" l="1"/>
  <c r="A199" i="1" s="1"/>
  <c r="W190" i="1"/>
  <c r="W171" i="1"/>
  <c r="W157" i="1"/>
  <c r="W113" i="1"/>
  <c r="H204" i="1" l="1"/>
  <c r="A204" i="1" s="1"/>
  <c r="W202" i="1"/>
  <c r="W201" i="1"/>
  <c r="W203" i="1"/>
  <c r="W191" i="1"/>
  <c r="W172" i="1"/>
  <c r="W158" i="1"/>
  <c r="W159" i="1" s="1"/>
  <c r="W114" i="1"/>
  <c r="H206" i="1" l="1"/>
  <c r="A206" i="1" s="1"/>
  <c r="W204" i="1"/>
  <c r="W192" i="1"/>
  <c r="W115" i="1"/>
  <c r="H209" i="1" l="1"/>
  <c r="A209" i="1" s="1"/>
  <c r="W193" i="1"/>
  <c r="W205" i="1"/>
  <c r="W116" i="1"/>
  <c r="H212" i="1" l="1"/>
  <c r="A212" i="1" s="1"/>
  <c r="W194" i="1"/>
  <c r="W195" i="1"/>
  <c r="W206" i="1"/>
  <c r="W117" i="1"/>
  <c r="H214" i="1" l="1"/>
  <c r="A214" i="1" s="1"/>
  <c r="W212" i="1"/>
  <c r="W207" i="1"/>
  <c r="W208" i="1"/>
  <c r="W196" i="1"/>
  <c r="W118" i="1"/>
  <c r="H217" i="1" l="1"/>
  <c r="A217" i="1" s="1"/>
  <c r="W209" i="1"/>
  <c r="W210" i="1"/>
  <c r="W197" i="1"/>
  <c r="W214" i="1"/>
  <c r="W119" i="1"/>
  <c r="W217" i="1" l="1"/>
  <c r="H219" i="1"/>
  <c r="A219" i="1" s="1"/>
  <c r="W198" i="1"/>
  <c r="W218" i="1"/>
  <c r="W199" i="1"/>
  <c r="W215" i="1"/>
  <c r="W211" i="1"/>
  <c r="W120" i="1"/>
  <c r="W219" i="1" l="1"/>
  <c r="H221" i="1"/>
  <c r="A221" i="1" s="1"/>
  <c r="W200" i="1"/>
  <c r="W121" i="1"/>
  <c r="W221" i="1" l="1"/>
  <c r="H224" i="1"/>
  <c r="A224" i="1" s="1"/>
  <c r="H227" i="1"/>
  <c r="A227" i="1" s="1"/>
  <c r="W222" i="1"/>
  <c r="W223" i="1"/>
  <c r="W224" i="1"/>
  <c r="W122" i="1"/>
  <c r="X201" i="1" l="1"/>
  <c r="AD197" i="1"/>
  <c r="AD150" i="1"/>
  <c r="AD195" i="1"/>
  <c r="AD7" i="1"/>
  <c r="AD55" i="1"/>
  <c r="X44" i="1"/>
  <c r="AD65" i="1"/>
  <c r="AD160" i="1"/>
  <c r="AD165" i="1"/>
  <c r="AD156" i="1"/>
  <c r="AD152" i="1"/>
  <c r="X182" i="1"/>
  <c r="AD185" i="1"/>
  <c r="AD114" i="1"/>
  <c r="X183" i="1"/>
  <c r="AD49" i="1"/>
  <c r="AD192" i="1"/>
  <c r="X29" i="1"/>
  <c r="AD82" i="1"/>
  <c r="AD24" i="1"/>
  <c r="AD199" i="1"/>
  <c r="AD63" i="1"/>
  <c r="AD204" i="1"/>
  <c r="AD209" i="1"/>
  <c r="X212" i="1"/>
  <c r="X219" i="1"/>
  <c r="AD212" i="1"/>
  <c r="AD214" i="1"/>
  <c r="AD221" i="1"/>
  <c r="AD206" i="1"/>
  <c r="AD224" i="1"/>
  <c r="AD227" i="1"/>
  <c r="X221" i="1"/>
  <c r="AD219" i="1"/>
  <c r="W225" i="1"/>
  <c r="W123" i="1"/>
  <c r="W226" i="1" l="1"/>
  <c r="W124" i="1"/>
  <c r="W227" i="1" l="1"/>
  <c r="W125" i="1"/>
  <c r="W228" i="1" l="1"/>
  <c r="W229" i="1"/>
  <c r="W126" i="1"/>
  <c r="W230" i="1" l="1"/>
  <c r="W231" i="1" l="1"/>
  <c r="W232" i="1"/>
  <c r="W233" i="1"/>
  <c r="W234" i="1" l="1"/>
  <c r="W235" i="1" l="1"/>
  <c r="AD149" i="1" l="1"/>
  <c r="AD153" i="1"/>
  <c r="AD141" i="1"/>
  <c r="X141" i="1"/>
  <c r="X41" i="1"/>
  <c r="X39" i="1"/>
  <c r="X40" i="1"/>
  <c r="AD138" i="1"/>
  <c r="AD39" i="1"/>
  <c r="AD134" i="1"/>
  <c r="X134" i="1"/>
  <c r="X98" i="1"/>
  <c r="X110" i="1"/>
  <c r="X91" i="1"/>
  <c r="X89" i="1"/>
  <c r="X90" i="1"/>
  <c r="X88" i="1"/>
  <c r="AD97" i="1"/>
  <c r="AD109" i="1"/>
  <c r="AD93" i="1"/>
  <c r="AD95" i="1"/>
  <c r="X68" i="1"/>
  <c r="X82" i="1"/>
  <c r="AD64" i="1"/>
  <c r="AD67" i="1"/>
  <c r="AD53" i="1"/>
  <c r="AD61" i="1"/>
  <c r="AD47" i="1"/>
  <c r="AD51" i="1"/>
  <c r="AD37" i="1"/>
  <c r="X23" i="1"/>
  <c r="AD26" i="1"/>
  <c r="X175" i="1"/>
  <c r="X180" i="1"/>
  <c r="X169" i="1"/>
  <c r="AD174" i="1"/>
  <c r="AD161" i="1"/>
  <c r="X163" i="1"/>
  <c r="X166" i="1"/>
  <c r="AD144" i="1"/>
  <c r="X145" i="1"/>
  <c r="X157" i="1"/>
  <c r="X150" i="1"/>
  <c r="X139" i="1"/>
  <c r="AD142" i="1"/>
  <c r="AD137" i="1"/>
  <c r="AD139" i="1"/>
  <c r="AD130" i="1"/>
  <c r="X131" i="1"/>
  <c r="AD121" i="1"/>
  <c r="AD128" i="1"/>
  <c r="X116" i="1"/>
  <c r="AD118" i="1"/>
  <c r="X97" i="1"/>
  <c r="AD115" i="1"/>
  <c r="X109" i="1"/>
  <c r="X96" i="1"/>
  <c r="AD108" i="1"/>
  <c r="AD112" i="1"/>
  <c r="X104" i="1"/>
  <c r="AD106" i="1"/>
  <c r="AD100" i="1"/>
  <c r="AD103" i="1"/>
  <c r="AD94" i="1"/>
  <c r="AD96" i="1"/>
  <c r="X86" i="1"/>
  <c r="AD92" i="1"/>
  <c r="AD77" i="1"/>
  <c r="AD81" i="1"/>
  <c r="AD74" i="1"/>
  <c r="X75" i="1"/>
  <c r="X65" i="1"/>
  <c r="X71" i="1"/>
  <c r="AD60" i="1"/>
  <c r="AD62" i="1"/>
  <c r="AD57" i="1"/>
  <c r="X57" i="1"/>
  <c r="AD54" i="1"/>
  <c r="X55" i="1"/>
  <c r="X38" i="1"/>
  <c r="AD52" i="1"/>
  <c r="AD33" i="1"/>
  <c r="AD35" i="1"/>
  <c r="AD25" i="1"/>
  <c r="AD28" i="1"/>
  <c r="AD13" i="1"/>
  <c r="X235" i="1"/>
  <c r="X232" i="1"/>
  <c r="X246" i="1"/>
  <c r="X193" i="1"/>
  <c r="X205" i="1"/>
  <c r="X73" i="1"/>
  <c r="X203" i="1"/>
  <c r="X94" i="1"/>
  <c r="X77" i="1"/>
  <c r="X83" i="1"/>
  <c r="AD58" i="1"/>
  <c r="X56" i="1"/>
  <c r="X11" i="1"/>
  <c r="X192" i="1"/>
  <c r="AD72" i="1"/>
  <c r="X199" i="1"/>
  <c r="X252" i="1"/>
  <c r="X137" i="1"/>
  <c r="X119" i="1"/>
  <c r="X130" i="1"/>
  <c r="X14" i="1"/>
  <c r="X21" i="1"/>
  <c r="X111" i="1"/>
  <c r="X146" i="1"/>
  <c r="X178" i="1"/>
  <c r="AD69" i="1"/>
  <c r="X161" i="1"/>
  <c r="X127" i="1"/>
  <c r="AD213" i="1"/>
  <c r="AD76" i="1"/>
  <c r="X84" i="1"/>
  <c r="X231" i="1"/>
  <c r="X159" i="1"/>
  <c r="X255" i="1"/>
  <c r="AD56" i="1"/>
  <c r="X202" i="1"/>
  <c r="X165" i="1"/>
  <c r="X51" i="1"/>
  <c r="AD5" i="1"/>
  <c r="X196" i="1"/>
  <c r="X25" i="1"/>
  <c r="X58" i="1"/>
  <c r="X8" i="1"/>
  <c r="AD3" i="1"/>
  <c r="X30" i="1"/>
  <c r="X250" i="1"/>
  <c r="X49" i="1"/>
  <c r="AD261" i="1"/>
  <c r="X226" i="1"/>
  <c r="X69" i="1"/>
  <c r="X24" i="1"/>
  <c r="X112" i="1"/>
  <c r="X168" i="1"/>
  <c r="AD18" i="1"/>
  <c r="X126" i="1"/>
  <c r="X124" i="1"/>
  <c r="X200" i="1"/>
  <c r="X34" i="1"/>
  <c r="X53" i="1"/>
  <c r="AD182" i="1"/>
  <c r="AD217" i="1"/>
  <c r="X176" i="1"/>
  <c r="X240" i="1"/>
  <c r="X224" i="1"/>
  <c r="X5" i="1"/>
  <c r="X225" i="1"/>
  <c r="X18" i="1"/>
  <c r="X149" i="1"/>
  <c r="X217" i="1"/>
  <c r="X253" i="1"/>
  <c r="AD180" i="1"/>
  <c r="X184" i="1"/>
  <c r="X244" i="1"/>
  <c r="AD202" i="1"/>
  <c r="X60" i="1"/>
  <c r="X158" i="1"/>
  <c r="X123" i="1"/>
  <c r="X46" i="1"/>
  <c r="AD45" i="1"/>
  <c r="X28" i="1"/>
  <c r="AD222" i="1"/>
  <c r="X50" i="1"/>
  <c r="X129" i="1"/>
  <c r="AD20" i="1"/>
  <c r="X242" i="1"/>
  <c r="X247" i="1"/>
  <c r="X76" i="1"/>
  <c r="X138" i="1"/>
  <c r="X227" i="1"/>
  <c r="X204" i="1"/>
  <c r="AD30" i="1"/>
  <c r="X188" i="1"/>
  <c r="X70" i="1"/>
  <c r="X209" i="1"/>
  <c r="X95" i="1"/>
  <c r="X128" i="1"/>
  <c r="X185" i="1"/>
  <c r="AD242" i="1"/>
  <c r="X190" i="1"/>
  <c r="X210" i="1"/>
  <c r="X238" i="1"/>
  <c r="AD99" i="1"/>
  <c r="AD158" i="1"/>
  <c r="X102" i="1"/>
  <c r="X170" i="1"/>
  <c r="X213" i="1"/>
  <c r="X249" i="1"/>
  <c r="X211" i="1"/>
  <c r="X229" i="1"/>
  <c r="X187" i="1"/>
  <c r="AD66" i="1"/>
  <c r="X144" i="1"/>
  <c r="X26" i="1"/>
  <c r="X160" i="1"/>
  <c r="X167" i="1"/>
  <c r="AD187" i="1"/>
  <c r="X151" i="1"/>
  <c r="X208" i="1"/>
  <c r="X80" i="1"/>
  <c r="X234" i="1"/>
  <c r="X228" i="1"/>
  <c r="AD16" i="1"/>
  <c r="AD246" i="1"/>
  <c r="X72" i="1"/>
  <c r="X122" i="1"/>
  <c r="X107" i="1"/>
  <c r="X194" i="1"/>
  <c r="X101" i="1"/>
  <c r="X191" i="1"/>
  <c r="X48" i="1"/>
  <c r="X152" i="1"/>
  <c r="X174" i="1"/>
  <c r="X114" i="1"/>
  <c r="AD170" i="1"/>
  <c r="X164" i="1"/>
  <c r="AD244" i="1"/>
  <c r="AD220" i="1"/>
  <c r="X256" i="1"/>
  <c r="AD132" i="1"/>
  <c r="X66" i="1"/>
  <c r="X106" i="1"/>
  <c r="X214" i="1"/>
  <c r="AD43" i="1"/>
  <c r="X148" i="1"/>
  <c r="X237" i="1"/>
  <c r="AD178" i="1"/>
  <c r="AD117" i="1"/>
  <c r="X113" i="1"/>
  <c r="X87" i="1"/>
  <c r="X233" i="1"/>
  <c r="X257" i="1"/>
  <c r="X121" i="1"/>
  <c r="X64" i="1"/>
  <c r="X100" i="1"/>
  <c r="X147" i="1"/>
  <c r="X36" i="1"/>
  <c r="X140" i="1"/>
  <c r="X261" i="1"/>
  <c r="X172" i="1"/>
  <c r="X189" i="1"/>
  <c r="X143" i="1"/>
  <c r="X22" i="1"/>
  <c r="AD237" i="1"/>
  <c r="X35" i="1"/>
  <c r="AD105" i="1"/>
  <c r="X218" i="1"/>
  <c r="X222" i="1"/>
  <c r="X78" i="1"/>
  <c r="X136" i="1"/>
  <c r="X254" i="1"/>
  <c r="X92" i="1"/>
  <c r="X93" i="1"/>
  <c r="AD167" i="1"/>
  <c r="X156" i="1"/>
  <c r="X155" i="1"/>
  <c r="X67" i="1"/>
  <c r="AD135" i="1"/>
  <c r="X79" i="1"/>
  <c r="X197" i="1"/>
  <c r="X262" i="1"/>
  <c r="X215" i="1"/>
  <c r="X198" i="1"/>
  <c r="X195" i="1"/>
  <c r="AD87" i="1"/>
  <c r="X142" i="1"/>
  <c r="X85" i="1"/>
  <c r="X52" i="1"/>
  <c r="X61" i="1"/>
  <c r="X20" i="1"/>
  <c r="X230" i="1"/>
  <c r="X154" i="1"/>
  <c r="AD184" i="1"/>
  <c r="X31" i="1"/>
  <c r="X259" i="1"/>
  <c r="X206" i="1"/>
  <c r="X133" i="1"/>
  <c r="AD176" i="1"/>
  <c r="X99" i="1"/>
  <c r="X54" i="1"/>
  <c r="X171" i="1"/>
  <c r="X153" i="1"/>
  <c r="X27" i="1"/>
  <c r="X37" i="1"/>
  <c r="X251" i="1"/>
  <c r="AD164" i="1"/>
  <c r="X239" i="1"/>
  <c r="AD146" i="1"/>
  <c r="X62" i="1"/>
  <c r="X115" i="1"/>
  <c r="X220" i="1"/>
  <c r="AD140" i="1"/>
  <c r="X43" i="1"/>
  <c r="X74" i="1"/>
  <c r="X173" i="1"/>
  <c r="AD83" i="1"/>
  <c r="X117" i="1"/>
  <c r="X81" i="1"/>
  <c r="X118" i="1"/>
  <c r="X105" i="1"/>
  <c r="X59" i="1"/>
  <c r="AD151" i="1"/>
  <c r="X3" i="1"/>
  <c r="X248" i="1"/>
  <c r="X108" i="1"/>
  <c r="X258" i="1"/>
  <c r="X45" i="1"/>
  <c r="X179" i="1"/>
  <c r="X162" i="1"/>
  <c r="X120" i="1"/>
  <c r="X63" i="1"/>
  <c r="X135" i="1"/>
  <c r="X207" i="1"/>
  <c r="X103" i="1"/>
  <c r="X125" i="1"/>
  <c r="X132" i="1"/>
  <c r="X47" i="1"/>
  <c r="X33" i="1"/>
  <c r="X223" i="1"/>
  <c r="AD15" i="1" l="1"/>
  <c r="X12" i="1"/>
  <c r="X9" i="1"/>
  <c r="X7" i="1"/>
  <c r="X4" i="1"/>
  <c r="X19" i="1"/>
  <c r="AD17" i="1"/>
  <c r="AD4" i="1"/>
  <c r="X16" i="1"/>
  <c r="X15" i="1"/>
  <c r="AD6" i="1"/>
  <c r="AD19" i="1"/>
  <c r="X17" i="1"/>
  <c r="AD12" i="1"/>
  <c r="X6" i="1"/>
  <c r="X13" i="1"/>
  <c r="AD9" i="1"/>
  <c r="X10" i="1"/>
  <c r="A1" i="2"/>
  <c r="E1" i="2" l="1"/>
  <c r="D5" i="2"/>
  <c r="D43" i="2" s="1"/>
  <c r="D81" i="2" s="1"/>
  <c r="D7" i="2"/>
  <c r="D45" i="2" s="1"/>
  <c r="D83" i="2" s="1"/>
  <c r="E3" i="2"/>
  <c r="E41" i="2" s="1"/>
  <c r="E79" i="2" s="1"/>
  <c r="G1" i="2"/>
  <c r="C11" i="2" l="1"/>
  <c r="C49" i="2" s="1"/>
  <c r="C87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C13" i="2"/>
  <c r="C51" i="2" s="1"/>
  <c r="C89" i="2" s="1"/>
  <c r="C15" i="2"/>
  <c r="C53" i="2" s="1"/>
  <c r="C91" i="2" s="1"/>
  <c r="C17" i="2"/>
  <c r="C55" i="2" s="1"/>
  <c r="C93" i="2" s="1"/>
  <c r="C19" i="2"/>
  <c r="C57" i="2" s="1"/>
  <c r="C95" i="2" s="1"/>
  <c r="C21" i="2"/>
  <c r="C59" i="2" s="1"/>
  <c r="C97" i="2" s="1"/>
  <c r="C23" i="2"/>
  <c r="C61" i="2" s="1"/>
  <c r="C99" i="2" s="1"/>
  <c r="C25" i="2"/>
  <c r="C63" i="2" s="1"/>
  <c r="C101" i="2" s="1"/>
  <c r="H5" i="2"/>
  <c r="H43" i="2" s="1"/>
  <c r="H81" i="2" s="1"/>
  <c r="H3" i="2"/>
  <c r="H41" i="2" s="1"/>
  <c r="H79" i="2" s="1"/>
  <c r="H6" i="2"/>
  <c r="H44" i="2" s="1"/>
  <c r="H82" i="2" s="1"/>
  <c r="K13" i="2"/>
  <c r="K51" i="2" s="1"/>
  <c r="K89" i="2" s="1"/>
  <c r="B24" i="2"/>
  <c r="B62" i="2" s="1"/>
  <c r="B100" i="2" s="1"/>
  <c r="D24" i="2"/>
  <c r="D62" i="2" s="1"/>
  <c r="D100" i="2" s="1"/>
  <c r="D11" i="2"/>
  <c r="D49" i="2" s="1"/>
  <c r="D87" i="2" s="1"/>
  <c r="J13" i="2"/>
  <c r="J51" i="2" s="1"/>
  <c r="J89" i="2" s="1"/>
  <c r="K16" i="2"/>
  <c r="K54" i="2" s="1"/>
  <c r="K92" i="2" s="1"/>
  <c r="K19" i="2"/>
  <c r="K57" i="2" s="1"/>
  <c r="K95" i="2" s="1"/>
  <c r="H19" i="2"/>
  <c r="H57" i="2" s="1"/>
  <c r="H95" i="2" s="1"/>
  <c r="I20" i="2"/>
  <c r="I58" i="2" s="1"/>
  <c r="I96" i="2" s="1"/>
  <c r="H12" i="2"/>
  <c r="H50" i="2" s="1"/>
  <c r="H88" i="2" s="1"/>
  <c r="D18" i="2"/>
  <c r="D56" i="2" s="1"/>
  <c r="D94" i="2" s="1"/>
  <c r="E25" i="2"/>
  <c r="E63" i="2" s="1"/>
  <c r="E101" i="2" s="1"/>
  <c r="H25" i="2"/>
  <c r="H63" i="2" s="1"/>
  <c r="H101" i="2" s="1"/>
  <c r="I13" i="2"/>
  <c r="I51" i="2" s="1"/>
  <c r="I89" i="2" s="1"/>
  <c r="D25" i="2"/>
  <c r="D63" i="2" s="1"/>
  <c r="D101" i="2" s="1"/>
  <c r="J14" i="2"/>
  <c r="J52" i="2" s="1"/>
  <c r="J90" i="2" s="1"/>
  <c r="J25" i="2"/>
  <c r="J63" i="2" s="1"/>
  <c r="J101" i="2" s="1"/>
  <c r="E17" i="2"/>
  <c r="E55" i="2" s="1"/>
  <c r="E93" i="2" s="1"/>
  <c r="B12" i="2"/>
  <c r="B50" i="2" s="1"/>
  <c r="B88" i="2" s="1"/>
  <c r="B23" i="2"/>
  <c r="B61" i="2" s="1"/>
  <c r="B99" i="2" s="1"/>
  <c r="I11" i="2"/>
  <c r="I49" i="2" s="1"/>
  <c r="I87" i="2" s="1"/>
  <c r="J19" i="2"/>
  <c r="J57" i="2" s="1"/>
  <c r="J95" i="2" s="1"/>
  <c r="J20" i="2"/>
  <c r="J58" i="2" s="1"/>
  <c r="J96" i="2" s="1"/>
  <c r="D23" i="2"/>
  <c r="D61" i="2" s="1"/>
  <c r="D99" i="2" s="1"/>
  <c r="K12" i="2"/>
  <c r="K50" i="2" s="1"/>
  <c r="K88" i="2" s="1"/>
  <c r="E23" i="2"/>
  <c r="E61" i="2" s="1"/>
  <c r="E99" i="2" s="1"/>
  <c r="K26" i="2"/>
  <c r="K64" i="2" s="1"/>
  <c r="K102" i="2" s="1"/>
  <c r="K17" i="2"/>
  <c r="K55" i="2" s="1"/>
  <c r="K93" i="2" s="1"/>
  <c r="B13" i="2"/>
  <c r="B51" i="2" s="1"/>
  <c r="B89" i="2" s="1"/>
  <c r="B14" i="2"/>
  <c r="B52" i="2" s="1"/>
  <c r="B90" i="2" s="1"/>
  <c r="I24" i="2"/>
  <c r="I62" i="2" s="1"/>
  <c r="I100" i="2" s="1"/>
  <c r="J26" i="2"/>
  <c r="J64" i="2" s="1"/>
  <c r="J102" i="2" s="1"/>
  <c r="K21" i="2"/>
  <c r="K59" i="2" s="1"/>
  <c r="K97" i="2" s="1"/>
  <c r="B22" i="2"/>
  <c r="B60" i="2" s="1"/>
  <c r="B98" i="2" s="1"/>
  <c r="E24" i="2"/>
  <c r="E62" i="2" s="1"/>
  <c r="E100" i="2" s="1"/>
  <c r="J18" i="2"/>
  <c r="J56" i="2" s="1"/>
  <c r="J94" i="2" s="1"/>
  <c r="I16" i="2"/>
  <c r="I54" i="2" s="1"/>
  <c r="I92" i="2" s="1"/>
  <c r="I25" i="2"/>
  <c r="I63" i="2" s="1"/>
  <c r="I101" i="2" s="1"/>
  <c r="K14" i="2"/>
  <c r="K52" i="2" s="1"/>
  <c r="K90" i="2" s="1"/>
  <c r="D19" i="2"/>
  <c r="D57" i="2" s="1"/>
  <c r="D95" i="2" s="1"/>
  <c r="H13" i="2"/>
  <c r="H51" i="2" s="1"/>
  <c r="H89" i="2" s="1"/>
  <c r="B20" i="2"/>
  <c r="B58" i="2" s="1"/>
  <c r="B96" i="2" s="1"/>
  <c r="H14" i="2"/>
  <c r="H52" i="2" s="1"/>
  <c r="H90" i="2" s="1"/>
  <c r="D14" i="2"/>
  <c r="D52" i="2" s="1"/>
  <c r="D90" i="2" s="1"/>
  <c r="B11" i="2"/>
  <c r="B49" i="2" s="1"/>
  <c r="B87" i="2" s="1"/>
  <c r="J12" i="2"/>
  <c r="J50" i="2" s="1"/>
  <c r="J88" i="2" s="1"/>
  <c r="D16" i="2"/>
  <c r="D54" i="2" s="1"/>
  <c r="D92" i="2" s="1"/>
  <c r="J16" i="2"/>
  <c r="J54" i="2" s="1"/>
  <c r="J92" i="2" s="1"/>
  <c r="E22" i="2"/>
  <c r="E60" i="2" s="1"/>
  <c r="E98" i="2" s="1"/>
  <c r="I19" i="2"/>
  <c r="I57" i="2" s="1"/>
  <c r="I95" i="2" s="1"/>
  <c r="B25" i="2"/>
  <c r="B63" i="2" s="1"/>
  <c r="B101" i="2" s="1"/>
  <c r="K20" i="2"/>
  <c r="K58" i="2" s="1"/>
  <c r="K96" i="2" s="1"/>
  <c r="E15" i="2"/>
  <c r="E53" i="2" s="1"/>
  <c r="E91" i="2" s="1"/>
  <c r="H17" i="2"/>
  <c r="H55" i="2" s="1"/>
  <c r="H93" i="2" s="1"/>
  <c r="E11" i="2"/>
  <c r="E49" i="2" s="1"/>
  <c r="E87" i="2" s="1"/>
  <c r="E18" i="2"/>
  <c r="E56" i="2" s="1"/>
  <c r="E94" i="2" s="1"/>
  <c r="I17" i="2"/>
  <c r="I55" i="2" s="1"/>
  <c r="I93" i="2" s="1"/>
  <c r="B17" i="2"/>
  <c r="B55" i="2" s="1"/>
  <c r="B93" i="2" s="1"/>
  <c r="E13" i="2"/>
  <c r="E51" i="2" s="1"/>
  <c r="E89" i="2" s="1"/>
  <c r="D21" i="2"/>
  <c r="D59" i="2" s="1"/>
  <c r="D97" i="2" s="1"/>
  <c r="J17" i="2"/>
  <c r="J55" i="2" s="1"/>
  <c r="J93" i="2" s="1"/>
  <c r="D20" i="2"/>
  <c r="D58" i="2" s="1"/>
  <c r="D96" i="2" s="1"/>
  <c r="K23" i="2"/>
  <c r="K61" i="2" s="1"/>
  <c r="K99" i="2" s="1"/>
  <c r="E21" i="2"/>
  <c r="E59" i="2" s="1"/>
  <c r="E97" i="2" s="1"/>
  <c r="B26" i="2"/>
  <c r="B64" i="2" s="1"/>
  <c r="B102" i="2" s="1"/>
  <c r="D26" i="2"/>
  <c r="D64" i="2" s="1"/>
  <c r="D102" i="2" s="1"/>
  <c r="E14" i="2"/>
  <c r="E52" i="2" s="1"/>
  <c r="E90" i="2" s="1"/>
  <c r="J15" i="2"/>
  <c r="J53" i="2" s="1"/>
  <c r="J91" i="2" s="1"/>
  <c r="I15" i="2"/>
  <c r="I53" i="2" s="1"/>
  <c r="I91" i="2" s="1"/>
  <c r="K15" i="2"/>
  <c r="K53" i="2" s="1"/>
  <c r="K91" i="2" s="1"/>
  <c r="H11" i="2"/>
  <c r="H49" i="2" s="1"/>
  <c r="H87" i="2" s="1"/>
  <c r="H20" i="2"/>
  <c r="H58" i="2" s="1"/>
  <c r="H96" i="2" s="1"/>
  <c r="B21" i="2"/>
  <c r="B59" i="2" s="1"/>
  <c r="B97" i="2" s="1"/>
  <c r="J22" i="2"/>
  <c r="J60" i="2" s="1"/>
  <c r="J98" i="2" s="1"/>
  <c r="B16" i="2"/>
  <c r="B54" i="2" s="1"/>
  <c r="B92" i="2" s="1"/>
  <c r="E26" i="2"/>
  <c r="E64" i="2" s="1"/>
  <c r="E102" i="2" s="1"/>
  <c r="H26" i="2"/>
  <c r="H64" i="2" s="1"/>
  <c r="H102" i="2" s="1"/>
  <c r="I14" i="2"/>
  <c r="I52" i="2" s="1"/>
  <c r="I90" i="2" s="1"/>
  <c r="B19" i="2"/>
  <c r="B57" i="2" s="1"/>
  <c r="B95" i="2" s="1"/>
  <c r="D17" i="2"/>
  <c r="D55" i="2" s="1"/>
  <c r="D93" i="2" s="1"/>
  <c r="E16" i="2"/>
  <c r="E54" i="2" s="1"/>
  <c r="E92" i="2" s="1"/>
  <c r="J21" i="2"/>
  <c r="J59" i="2" s="1"/>
  <c r="J97" i="2" s="1"/>
  <c r="H15" i="2"/>
  <c r="H53" i="2" s="1"/>
  <c r="H91" i="2" s="1"/>
  <c r="D22" i="2"/>
  <c r="D60" i="2" s="1"/>
  <c r="D98" i="2" s="1"/>
  <c r="D12" i="2"/>
  <c r="D50" i="2" s="1"/>
  <c r="D88" i="2" s="1"/>
  <c r="H23" i="2"/>
  <c r="H61" i="2" s="1"/>
  <c r="H99" i="2" s="1"/>
  <c r="D13" i="2"/>
  <c r="D51" i="2" s="1"/>
  <c r="D89" i="2" s="1"/>
  <c r="I23" i="2"/>
  <c r="I61" i="2" s="1"/>
  <c r="I99" i="2" s="1"/>
  <c r="E20" i="2"/>
  <c r="E58" i="2" s="1"/>
  <c r="E96" i="2" s="1"/>
  <c r="I21" i="2"/>
  <c r="I59" i="2" s="1"/>
  <c r="I97" i="2" s="1"/>
  <c r="H24" i="2"/>
  <c r="H62" i="2" s="1"/>
  <c r="H100" i="2" s="1"/>
  <c r="I18" i="2"/>
  <c r="I56" i="2" s="1"/>
  <c r="I94" i="2" s="1"/>
  <c r="K24" i="2"/>
  <c r="K62" i="2" s="1"/>
  <c r="K100" i="2" s="1"/>
  <c r="B18" i="2"/>
  <c r="B56" i="2" s="1"/>
  <c r="B94" i="2" s="1"/>
  <c r="H16" i="2"/>
  <c r="H54" i="2" s="1"/>
  <c r="H92" i="2" s="1"/>
  <c r="B15" i="2"/>
  <c r="B53" i="2" s="1"/>
  <c r="B91" i="2" s="1"/>
  <c r="E12" i="2"/>
  <c r="E50" i="2" s="1"/>
  <c r="E88" i="2" s="1"/>
  <c r="H18" i="2"/>
  <c r="H56" i="2" s="1"/>
  <c r="H94" i="2" s="1"/>
  <c r="J24" i="2"/>
  <c r="J62" i="2" s="1"/>
  <c r="J100" i="2" s="1"/>
  <c r="K18" i="2"/>
  <c r="K56" i="2" s="1"/>
  <c r="K94" i="2" s="1"/>
  <c r="J23" i="2"/>
  <c r="J61" i="2" s="1"/>
  <c r="J99" i="2" s="1"/>
  <c r="D15" i="2"/>
  <c r="D53" i="2" s="1"/>
  <c r="D91" i="2" s="1"/>
  <c r="K11" i="2"/>
  <c r="K49" i="2" s="1"/>
  <c r="K87" i="2" s="1"/>
  <c r="E19" i="2"/>
  <c r="E57" i="2" s="1"/>
  <c r="E95" i="2" s="1"/>
  <c r="H21" i="2"/>
  <c r="H59" i="2" s="1"/>
  <c r="H97" i="2" s="1"/>
  <c r="I22" i="2"/>
  <c r="I60" i="2" s="1"/>
  <c r="I98" i="2" s="1"/>
  <c r="K25" i="2"/>
  <c r="K63" i="2" s="1"/>
  <c r="K101" i="2" s="1"/>
  <c r="H22" i="2"/>
  <c r="H60" i="2" s="1"/>
  <c r="H98" i="2" s="1"/>
  <c r="K22" i="2"/>
  <c r="K60" i="2" s="1"/>
  <c r="K98" i="2" s="1"/>
  <c r="I26" i="2"/>
  <c r="I64" i="2" s="1"/>
  <c r="I102" i="2" s="1"/>
  <c r="J11" i="2"/>
  <c r="J49" i="2" s="1"/>
  <c r="J87" i="2" s="1"/>
  <c r="I12" i="2"/>
  <c r="I50" i="2" s="1"/>
  <c r="I88" i="2" s="1"/>
  <c r="E3" i="4"/>
  <c r="D36" i="4" s="1"/>
  <c r="H36" i="4" l="1"/>
  <c r="N36" i="4"/>
  <c r="G36" i="4"/>
  <c r="J36" i="4"/>
  <c r="F36" i="4"/>
  <c r="O36" i="4"/>
  <c r="I36" i="4"/>
  <c r="K36" i="4"/>
  <c r="M36" i="4" s="1"/>
  <c r="E36" i="4"/>
  <c r="D10" i="4"/>
  <c r="D13" i="4"/>
  <c r="D8" i="4"/>
  <c r="D12" i="4"/>
  <c r="D16" i="4"/>
  <c r="D7" i="4"/>
  <c r="D9" i="4"/>
  <c r="D15" i="4"/>
  <c r="D11" i="4"/>
  <c r="D6" i="4"/>
  <c r="D14" i="4"/>
  <c r="D18" i="4"/>
  <c r="D17" i="4"/>
  <c r="D5" i="4"/>
  <c r="D19" i="4"/>
  <c r="D20" i="4"/>
  <c r="D41" i="4"/>
  <c r="D28" i="4"/>
  <c r="D35" i="4"/>
  <c r="D24" i="4"/>
  <c r="D50" i="4"/>
  <c r="D57" i="4"/>
  <c r="D44" i="4"/>
  <c r="D34" i="4"/>
  <c r="D33" i="4"/>
  <c r="D37" i="4"/>
  <c r="D40" i="4"/>
  <c r="D25" i="4"/>
  <c r="D47" i="4"/>
  <c r="D30" i="4"/>
  <c r="D22" i="4"/>
  <c r="D32" i="4"/>
  <c r="D23" i="4"/>
  <c r="D42" i="4"/>
  <c r="D52" i="4"/>
  <c r="D38" i="4"/>
  <c r="D39" i="4"/>
  <c r="D48" i="4"/>
  <c r="D26" i="4"/>
  <c r="D45" i="4"/>
  <c r="D56" i="4"/>
  <c r="D49" i="4"/>
  <c r="D51" i="4"/>
  <c r="D55" i="4"/>
  <c r="D29" i="4"/>
  <c r="D43" i="4"/>
  <c r="D21" i="4"/>
  <c r="D27" i="4"/>
  <c r="D53" i="4"/>
  <c r="D54" i="4"/>
  <c r="D31" i="4"/>
  <c r="D46" i="4"/>
  <c r="T36" i="4"/>
  <c r="W36" i="4"/>
  <c r="U36" i="4"/>
  <c r="V36" i="4"/>
  <c r="X36" i="4"/>
  <c r="L36" i="4" l="1"/>
  <c r="H46" i="4"/>
  <c r="N46" i="4"/>
  <c r="G46" i="4"/>
  <c r="J46" i="4"/>
  <c r="O46" i="4"/>
  <c r="L46" i="4"/>
  <c r="F46" i="4"/>
  <c r="I46" i="4"/>
  <c r="K46" i="4"/>
  <c r="M46" i="4" s="1"/>
  <c r="E46" i="4"/>
  <c r="J27" i="4"/>
  <c r="H27" i="4"/>
  <c r="G27" i="4"/>
  <c r="F27" i="4"/>
  <c r="I27" i="4"/>
  <c r="O27" i="4"/>
  <c r="N27" i="4"/>
  <c r="K27" i="4"/>
  <c r="M27" i="4" s="1"/>
  <c r="E27" i="4"/>
  <c r="O43" i="4"/>
  <c r="J43" i="4"/>
  <c r="H43" i="4"/>
  <c r="N43" i="4"/>
  <c r="I43" i="4"/>
  <c r="G43" i="4"/>
  <c r="F43" i="4"/>
  <c r="K43" i="4"/>
  <c r="M43" i="4" s="1"/>
  <c r="E43" i="4"/>
  <c r="J55" i="4"/>
  <c r="G55" i="4"/>
  <c r="F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F49" i="4"/>
  <c r="O49" i="4"/>
  <c r="K49" i="4"/>
  <c r="M49" i="4" s="1"/>
  <c r="E49" i="4"/>
  <c r="O45" i="4"/>
  <c r="G45" i="4"/>
  <c r="J45" i="4"/>
  <c r="L45" i="4"/>
  <c r="N45" i="4"/>
  <c r="H45" i="4"/>
  <c r="F45" i="4"/>
  <c r="I45" i="4"/>
  <c r="K45" i="4"/>
  <c r="M45" i="4" s="1"/>
  <c r="E45" i="4"/>
  <c r="N48" i="4"/>
  <c r="I48" i="4"/>
  <c r="O48" i="4"/>
  <c r="H48" i="4"/>
  <c r="J48" i="4"/>
  <c r="L48" i="4"/>
  <c r="G48" i="4"/>
  <c r="F48" i="4"/>
  <c r="K48" i="4"/>
  <c r="M48" i="4" s="1"/>
  <c r="E48" i="4"/>
  <c r="I38" i="4"/>
  <c r="O38" i="4"/>
  <c r="N38" i="4"/>
  <c r="H38" i="4"/>
  <c r="J38" i="4"/>
  <c r="G38" i="4"/>
  <c r="F38" i="4"/>
  <c r="K38" i="4"/>
  <c r="M38" i="4" s="1"/>
  <c r="E38" i="4"/>
  <c r="N42" i="4"/>
  <c r="J42" i="4"/>
  <c r="G42" i="4"/>
  <c r="F42" i="4"/>
  <c r="I42" i="4"/>
  <c r="O42" i="4"/>
  <c r="H42" i="4"/>
  <c r="K42" i="4"/>
  <c r="M42" i="4" s="1"/>
  <c r="E42" i="4"/>
  <c r="O32" i="4"/>
  <c r="I32" i="4"/>
  <c r="H32" i="4"/>
  <c r="N32" i="4"/>
  <c r="J32" i="4"/>
  <c r="F32" i="4"/>
  <c r="G32" i="4"/>
  <c r="K32" i="4"/>
  <c r="M32" i="4" s="1"/>
  <c r="E32" i="4"/>
  <c r="F30" i="4"/>
  <c r="J30" i="4"/>
  <c r="N30" i="4"/>
  <c r="H30" i="4"/>
  <c r="I30" i="4"/>
  <c r="G30" i="4"/>
  <c r="O30" i="4"/>
  <c r="K30" i="4"/>
  <c r="M30" i="4" s="1"/>
  <c r="E30" i="4"/>
  <c r="N25" i="4"/>
  <c r="I25" i="4"/>
  <c r="O25" i="4"/>
  <c r="F25" i="4"/>
  <c r="J25" i="4"/>
  <c r="G25" i="4"/>
  <c r="H25" i="4"/>
  <c r="K25" i="4"/>
  <c r="M25" i="4" s="1"/>
  <c r="E25" i="4"/>
  <c r="F37" i="4"/>
  <c r="I37" i="4"/>
  <c r="G37" i="4"/>
  <c r="N37" i="4"/>
  <c r="J37" i="4"/>
  <c r="H37" i="4"/>
  <c r="O37" i="4"/>
  <c r="K37" i="4"/>
  <c r="M37" i="4" s="1"/>
  <c r="E37" i="4"/>
  <c r="N34" i="4"/>
  <c r="F34" i="4"/>
  <c r="H34" i="4"/>
  <c r="I34" i="4"/>
  <c r="O34" i="4"/>
  <c r="G34" i="4"/>
  <c r="J34" i="4"/>
  <c r="K34" i="4"/>
  <c r="M34" i="4" s="1"/>
  <c r="E34" i="4"/>
  <c r="H57" i="4"/>
  <c r="G57" i="4"/>
  <c r="O57" i="4"/>
  <c r="L57" i="4"/>
  <c r="N57" i="4"/>
  <c r="F57" i="4"/>
  <c r="J57" i="4"/>
  <c r="I57" i="4"/>
  <c r="K57" i="4"/>
  <c r="M57" i="4" s="1"/>
  <c r="E57" i="4"/>
  <c r="J24" i="4"/>
  <c r="N24" i="4"/>
  <c r="G24" i="4"/>
  <c r="H24" i="4"/>
  <c r="I24" i="4"/>
  <c r="F24" i="4"/>
  <c r="O24" i="4"/>
  <c r="K24" i="4"/>
  <c r="M24" i="4" s="1"/>
  <c r="E24" i="4"/>
  <c r="I28" i="4"/>
  <c r="J28" i="4"/>
  <c r="G28" i="4"/>
  <c r="H28" i="4"/>
  <c r="F28" i="4"/>
  <c r="N28" i="4"/>
  <c r="O28" i="4"/>
  <c r="K28" i="4"/>
  <c r="M28" i="4" s="1"/>
  <c r="E28" i="4"/>
  <c r="I20" i="4"/>
  <c r="G20" i="4"/>
  <c r="F20" i="4"/>
  <c r="N20" i="4"/>
  <c r="J20" i="4"/>
  <c r="H20" i="4"/>
  <c r="O20" i="4"/>
  <c r="K20" i="4"/>
  <c r="M20" i="4" s="1"/>
  <c r="E20" i="4"/>
  <c r="G5" i="4"/>
  <c r="O5" i="4"/>
  <c r="N5" i="4"/>
  <c r="F5" i="4"/>
  <c r="H5" i="4"/>
  <c r="E5" i="4"/>
  <c r="I5" i="4"/>
  <c r="J5" i="4"/>
  <c r="K5" i="4"/>
  <c r="L5" i="4" s="1"/>
  <c r="J18" i="4"/>
  <c r="F18" i="4"/>
  <c r="H18" i="4"/>
  <c r="N18" i="4"/>
  <c r="I18" i="4"/>
  <c r="G18" i="4"/>
  <c r="O18" i="4"/>
  <c r="K18" i="4"/>
  <c r="M18" i="4" s="1"/>
  <c r="E18" i="4"/>
  <c r="G6" i="4"/>
  <c r="I6" i="4"/>
  <c r="O6" i="4"/>
  <c r="F6" i="4"/>
  <c r="J6" i="4"/>
  <c r="N6" i="4"/>
  <c r="H6" i="4"/>
  <c r="E6" i="4"/>
  <c r="K6" i="4"/>
  <c r="M6" i="4" s="1"/>
  <c r="N15" i="4"/>
  <c r="I15" i="4"/>
  <c r="F15" i="4"/>
  <c r="O15" i="4"/>
  <c r="J15" i="4"/>
  <c r="H15" i="4"/>
  <c r="G15" i="4"/>
  <c r="E15" i="4"/>
  <c r="K15" i="4"/>
  <c r="M15" i="4" s="1"/>
  <c r="O7" i="4"/>
  <c r="I7" i="4"/>
  <c r="G7" i="4"/>
  <c r="F7" i="4"/>
  <c r="J7" i="4"/>
  <c r="N7" i="4"/>
  <c r="H7" i="4"/>
  <c r="E7" i="4"/>
  <c r="K7" i="4"/>
  <c r="M7" i="4" s="1"/>
  <c r="H12" i="4"/>
  <c r="J12" i="4"/>
  <c r="N12" i="4"/>
  <c r="F12" i="4"/>
  <c r="O12" i="4"/>
  <c r="G12" i="4"/>
  <c r="I12" i="4"/>
  <c r="E12" i="4"/>
  <c r="K12" i="4"/>
  <c r="M12" i="4" s="1"/>
  <c r="G13" i="4"/>
  <c r="I13" i="4"/>
  <c r="H13" i="4"/>
  <c r="O13" i="4"/>
  <c r="J13" i="4"/>
  <c r="N13" i="4"/>
  <c r="F13" i="4"/>
  <c r="E13" i="4"/>
  <c r="K13" i="4"/>
  <c r="M13" i="4" s="1"/>
  <c r="F54" i="4"/>
  <c r="I54" i="4"/>
  <c r="N54" i="4"/>
  <c r="O54" i="4"/>
  <c r="K54" i="4"/>
  <c r="M54" i="4" s="1"/>
  <c r="H54" i="4"/>
  <c r="G54" i="4"/>
  <c r="L54" i="4"/>
  <c r="J54" i="4"/>
  <c r="E54" i="4"/>
  <c r="G31" i="4"/>
  <c r="J31" i="4"/>
  <c r="N31" i="4"/>
  <c r="H31" i="4"/>
  <c r="I31" i="4"/>
  <c r="F31" i="4"/>
  <c r="O31" i="4"/>
  <c r="K31" i="4"/>
  <c r="M31" i="4" s="1"/>
  <c r="E31" i="4"/>
  <c r="F53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F21" i="4"/>
  <c r="O21" i="4"/>
  <c r="K21" i="4"/>
  <c r="M21" i="4" s="1"/>
  <c r="E21" i="4"/>
  <c r="N29" i="4"/>
  <c r="J29" i="4"/>
  <c r="H29" i="4"/>
  <c r="G29" i="4"/>
  <c r="I29" i="4"/>
  <c r="F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F51" i="4"/>
  <c r="E51" i="4"/>
  <c r="J56" i="4"/>
  <c r="G56" i="4"/>
  <c r="I56" i="4"/>
  <c r="F56" i="4"/>
  <c r="O56" i="4"/>
  <c r="H56" i="4"/>
  <c r="L56" i="4"/>
  <c r="N56" i="4"/>
  <c r="K56" i="4"/>
  <c r="M56" i="4" s="1"/>
  <c r="E56" i="4"/>
  <c r="N26" i="4"/>
  <c r="I26" i="4"/>
  <c r="H26" i="4"/>
  <c r="O26" i="4"/>
  <c r="J26" i="4"/>
  <c r="G26" i="4"/>
  <c r="F26" i="4"/>
  <c r="K26" i="4"/>
  <c r="M26" i="4" s="1"/>
  <c r="E26" i="4"/>
  <c r="G39" i="4"/>
  <c r="H39" i="4"/>
  <c r="F39" i="4"/>
  <c r="O39" i="4"/>
  <c r="N39" i="4"/>
  <c r="I39" i="4"/>
  <c r="J39" i="4"/>
  <c r="K39" i="4"/>
  <c r="M39" i="4" s="1"/>
  <c r="E39" i="4"/>
  <c r="G52" i="4"/>
  <c r="F52" i="4"/>
  <c r="L52" i="4"/>
  <c r="I52" i="4"/>
  <c r="N52" i="4"/>
  <c r="J52" i="4"/>
  <c r="K52" i="4"/>
  <c r="M52" i="4" s="1"/>
  <c r="O52" i="4"/>
  <c r="H52" i="4"/>
  <c r="E52" i="4"/>
  <c r="H23" i="4"/>
  <c r="J23" i="4"/>
  <c r="F23" i="4"/>
  <c r="O23" i="4"/>
  <c r="I23" i="4"/>
  <c r="N23" i="4"/>
  <c r="G23" i="4"/>
  <c r="K23" i="4"/>
  <c r="M23" i="4" s="1"/>
  <c r="E23" i="4"/>
  <c r="H22" i="4"/>
  <c r="O22" i="4"/>
  <c r="J22" i="4"/>
  <c r="F22" i="4"/>
  <c r="G22" i="4"/>
  <c r="N22" i="4"/>
  <c r="I22" i="4"/>
  <c r="K22" i="4"/>
  <c r="M22" i="4" s="1"/>
  <c r="E22" i="4"/>
  <c r="N47" i="4"/>
  <c r="O47" i="4"/>
  <c r="G47" i="4"/>
  <c r="F47" i="4"/>
  <c r="I47" i="4"/>
  <c r="H47" i="4"/>
  <c r="J47" i="4"/>
  <c r="L47" i="4"/>
  <c r="K47" i="4"/>
  <c r="M47" i="4" s="1"/>
  <c r="E47" i="4"/>
  <c r="I40" i="4"/>
  <c r="F40" i="4"/>
  <c r="N40" i="4"/>
  <c r="H40" i="4"/>
  <c r="J40" i="4"/>
  <c r="O40" i="4"/>
  <c r="G40" i="4"/>
  <c r="K40" i="4"/>
  <c r="M40" i="4" s="1"/>
  <c r="E40" i="4"/>
  <c r="H33" i="4"/>
  <c r="O33" i="4"/>
  <c r="J33" i="4"/>
  <c r="G33" i="4"/>
  <c r="F33" i="4"/>
  <c r="N33" i="4"/>
  <c r="I33" i="4"/>
  <c r="K33" i="4"/>
  <c r="M33" i="4" s="1"/>
  <c r="E33" i="4"/>
  <c r="O44" i="4"/>
  <c r="J44" i="4"/>
  <c r="N44" i="4"/>
  <c r="G44" i="4"/>
  <c r="I44" i="4"/>
  <c r="L44" i="4"/>
  <c r="H44" i="4"/>
  <c r="F44" i="4"/>
  <c r="K44" i="4"/>
  <c r="M44" i="4" s="1"/>
  <c r="E44" i="4"/>
  <c r="I50" i="4"/>
  <c r="G50" i="4"/>
  <c r="O50" i="4"/>
  <c r="N50" i="4"/>
  <c r="F50" i="4"/>
  <c r="H50" i="4"/>
  <c r="J50" i="4"/>
  <c r="L50" i="4"/>
  <c r="K50" i="4"/>
  <c r="M50" i="4" s="1"/>
  <c r="E50" i="4"/>
  <c r="F35" i="4"/>
  <c r="O35" i="4"/>
  <c r="J35" i="4"/>
  <c r="I35" i="4"/>
  <c r="N35" i="4"/>
  <c r="H35" i="4"/>
  <c r="G35" i="4"/>
  <c r="K35" i="4"/>
  <c r="M35" i="4" s="1"/>
  <c r="E35" i="4"/>
  <c r="I41" i="4"/>
  <c r="F41" i="4"/>
  <c r="N41" i="4"/>
  <c r="O41" i="4"/>
  <c r="G41" i="4"/>
  <c r="H41" i="4"/>
  <c r="J41" i="4"/>
  <c r="K41" i="4"/>
  <c r="M41" i="4" s="1"/>
  <c r="E41" i="4"/>
  <c r="F19" i="4"/>
  <c r="N19" i="4"/>
  <c r="H19" i="4"/>
  <c r="I19" i="4"/>
  <c r="G19" i="4"/>
  <c r="O19" i="4"/>
  <c r="J19" i="4"/>
  <c r="K19" i="4"/>
  <c r="M19" i="4" s="1"/>
  <c r="E19" i="4"/>
  <c r="F17" i="4"/>
  <c r="G17" i="4"/>
  <c r="H17" i="4"/>
  <c r="I17" i="4"/>
  <c r="N17" i="4"/>
  <c r="O17" i="4"/>
  <c r="J17" i="4"/>
  <c r="K17" i="4"/>
  <c r="M17" i="4" s="1"/>
  <c r="E17" i="4"/>
  <c r="F14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F11" i="4"/>
  <c r="H11" i="4"/>
  <c r="E11" i="4"/>
  <c r="K11" i="4"/>
  <c r="M11" i="4" s="1"/>
  <c r="G9" i="4"/>
  <c r="O9" i="4"/>
  <c r="N9" i="4"/>
  <c r="J9" i="4"/>
  <c r="F9" i="4"/>
  <c r="H9" i="4"/>
  <c r="I9" i="4"/>
  <c r="E9" i="4"/>
  <c r="K9" i="4"/>
  <c r="M9" i="4" s="1"/>
  <c r="N16" i="4"/>
  <c r="F16" i="4"/>
  <c r="J16" i="4"/>
  <c r="H16" i="4"/>
  <c r="O16" i="4"/>
  <c r="G16" i="4"/>
  <c r="I16" i="4"/>
  <c r="E16" i="4"/>
  <c r="K16" i="4"/>
  <c r="M16" i="4" s="1"/>
  <c r="H8" i="4"/>
  <c r="N8" i="4"/>
  <c r="F8" i="4"/>
  <c r="I8" i="4"/>
  <c r="G8" i="4"/>
  <c r="O8" i="4"/>
  <c r="J8" i="4"/>
  <c r="E8" i="4"/>
  <c r="K8" i="4"/>
  <c r="M8" i="4" s="1"/>
  <c r="O10" i="4"/>
  <c r="J10" i="4"/>
  <c r="F10" i="4"/>
  <c r="N10" i="4"/>
  <c r="I10" i="4"/>
  <c r="H10" i="4"/>
  <c r="G10" i="4"/>
  <c r="E10" i="4"/>
  <c r="K10" i="4"/>
  <c r="M10" i="4" s="1"/>
  <c r="T10" i="4"/>
  <c r="T9" i="4"/>
  <c r="L43" i="4" l="1"/>
  <c r="L42" i="4"/>
  <c r="L41" i="4"/>
  <c r="L40" i="4"/>
  <c r="L39" i="4"/>
  <c r="L38" i="4"/>
  <c r="L37" i="4"/>
  <c r="L35" i="4"/>
  <c r="L34" i="4"/>
  <c r="L33" i="4"/>
  <c r="L32" i="4"/>
  <c r="L29" i="4"/>
  <c r="L31" i="4"/>
  <c r="L30" i="4"/>
  <c r="L28" i="4"/>
  <c r="L27" i="4"/>
  <c r="L26" i="4"/>
  <c r="L25" i="4"/>
  <c r="L24" i="4"/>
  <c r="L23" i="4"/>
  <c r="L22" i="4"/>
  <c r="L21" i="4"/>
  <c r="J37" i="2"/>
  <c r="J75" i="2" s="1"/>
  <c r="J113" i="2" s="1"/>
  <c r="L20" i="4"/>
  <c r="L19" i="4"/>
  <c r="L18" i="4"/>
  <c r="L17" i="4"/>
  <c r="L16" i="4"/>
  <c r="L15" i="4"/>
  <c r="L14" i="4"/>
  <c r="L13" i="4"/>
  <c r="J38" i="2"/>
  <c r="J76" i="2" s="1"/>
  <c r="J114" i="2" s="1"/>
  <c r="L12" i="4"/>
  <c r="J29" i="2"/>
  <c r="J67" i="2" s="1"/>
  <c r="J105" i="2" s="1"/>
  <c r="L10" i="4"/>
  <c r="L9" i="4"/>
  <c r="K58" i="4"/>
  <c r="M5" i="4"/>
  <c r="K35" i="2" s="1"/>
  <c r="K73" i="2" s="1"/>
  <c r="K111" i="2" s="1"/>
  <c r="J58" i="4"/>
  <c r="L8" i="4"/>
  <c r="L11" i="4"/>
  <c r="L7" i="4"/>
  <c r="L6" i="4"/>
  <c r="I58" i="4"/>
  <c r="J33" i="2" l="1"/>
  <c r="J71" i="2" s="1"/>
  <c r="J109" i="2" s="1"/>
  <c r="K31" i="2"/>
  <c r="K69" i="2" s="1"/>
  <c r="K107" i="2" s="1"/>
  <c r="L58" i="4"/>
  <c r="AA5" i="4"/>
  <c r="M58" i="4"/>
  <c r="AA4" i="4"/>
  <c r="AA6" i="4" s="1"/>
  <c r="V9" i="4" l="1"/>
  <c r="T18" i="4"/>
  <c r="T35" i="4"/>
  <c r="T25" i="4"/>
  <c r="T39" i="4"/>
  <c r="T42" i="4"/>
  <c r="T37" i="4"/>
  <c r="T22" i="4"/>
  <c r="W18" i="4"/>
  <c r="T27" i="4"/>
  <c r="T21" i="4"/>
  <c r="X18" i="4"/>
  <c r="V25" i="4"/>
  <c r="T48" i="4"/>
  <c r="X27" i="4"/>
  <c r="T52" i="4"/>
  <c r="V18" i="4"/>
  <c r="X52" i="4"/>
  <c r="T19" i="4"/>
  <c r="T6" i="4"/>
  <c r="T44" i="4"/>
  <c r="T33" i="4"/>
  <c r="V27" i="4"/>
  <c r="W52" i="4"/>
  <c r="U22" i="4"/>
  <c r="W33" i="4"/>
  <c r="V52" i="4"/>
  <c r="W6" i="4"/>
  <c r="V33" i="4"/>
  <c r="V48" i="4"/>
  <c r="W22" i="4"/>
  <c r="X48" i="4"/>
  <c r="T32" i="4"/>
  <c r="T45" i="4"/>
  <c r="U45" i="4"/>
  <c r="T40" i="4"/>
  <c r="T56" i="4"/>
  <c r="W35" i="4"/>
  <c r="W10" i="4"/>
  <c r="V45" i="4"/>
  <c r="T53" i="4"/>
  <c r="V39" i="4"/>
  <c r="W25" i="4"/>
  <c r="U56" i="4"/>
  <c r="T41" i="4"/>
  <c r="V32" i="4"/>
  <c r="U18" i="4"/>
  <c r="X35" i="4"/>
  <c r="T11" i="4"/>
  <c r="T47" i="4"/>
  <c r="X56" i="4"/>
  <c r="T31" i="4"/>
  <c r="T49" i="4"/>
  <c r="T55" i="4"/>
  <c r="W37" i="4"/>
  <c r="W19" i="4"/>
  <c r="T14" i="4"/>
  <c r="V6" i="4"/>
  <c r="X40" i="4"/>
  <c r="U35" i="4"/>
  <c r="X45" i="4"/>
  <c r="U42" i="4"/>
  <c r="X22" i="4"/>
  <c r="X6" i="4"/>
  <c r="V19" i="4"/>
  <c r="V49" i="4"/>
  <c r="V14" i="4"/>
  <c r="V21" i="4"/>
  <c r="W48" i="4"/>
  <c r="U31" i="4"/>
  <c r="W31" i="4"/>
  <c r="W32" i="4"/>
  <c r="W56" i="4"/>
  <c r="W53" i="4"/>
  <c r="X53" i="4"/>
  <c r="W41" i="4"/>
  <c r="X41" i="4"/>
  <c r="U11" i="4"/>
  <c r="U47" i="4"/>
  <c r="U55" i="4"/>
  <c r="T20" i="4"/>
  <c r="U20" i="4" s="1"/>
  <c r="W9" i="4"/>
  <c r="T34" i="4"/>
  <c r="T5" i="4"/>
  <c r="W5" i="4"/>
  <c r="V5" i="4"/>
  <c r="U9" i="4"/>
  <c r="X42" i="4"/>
  <c r="T29" i="4"/>
  <c r="X29" i="4"/>
  <c r="V42" i="4"/>
  <c r="T7" i="4"/>
  <c r="T46" i="4"/>
  <c r="W34" i="4"/>
  <c r="T50" i="4"/>
  <c r="W27" i="4"/>
  <c r="X21" i="4"/>
  <c r="W39" i="4"/>
  <c r="T15" i="4"/>
  <c r="T13" i="4"/>
  <c r="V37" i="4"/>
  <c r="T26" i="4"/>
  <c r="W42" i="4"/>
  <c r="X20" i="4"/>
  <c r="U39" i="4"/>
  <c r="V35" i="4"/>
  <c r="X39" i="4"/>
  <c r="V15" i="4"/>
  <c r="U26" i="4"/>
  <c r="U44" i="4"/>
  <c r="U19" i="4"/>
  <c r="X33" i="4"/>
  <c r="W21" i="4"/>
  <c r="U48" i="4"/>
  <c r="X15" i="4"/>
  <c r="V44" i="4"/>
  <c r="X44" i="4"/>
  <c r="U21" i="4"/>
  <c r="V10" i="4"/>
  <c r="T43" i="4"/>
  <c r="U10" i="4"/>
  <c r="T8" i="4"/>
  <c r="X32" i="4"/>
  <c r="T12" i="4"/>
  <c r="X25" i="4"/>
  <c r="T28" i="4"/>
  <c r="T30" i="4"/>
  <c r="U30" i="4"/>
  <c r="T38" i="4"/>
  <c r="T23" i="4"/>
  <c r="W23" i="4" s="1"/>
  <c r="T54" i="4"/>
  <c r="X54" i="4" s="1"/>
  <c r="X10" i="4"/>
  <c r="V22" i="4"/>
  <c r="V23" i="4"/>
  <c r="V28" i="4"/>
  <c r="T16" i="4"/>
  <c r="X16" i="4" s="1"/>
  <c r="X9" i="4"/>
  <c r="V16" i="4"/>
  <c r="U27" i="4"/>
  <c r="T24" i="4"/>
  <c r="W24" i="4" s="1"/>
  <c r="V20" i="4"/>
  <c r="U25" i="4"/>
  <c r="U40" i="4"/>
  <c r="V24" i="4"/>
  <c r="W47" i="4"/>
  <c r="W20" i="4"/>
  <c r="W7" i="4"/>
  <c r="U46" i="4"/>
  <c r="V46" i="4"/>
  <c r="T57" i="4"/>
  <c r="X7" i="4"/>
  <c r="U7" i="4"/>
  <c r="X31" i="4"/>
  <c r="T17" i="4"/>
  <c r="W17" i="4" s="1"/>
  <c r="T51" i="4"/>
  <c r="X17" i="4"/>
  <c r="U37" i="4"/>
  <c r="X57" i="4"/>
  <c r="U6" i="4"/>
  <c r="X47" i="4"/>
  <c r="U52" i="4"/>
  <c r="U49" i="4"/>
  <c r="V38" i="4"/>
  <c r="V29" i="4"/>
  <c r="W54" i="4"/>
  <c r="V51" i="4"/>
  <c r="V40" i="4"/>
  <c r="X38" i="4"/>
  <c r="U54" i="4"/>
  <c r="U38" i="4"/>
  <c r="U15" i="4"/>
  <c r="W16" i="4"/>
  <c r="X24" i="4"/>
  <c r="W15" i="4"/>
  <c r="W44" i="4"/>
  <c r="V55" i="4"/>
  <c r="W11" i="4"/>
  <c r="X37" i="4"/>
  <c r="U32" i="4"/>
  <c r="U43" i="4"/>
  <c r="V43" i="4"/>
  <c r="X8" i="4"/>
  <c r="V56" i="4"/>
  <c r="W12" i="4"/>
  <c r="W28" i="4"/>
  <c r="X30" i="4"/>
  <c r="U23" i="4"/>
  <c r="X23" i="4"/>
  <c r="U53" i="4"/>
  <c r="V53" i="4"/>
  <c r="V54" i="4"/>
  <c r="U41" i="4"/>
  <c r="U16" i="4"/>
  <c r="U24" i="4"/>
  <c r="X11" i="4"/>
  <c r="V11" i="4"/>
  <c r="W49" i="4"/>
  <c r="X55" i="4"/>
  <c r="V57" i="4"/>
  <c r="U17" i="4"/>
  <c r="X14" i="4"/>
  <c r="W55" i="4"/>
  <c r="U57" i="4"/>
  <c r="W14" i="4"/>
  <c r="X51" i="4"/>
  <c r="X49" i="4"/>
  <c r="U14" i="4"/>
  <c r="V47" i="4"/>
  <c r="U50" i="4"/>
  <c r="V7" i="4"/>
  <c r="X19" i="4"/>
  <c r="W57" i="4"/>
  <c r="V41" i="4"/>
  <c r="V17" i="4"/>
  <c r="U33" i="4"/>
  <c r="U34" i="4"/>
  <c r="V34" i="4"/>
  <c r="X34" i="4"/>
  <c r="X5" i="4"/>
  <c r="U5" i="4"/>
  <c r="W29" i="4"/>
  <c r="U29" i="4"/>
  <c r="W46" i="4"/>
  <c r="X46" i="4"/>
  <c r="V50" i="4"/>
  <c r="X50" i="4"/>
  <c r="W50" i="4"/>
  <c r="X13" i="4"/>
  <c r="W13" i="4"/>
  <c r="V13" i="4"/>
  <c r="U13" i="4"/>
  <c r="X26" i="4"/>
  <c r="W26" i="4"/>
  <c r="V26" i="4"/>
  <c r="X43" i="4"/>
  <c r="W43" i="4"/>
  <c r="W8" i="4"/>
  <c r="V8" i="4"/>
  <c r="U8" i="4"/>
  <c r="X12" i="4"/>
  <c r="U12" i="4"/>
  <c r="V12" i="4"/>
  <c r="X28" i="4"/>
  <c r="U28" i="4"/>
  <c r="W30" i="4"/>
  <c r="V30" i="4"/>
  <c r="W51" i="4"/>
  <c r="U51" i="4"/>
  <c r="W38" i="4" l="1"/>
  <c r="V31" i="4"/>
  <c r="W45" i="4"/>
  <c r="W40" i="4"/>
</calcChain>
</file>

<file path=xl/sharedStrings.xml><?xml version="1.0" encoding="utf-8"?>
<sst xmlns="http://schemas.openxmlformats.org/spreadsheetml/2006/main" count="675" uniqueCount="359">
  <si>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</si>
  <si>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</si>
  <si>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</si>
  <si>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</si>
  <si>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</si>
  <si>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</si>
  <si>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</si>
  <si>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</si>
  <si>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</si>
  <si>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</si>
  <si>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</si>
  <si>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</si>
  <si>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</si>
  <si>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</si>
  <si>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</si>
  <si>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</si>
  <si>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</si>
  <si>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</si>
  <si>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</si>
  <si>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</si>
  <si>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</si>
  <si>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</si>
  <si>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</si>
  <si>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</si>
  <si>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</si>
  <si>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</si>
  <si>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</si>
  <si>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</si>
  <si>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</si>
  <si>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</si>
  <si>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</si>
  <si>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</si>
  <si>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</si>
  <si>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</si>
  <si>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</si>
  <si>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</si>
  <si>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</si>
  <si>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</si>
  <si>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</si>
  <si>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</si>
  <si>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</si>
  <si>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</si>
  <si>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</si>
  <si>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</si>
  <si>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</si>
  <si>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</si>
  <si>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</si>
  <si>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</si>
  <si>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</si>
  <si>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</si>
  <si>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</si>
  <si>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</si>
  <si>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</si>
  <si>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</si>
  <si>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</si>
  <si>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</si>
  <si>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</si>
  <si>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</si>
  <si>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</si>
  <si>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</si>
  <si>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</si>
  <si>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</si>
  <si>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</si>
  <si>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</si>
  <si>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</si>
  <si>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</si>
  <si>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</si>
  <si>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</si>
  <si>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</si>
  <si>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</si>
  <si>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</si>
  <si>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</si>
  <si>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</si>
  <si>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</si>
  <si>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</si>
  <si>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</si>
  <si>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</si>
  <si>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</si>
  <si>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</si>
  <si>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</si>
  <si>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</si>
  <si>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</si>
  <si>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</si>
  <si>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</si>
  <si>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</si>
  <si>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</si>
  <si>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</si>
  <si>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</si>
  <si>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</si>
  <si>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</si>
  <si>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</si>
  <si>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</si>
  <si>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</si>
  <si>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</si>
  <si>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</si>
  <si>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</si>
  <si>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</si>
  <si>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</si>
  <si>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</si>
  <si>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</si>
  <si>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</si>
  <si>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</si>
  <si>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</si>
  <si>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</si>
  <si>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</si>
  <si>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</si>
  <si>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</si>
  <si>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</si>
  <si>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</si>
  <si>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</si>
  <si>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</si>
  <si>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</si>
  <si>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</si>
  <si>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</si>
  <si>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</si>
  <si>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</si>
  <si>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</si>
  <si>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</si>
  <si>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PENSIL ZHONG HUA 6925-2B</t>
  </si>
  <si>
    <t>SPIDOL PERMANEN KENKO KE-10 (KECIL)</t>
  </si>
  <si>
    <t>H_TGL</t>
  </si>
  <si>
    <t>D</t>
  </si>
  <si>
    <t>E</t>
  </si>
  <si>
    <t>K</t>
  </si>
  <si>
    <t>J</t>
  </si>
  <si>
    <t>---</t>
  </si>
  <si>
    <t>4</t>
  </si>
  <si>
    <t>HIGHLIGHTER / STABILLO JOYKO HL-MIX PINK / ORANGE</t>
  </si>
  <si>
    <t>KO</t>
  </si>
  <si>
    <t>1822</t>
  </si>
  <si>
    <t>PAK</t>
  </si>
  <si>
    <t>KTSTFOLIOPUTIH</t>
  </si>
  <si>
    <t>KARTU STOCK FOLIO MIX (biru, putih, pink)</t>
  </si>
  <si>
    <t>NOVI / CONDRO</t>
  </si>
  <si>
    <t>2692</t>
  </si>
  <si>
    <t>G</t>
  </si>
  <si>
    <t>PCS</t>
  </si>
  <si>
    <t>STAJKHD12N24</t>
  </si>
  <si>
    <t>STAPLER HEAVY DUTY JOYKO HD-12N/24</t>
  </si>
  <si>
    <t>PUNJK30XL</t>
  </si>
  <si>
    <t>PUNCH JOYKO 30XL</t>
  </si>
  <si>
    <t>08-Hitung FP Keluar Agustus 2023</t>
  </si>
  <si>
    <t>1825</t>
  </si>
  <si>
    <t>LSN</t>
  </si>
  <si>
    <t>PENKENHITECH028HITAM</t>
  </si>
  <si>
    <t>GEL PEN KENKO HI-TECH-H 0.28 MM HITAM</t>
  </si>
  <si>
    <t>PENKENHITECH028BIRU</t>
  </si>
  <si>
    <t>GEL PEN KENKO HI-TECH-H 0.28 MM BIRU</t>
  </si>
  <si>
    <t>BOX</t>
  </si>
  <si>
    <t>STIJK40PUTIH</t>
  </si>
  <si>
    <t>STIP / PENGHAPUS JOYKO 526-B40P PUTIH</t>
  </si>
  <si>
    <t>PENKENMP070</t>
  </si>
  <si>
    <t>MECHANICAL PENCIL 0.5 MM KENKO MP-070</t>
  </si>
  <si>
    <t>1829</t>
  </si>
  <si>
    <t>3001</t>
  </si>
  <si>
    <t>NIKISAE</t>
  </si>
  <si>
    <t>PENJKGP265</t>
  </si>
  <si>
    <t>GEL PEN JOYKO GP-265 Q-GEL</t>
  </si>
  <si>
    <t>GUNJKSC848</t>
  </si>
  <si>
    <t>GUNTING JOYKO SC-848</t>
  </si>
  <si>
    <t>1840</t>
  </si>
  <si>
    <t>STAPLER YUAN CHANG 414</t>
  </si>
  <si>
    <t>ko</t>
  </si>
  <si>
    <t>1566</t>
  </si>
  <si>
    <t>rainbow</t>
  </si>
  <si>
    <t>JANKENC168</t>
  </si>
  <si>
    <t>JANKENC288</t>
  </si>
  <si>
    <t>STAND PEN SPIRAL KENKO STP-300SG</t>
  </si>
  <si>
    <t>COUKENHT302</t>
  </si>
  <si>
    <t>STAKEND4</t>
  </si>
  <si>
    <t>HAND TALLY COUNTER KENKO HT-302</t>
  </si>
  <si>
    <t>JANGKA (COMPASS SET) KENKO C-168 / MS-75</t>
  </si>
  <si>
    <t>JANGKA (COMPASS SET) KENKO C-288 / MS-25</t>
  </si>
  <si>
    <t>DATE STAMP KENKO D-4 (Cap Tanggal 4 Mm)</t>
  </si>
  <si>
    <t>DESK SET KENKO K-8312 ORGANIZER</t>
  </si>
  <si>
    <t>pcs</t>
  </si>
  <si>
    <t>penkenstp300sg</t>
  </si>
  <si>
    <t>g</t>
  </si>
  <si>
    <t>1649</t>
  </si>
  <si>
    <t>sinarbhakti</t>
  </si>
  <si>
    <t>PENCIL CASE KENKO PC-0719-UR</t>
  </si>
  <si>
    <t>1930</t>
  </si>
  <si>
    <t>reni</t>
  </si>
  <si>
    <t>GEL PEN TRIFELLO HI-TECH TF-1190 HITAM</t>
  </si>
  <si>
    <t>1932</t>
  </si>
  <si>
    <t>ISIJKPL10</t>
  </si>
  <si>
    <t>ISI PENSIL 2B 2.0 MM JOYKO PL-10</t>
  </si>
  <si>
    <t>SET</t>
  </si>
  <si>
    <t>KUAJKBR1</t>
  </si>
  <si>
    <t>KUAS SET JOYKO BR-1</t>
  </si>
  <si>
    <t>1300</t>
  </si>
  <si>
    <t>ISIGWNO10</t>
  </si>
  <si>
    <t>ISI STAPLER (STAPLES) GREATWALL GW-NO. 10 (KECIL)</t>
  </si>
  <si>
    <t>3022</t>
  </si>
  <si>
    <t>BINDER NOTE JOYKO B5-TSIM-M133 (IMAGINATION) - U</t>
  </si>
  <si>
    <t>BINDER NOTE JOYKO B5-TSED-M128 (EDUCATION) - U</t>
  </si>
  <si>
    <t>BINDER NOTE JOYKO B5-TSIM-M114 (IMAGE) - U</t>
  </si>
  <si>
    <t>BINDER NOTE JOYKO B5-TSCL-M125 (COLLEGE) - U</t>
  </si>
  <si>
    <t>MESKENMX5500</t>
  </si>
  <si>
    <t>CUTKENA300A</t>
  </si>
  <si>
    <t>MESIN LABEL HARGA KENKO MX-5500 (8 DIGITS, 1 LINE)</t>
  </si>
  <si>
    <t>CUTTER 9 MM KENKO A-300 (KECIL)</t>
  </si>
  <si>
    <t>BINDER NOTE JOYKO B5-TSCS-M79 (CLASSIC) - U</t>
  </si>
  <si>
    <t>GRS</t>
  </si>
  <si>
    <t>ISIJKPL05</t>
  </si>
  <si>
    <t>ISI PENSIL 2B 0.5 MM JOYKO PL-05</t>
  </si>
  <si>
    <t>ISIJKPL11</t>
  </si>
  <si>
    <t>ISI PENSIL 2B 2.0 MM JOYKO PL-11</t>
  </si>
  <si>
    <t>3033</t>
  </si>
  <si>
    <t>CLIKEN5</t>
  </si>
  <si>
    <t>PAPER JUMBO CLIP KENKO NO. 5</t>
  </si>
  <si>
    <t>GARKEN40CM</t>
  </si>
  <si>
    <t>GARISAN BESI (STAINLESS STEEL) KENKO 40 CM</t>
  </si>
  <si>
    <t>3035</t>
  </si>
  <si>
    <t>dwijaya</t>
  </si>
  <si>
    <t>CLIKEN260</t>
  </si>
  <si>
    <t>BINDER CLIP KENKO NO. 260</t>
  </si>
  <si>
    <t>STAKENHD12N13</t>
  </si>
  <si>
    <t>STAPLER HEAVY DUTY KENKO HD-12N/13</t>
  </si>
  <si>
    <t>STAKENHD12N24</t>
  </si>
  <si>
    <t>STAKENHD12L24</t>
  </si>
  <si>
    <t>STAPLER HEAVY DUTY KENKO HD-12L/24</t>
  </si>
  <si>
    <t>STAPLER HEAVY DUTY KENKO HD-12N/24</t>
  </si>
  <si>
    <t>3047</t>
  </si>
  <si>
    <t>STAKENHD10</t>
  </si>
  <si>
    <t>STAPLER KENKO HD-10</t>
  </si>
  <si>
    <t>3502</t>
  </si>
  <si>
    <t>CALJKCC8CO</t>
  </si>
  <si>
    <t>PUNJK85</t>
  </si>
  <si>
    <t>PENJKGP237</t>
  </si>
  <si>
    <t>BINDER NOTE JOYKO A5-TSAF-F511 (ANIMAL FACE) JK-F</t>
  </si>
  <si>
    <t>BINDER NOTE JOYKO A5-TSAF-F512 (ANIMAL FACE) JK-F</t>
  </si>
  <si>
    <t>CALCULATOR JOYKO CC-8CO WARNA</t>
  </si>
  <si>
    <t>PUNCH JOYKO 85</t>
  </si>
  <si>
    <t>GEL PEN JOYKO GP-237 X-TECH</t>
  </si>
  <si>
    <t>BINDER NOTE JOYKO A5-TSBS-M376  (BASIC) -U</t>
  </si>
  <si>
    <t>BINDER NOTE JOYKO A5-TSCS-M432 (CLASSIC) - U</t>
  </si>
  <si>
    <t>BINDER NOTE JOYKO A5-TSUN-M473 (UNIVERSITY) - U</t>
  </si>
  <si>
    <t>BINDER NOTE JOYKO A5-TSTP-513 (TEMPORARY) - U</t>
  </si>
  <si>
    <t>BINDER NOTE JOYKO A5-TSED-M477 (ACADEMY) - U</t>
  </si>
  <si>
    <t>3036</t>
  </si>
  <si>
    <t>3572</t>
  </si>
  <si>
    <t>TIPKENKE01</t>
  </si>
  <si>
    <t>TIPKENCT902</t>
  </si>
  <si>
    <t>PENKENK1HITAM</t>
  </si>
  <si>
    <t>PENKENKE303HITAM</t>
  </si>
  <si>
    <t>CLIKEN3100</t>
  </si>
  <si>
    <t>DESKEN8312</t>
  </si>
  <si>
    <t>CLIKEN105</t>
  </si>
  <si>
    <t>PUSKENPN30</t>
  </si>
  <si>
    <t>CORRECTION FLUID KENKO KE-01</t>
  </si>
  <si>
    <t>CORRECTION TAPE KENKO CT-902 (12M x 5MM)</t>
  </si>
  <si>
    <t>GEL PEN KENKO K-1 HITAM</t>
  </si>
  <si>
    <t>GEL PEN KENKO KE-303 T-GEL TRIANGULAR HITAM</t>
  </si>
  <si>
    <t>PAPER CLIP WARNA KENKO 3100</t>
  </si>
  <si>
    <t>BINDER CLIP KENKO NO. 105</t>
  </si>
  <si>
    <t>PUSH PIN KENKO PN-30</t>
  </si>
  <si>
    <t>3520</t>
  </si>
  <si>
    <t>TIPKENKE108</t>
  </si>
  <si>
    <t>CORRECTION FLUID KENKO KE-108</t>
  </si>
  <si>
    <t>LENA / YO</t>
  </si>
  <si>
    <t>3516</t>
  </si>
  <si>
    <t>1585</t>
  </si>
  <si>
    <t>PC</t>
  </si>
  <si>
    <t>GARISAN BESI (STAINLESS STEEL) KENKO 100 CM / 1 M</t>
  </si>
  <si>
    <t>GARISAN BESI (STAINLESS STEEL) KENKO 15 CM</t>
  </si>
  <si>
    <t>NOVI / YO</t>
  </si>
  <si>
    <t>LS</t>
  </si>
  <si>
    <t>3589</t>
  </si>
  <si>
    <t>CALCULATOR JOYKO CC-12CO</t>
  </si>
  <si>
    <t>CUTTER 18 MM KENKO L-500 (BESAR)</t>
  </si>
  <si>
    <t>3591</t>
  </si>
  <si>
    <t>PENSIL WARNA KENKO CP-12F CLASSIC (PANJANG)</t>
  </si>
  <si>
    <t>STAMP PLATE DATER KENKO S-68 (Cap Lunas)</t>
  </si>
  <si>
    <t>3599</t>
  </si>
  <si>
    <t>nirmala</t>
  </si>
  <si>
    <t>lsn</t>
  </si>
  <si>
    <t>PENKEN6393</t>
  </si>
  <si>
    <t>PUNKEN30NP</t>
  </si>
  <si>
    <t>PENJKGP218</t>
  </si>
  <si>
    <t>ISOKENBENING</t>
  </si>
  <si>
    <t>ISOPOLARMN305</t>
  </si>
  <si>
    <t>PENJKGP243</t>
  </si>
  <si>
    <t>PENJKBP288</t>
  </si>
  <si>
    <t>STAKENHD10MP</t>
  </si>
  <si>
    <t>BKKASKWARTO</t>
  </si>
  <si>
    <t>BKKASFOLIO</t>
  </si>
  <si>
    <t>LEMKENLG35</t>
  </si>
  <si>
    <t>LLJAB550</t>
  </si>
  <si>
    <t>PUNCH KENKO NO. 30NP</t>
  </si>
  <si>
    <t>GEL PEN JOYKO GP-218</t>
  </si>
  <si>
    <t>PLAKBAND BENING 80 M KENKO 48 MM RED CORE</t>
  </si>
  <si>
    <t>GEL PEN JOYKO GP-243 WHIZ GEL HITAM</t>
  </si>
  <si>
    <t>BALLPEN JOYKO BP-288 QUACO 3 (4 WARNA)</t>
  </si>
  <si>
    <t>TAPE DISPENSER POLAR BEAR MN-305</t>
  </si>
  <si>
    <t>PENSIL KENKO 2B-6393 FLUORESCENT</t>
  </si>
  <si>
    <t>BUKU KAS KWARTO</t>
  </si>
  <si>
    <t>LEM CAIR 35 ML KENKO LG-35</t>
  </si>
  <si>
    <t>LOOSE LEAF JOYART B5-2670 (50S)</t>
  </si>
  <si>
    <t>BUKU KAS FOLIO</t>
  </si>
  <si>
    <t>STAPLER KENKO HD-10MP (MINI PLASTIK)</t>
  </si>
  <si>
    <t>CV FM 90</t>
  </si>
  <si>
    <t>3605</t>
  </si>
  <si>
    <t>CUTKENL500</t>
  </si>
  <si>
    <t>3615</t>
  </si>
  <si>
    <t>box</t>
  </si>
  <si>
    <t>lemken15gr</t>
  </si>
  <si>
    <t>pwjk12wpendek</t>
  </si>
  <si>
    <t>isikenbesar</t>
  </si>
  <si>
    <t>LEM STICK KENKO 15 GR (TANGGUNG) isi 20 pc</t>
  </si>
  <si>
    <t>PENSIL WARNA JOYKO CP-S12 MINI (PENDEK)</t>
  </si>
  <si>
    <t>ISI CUTTER 18 MM KENKO L-150 (BESAR)</t>
  </si>
  <si>
    <t>SIDU</t>
  </si>
  <si>
    <t>MONG SANTOSA ANDRESTA</t>
  </si>
  <si>
    <t>SALATIGA</t>
  </si>
  <si>
    <t>( SIDU )</t>
  </si>
  <si>
    <t>1591</t>
  </si>
  <si>
    <t>OPJK48W</t>
  </si>
  <si>
    <t>OPJK55W</t>
  </si>
  <si>
    <t>PWJK24WCP101</t>
  </si>
  <si>
    <t>CRAYON / OIL PASTEL JOYKO OP-48S PP CASE SEA WORLD</t>
  </si>
  <si>
    <t>CRAYON / OIL PASTEL JOYKO OP-55S PP CASE SEA WORLD</t>
  </si>
  <si>
    <t>PENSIL WARNA JOYKO CP-101 (24W PANJANG)</t>
  </si>
  <si>
    <t>1916</t>
  </si>
  <si>
    <t>BINDER NOTE JOYKO A5 (CAMPUS/CLASSIC)</t>
  </si>
  <si>
    <t>1921</t>
  </si>
  <si>
    <t>ISI PENSIL 2B 0.5 MM KENKO PL-05 HI-POLYMER</t>
  </si>
  <si>
    <t>CUTTER 9 MM KENKO K-200 (KECIL)</t>
  </si>
  <si>
    <t>1923</t>
  </si>
  <si>
    <t>utama</t>
  </si>
  <si>
    <t>BALLPEN KENKO BP-39 N HITAM</t>
  </si>
  <si>
    <t>1926</t>
  </si>
  <si>
    <t>ls</t>
  </si>
  <si>
    <t>GEL PEN TRIFELLO HI-TECH TF-1190 (Hitam)</t>
  </si>
  <si>
    <t>1927</t>
  </si>
  <si>
    <t>1574</t>
  </si>
  <si>
    <t>STAPLER JOYKO HD-50</t>
  </si>
  <si>
    <t>3008</t>
  </si>
  <si>
    <t>ROL</t>
  </si>
  <si>
    <t>LABEL HARGA JOYKO LB-3 (2 LINE KUNING FLUOR)</t>
  </si>
  <si>
    <t>FAMILY / RENI (JATIMULYO)</t>
  </si>
  <si>
    <t>3626</t>
  </si>
  <si>
    <t>ISIKENBESAR</t>
  </si>
  <si>
    <t>PWKEN12WPANJANG</t>
  </si>
  <si>
    <t>3606</t>
  </si>
  <si>
    <t>CLIKEN200</t>
  </si>
  <si>
    <t>CLIKEN111</t>
  </si>
  <si>
    <t>CLIKEN280</t>
  </si>
  <si>
    <t>ISIKENKECIL</t>
  </si>
  <si>
    <t>PENKENEASYHITAM</t>
  </si>
  <si>
    <t>BINDER CLIP KENKO NO. 200</t>
  </si>
  <si>
    <t>BINDER CLIP KENKO NO. 111</t>
  </si>
  <si>
    <t>BINDER CLIP KENKO NO. 280</t>
  </si>
  <si>
    <t>ISI CUTTER 9 MM KENKO A-100 (KECIL)</t>
  </si>
  <si>
    <t>GEL PEN KENKO EASY GEL HITAM</t>
  </si>
  <si>
    <t>3620</t>
  </si>
  <si>
    <t>ISIKENPL05</t>
  </si>
  <si>
    <t>3046</t>
  </si>
  <si>
    <t>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</si>
</sst>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6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0" fontId="38" fillId="0" borderId="0" xfId="0" applyNumberFormat="1" applyFont="1" applyFill="1" applyBorder="1" applyAlignment="1">
      <alignment horizontal="left" vertical="center"/>
    </xf>
    <xf numFmtId="164" fontId="38" fillId="0" borderId="0" xfId="0" applyNumberFormat="1" applyFont="1" applyFill="1" applyBorder="1" applyAlignment="1">
      <alignment horizontal="left" vertical="center"/>
    </xf>
    <xf numFmtId="1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0" fontId="38" fillId="0" borderId="0" xfId="0" applyNumberFormat="1" applyFont="1" applyFill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10" fontId="38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39" fillId="0" borderId="0" xfId="0" applyNumberFormat="1" applyFont="1"/>
  </cellXfs>
  <cellStyles count="2">
    <cellStyle name="Normal" xfId="0" builtinId="0"/>
    <cellStyle name="Normal 2" xfId="1"/>
  </cellStyles>
  <dxfs count="106"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5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8%20AGUSTUS\KELUAR%2008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73.453289004632" createdVersion="5" refreshedVersion="5" minRefreshableVersion="3" recordCount="269">
  <cacheSource type="worksheet">
    <worksheetSource name="Table1" r:id="rId2"/>
  </cacheSource>
  <cacheFields count="32">
    <cacheField name="//" numFmtId="0">
      <sharedItems containsMixedTypes="1" containsNumber="1" containsInteger="1" minValue="4" maxValue="153" count="70">
        <s v=""/>
        <n v="4"/>
        <n v="6"/>
        <n v="9"/>
        <n v="12"/>
        <n v="15"/>
        <n v="17"/>
        <n v="19"/>
        <n v="26"/>
        <n v="28"/>
        <n v="30"/>
        <n v="33"/>
        <n v="35"/>
        <n v="37"/>
        <n v="39"/>
        <n v="43"/>
        <n v="45"/>
        <n v="47"/>
        <n v="51"/>
        <n v="53"/>
        <n v="61"/>
        <n v="64"/>
        <n v="67"/>
        <n v="72"/>
        <n v="74"/>
        <n v="87"/>
        <n v="93"/>
        <n v="95"/>
        <n v="97"/>
        <n v="100"/>
        <n v="109"/>
        <n v="112"/>
        <n v="128"/>
        <n v="130"/>
        <n v="134"/>
        <n v="138"/>
        <n v="141"/>
        <n v="149"/>
        <n v="151"/>
        <n v="153"/>
        <n v="96" u="1"/>
        <n v="34" u="1"/>
        <n v="125" u="1"/>
        <n v="36" u="1"/>
        <n v="38" u="1"/>
        <n v="40" u="1"/>
        <n v="42" u="1"/>
        <n v="44" u="1"/>
        <n v="48" u="1"/>
        <n v="50" u="1"/>
        <n v="18" u="1"/>
        <n v="86" u="1"/>
        <n v="90" u="1"/>
        <n v="69" u="1"/>
        <n v="20" u="1"/>
        <n v="94" u="1"/>
        <n v="131" u="1"/>
        <n v="21" u="1"/>
        <n v="58" u="1"/>
        <n v="127" u="1"/>
        <n v="106" u="1"/>
        <n v="41" u="1"/>
        <n v="27" u="1"/>
        <n v="29" u="1"/>
        <n v="84" u="1"/>
        <n v="88" u="1"/>
        <n v="31" u="1"/>
        <n v="92" u="1"/>
        <n v="32" u="1"/>
        <n v="71" u="1"/>
      </sharedItems>
    </cacheField>
    <cacheField name="h_No. Invoice :" numFmtId="0">
      <sharedItems containsMixedTypes="1" containsNumber="1" containsInteger="1" minValue="23080001" maxValue="23080039"/>
    </cacheField>
    <cacheField name="Tgl Invoice :" numFmtId="164">
      <sharedItems containsDate="1" containsMixedTypes="1" minDate="2023-08-02T00:00:00" maxDate="2023-09-01T00:00:00"/>
    </cacheField>
    <cacheField name="H_TGL" numFmtId="1">
      <sharedItems containsString="0" containsBlank="1" containsNumber="1" containsInteger="1" minValue="2" maxValue="31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720"/>
    </cacheField>
    <cacheField name="Unit" numFmtId="0">
      <sharedItems containsBlank="1"/>
    </cacheField>
    <cacheField name="C" numFmtId="0">
      <sharedItems containsString="0" containsBlank="1" containsNumber="1" containsInteger="1" minValue="1" maxValue="7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750" maxValue="360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minValue="35640" maxValue="20520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53"/>
    </cacheField>
    <cacheField name="h_jumlahbarang" numFmtId="0">
      <sharedItems containsMixedTypes="1" containsNumber="1" containsInteger="1" minValue="1" maxValue="15"/>
    </cacheField>
    <cacheField name="h_hargasebelumdiskon" numFmtId="43">
      <sharedItems containsMixedTypes="1" containsNumber="1" containsInteger="1" minValue="39600" maxValue="20520000"/>
    </cacheField>
    <cacheField name="h_disc 1" numFmtId="43">
      <sharedItems containsMixedTypes="1" containsNumber="1" minValue="0" maxValue="209952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2099520"/>
    </cacheField>
    <cacheField name="h_hargasetelahdiskon" numFmtId="43">
      <sharedItems containsMixedTypes="1" containsNumber="1" minValue="35640" maxValue="20520000"/>
    </cacheField>
    <cacheField name="Total Invoice" numFmtId="43">
      <sharedItems containsMixedTypes="1" containsNumber="1" minValue="297000" maxValue="28812000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9"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080001"/>
    <d v="2023-08-02T00:00:00"/>
    <n v="2"/>
    <s v="KO"/>
    <s v="1822"/>
    <s v="CENTRAAL"/>
    <s v="AM 23080001"/>
    <s v="KO 1822"/>
    <s v="CV TRINITY CENTRAAL PURWOKERTO"/>
    <n v="15"/>
    <s v="PAK"/>
    <m/>
    <s v="KTSTFOLIOPUTIH"/>
    <s v="KARTU STOCK FOLIO PUTIH"/>
    <s v="KARTU STOCK FOLIO MIX (biru, putih, pink)"/>
    <n v="38000"/>
    <m/>
    <m/>
    <n v="570000"/>
    <s v="NOVI / CONDRO"/>
    <m/>
    <n v="4"/>
    <n v="1"/>
    <n v="570000"/>
    <n v="0"/>
    <n v="0"/>
    <n v="0"/>
    <n v="570000"/>
    <n v="570000"/>
    <m/>
    <s v="KARTU STOCK FOLIO MIX (biru, putih, pink)PAK38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80002"/>
    <d v="2023-08-03T00:00:00"/>
    <n v="3"/>
    <s v="G"/>
    <s v="2692"/>
    <s v="REJOAGUNG"/>
    <s v="AM 23080002"/>
    <s v="G 2692"/>
    <s v="LILY JULIAWATI (REJO AGUNG) JOMBANG"/>
    <n v="12"/>
    <s v="PCS"/>
    <n v="2"/>
    <s v="STAJKHD12N24"/>
    <s v="STAPLER HEAVY DUTY JOYKO HD-12N/24"/>
    <s v="STAPLER HEAVY DUTY JOYKO HD-12N/24"/>
    <n v="187000"/>
    <n v="0.125"/>
    <m/>
    <n v="1963500"/>
    <s v="NOVI / CONDRO"/>
    <m/>
    <n v="6"/>
    <n v="2"/>
    <n v="2244000"/>
    <n v="280500"/>
    <n v="0"/>
    <n v="280500"/>
    <n v="1963500"/>
    <n v="4683000"/>
    <m/>
    <s v="STAPLER HEAVY DUTY JOYKO HD-12N/24PCS187000"/>
  </r>
  <r>
    <x v="0"/>
    <s v=""/>
    <s v=""/>
    <m/>
    <m/>
    <m/>
    <m/>
    <s v=""/>
    <s v=" "/>
    <s v=""/>
    <n v="240"/>
    <s v="PCS"/>
    <n v="2"/>
    <s v="PUNJK30XL"/>
    <s v="PUNCH JOYKO 30XL"/>
    <s v="PUNCH JOYKO 30XL"/>
    <n v="12950"/>
    <n v="0.125"/>
    <m/>
    <n v="2719500"/>
    <m/>
    <m/>
    <n v="6"/>
    <n v="2"/>
    <n v="3108000"/>
    <n v="388500"/>
    <n v="0"/>
    <n v="388500"/>
    <n v="2719500"/>
    <s v=""/>
    <m/>
    <s v="PUNCH JOYKO 30XLPCS1295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80003"/>
    <d v="2023-08-04T00:00:00"/>
    <n v="4"/>
    <s v="KO"/>
    <s v="1825"/>
    <s v="ARMADA"/>
    <s v="AM 23080003"/>
    <s v="KO 1825"/>
    <s v="SANTOSO BUDIONO (  ARMADA  ) PURWOKERTO"/>
    <n v="96"/>
    <s v="LSN"/>
    <m/>
    <s v="PENKENHITECH028HITAM"/>
    <s v="GEL PEN KENKO HI-TECH-H 0.28 MM HITAM"/>
    <s v="GEL PEN KENKO HI-TECH-H 0.28 MM HITAM"/>
    <n v="39000"/>
    <n v="0.125"/>
    <m/>
    <n v="3276000"/>
    <s v="NOVI / CONDRO"/>
    <m/>
    <n v="9"/>
    <n v="2"/>
    <n v="3744000"/>
    <n v="468000"/>
    <n v="0"/>
    <n v="468000"/>
    <n v="3276000"/>
    <n v="4914000"/>
    <m/>
    <s v="GEL PEN KENKO HI-TECH-H 0.28 MM HITAMLSN39000"/>
  </r>
  <r>
    <x v="0"/>
    <s v=""/>
    <s v=""/>
    <m/>
    <m/>
    <m/>
    <m/>
    <s v=""/>
    <s v=" "/>
    <s v=""/>
    <n v="48"/>
    <s v="LSN"/>
    <m/>
    <s v="PENKENHITECH028BIRU"/>
    <s v="GEL PEN KENKO HI-TECH-H 0.28 MM BIRU"/>
    <s v="GEL PEN KENKO HI-TECH-H 0.28 MM BIRU"/>
    <n v="39000"/>
    <n v="0.125"/>
    <m/>
    <n v="1638000"/>
    <m/>
    <m/>
    <n v="9"/>
    <n v="2"/>
    <n v="1872000"/>
    <n v="234000"/>
    <n v="0"/>
    <n v="234000"/>
    <n v="1638000"/>
    <s v=""/>
    <m/>
    <s v="GEL PEN KENKO HI-TECH-H 0.28 MM BIRULSN3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80004"/>
    <d v="2023-08-04T00:00:00"/>
    <n v="4"/>
    <s v="KO"/>
    <s v="1829"/>
    <s v="ANUGERAH"/>
    <s v="AM 23080004"/>
    <s v="KO 1829"/>
    <s v="CV PELITA JAYA (ANUGERAH SEJAHTERA) PURWOKERTO"/>
    <n v="50"/>
    <s v="BOX"/>
    <n v="1"/>
    <s v="STIJK40PUTIH"/>
    <s v="STIP / PENGHAPUS JOYKO 526-B40P PUTIH"/>
    <s v="STIP / PENGHAPUS JOYKO 526-B40P PUTIH"/>
    <n v="28300"/>
    <n v="0.13500000000000001"/>
    <m/>
    <n v="1223975"/>
    <s v="NOVI / CONDRO"/>
    <m/>
    <n v="12"/>
    <n v="2"/>
    <n v="1415000"/>
    <n v="191025"/>
    <n v="0"/>
    <n v="191025"/>
    <n v="1223975"/>
    <n v="2606591"/>
    <m/>
    <s v="STIP / PENGHAPUS JOYKO 526-B40P PUTIHBOX28300"/>
  </r>
  <r>
    <x v="0"/>
    <s v=""/>
    <s v=""/>
    <m/>
    <m/>
    <m/>
    <m/>
    <s v=""/>
    <s v=" "/>
    <s v=""/>
    <n v="72"/>
    <s v="LSN"/>
    <m/>
    <s v="PENKENMP070"/>
    <s v="MECHANICAL PENCIL 0.5 MM KENKO MP-070"/>
    <s v="MECHANICAL PENCIL 0.5 MM KENKO MP-070"/>
    <n v="22200"/>
    <n v="0.13500000000000001"/>
    <m/>
    <n v="1382616"/>
    <m/>
    <m/>
    <n v="12"/>
    <n v="2"/>
    <n v="1598400"/>
    <n v="215784"/>
    <n v="0"/>
    <n v="215784"/>
    <n v="1382616"/>
    <s v=""/>
    <m/>
    <s v="MECHANICAL PENCIL 0.5 MM KENKO MP-070LSN22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80005"/>
    <d v="2023-08-05T00:00:00"/>
    <n v="5"/>
    <s v="G"/>
    <s v="3001"/>
    <s v="NIKISAE"/>
    <s v="AM 23080005"/>
    <s v="G 3001"/>
    <s v="GUNAWAN HARTONO KUSUMA ( NIKI SAE ) TULUNG AGUNG"/>
    <n v="144"/>
    <s v="LSN"/>
    <n v="1"/>
    <s v="PENJKGP265"/>
    <s v="GEL PEN JOYKO GP-265 Q-GEL"/>
    <s v="GEL PEN JOYKO GP-265 Q-GEL"/>
    <n v="28200"/>
    <n v="0.125"/>
    <m/>
    <n v="3553200"/>
    <s v="NOVI / CONDRO"/>
    <m/>
    <n v="15"/>
    <n v="2"/>
    <n v="4060800"/>
    <n v="507600"/>
    <n v="0"/>
    <n v="507600"/>
    <n v="3553200"/>
    <n v="6010200"/>
    <m/>
    <s v="GEL PEN JOYKO GP-265 Q-GELLSN28200"/>
  </r>
  <r>
    <x v="0"/>
    <s v=""/>
    <s v=""/>
    <m/>
    <m/>
    <m/>
    <m/>
    <s v=""/>
    <s v=" "/>
    <s v=""/>
    <n v="288"/>
    <s v="PCS"/>
    <n v="2"/>
    <s v="GUNJKSC848"/>
    <s v="GUNTING JOYKO SC-848"/>
    <s v="GUNTING JOYKO SC-848"/>
    <n v="9750"/>
    <n v="0.125"/>
    <m/>
    <n v="2457000"/>
    <m/>
    <m/>
    <n v="15"/>
    <n v="2"/>
    <n v="2808000"/>
    <n v="351000"/>
    <n v="0"/>
    <n v="351000"/>
    <n v="2457000"/>
    <s v=""/>
    <m/>
    <s v="GUNTING JOYKO SC-848PCS9750"/>
  </r>
  <r>
    <x v="6"/>
    <n v="23080006"/>
    <d v="2023-08-07T00:00:00"/>
    <n v="7"/>
    <s v="KO"/>
    <s v="1840"/>
    <s v="WISUDA"/>
    <s v="AM 23080006"/>
    <s v="KO 1840"/>
    <s v="CV  WISUDA PURWOKERTO"/>
    <n v="1"/>
    <s v="LSN"/>
    <m/>
    <m/>
    <s v=""/>
    <s v="STAPLER YUAN CHANG 414"/>
    <n v="350000"/>
    <m/>
    <m/>
    <n v="350000"/>
    <s v="NOVI / CONDRO"/>
    <m/>
    <n v="17"/>
    <n v="1"/>
    <n v="350000"/>
    <n v="0"/>
    <n v="0"/>
    <n v="0"/>
    <n v="350000"/>
    <n v="350000"/>
    <m/>
    <s v="STAPLER YUAN CHANG 414LSN35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80007"/>
    <d v="2023-08-08T00:00:00"/>
    <n v="8"/>
    <s v="KO"/>
    <s v="1566"/>
    <s v="rainbow"/>
    <s v="AM 23080007"/>
    <s v="KO 1566"/>
    <s v="CV RAINBOW NUSANTARA SIDOARJO"/>
    <n v="44"/>
    <s v="PCS"/>
    <m/>
    <s v="penkenstp300sg"/>
    <s v="STAND PEN SPIRAL KENKO STP-300SG"/>
    <s v="STAND PEN SPIRAL KENKO STP-300SG"/>
    <n v="4100"/>
    <n v="0.14499999999999999"/>
    <m/>
    <n v="154242"/>
    <s v="NOVI / CONDRO"/>
    <m/>
    <n v="19"/>
    <n v="6"/>
    <n v="180400"/>
    <n v="26158"/>
    <n v="0"/>
    <n v="26158"/>
    <n v="154242"/>
    <n v="2307816"/>
    <m/>
    <s v="STAND PEN SPIRAL KENKO STP-300SGPCS4100"/>
  </r>
  <r>
    <x v="0"/>
    <s v=""/>
    <s v=""/>
    <m/>
    <m/>
    <m/>
    <m/>
    <s v=""/>
    <s v=" "/>
    <s v=""/>
    <n v="30"/>
    <s v="PCS"/>
    <m/>
    <s v="COUKENHT302"/>
    <s v="HAND TALLY COUNTER KENKO HT-302"/>
    <s v="HAND TALLY COUNTER KENKO HT-302"/>
    <n v="19000"/>
    <n v="0.14499999999999999"/>
    <m/>
    <n v="487350"/>
    <m/>
    <m/>
    <n v="19"/>
    <n v="6"/>
    <n v="570000"/>
    <n v="82650"/>
    <n v="0"/>
    <n v="82650"/>
    <n v="487350"/>
    <s v=""/>
    <m/>
    <s v="HAND TALLY COUNTER KENKO HT-302PCS19000"/>
  </r>
  <r>
    <x v="0"/>
    <s v=""/>
    <s v=""/>
    <m/>
    <m/>
    <m/>
    <m/>
    <s v=""/>
    <s v=" "/>
    <s v=""/>
    <n v="60"/>
    <s v="PCS"/>
    <m/>
    <s v="JANKENC168"/>
    <s v="JANGKA (COMPASS SET) KENKO C-168 / MS-75"/>
    <s v="JANGKA (COMPASS SET) KENKO C-168 / MS-75"/>
    <n v="7500"/>
    <n v="0.14499999999999999"/>
    <m/>
    <n v="384750"/>
    <m/>
    <m/>
    <n v="19"/>
    <n v="6"/>
    <n v="450000"/>
    <n v="65249.999999999993"/>
    <n v="0"/>
    <n v="65249.999999999993"/>
    <n v="384750"/>
    <s v=""/>
    <m/>
    <s v="JANGKA (COMPASS SET) KENKO C-168 / MS-75PCS7500"/>
  </r>
  <r>
    <x v="0"/>
    <s v=""/>
    <s v=""/>
    <m/>
    <m/>
    <m/>
    <m/>
    <s v=""/>
    <s v=" "/>
    <s v=""/>
    <n v="84"/>
    <s v="PCS"/>
    <m/>
    <s v="JANKENC288"/>
    <s v="JANGKA (COMPASS SET) KENKO C-288 / MS-25"/>
    <s v="JANGKA (COMPASS SET) KENKO C-288 / MS-25"/>
    <n v="7500"/>
    <n v="0.14499999999999999"/>
    <m/>
    <n v="538650"/>
    <m/>
    <m/>
    <n v="19"/>
    <n v="6"/>
    <n v="630000"/>
    <n v="91350"/>
    <n v="0"/>
    <n v="91350"/>
    <n v="538650"/>
    <s v=""/>
    <m/>
    <s v="JANGKA (COMPASS SET) KENKO C-288 / MS-25PCS7500"/>
  </r>
  <r>
    <x v="0"/>
    <s v=""/>
    <s v=""/>
    <m/>
    <m/>
    <m/>
    <m/>
    <s v=""/>
    <s v=" "/>
    <s v=""/>
    <n v="84"/>
    <s v="PCS"/>
    <m/>
    <s v="STAKEND4"/>
    <s v="DATE STAMP KENKO D-4 (Cap Tanggal 4 Mm)"/>
    <s v="DATE STAMP KENKO D-4 (Cap Tanggal 4 Mm)"/>
    <n v="6200"/>
    <n v="0.14499999999999999"/>
    <m/>
    <n v="445284"/>
    <m/>
    <m/>
    <n v="19"/>
    <n v="6"/>
    <n v="520800"/>
    <n v="75516"/>
    <n v="0"/>
    <n v="75516"/>
    <n v="445284"/>
    <s v=""/>
    <m/>
    <s v="DATE STAMP KENKO D-4 (Cap Tanggal 4 Mm)PCS6200"/>
  </r>
  <r>
    <x v="0"/>
    <s v=""/>
    <s v=""/>
    <m/>
    <m/>
    <m/>
    <m/>
    <s v=""/>
    <s v=" "/>
    <s v=""/>
    <n v="12"/>
    <s v="PCS"/>
    <m/>
    <m/>
    <s v=""/>
    <s v="DESK SET KENKO K-8312 ORGANIZER"/>
    <n v="29000"/>
    <n v="0.14499999999999999"/>
    <m/>
    <n v="297540"/>
    <m/>
    <m/>
    <n v="19"/>
    <n v="6"/>
    <n v="348000"/>
    <n v="50460"/>
    <n v="0"/>
    <n v="50460"/>
    <n v="297540"/>
    <s v=""/>
    <m/>
    <s v="DESK SET KENKO K-8312 ORGANIZERPCS2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80008"/>
    <d v="2023-08-08T00:00:00"/>
    <n v="8"/>
    <s v="G"/>
    <s v="1649"/>
    <s v="sinarbhakti"/>
    <s v="AM 23080008"/>
    <s v="G 1649"/>
    <s v="MUHAMMAD AGUS MUNADI ( SINAR BHAKTI ) YOGYAKARTA"/>
    <n v="72"/>
    <s v="PCS"/>
    <m/>
    <m/>
    <s v=""/>
    <s v="PENCIL CASE KENKO PC-0719-UR"/>
    <n v="5200"/>
    <n v="0.1"/>
    <m/>
    <n v="336960"/>
    <s v="NOVI / CONDRO"/>
    <m/>
    <n v="26"/>
    <n v="1"/>
    <n v="374400"/>
    <n v="37440"/>
    <n v="0"/>
    <n v="37440"/>
    <n v="336960"/>
    <n v="336960"/>
    <m/>
    <s v="PENCIL CASE KENKO PC-0719-URpcs5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80009"/>
    <d v="2023-08-09T00:00:00"/>
    <n v="9"/>
    <s v="G"/>
    <s v="1916"/>
    <s v="REJOAGUNG"/>
    <s v="AM 23080009"/>
    <s v="G 1916"/>
    <s v="LILY JULIAWATI (REJO AGUNG) JOMBANG"/>
    <n v="144"/>
    <s v="PC"/>
    <n v="2"/>
    <m/>
    <s v=""/>
    <s v="BINDER NOTE JOYKO A5 (CAMPUS/CLASSIC)"/>
    <n v="15800"/>
    <n v="0.125"/>
    <m/>
    <n v="1990800"/>
    <s v="NOVI / YO"/>
    <m/>
    <n v="28"/>
    <n v="1"/>
    <n v="2275200"/>
    <n v="284400"/>
    <n v="0"/>
    <n v="284400"/>
    <n v="1990800"/>
    <n v="1990800"/>
    <m/>
    <s v="BINDER NOTE JOYKO A5 (CAMPUS/CLASSIC)PC15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80010"/>
    <d v="2023-08-09T00:00:00"/>
    <n v="9"/>
    <s v="KO"/>
    <s v="1921"/>
    <s v="ANUGERAH"/>
    <s v="AM 23080010"/>
    <s v="KO 1921"/>
    <s v="CV PELITA JAYA (ANUGERAH SEJAHTERA) PURWOKERTO"/>
    <n v="18"/>
    <s v="GRS"/>
    <n v="1"/>
    <m/>
    <s v=""/>
    <s v="ISI PENSIL 2B 0.5 MM KENKO PL-05 HI-POLYMER"/>
    <n v="180000"/>
    <n v="0.13500000000000001"/>
    <m/>
    <n v="2802600"/>
    <s v="NOVI / YO"/>
    <m/>
    <n v="30"/>
    <n v="2"/>
    <n v="3240000"/>
    <n v="437400"/>
    <n v="0"/>
    <n v="437400"/>
    <n v="2802600"/>
    <n v="5511780"/>
    <m/>
    <s v="ISI PENSIL 2B 0.5 MM KENKO PL-05 HI-POLYMERGRS180000"/>
  </r>
  <r>
    <x v="0"/>
    <s v=""/>
    <s v=""/>
    <m/>
    <m/>
    <m/>
    <m/>
    <s v=""/>
    <s v=" "/>
    <s v=""/>
    <n v="60"/>
    <s v="LS"/>
    <n v="2"/>
    <m/>
    <s v=""/>
    <s v="CUTTER 9 MM KENKO K-200 (KECIL)"/>
    <n v="52200"/>
    <n v="0.13500000000000001"/>
    <m/>
    <n v="2709180"/>
    <m/>
    <m/>
    <n v="30"/>
    <n v="2"/>
    <n v="3132000"/>
    <n v="422820"/>
    <n v="0"/>
    <n v="422820"/>
    <n v="2709180"/>
    <s v=""/>
    <m/>
    <s v="CUTTER 9 MM KENKO K-200 (KECIL)LS52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080011"/>
    <d v="2023-08-10T00:00:00"/>
    <n v="10"/>
    <s v="G"/>
    <s v="1923"/>
    <s v="utama"/>
    <s v="AM 23080011"/>
    <s v="G 1923"/>
    <s v="CV UTAMA PUTRA TULUNG AGUNG"/>
    <n v="144"/>
    <s v="LS"/>
    <n v="1"/>
    <m/>
    <s v=""/>
    <s v="BALLPEN KENKO BP-39 N HITAM"/>
    <n v="10200"/>
    <n v="0.125"/>
    <m/>
    <n v="1285200"/>
    <s v="NOVI / YO"/>
    <m/>
    <n v="33"/>
    <n v="1"/>
    <n v="1468800"/>
    <n v="183600"/>
    <n v="0"/>
    <n v="183600"/>
    <n v="1285200"/>
    <n v="1285200"/>
    <m/>
    <s v="BALLPEN KENKO BP-39 N HITAMLS10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80012"/>
    <d v="2023-08-10T00:00:00"/>
    <n v="10"/>
    <s v="G"/>
    <s v="1926"/>
    <s v="NIKISAE"/>
    <s v="AM 23080012"/>
    <s v="G 1926"/>
    <s v="GUNAWAN HARTONO KUSUMA ( NIKI SAE ) TULUNG AGUNG"/>
    <n v="144"/>
    <s v="LS"/>
    <n v="1"/>
    <m/>
    <s v=""/>
    <s v="GEL PEN TRIFELLO HI-TECH TF-1190 (Hitam)"/>
    <n v="28500"/>
    <m/>
    <m/>
    <n v="4104000"/>
    <s v="NOVI / YO"/>
    <m/>
    <n v="35"/>
    <n v="1"/>
    <n v="4104000"/>
    <n v="0"/>
    <n v="0"/>
    <n v="0"/>
    <n v="4104000"/>
    <n v="4104000"/>
    <m/>
    <s v="GEL PEN TRIFELLO HI-TECH TF-1190 (Hitam)ls28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80013"/>
    <d v="2023-08-10T00:00:00"/>
    <n v="10"/>
    <s v="G"/>
    <s v="1927"/>
    <s v="REJOAGUNG"/>
    <s v="AM 23080013"/>
    <s v="G 1927"/>
    <s v="LILY JULIAWATI (REJO AGUNG) JOMBANG"/>
    <n v="720"/>
    <s v="LS"/>
    <n v="5"/>
    <m/>
    <s v=""/>
    <s v="GEL PEN TRIFELLO HI-TECH TF-1190 (Hitam)"/>
    <n v="28500"/>
    <m/>
    <m/>
    <n v="20520000"/>
    <s v="NOVI / YO"/>
    <m/>
    <n v="37"/>
    <n v="1"/>
    <n v="20520000"/>
    <n v="0"/>
    <n v="0"/>
    <n v="0"/>
    <n v="20520000"/>
    <n v="20520000"/>
    <m/>
    <s v="GEL PEN TRIFELLO HI-TECH TF-1190 (Hitam)ls28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80014"/>
    <d v="2023-08-10T00:00:00"/>
    <n v="10"/>
    <s v="KO"/>
    <s v="1574"/>
    <s v="LANCAR"/>
    <s v="AM 23080014"/>
    <s v="KO 1574"/>
    <s v="CV LANCAR JAYA SENTOSA MALANG"/>
    <n v="700"/>
    <s v="PAK"/>
    <n v="7"/>
    <m/>
    <s v=""/>
    <s v="ISI STAPLER (STAPLES) GREATWALL GW-NO. 10 (KECIL)"/>
    <n v="13250"/>
    <m/>
    <m/>
    <n v="9275000"/>
    <s v="NOVI / YO"/>
    <m/>
    <n v="39"/>
    <n v="3"/>
    <n v="9275000"/>
    <n v="0"/>
    <n v="0"/>
    <n v="0"/>
    <n v="9275000"/>
    <n v="19446500"/>
    <m/>
    <s v="ISI STAPLER (STAPLES) GREATWALL GW-NO. 10 (KECIL)PAK13250"/>
  </r>
  <r>
    <x v="0"/>
    <s v=""/>
    <s v=""/>
    <m/>
    <m/>
    <m/>
    <m/>
    <s v=""/>
    <s v=" "/>
    <s v=""/>
    <n v="288"/>
    <s v="LS"/>
    <n v="2"/>
    <m/>
    <s v=""/>
    <s v="GEL PEN TRIFELLO HI-TECH TF-1190 (Hitam)"/>
    <n v="28500"/>
    <m/>
    <m/>
    <n v="8208000"/>
    <m/>
    <m/>
    <n v="39"/>
    <n v="3"/>
    <n v="8208000"/>
    <n v="0"/>
    <n v="0"/>
    <n v="0"/>
    <n v="8208000"/>
    <s v=""/>
    <m/>
    <s v="GEL PEN TRIFELLO HI-TECH TF-1190 (Hitam)ls28500"/>
  </r>
  <r>
    <x v="0"/>
    <s v=""/>
    <s v=""/>
    <m/>
    <m/>
    <m/>
    <m/>
    <s v=""/>
    <s v=" "/>
    <s v=""/>
    <n v="10"/>
    <s v="LS"/>
    <n v="1"/>
    <m/>
    <s v=""/>
    <s v="STAPLER JOYKO HD-50"/>
    <n v="224400"/>
    <n v="0.125"/>
    <m/>
    <n v="1963500"/>
    <m/>
    <m/>
    <n v="39"/>
    <n v="3"/>
    <n v="2244000"/>
    <n v="280500"/>
    <n v="0"/>
    <n v="280500"/>
    <n v="1963500"/>
    <s v=""/>
    <m/>
    <s v="STAPLER JOYKO HD-50LS224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080015"/>
    <d v="2023-08-10T00:00:00"/>
    <n v="10"/>
    <s v="KO"/>
    <s v="3008"/>
    <s v="ANUGERAH"/>
    <s v="AM 23080015"/>
    <s v="KO 3008"/>
    <s v="CV PELITA JAYA (ANUGERAH SEJAHTERA) PURWOKERTO"/>
    <n v="500"/>
    <s v="ROL"/>
    <n v="1"/>
    <m/>
    <s v=""/>
    <s v="LABEL HARGA JOYKO LB-3 (2 LINE KUNING FLUOR)"/>
    <n v="4300"/>
    <n v="0.13500000000000001"/>
    <m/>
    <n v="1859750"/>
    <s v="LENA / YO"/>
    <m/>
    <n v="43"/>
    <n v="1"/>
    <n v="2150000"/>
    <n v="290250"/>
    <n v="0"/>
    <n v="290250"/>
    <n v="1859750"/>
    <n v="1859750"/>
    <m/>
    <s v="LABEL HARGA JOYKO LB-3 (2 LINE KUNING FLUOR)ROL43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n v="10"/>
  </r>
  <r>
    <x v="16"/>
    <n v="23080016"/>
    <d v="2023-08-10T00:00:00"/>
    <n v="10"/>
    <s v="a"/>
    <s v="1930"/>
    <s v="reni"/>
    <s v="AM 23080016"/>
    <s v="A 1930"/>
    <s v="CV FM 90 FAMILY / RENI (JATIMULYO) KEBUMEN"/>
    <n v="144"/>
    <s v="LSN"/>
    <n v="1"/>
    <m/>
    <s v=""/>
    <s v="GEL PEN TRIFELLO HI-TECH TF-1190 HITAM"/>
    <n v="28500"/>
    <m/>
    <m/>
    <n v="4104000"/>
    <s v="NOVI / CONDRO"/>
    <m/>
    <n v="45"/>
    <n v="1"/>
    <n v="4104000"/>
    <n v="0"/>
    <n v="0"/>
    <n v="0"/>
    <n v="4104000"/>
    <n v="4104000"/>
    <m/>
    <s v="GEL PEN TRIFELLO HI-TECH TF-1190 HITAMLSN28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080017"/>
    <d v="2023-08-11T00:00:00"/>
    <n v="11"/>
    <s v="G"/>
    <s v="1932"/>
    <s v="REJOAGUNG"/>
    <s v="AM 23080017"/>
    <s v="G 1932"/>
    <s v="LILY JULIAWATI (REJO AGUNG) JOMBANG"/>
    <n v="144"/>
    <s v="LSN"/>
    <n v="1"/>
    <s v="ISIJKPL10"/>
    <s v="ISI PENSIL 2B 2.0 MM JOYKO PL-10"/>
    <s v="ISI PENSIL 2B 2.0 MM JOYKO PL-10"/>
    <n v="19800"/>
    <n v="0.125"/>
    <m/>
    <n v="2494800"/>
    <s v="NOVI / CONDRO"/>
    <m/>
    <n v="47"/>
    <n v="3"/>
    <n v="2851200"/>
    <n v="356400"/>
    <n v="0"/>
    <n v="356400"/>
    <n v="2494800"/>
    <n v="14170800"/>
    <m/>
    <s v="ISI PENSIL 2B 2.0 MM JOYKO PL-10LSN19800"/>
  </r>
  <r>
    <x v="0"/>
    <s v=""/>
    <s v=""/>
    <m/>
    <m/>
    <m/>
    <m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47"/>
    <n v="3"/>
    <n v="11232000"/>
    <n v="1404000"/>
    <n v="0"/>
    <n v="1404000"/>
    <n v="9828000"/>
    <s v=""/>
    <m/>
    <s v="GEL PEN KENKO HI-TECH-H 0.28 MM HITAMLSN39000"/>
  </r>
  <r>
    <x v="0"/>
    <s v=""/>
    <s v=""/>
    <m/>
    <m/>
    <m/>
    <m/>
    <s v=""/>
    <s v=" "/>
    <s v=""/>
    <n v="240"/>
    <s v="SET"/>
    <n v="1"/>
    <s v="KUAJKBR1"/>
    <s v="KUAS SET JOYKO BR-1"/>
    <s v="KUAS SET JOYKO BR-1"/>
    <n v="8800"/>
    <n v="0.125"/>
    <m/>
    <n v="1848000"/>
    <m/>
    <m/>
    <n v="47"/>
    <n v="3"/>
    <n v="2112000"/>
    <n v="264000"/>
    <n v="0"/>
    <n v="264000"/>
    <n v="1848000"/>
    <s v=""/>
    <m/>
    <s v="KUAS SET JOYKO BR-1SET8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080018"/>
    <d v="2023-08-12T00:00:00"/>
    <n v="12"/>
    <s v="KO"/>
    <s v="1300"/>
    <s v="LANCAR"/>
    <s v="AM 23080018"/>
    <s v="KO 1300"/>
    <s v="CV LANCAR JAYA SENTOSA MALANG"/>
    <n v="300"/>
    <s v="PAK"/>
    <n v="3"/>
    <s v="ISIGWNO10"/>
    <s v="ISI STAPLER (STAPLES) GREATWALL GW-NO. 10 (KECIL)"/>
    <s v="ISI STAPLER (STAPLES) GREATWALL GW-NO. 10 (KECIL)"/>
    <n v="13250"/>
    <m/>
    <m/>
    <n v="3975000"/>
    <s v="NOVI / CONDRO"/>
    <m/>
    <n v="51"/>
    <n v="1"/>
    <n v="3975000"/>
    <n v="0"/>
    <n v="0"/>
    <n v="0"/>
    <n v="3975000"/>
    <n v="3975000"/>
    <m/>
    <s v="ISI STAPLER (STAPLES) GREATWALL GW-NO. 10 (KECIL)PAK1325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080019"/>
    <d v="2023-08-12T00:00:00"/>
    <n v="12"/>
    <s v="G"/>
    <s v="3022"/>
    <s v="REJOAGUNG"/>
    <s v="AM 23080019"/>
    <s v="G 3022"/>
    <s v="LILY JULIAWATI (REJO AGUNG) JOMBANG"/>
    <n v="72"/>
    <s v="PCS"/>
    <n v="1"/>
    <m/>
    <s v=""/>
    <s v="BINDER NOTE JOYKO B5-TSIM-M133 (IMAGINATION) - U"/>
    <n v="20700"/>
    <n v="0.125"/>
    <m/>
    <n v="1304100"/>
    <s v="NOVI / CONDRO"/>
    <m/>
    <n v="53"/>
    <n v="7"/>
    <n v="1490400"/>
    <n v="186300"/>
    <n v="0"/>
    <n v="186300"/>
    <n v="1304100"/>
    <n v="10221750"/>
    <m/>
    <s v="BINDER NOTE JOYKO B5-TSIM-M133 (IMAGINATION) - UPCS20700"/>
  </r>
  <r>
    <x v="0"/>
    <s v=""/>
    <s v=""/>
    <m/>
    <m/>
    <m/>
    <m/>
    <s v=""/>
    <s v=" "/>
    <s v=""/>
    <n v="72"/>
    <s v="PCS"/>
    <n v="1"/>
    <m/>
    <s v=""/>
    <s v="BINDER NOTE JOYKO B5-TSED-M128 (EDUCATION) - U"/>
    <n v="20700"/>
    <n v="0.125"/>
    <m/>
    <n v="1304100"/>
    <m/>
    <m/>
    <n v="53"/>
    <n v="7"/>
    <n v="1490400"/>
    <n v="186300"/>
    <n v="0"/>
    <n v="186300"/>
    <n v="1304100"/>
    <s v=""/>
    <m/>
    <s v="BINDER NOTE JOYKO B5-TSED-M128 (EDUCATION) - UPCS20700"/>
  </r>
  <r>
    <x v="0"/>
    <s v=""/>
    <s v=""/>
    <m/>
    <m/>
    <m/>
    <m/>
    <s v=""/>
    <s v=" "/>
    <s v=""/>
    <n v="72"/>
    <s v="PCS"/>
    <n v="1"/>
    <m/>
    <s v=""/>
    <s v="BINDER NOTE JOYKO B5-TSCS-M79 (CLASSIC) - U"/>
    <n v="20700"/>
    <n v="0.125"/>
    <m/>
    <n v="1304100"/>
    <m/>
    <m/>
    <n v="53"/>
    <n v="7"/>
    <n v="1490400"/>
    <n v="186300"/>
    <n v="0"/>
    <n v="186300"/>
    <n v="1304100"/>
    <s v=""/>
    <m/>
    <s v="BINDER NOTE JOYKO B5-TSCS-M79 (CLASSIC) - UPCS20700"/>
  </r>
  <r>
    <x v="0"/>
    <s v=""/>
    <s v=""/>
    <m/>
    <m/>
    <m/>
    <m/>
    <s v=""/>
    <s v=" "/>
    <s v=""/>
    <n v="72"/>
    <s v="PCS"/>
    <n v="1"/>
    <m/>
    <s v=""/>
    <s v="BINDER NOTE JOYKO B5-TSIM-M114 (IMAGE) - U"/>
    <n v="20700"/>
    <n v="0.125"/>
    <m/>
    <n v="1304100"/>
    <m/>
    <m/>
    <n v="53"/>
    <n v="7"/>
    <n v="1490400"/>
    <n v="186300"/>
    <n v="0"/>
    <n v="186300"/>
    <n v="1304100"/>
    <s v=""/>
    <m/>
    <s v="BINDER NOTE JOYKO B5-TSIM-M114 (IMAGE) - UPCS20700"/>
  </r>
  <r>
    <x v="0"/>
    <s v=""/>
    <s v=""/>
    <m/>
    <m/>
    <m/>
    <m/>
    <s v=""/>
    <s v=" "/>
    <s v=""/>
    <n v="72"/>
    <s v="PCS"/>
    <n v="1"/>
    <m/>
    <s v=""/>
    <s v="BINDER NOTE JOYKO B5-TSCL-M125 (COLLEGE) - U"/>
    <n v="20700"/>
    <n v="0.125"/>
    <m/>
    <n v="1304100"/>
    <m/>
    <m/>
    <n v="53"/>
    <n v="7"/>
    <n v="1490400"/>
    <n v="186300"/>
    <n v="0"/>
    <n v="186300"/>
    <n v="1304100"/>
    <s v=""/>
    <m/>
    <s v="BINDER NOTE JOYKO B5-TSCL-M125 (COLLEGE) - UPCS20700"/>
  </r>
  <r>
    <x v="0"/>
    <s v=""/>
    <s v=""/>
    <m/>
    <m/>
    <m/>
    <m/>
    <s v=""/>
    <s v=" "/>
    <s v=""/>
    <n v="20"/>
    <s v="PCS"/>
    <n v="1"/>
    <s v="MESKENMX5500"/>
    <s v="MESIN LABEL HARGA KENKO MX-5500 (8 DIGITS, 1 LINE)"/>
    <s v="MESIN LABEL HARGA KENKO MX-5500 (8 DIGITS, 1 LINE)"/>
    <n v="40500"/>
    <n v="0.125"/>
    <m/>
    <n v="708750"/>
    <m/>
    <m/>
    <n v="53"/>
    <n v="7"/>
    <n v="810000"/>
    <n v="101250"/>
    <n v="0"/>
    <n v="101250"/>
    <n v="708750"/>
    <s v=""/>
    <m/>
    <s v="MESIN LABEL HARGA KENKO MX-5500 (8 DIGITS, 1 LINE)PCS40500"/>
  </r>
  <r>
    <x v="0"/>
    <s v="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53"/>
    <n v="7"/>
    <n v="3420000"/>
    <n v="427500"/>
    <n v="0"/>
    <n v="427500"/>
    <n v="2992500"/>
    <s v=""/>
    <m/>
    <s v="CUTTER 9 MM KENKO A-300 (KECIL)LSN5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080020"/>
    <d v="2023-08-16T00:00:00"/>
    <n v="16"/>
    <s v="G"/>
    <s v="3036"/>
    <s v="REJOAGUNG"/>
    <s v="AM 23080020"/>
    <s v="G 3036"/>
    <s v="LILY JULIAWATI (REJO AGUNG) JOMBANG"/>
    <n v="24"/>
    <s v="GRS"/>
    <n v="2"/>
    <s v="ISIJKPL05"/>
    <s v="ISI PENSIL 2B 0.5 MM JOYKO PL-05"/>
    <s v="ISI PENSIL 2B 0.5 MM JOYKO PL-05"/>
    <n v="176400"/>
    <n v="0.125"/>
    <m/>
    <n v="3704400"/>
    <s v="NOVI / CONDRO"/>
    <m/>
    <n v="61"/>
    <n v="2"/>
    <n v="4233600"/>
    <n v="529200"/>
    <n v="0"/>
    <n v="529200"/>
    <n v="3704400"/>
    <n v="8391600"/>
    <m/>
    <s v="ISI PENSIL 2B 0.5 MM JOYKO PL-05GRS176400"/>
  </r>
  <r>
    <x v="0"/>
    <s v=""/>
    <s v=""/>
    <m/>
    <m/>
    <m/>
    <m/>
    <s v=""/>
    <s v=" "/>
    <s v=""/>
    <n v="144"/>
    <s v="LSN"/>
    <n v="2"/>
    <s v="ISIJKPL11"/>
    <s v="ISI PENSIL 2B 2.0 MM JOYKO PL-11"/>
    <s v="ISI PENSIL 2B 2.0 MM JOYKO PL-11"/>
    <n v="37200"/>
    <n v="0.125"/>
    <m/>
    <n v="4687200"/>
    <m/>
    <m/>
    <n v="61"/>
    <n v="2"/>
    <n v="5356800"/>
    <n v="669600"/>
    <n v="0"/>
    <n v="669600"/>
    <n v="4687200"/>
    <s v=""/>
    <m/>
    <s v="ISI PENSIL 2B 2.0 MM JOYKO PL-11LSN37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080021"/>
    <d v="2023-08-16T00:00:00"/>
    <n v="16"/>
    <s v="KO"/>
    <s v="3033"/>
    <s v="BENDAN"/>
    <s v="AM 23080021"/>
    <s v="KO 3033"/>
    <s v="HARNOYO (BENDAN) PEKALONGAN"/>
    <n v="40"/>
    <s v="PAK"/>
    <n v="1"/>
    <s v="CLIKEN5"/>
    <s v="PAPER JUMBO CLIP KENKO NO. 5"/>
    <s v="PAPER JUMBO CLIP KENKO NO. 5"/>
    <n v="43000"/>
    <n v="0.14000000000000001"/>
    <m/>
    <n v="1479200"/>
    <s v="NOVI / CONDRO"/>
    <m/>
    <n v="64"/>
    <n v="2"/>
    <n v="1720000"/>
    <n v="240800.00000000003"/>
    <n v="0"/>
    <n v="240800.00000000003"/>
    <n v="1479200"/>
    <n v="1759904"/>
    <m/>
    <s v="PAPER JUMBO CLIP KENKO NO. 5PAK43000"/>
  </r>
  <r>
    <x v="0"/>
    <s v=""/>
    <s v=""/>
    <m/>
    <m/>
    <m/>
    <m/>
    <s v=""/>
    <s v=" "/>
    <s v=""/>
    <n v="2"/>
    <s v="LSN"/>
    <m/>
    <s v="GARKEN40CM"/>
    <s v="GARISAN BESI (STAINLESS STEEL) KENKO 40 CM"/>
    <s v="GARISAN BESI (STAINLESS STEEL) KENKO 40 CM"/>
    <n v="163200"/>
    <n v="0.14000000000000001"/>
    <m/>
    <n v="280704"/>
    <m/>
    <m/>
    <n v="64"/>
    <n v="2"/>
    <n v="326400"/>
    <n v="45696.000000000007"/>
    <n v="0"/>
    <n v="45696.000000000007"/>
    <n v="280704"/>
    <s v=""/>
    <m/>
    <s v="GARISAN BESI (STAINLESS STEEL) KENKO 40 CMLSN163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080022"/>
    <d v="2023-08-16T00:00:00"/>
    <n v="16"/>
    <s v="KO"/>
    <s v="3035"/>
    <s v="dwijaya"/>
    <s v="AM 23080022"/>
    <s v="KO 3035"/>
    <s v="CV DWI JAYA YOGYAKARTA"/>
    <n v="5"/>
    <s v="GRS"/>
    <n v="1"/>
    <s v="CLIKEN260"/>
    <s v="BINDER CLIP KENKO NO. 260"/>
    <s v="BINDER CLIP KENKO NO. 260"/>
    <n v="180000"/>
    <n v="0.1"/>
    <m/>
    <n v="810000"/>
    <s v="NOVI / CONDRO"/>
    <m/>
    <n v="67"/>
    <n v="4"/>
    <n v="900000"/>
    <n v="90000"/>
    <n v="0"/>
    <n v="90000"/>
    <n v="810000"/>
    <n v="2330100"/>
    <m/>
    <s v="BINDER CLIP KENKO NO. 260GRS180000"/>
  </r>
  <r>
    <x v="0"/>
    <s v=""/>
    <s v=""/>
    <m/>
    <m/>
    <m/>
    <m/>
    <s v=""/>
    <s v=" "/>
    <s v=""/>
    <n v="6"/>
    <s v="PCS"/>
    <m/>
    <s v="STAKENHD12N13"/>
    <s v="STAPLER HEAVY DUTY KENKO HD-12N/13"/>
    <s v="STAPLER HEAVY DUTY KENKO HD-12N/13"/>
    <n v="84000"/>
    <n v="0.1"/>
    <m/>
    <n v="453600"/>
    <m/>
    <m/>
    <n v="67"/>
    <n v="4"/>
    <n v="504000"/>
    <n v="50400"/>
    <n v="0"/>
    <n v="50400"/>
    <n v="453600"/>
    <s v=""/>
    <m/>
    <s v="STAPLER HEAVY DUTY KENKO HD-12N/13PCS84000"/>
  </r>
  <r>
    <x v="0"/>
    <s v=""/>
    <s v=""/>
    <m/>
    <m/>
    <m/>
    <m/>
    <s v=""/>
    <s v=" "/>
    <s v=""/>
    <n v="3"/>
    <s v="PCS"/>
    <m/>
    <s v="STAKENHD12N24"/>
    <s v="STAPLER HEAVY DUTY KENKO HD-12N/24"/>
    <s v="STAPLER HEAVY DUTY KENKO HD-12N/24"/>
    <n v="155000"/>
    <n v="0.1"/>
    <m/>
    <n v="418500"/>
    <m/>
    <m/>
    <n v="67"/>
    <n v="4"/>
    <n v="465000"/>
    <n v="46500"/>
    <n v="0"/>
    <n v="46500"/>
    <n v="418500"/>
    <s v=""/>
    <m/>
    <s v="STAPLER HEAVY DUTY KENKO HD-12N/24PCS155000"/>
  </r>
  <r>
    <x v="0"/>
    <s v=""/>
    <s v=""/>
    <m/>
    <m/>
    <m/>
    <m/>
    <s v=""/>
    <s v=" "/>
    <s v=""/>
    <n v="2"/>
    <s v="PCS"/>
    <m/>
    <s v="STAKENHD12L24"/>
    <s v="STAPLER HEAVY DUTY KENKO HD-12L/24"/>
    <s v="STAPLER HEAVY DUTY KENKO HD-12L/24"/>
    <n v="360000"/>
    <n v="0.1"/>
    <m/>
    <n v="648000"/>
    <m/>
    <m/>
    <n v="67"/>
    <n v="4"/>
    <n v="720000"/>
    <n v="72000"/>
    <n v="0"/>
    <n v="72000"/>
    <n v="648000"/>
    <s v=""/>
    <m/>
    <s v="STAPLER HEAVY DUTY KENKO HD-12L/24PCS360000"/>
  </r>
  <r>
    <x v="0"/>
    <s v="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080023"/>
    <d v="2023-08-18T00:00:00"/>
    <n v="18"/>
    <s v="KO"/>
    <s v="3047"/>
    <s v="ANUGERAH"/>
    <s v="AM 23080023"/>
    <s v="KO 3047"/>
    <s v="CV PELITA JAYA (ANUGERAH SEJAHTERA) PURWOKERTO"/>
    <n v="100"/>
    <s v="LSN"/>
    <n v="5"/>
    <s v="STAKENHD10"/>
    <s v="STAPLER KENKO HD-10"/>
    <s v="STAPLER KENKO HD-10"/>
    <n v="93000"/>
    <n v="0.13500000000000001"/>
    <m/>
    <n v="8044500"/>
    <s v="NOVI / CONDRO"/>
    <m/>
    <n v="72"/>
    <n v="1"/>
    <n v="9300000"/>
    <n v="1255500"/>
    <n v="0"/>
    <n v="1255500"/>
    <n v="8044500"/>
    <n v="8044500"/>
    <m/>
    <s v="STAPLER KENKO HD-10LSN93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080024"/>
    <d v="2023-08-18T00:00:00"/>
    <n v="18"/>
    <s v="G"/>
    <s v="3502"/>
    <s v="REJOAGUNG"/>
    <s v="AM 23080024"/>
    <s v="G 3502"/>
    <s v="LILY JULIAWATI (REJO AGUNG) JOMBANG"/>
    <n v="120"/>
    <s v="PCS"/>
    <n v="1"/>
    <s v="CALJKCC8CO"/>
    <s v="CALCULATOR JOYKO CC-8CO WARNA"/>
    <s v="CALCULATOR JOYKO CC-8CO WARNA"/>
    <n v="47000"/>
    <n v="0.125"/>
    <m/>
    <n v="4935000"/>
    <s v="NOVI / CONDRO"/>
    <m/>
    <n v="74"/>
    <n v="12"/>
    <n v="5640000"/>
    <n v="705000"/>
    <n v="0"/>
    <n v="705000"/>
    <n v="4935000"/>
    <n v="28812000"/>
    <m/>
    <s v="CALCULATOR JOYKO CC-8CO WARNAPCS47000"/>
  </r>
  <r>
    <x v="0"/>
    <s v=""/>
    <s v=""/>
    <m/>
    <m/>
    <m/>
    <m/>
    <s v=""/>
    <s v=" "/>
    <s v=""/>
    <n v="72"/>
    <s v="PCS"/>
    <n v="1"/>
    <m/>
    <s v=""/>
    <s v="BINDER NOTE JOYKO A5-TSAF-F511 (ANIMAL FACE) JK-F"/>
    <n v="15800"/>
    <n v="0.125"/>
    <m/>
    <n v="995400"/>
    <m/>
    <m/>
    <n v="74"/>
    <n v="12"/>
    <n v="1137600"/>
    <n v="142200"/>
    <n v="0"/>
    <n v="142200"/>
    <n v="995400"/>
    <s v=""/>
    <m/>
    <s v="BINDER NOTE JOYKO A5-TSAF-F511 (ANIMAL FACE) JK-FPCS15800"/>
  </r>
  <r>
    <x v="0"/>
    <s v=""/>
    <s v=""/>
    <m/>
    <m/>
    <m/>
    <m/>
    <s v=""/>
    <s v=" "/>
    <s v=""/>
    <n v="72"/>
    <s v="PCS"/>
    <n v="1"/>
    <m/>
    <s v=""/>
    <s v="BINDER NOTE JOYKO A5-TSAF-F512 (ANIMAL FACE) JK-F"/>
    <n v="15800"/>
    <n v="0.125"/>
    <m/>
    <n v="995400"/>
    <m/>
    <m/>
    <n v="74"/>
    <n v="12"/>
    <n v="1137600"/>
    <n v="142200"/>
    <n v="0"/>
    <n v="142200"/>
    <n v="995400"/>
    <s v=""/>
    <m/>
    <s v="BINDER NOTE JOYKO A5-TSAF-F512 (ANIMAL FACE) JK-FPCS15800"/>
  </r>
  <r>
    <x v="0"/>
    <s v=""/>
    <s v=""/>
    <m/>
    <m/>
    <m/>
    <m/>
    <s v=""/>
    <s v=" "/>
    <s v=""/>
    <n v="144"/>
    <s v="LSN"/>
    <n v="1"/>
    <s v="ISIJKPL10"/>
    <s v="ISI PENSIL 2B 2.0 MM JOYKO PL-10"/>
    <s v="ISI PENSIL 2B 2.0 MM JOYKO PL-10"/>
    <n v="19800"/>
    <n v="0.125"/>
    <m/>
    <n v="2494800"/>
    <m/>
    <m/>
    <n v="74"/>
    <n v="12"/>
    <n v="2851200"/>
    <n v="356400"/>
    <n v="0"/>
    <n v="356400"/>
    <n v="2494800"/>
    <s v=""/>
    <m/>
    <s v="ISI PENSIL 2B 2.0 MM JOYKO PL-10LSN19800"/>
  </r>
  <r>
    <x v="0"/>
    <s v=""/>
    <s v=""/>
    <m/>
    <m/>
    <m/>
    <m/>
    <s v=""/>
    <s v=" "/>
    <s v=""/>
    <n v="48"/>
    <s v="PCS"/>
    <n v="2"/>
    <s v="PUNJK85"/>
    <s v="PUNCH JOYKO 85"/>
    <s v="PUNCH JOYKO 85"/>
    <n v="40000"/>
    <n v="0.125"/>
    <m/>
    <n v="1680000"/>
    <m/>
    <m/>
    <n v="74"/>
    <n v="12"/>
    <n v="1920000"/>
    <n v="240000"/>
    <n v="0"/>
    <n v="240000"/>
    <n v="1680000"/>
    <s v=""/>
    <m/>
    <s v="PUNCH JOYKO 85PCS40000"/>
  </r>
  <r>
    <x v="0"/>
    <s v=""/>
    <s v=""/>
    <m/>
    <m/>
    <m/>
    <m/>
    <s v=""/>
    <s v=" "/>
    <s v=""/>
    <n v="288"/>
    <s v="LSN"/>
    <n v="2"/>
    <s v="PENJKGP237"/>
    <s v="GEL PEN JOYKO GP-237 X-TECH"/>
    <s v="GEL PEN JOYKO GP-237 X-TECH"/>
    <n v="43200"/>
    <n v="0.125"/>
    <m/>
    <n v="10886400"/>
    <m/>
    <m/>
    <n v="74"/>
    <n v="12"/>
    <n v="12441600"/>
    <n v="1555200"/>
    <n v="0"/>
    <n v="1555200"/>
    <n v="10886400"/>
    <s v=""/>
    <m/>
    <s v="GEL PEN JOYKO GP-237 X-TECHLSN43200"/>
  </r>
  <r>
    <x v="0"/>
    <s v=""/>
    <s v=""/>
    <m/>
    <m/>
    <m/>
    <m/>
    <s v=""/>
    <s v=" "/>
    <s v=""/>
    <n v="240"/>
    <s v="SET"/>
    <n v="1"/>
    <s v="KUAJKBR1"/>
    <s v="KUAS SET JOYKO BR-1"/>
    <s v="KUAS SET JOYKO BR-1"/>
    <n v="8800"/>
    <n v="0.125"/>
    <m/>
    <n v="1848000"/>
    <m/>
    <m/>
    <n v="74"/>
    <n v="12"/>
    <n v="2112000"/>
    <n v="264000"/>
    <n v="0"/>
    <n v="264000"/>
    <n v="1848000"/>
    <s v=""/>
    <m/>
    <s v="KUAS SET JOYKO BR-1SET8800"/>
  </r>
  <r>
    <x v="0"/>
    <s v=""/>
    <s v=""/>
    <m/>
    <m/>
    <m/>
    <m/>
    <s v=""/>
    <s v=" "/>
    <s v=""/>
    <n v="72"/>
    <s v="PCS"/>
    <n v="1"/>
    <m/>
    <s v=""/>
    <s v="BINDER NOTE JOYKO A5-TSBS-M376  (BASIC) -U"/>
    <n v="15800"/>
    <n v="0.125"/>
    <m/>
    <n v="995400"/>
    <m/>
    <m/>
    <n v="74"/>
    <n v="12"/>
    <n v="1137600"/>
    <n v="142200"/>
    <n v="0"/>
    <n v="142200"/>
    <n v="995400"/>
    <s v=""/>
    <m/>
    <s v="BINDER NOTE JOYKO A5-TSBS-M376  (BASIC) -UPCS15800"/>
  </r>
  <r>
    <x v="0"/>
    <s v=""/>
    <s v=""/>
    <m/>
    <m/>
    <m/>
    <m/>
    <s v=""/>
    <s v=" "/>
    <s v=""/>
    <n v="72"/>
    <s v="PCS"/>
    <n v="1"/>
    <m/>
    <s v=""/>
    <s v="BINDER NOTE JOYKO A5-TSCS-M432 (CLASSIC) - U"/>
    <n v="15800"/>
    <n v="0.125"/>
    <m/>
    <n v="995400"/>
    <m/>
    <m/>
    <n v="74"/>
    <n v="12"/>
    <n v="1137600"/>
    <n v="142200"/>
    <n v="0"/>
    <n v="142200"/>
    <n v="995400"/>
    <s v=""/>
    <m/>
    <s v="BINDER NOTE JOYKO A5-TSCS-M432 (CLASSIC) - UPCS15800"/>
  </r>
  <r>
    <x v="0"/>
    <s v=""/>
    <s v=""/>
    <m/>
    <m/>
    <m/>
    <m/>
    <s v=""/>
    <s v=" "/>
    <s v=""/>
    <n v="72"/>
    <s v="PCS"/>
    <n v="1"/>
    <m/>
    <s v=""/>
    <s v="BINDER NOTE JOYKO A5-TSUN-M473 (UNIVERSITY) - U"/>
    <n v="15800"/>
    <n v="0.125"/>
    <m/>
    <n v="995400"/>
    <m/>
    <m/>
    <n v="74"/>
    <n v="12"/>
    <n v="1137600"/>
    <n v="142200"/>
    <n v="0"/>
    <n v="142200"/>
    <n v="995400"/>
    <s v=""/>
    <m/>
    <s v="BINDER NOTE JOYKO A5-TSUN-M473 (UNIVERSITY) - UPCS15800"/>
  </r>
  <r>
    <x v="0"/>
    <s v=""/>
    <s v=""/>
    <m/>
    <m/>
    <m/>
    <m/>
    <s v=""/>
    <s v=" "/>
    <s v=""/>
    <n v="72"/>
    <s v="PCS"/>
    <n v="1"/>
    <m/>
    <s v=""/>
    <s v="BINDER NOTE JOYKO A5-TSTP-513 (TEMPORARY) - U"/>
    <n v="15800"/>
    <n v="0.125"/>
    <m/>
    <n v="995400"/>
    <m/>
    <m/>
    <n v="74"/>
    <n v="12"/>
    <n v="1137600"/>
    <n v="142200"/>
    <n v="0"/>
    <n v="142200"/>
    <n v="995400"/>
    <s v=""/>
    <m/>
    <s v="BINDER NOTE JOYKO A5-TSTP-513 (TEMPORARY) - UPCS15800"/>
  </r>
  <r>
    <x v="0"/>
    <s v=""/>
    <s v=""/>
    <m/>
    <m/>
    <m/>
    <m/>
    <s v=""/>
    <s v=" "/>
    <s v=""/>
    <n v="72"/>
    <s v="PCS"/>
    <n v="1"/>
    <m/>
    <s v=""/>
    <s v="BINDER NOTE JOYKO A5-TSED-M477 (ACADEMY) - U"/>
    <n v="15800"/>
    <n v="0.125"/>
    <m/>
    <n v="995400"/>
    <m/>
    <m/>
    <n v="74"/>
    <n v="12"/>
    <n v="1137600"/>
    <n v="142200"/>
    <n v="0"/>
    <n v="142200"/>
    <n v="995400"/>
    <s v=""/>
    <m/>
    <s v="BINDER NOTE JOYKO A5-TSED-M477 (ACADEMY) - UPCS15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080025"/>
    <d v="2023-08-22T00:00:00"/>
    <n v="22"/>
    <s v="KO"/>
    <s v="1585"/>
    <s v="rainbow"/>
    <s v="AM 23080025"/>
    <s v="KO 1585"/>
    <s v="CV RAINBOW NUSANTARA SIDOARJO"/>
    <n v="156"/>
    <s v="PC"/>
    <m/>
    <m/>
    <s v=""/>
    <s v="JANGKA (COMPASS SET) KENKO C-288 / MS-25"/>
    <n v="7500"/>
    <n v="0.14499999999999999"/>
    <m/>
    <n v="1000350"/>
    <s v="NOVI / YO"/>
    <m/>
    <n v="87"/>
    <n v="5"/>
    <n v="1170000"/>
    <n v="169650"/>
    <n v="0"/>
    <n v="169650"/>
    <n v="1000350"/>
    <n v="2879725.5"/>
    <m/>
    <s v="JANGKA (COMPASS SET) KENKO C-288 / MS-25PC7500"/>
  </r>
  <r>
    <x v="0"/>
    <s v=""/>
    <s v=""/>
    <m/>
    <m/>
    <m/>
    <m/>
    <s v=""/>
    <s v=" "/>
    <s v=""/>
    <n v="3"/>
    <s v="PC"/>
    <m/>
    <m/>
    <s v=""/>
    <s v="GARISAN BESI (STAINLESS STEEL) KENKO 100 CM / 1 M"/>
    <n v="43500"/>
    <n v="0.14499999999999999"/>
    <m/>
    <n v="111577.5"/>
    <m/>
    <m/>
    <n v="87"/>
    <n v="5"/>
    <n v="130500"/>
    <n v="18922.5"/>
    <n v="0"/>
    <n v="18922.5"/>
    <n v="111577.5"/>
    <s v=""/>
    <m/>
    <s v="GARISAN BESI (STAINLESS STEEL) KENKO 100 CM / 1 MPC43500"/>
  </r>
  <r>
    <x v="0"/>
    <s v=""/>
    <s v=""/>
    <m/>
    <m/>
    <m/>
    <m/>
    <s v=""/>
    <s v=" "/>
    <s v=""/>
    <n v="216"/>
    <s v="PC"/>
    <m/>
    <m/>
    <s v=""/>
    <s v="GARISAN BESI (STAINLESS STEEL) KENKO 15 CM"/>
    <n v="3150"/>
    <n v="0.14499999999999999"/>
    <m/>
    <n v="581742"/>
    <m/>
    <m/>
    <n v="87"/>
    <n v="5"/>
    <n v="680400"/>
    <n v="98658"/>
    <n v="0"/>
    <n v="98658"/>
    <n v="581742"/>
    <s v=""/>
    <m/>
    <s v="GARISAN BESI (STAINLESS STEEL) KENKO 15 CMPC3150"/>
  </r>
  <r>
    <x v="0"/>
    <s v=""/>
    <s v=""/>
    <m/>
    <m/>
    <m/>
    <m/>
    <s v=""/>
    <s v=" "/>
    <s v=""/>
    <n v="288"/>
    <s v="PC"/>
    <m/>
    <m/>
    <s v=""/>
    <s v="PUSH PIN KENKO PN-30"/>
    <n v="2750"/>
    <n v="0.14499999999999999"/>
    <m/>
    <n v="677160"/>
    <m/>
    <m/>
    <n v="87"/>
    <n v="5"/>
    <n v="792000"/>
    <n v="114839.99999999999"/>
    <n v="0"/>
    <n v="114839.99999999999"/>
    <n v="677160"/>
    <s v=""/>
    <m/>
    <s v="PUSH PIN KENKO PN-30PC2750"/>
  </r>
  <r>
    <x v="0"/>
    <s v=""/>
    <s v=""/>
    <m/>
    <m/>
    <m/>
    <m/>
    <s v=""/>
    <s v=" "/>
    <s v=""/>
    <n v="96"/>
    <s v="PC"/>
    <m/>
    <m/>
    <s v=""/>
    <s v="DATE STAMP KENKO D-4 (Cap Tanggal 4 Mm)"/>
    <n v="6200"/>
    <n v="0.14499999999999999"/>
    <m/>
    <n v="508896"/>
    <m/>
    <m/>
    <n v="87"/>
    <n v="5"/>
    <n v="595200"/>
    <n v="86304"/>
    <n v="0"/>
    <n v="86304"/>
    <n v="508896"/>
    <s v=""/>
    <m/>
    <s v="DATE STAMP KENKO D-4 (Cap Tanggal 4 Mm)PC6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080026"/>
    <d v="2023-08-23T00:00:00"/>
    <n v="23"/>
    <s v="KO"/>
    <s v="3516"/>
    <s v="BENDAN"/>
    <s v="AM 23080026"/>
    <s v="KO 3516"/>
    <s v="HARNOYO (BENDAN) PEKALONGAN"/>
    <n v="100"/>
    <s v="PAK"/>
    <n v="2"/>
    <s v="CLIKEN105"/>
    <s v="BINDER CLIP KENKO NO. 105"/>
    <s v="BINDER CLIP KENKO NO. 105"/>
    <n v="17000"/>
    <n v="0.14000000000000001"/>
    <m/>
    <n v="1462000"/>
    <s v="LENA / YO"/>
    <m/>
    <n v="93"/>
    <n v="1"/>
    <n v="1700000"/>
    <n v="238000.00000000003"/>
    <n v="0"/>
    <n v="238000.00000000003"/>
    <n v="1462000"/>
    <n v="1462000"/>
    <m/>
    <s v="BINDER CLIP KENKO NO. 105PAK1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080027"/>
    <d v="2023-08-23T00:00:00"/>
    <n v="23"/>
    <s v="KO"/>
    <s v="3520"/>
    <s v="ANUGERAH"/>
    <s v="AM 23080027"/>
    <s v="KO 3520"/>
    <s v="CV PELITA JAYA (ANUGERAH SEJAHTERA) PURWOKERTO"/>
    <n v="144"/>
    <s v="LS"/>
    <n v="2"/>
    <s v="TIPKENKE108"/>
    <s v="CORRECTION FLUID KENKO KE-108"/>
    <s v="CORRECTION FLUID KENKO KE-108"/>
    <n v="47100"/>
    <n v="0.13500000000000001"/>
    <m/>
    <n v="5866776"/>
    <s v="LENA / YO"/>
    <m/>
    <n v="95"/>
    <n v="1"/>
    <n v="6782400"/>
    <n v="915624.00000000012"/>
    <n v="0"/>
    <n v="915624.00000000012"/>
    <n v="5866776"/>
    <n v="5866776"/>
    <m/>
    <s v="CORRECTION FLUID KENKO KE-108LS471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3080028"/>
    <d v="2023-08-28T00:00:00"/>
    <n v="28"/>
    <s v="G"/>
    <s v="3589"/>
    <s v="REJOAGUNG"/>
    <s v="AM 23080028"/>
    <s v="G 3589"/>
    <s v="LILY JULIAWATI (REJO AGUNG) JOMBANG"/>
    <n v="80"/>
    <s v="PC"/>
    <n v="1"/>
    <m/>
    <s v=""/>
    <s v="CALCULATOR JOYKO CC-12CO"/>
    <n v="56000"/>
    <n v="0.125"/>
    <m/>
    <n v="3920000"/>
    <s v="NOVI / YO"/>
    <m/>
    <n v="97"/>
    <n v="2"/>
    <n v="4480000"/>
    <n v="560000"/>
    <n v="0"/>
    <n v="560000"/>
    <n v="3920000"/>
    <n v="11669000"/>
    <m/>
    <s v="CALCULATOR JOYKO CC-12COPC56000"/>
  </r>
  <r>
    <x v="0"/>
    <s v=""/>
    <s v=""/>
    <m/>
    <m/>
    <m/>
    <m/>
    <s v=""/>
    <s v=" "/>
    <s v=""/>
    <n v="60"/>
    <s v="LS"/>
    <n v="3"/>
    <m/>
    <s v=""/>
    <s v="CUTTER 18 MM KENKO L-500 (BESAR)"/>
    <n v="147600"/>
    <n v="0.125"/>
    <m/>
    <n v="7749000"/>
    <m/>
    <m/>
    <n v="97"/>
    <n v="2"/>
    <n v="8856000"/>
    <n v="1107000"/>
    <n v="0"/>
    <n v="1107000"/>
    <n v="7749000"/>
    <s v=""/>
    <m/>
    <s v="CUTTER 18 MM KENKO L-500 (BESAR)LS14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3080029"/>
    <d v="2023-08-24T00:00:00"/>
    <n v="24"/>
    <s v="KO"/>
    <s v="3572"/>
    <s v="dwijaya"/>
    <s v="AM 23080029"/>
    <s v="KO 3572"/>
    <s v="CV DWI JAYA YOGYAKARTA"/>
    <n v="6"/>
    <s v="LSN"/>
    <m/>
    <s v="TIPKENKE01"/>
    <s v="CORRECTION FLUID KENKO KE-01"/>
    <s v="CORRECTION FLUID KENKO KE-01"/>
    <n v="54300"/>
    <n v="0.1"/>
    <m/>
    <n v="293220"/>
    <s v="NOVI / CONDRO"/>
    <m/>
    <n v="100"/>
    <n v="8"/>
    <n v="325800"/>
    <n v="32580"/>
    <n v="0"/>
    <n v="32580"/>
    <n v="293220"/>
    <n v="3602340"/>
    <m/>
    <s v="CORRECTION FLUID KENKO KE-01LSN54300"/>
  </r>
  <r>
    <x v="0"/>
    <s v=""/>
    <s v=""/>
    <m/>
    <m/>
    <m/>
    <m/>
    <s v=""/>
    <s v=" "/>
    <s v=""/>
    <n v="6"/>
    <s v="LSN"/>
    <m/>
    <s v="TIPKENCT902"/>
    <s v="CORRECTION TAPE KENKO CT-902 (12M x 5MM)"/>
    <s v="CORRECTION TAPE KENKO CT-902 (12M x 5MM)"/>
    <n v="60000"/>
    <n v="0.1"/>
    <m/>
    <n v="324000"/>
    <m/>
    <m/>
    <n v="100"/>
    <n v="8"/>
    <n v="360000"/>
    <n v="36000"/>
    <n v="0"/>
    <n v="36000"/>
    <n v="324000"/>
    <s v=""/>
    <m/>
    <s v="CORRECTION TAPE KENKO CT-902 (12M x 5MM)LSN60000"/>
  </r>
  <r>
    <x v="0"/>
    <s v=""/>
    <s v=""/>
    <m/>
    <m/>
    <m/>
    <m/>
    <s v=""/>
    <s v=" "/>
    <s v=""/>
    <n v="12"/>
    <s v="LSN"/>
    <m/>
    <s v="PENKENK1HITAM"/>
    <s v="GEL PEN KENKO K-1 HITAM"/>
    <s v="GEL PEN KENKO K-1 HITAM"/>
    <n v="39600"/>
    <n v="0.1"/>
    <m/>
    <n v="427680"/>
    <m/>
    <m/>
    <n v="100"/>
    <n v="8"/>
    <n v="475200"/>
    <n v="47520"/>
    <n v="0"/>
    <n v="47520"/>
    <n v="427680"/>
    <s v=""/>
    <m/>
    <s v="GEL PEN KENKO K-1 HITAMLSN39600"/>
  </r>
  <r>
    <x v="0"/>
    <s v=""/>
    <s v=""/>
    <m/>
    <m/>
    <m/>
    <m/>
    <s v=""/>
    <s v=" "/>
    <s v=""/>
    <n v="12"/>
    <s v="LSN"/>
    <m/>
    <s v="PENKENKE303HITAM"/>
    <s v="GEL PEN KENKO KE-303 T-GEL TRIANGULAR HITAM"/>
    <s v="GEL PEN KENKO KE-303 T-GEL TRIANGULAR HITAM"/>
    <n v="21600"/>
    <n v="0.1"/>
    <m/>
    <n v="233280"/>
    <m/>
    <m/>
    <n v="100"/>
    <n v="8"/>
    <n v="259200"/>
    <n v="25920"/>
    <n v="0"/>
    <n v="25920"/>
    <n v="233280"/>
    <s v=""/>
    <m/>
    <s v="GEL PEN KENKO KE-303 T-GEL TRIANGULAR HITAMLSN21600"/>
  </r>
  <r>
    <x v="0"/>
    <s v=""/>
    <s v=""/>
    <m/>
    <m/>
    <m/>
    <m/>
    <s v=""/>
    <s v=" "/>
    <s v=""/>
    <n v="6"/>
    <s v="LSN"/>
    <m/>
    <s v="PUSKENPN30"/>
    <s v="PUSH PIN KENKO PN-30 WARNA"/>
    <s v="PUSH PIN KENKO PN-30"/>
    <n v="33000"/>
    <n v="0.1"/>
    <m/>
    <n v="178200"/>
    <m/>
    <m/>
    <n v="100"/>
    <n v="8"/>
    <n v="198000"/>
    <n v="19800"/>
    <n v="0"/>
    <n v="19800"/>
    <n v="178200"/>
    <s v=""/>
    <m/>
    <s v="PUSH PIN KENKO PN-30LSN33000"/>
  </r>
  <r>
    <x v="0"/>
    <s v=""/>
    <s v=""/>
    <m/>
    <m/>
    <m/>
    <m/>
    <s v=""/>
    <s v=" "/>
    <s v=""/>
    <n v="6"/>
    <s v="LSN"/>
    <m/>
    <s v="CLIKEN3100"/>
    <s v="PAPER CLIP WARNA KENKO 3100"/>
    <s v="PAPER CLIP WARNA KENKO 3100"/>
    <n v="41400"/>
    <n v="0.1"/>
    <m/>
    <n v="223560"/>
    <m/>
    <m/>
    <n v="100"/>
    <n v="8"/>
    <n v="248400"/>
    <n v="24840"/>
    <n v="0"/>
    <n v="24840"/>
    <n v="223560"/>
    <s v=""/>
    <m/>
    <s v="PAPER CLIP WARNA KENKO 3100LSN41400"/>
  </r>
  <r>
    <x v="0"/>
    <s v=""/>
    <s v=""/>
    <m/>
    <m/>
    <m/>
    <m/>
    <s v=""/>
    <s v=" "/>
    <s v=""/>
    <n v="2"/>
    <s v="LSN"/>
    <m/>
    <s v="DESKEN8312"/>
    <s v="DESK SET KENKO K-8312 ORGANIZER"/>
    <s v="DESK SET KENKO K-8312 ORGANIZER"/>
    <n v="348000"/>
    <n v="0.1"/>
    <m/>
    <n v="626400"/>
    <m/>
    <m/>
    <n v="100"/>
    <n v="8"/>
    <n v="696000"/>
    <n v="69600"/>
    <n v="0"/>
    <n v="69600"/>
    <n v="626400"/>
    <s v=""/>
    <m/>
    <s v="DESK SET KENKO K-8312 ORGANIZERLSN348000"/>
  </r>
  <r>
    <x v="0"/>
    <s v=""/>
    <s v=""/>
    <m/>
    <m/>
    <m/>
    <m/>
    <s v=""/>
    <s v=" "/>
    <s v=""/>
    <n v="50"/>
    <s v="GRS"/>
    <n v="1"/>
    <s v="CLIKEN105"/>
    <s v="BINDER CLIP KENKO NO. 105"/>
    <s v="BINDER CLIP KENKO NO. 105"/>
    <n v="28800"/>
    <n v="0.1"/>
    <m/>
    <n v="1296000"/>
    <m/>
    <m/>
    <n v="100"/>
    <n v="8"/>
    <n v="1440000"/>
    <n v="144000"/>
    <n v="0"/>
    <n v="144000"/>
    <n v="1296000"/>
    <s v=""/>
    <m/>
    <s v="BINDER CLIP KENKO NO. 105GRS28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3080030"/>
    <d v="2023-08-28T00:00:00"/>
    <n v="28"/>
    <s v="KO"/>
    <s v="3591"/>
    <s v="ANUGERAH"/>
    <s v="AM 23080030"/>
    <s v="KO 3591"/>
    <s v="CV PELITA JAYA (ANUGERAH SEJAHTERA) PURWOKERTO"/>
    <n v="48"/>
    <s v="LS"/>
    <n v="2"/>
    <m/>
    <s v=""/>
    <s v="PENSIL WARNA KENKO CP-12F CLASSIC (PANJANG)"/>
    <n v="124200"/>
    <n v="0.13500000000000001"/>
    <m/>
    <n v="5156784"/>
    <s v="NOVI / YO"/>
    <m/>
    <n v="109"/>
    <n v="2"/>
    <n v="5961600"/>
    <n v="804816"/>
    <n v="0"/>
    <n v="804816"/>
    <n v="5156784"/>
    <n v="6018324"/>
    <m/>
    <s v="PENSIL WARNA KENKO CP-12F CLASSIC (PANJANG)LS124200"/>
  </r>
  <r>
    <x v="0"/>
    <s v=""/>
    <s v=""/>
    <m/>
    <m/>
    <m/>
    <m/>
    <s v=""/>
    <s v=" "/>
    <s v=""/>
    <n v="10"/>
    <s v="LS"/>
    <m/>
    <m/>
    <s v=""/>
    <s v="STAMP PLATE DATER KENKO S-68 (Cap Lunas)"/>
    <n v="99600"/>
    <n v="0.13500000000000001"/>
    <m/>
    <n v="861540"/>
    <m/>
    <m/>
    <n v="109"/>
    <n v="2"/>
    <n v="996000"/>
    <n v="134460"/>
    <n v="0"/>
    <n v="134460"/>
    <n v="861540"/>
    <s v=""/>
    <m/>
    <s v="STAMP PLATE DATER KENKO S-68 (Cap Lunas)LS99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3080031"/>
    <d v="2023-08-29T00:00:00"/>
    <n v="29"/>
    <s v="KO"/>
    <s v="3599"/>
    <s v="nirmala"/>
    <s v="AM 23080031"/>
    <s v="KO 3599"/>
    <s v="CV SINAR CAHAYA NIRMALA BREBES"/>
    <n v="1"/>
    <s v="LSN"/>
    <m/>
    <s v="JANKENC288"/>
    <s v="JANGKA (COMPASS SET) KENKO C-288 / MS-25"/>
    <s v="JANGKA (COMPASS SET) KENKO C-288 / MS-25"/>
    <n v="90000"/>
    <n v="0.1"/>
    <m/>
    <n v="81000"/>
    <s v="NOVI / CONDRO"/>
    <m/>
    <n v="112"/>
    <n v="15"/>
    <n v="90000"/>
    <n v="9000"/>
    <n v="0"/>
    <n v="9000"/>
    <n v="81000"/>
    <n v="1690330"/>
    <m/>
    <s v="JANGKA (COMPASS SET) KENKO C-288 / MS-25lsn90000"/>
  </r>
  <r>
    <x v="0"/>
    <s v=""/>
    <s v=""/>
    <m/>
    <m/>
    <m/>
    <m/>
    <s v=""/>
    <s v=" "/>
    <s v=""/>
    <n v="1"/>
    <s v="GRS"/>
    <m/>
    <s v="PENKEN6393"/>
    <s v="PENSIL KENKO 2B-6393 FLUORESCENT"/>
    <s v="PENSIL KENKO 2B-6393 FLUORESCENT"/>
    <n v="120000"/>
    <n v="0.1"/>
    <m/>
    <n v="108000"/>
    <m/>
    <m/>
    <n v="112"/>
    <n v="15"/>
    <n v="120000"/>
    <n v="12000"/>
    <n v="0"/>
    <n v="12000"/>
    <n v="108000"/>
    <s v=""/>
    <m/>
    <s v="PENSIL KENKO 2B-6393 FLUORESCENTGRS120000"/>
  </r>
  <r>
    <x v="0"/>
    <s v=""/>
    <s v=""/>
    <m/>
    <m/>
    <m/>
    <m/>
    <s v=""/>
    <s v=" "/>
    <s v=""/>
    <n v="1"/>
    <s v="LSN"/>
    <m/>
    <s v="PUNKEN30NP"/>
    <e v="#N/A"/>
    <s v="PUNCH KENKO NO. 30NP"/>
    <n v="158400"/>
    <n v="0.1"/>
    <m/>
    <n v="142560"/>
    <m/>
    <m/>
    <n v="112"/>
    <n v="15"/>
    <n v="158400"/>
    <n v="15840"/>
    <n v="0"/>
    <n v="15840"/>
    <n v="142560"/>
    <s v=""/>
    <m/>
    <s v="PUNCH KENKO NO. 30NPLSN158400"/>
  </r>
  <r>
    <x v="0"/>
    <s v=""/>
    <s v=""/>
    <m/>
    <m/>
    <m/>
    <m/>
    <s v=""/>
    <s v=" "/>
    <s v=""/>
    <n v="3"/>
    <s v="LSN"/>
    <m/>
    <s v="PENJKGP218"/>
    <e v="#N/A"/>
    <s v="GEL PEN JOYKO GP-218"/>
    <n v="26400"/>
    <n v="0.1"/>
    <m/>
    <n v="71280"/>
    <m/>
    <m/>
    <n v="112"/>
    <n v="15"/>
    <n v="79200"/>
    <n v="7920"/>
    <n v="0"/>
    <n v="7920"/>
    <n v="71280"/>
    <s v=""/>
    <m/>
    <s v="GEL PEN JOYKO GP-218LSN26400"/>
  </r>
  <r>
    <x v="0"/>
    <s v=""/>
    <s v=""/>
    <m/>
    <m/>
    <m/>
    <m/>
    <s v=""/>
    <s v=" "/>
    <s v=""/>
    <n v="48"/>
    <s v="PCS"/>
    <m/>
    <s v="ISOKENBENING"/>
    <e v="#N/A"/>
    <s v="PLAKBAND BENING 80 M KENKO 48 MM RED CORE"/>
    <n v="10000"/>
    <n v="0.1"/>
    <m/>
    <n v="432000"/>
    <m/>
    <m/>
    <n v="112"/>
    <n v="15"/>
    <n v="480000"/>
    <n v="48000"/>
    <n v="0"/>
    <n v="48000"/>
    <n v="432000"/>
    <s v=""/>
    <m/>
    <s v="PLAKBAND BENING 80 M KENKO 48 MM RED COREPCS10000"/>
  </r>
  <r>
    <x v="0"/>
    <s v=""/>
    <s v=""/>
    <m/>
    <m/>
    <m/>
    <m/>
    <s v=""/>
    <s v=" "/>
    <s v=""/>
    <n v="1"/>
    <s v="LSN"/>
    <m/>
    <s v="ISOPOLARMN305"/>
    <s v="TAPE DISPENSER POLAR BEAR MN-305 @12pc"/>
    <s v="TAPE DISPENSER POLAR BEAR MN-305"/>
    <n v="120000"/>
    <m/>
    <m/>
    <n v="120000"/>
    <m/>
    <m/>
    <n v="112"/>
    <n v="15"/>
    <n v="120000"/>
    <n v="0"/>
    <n v="0"/>
    <n v="0"/>
    <n v="120000"/>
    <s v=""/>
    <m/>
    <s v="TAPE DISPENSER POLAR BEAR MN-305LSN120000"/>
  </r>
  <r>
    <x v="0"/>
    <s v=""/>
    <s v=""/>
    <m/>
    <m/>
    <m/>
    <m/>
    <s v=""/>
    <s v=" "/>
    <s v=""/>
    <n v="3"/>
    <s v="LSN"/>
    <m/>
    <s v="PENJKGP243"/>
    <s v="GEL PEN JOYKO GP-243 WHIZ GEL HITAM"/>
    <s v="GEL PEN JOYKO GP-243 WHIZ GEL HITAM"/>
    <n v="24600"/>
    <n v="0.1"/>
    <m/>
    <n v="66420"/>
    <m/>
    <m/>
    <n v="112"/>
    <n v="15"/>
    <n v="73800"/>
    <n v="7380"/>
    <n v="0"/>
    <n v="7380"/>
    <n v="66420"/>
    <s v=""/>
    <m/>
    <s v="GEL PEN JOYKO GP-243 WHIZ GEL HITAMLSN24600"/>
  </r>
  <r>
    <x v="0"/>
    <s v=""/>
    <s v=""/>
    <m/>
    <m/>
    <m/>
    <m/>
    <s v=""/>
    <s v=" "/>
    <s v=""/>
    <n v="1"/>
    <s v="LSN"/>
    <m/>
    <s v="PENJKBP288"/>
    <s v="BALLPEN JOYKO BP-288 QUACO 3 (4 WARNA)"/>
    <s v="BALLPEN JOYKO BP-288 QUACO 3 (4 WARNA)"/>
    <n v="42600"/>
    <n v="0.1"/>
    <m/>
    <n v="38340"/>
    <m/>
    <m/>
    <n v="112"/>
    <n v="15"/>
    <n v="42600"/>
    <n v="4260"/>
    <n v="0"/>
    <n v="4260"/>
    <n v="38340"/>
    <s v=""/>
    <m/>
    <s v="BALLPEN JOYKO BP-288 QUACO 3 (4 WARNA)LSN42600"/>
  </r>
  <r>
    <x v="0"/>
    <s v=""/>
    <s v=""/>
    <m/>
    <m/>
    <m/>
    <m/>
    <s v=""/>
    <s v=" "/>
    <s v=""/>
    <n v="1"/>
    <s v="LSN"/>
    <m/>
    <s v="STAKENHD10MP"/>
    <e v="#N/A"/>
    <s v="STAPLER KENKO HD-10MP (MINI PLASTIK)"/>
    <n v="67200"/>
    <n v="0.1"/>
    <m/>
    <n v="60480"/>
    <m/>
    <m/>
    <n v="112"/>
    <n v="15"/>
    <n v="67200"/>
    <n v="6720"/>
    <n v="0"/>
    <n v="6720"/>
    <n v="60480"/>
    <s v=""/>
    <m/>
    <s v="STAPLER KENKO HD-10MP (MINI PLASTIK)LSN67200"/>
  </r>
  <r>
    <x v="0"/>
    <s v=""/>
    <s v=""/>
    <m/>
    <m/>
    <m/>
    <m/>
    <s v=""/>
    <s v=" "/>
    <s v=""/>
    <n v="10"/>
    <s v="PCS"/>
    <m/>
    <s v="BKKASKWARTO"/>
    <s v="BUKU KAS KWARTO"/>
    <s v="BUKU KAS KWARTO"/>
    <n v="9500"/>
    <m/>
    <m/>
    <n v="95000"/>
    <m/>
    <m/>
    <n v="112"/>
    <n v="15"/>
    <n v="95000"/>
    <n v="0"/>
    <n v="0"/>
    <n v="0"/>
    <n v="95000"/>
    <s v=""/>
    <m/>
    <s v="BUKU KAS KWARTOPCS9500"/>
  </r>
  <r>
    <x v="0"/>
    <s v=""/>
    <s v=""/>
    <m/>
    <m/>
    <m/>
    <m/>
    <s v=""/>
    <s v=" "/>
    <s v=""/>
    <n v="10"/>
    <s v="PCS"/>
    <m/>
    <s v="BKKASFOLIO"/>
    <s v="BUKU KAS (FOLIO)"/>
    <s v="BUKU KAS FOLIO"/>
    <n v="18500"/>
    <m/>
    <m/>
    <n v="185000"/>
    <m/>
    <m/>
    <n v="112"/>
    <n v="15"/>
    <n v="185000"/>
    <n v="0"/>
    <n v="0"/>
    <n v="0"/>
    <n v="185000"/>
    <s v=""/>
    <m/>
    <s v="BUKU KAS FOLIOPCS18500"/>
  </r>
  <r>
    <x v="0"/>
    <s v=""/>
    <s v=""/>
    <m/>
    <m/>
    <m/>
    <m/>
    <s v=""/>
    <s v=" "/>
    <s v=""/>
    <n v="2"/>
    <s v="LSN"/>
    <m/>
    <s v="CLIKEN3100"/>
    <s v="PAPER CLIP WARNA KENKO 3100"/>
    <s v="PAPER CLIP WARNA KENKO 3100"/>
    <n v="41400"/>
    <n v="0.1"/>
    <m/>
    <n v="74520"/>
    <m/>
    <m/>
    <n v="112"/>
    <n v="15"/>
    <n v="82800"/>
    <n v="8280"/>
    <n v="0"/>
    <n v="8280"/>
    <n v="74520"/>
    <s v=""/>
    <m/>
    <s v="PAPER CLIP WARNA KENKO 3100LSN41400"/>
  </r>
  <r>
    <x v="0"/>
    <s v=""/>
    <s v=""/>
    <m/>
    <m/>
    <m/>
    <m/>
    <s v=""/>
    <s v=" "/>
    <s v=""/>
    <n v="2"/>
    <s v="GRS"/>
    <m/>
    <s v="CLIKEN105"/>
    <s v="BINDER CLIP KENKO NO. 105"/>
    <s v="BINDER CLIP KENKO NO. 105"/>
    <n v="28800"/>
    <n v="0.1"/>
    <m/>
    <n v="51840"/>
    <m/>
    <m/>
    <n v="112"/>
    <n v="15"/>
    <n v="57600"/>
    <n v="5760"/>
    <n v="0"/>
    <n v="5760"/>
    <n v="51840"/>
    <s v=""/>
    <m/>
    <s v="BINDER CLIP KENKO NO. 105GRS28800"/>
  </r>
  <r>
    <x v="0"/>
    <s v=""/>
    <s v=""/>
    <m/>
    <m/>
    <m/>
    <m/>
    <s v=""/>
    <s v=" "/>
    <s v=""/>
    <n v="2"/>
    <s v="LSN"/>
    <m/>
    <s v="LEMKENLG35"/>
    <s v="LEM CAIR 35 ML KENKO LG-35"/>
    <s v="LEM CAIR 35 ML KENKO LG-35"/>
    <n v="19800"/>
    <n v="0.1"/>
    <m/>
    <n v="35640"/>
    <m/>
    <m/>
    <n v="112"/>
    <n v="15"/>
    <n v="39600"/>
    <n v="3960"/>
    <n v="0"/>
    <n v="3960"/>
    <n v="35640"/>
    <s v=""/>
    <m/>
    <s v="LEM CAIR 35 ML KENKO LG-35LSN19800"/>
  </r>
  <r>
    <x v="0"/>
    <s v=""/>
    <s v=""/>
    <m/>
    <m/>
    <m/>
    <m/>
    <s v=""/>
    <s v=" "/>
    <s v=""/>
    <n v="25"/>
    <s v="PAK"/>
    <m/>
    <s v="LLJAB550"/>
    <s v="LOOSE LEAF JOYART B5-2670 (50S)"/>
    <s v="LOOSE LEAF JOYART B5-2670 (50S)"/>
    <n v="5700"/>
    <n v="0.1"/>
    <m/>
    <n v="128250"/>
    <m/>
    <m/>
    <n v="112"/>
    <n v="15"/>
    <n v="142500"/>
    <n v="14250"/>
    <n v="0"/>
    <n v="14250"/>
    <n v="128250"/>
    <s v=""/>
    <m/>
    <s v="LOOSE LEAF JOYART B5-2670 (50S)PAK57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3080032"/>
    <d v="2023-08-31T00:00:00"/>
    <n v="31"/>
    <s v="KO"/>
    <s v="3605"/>
    <s v="BENDAN"/>
    <s v="AM 23080032"/>
    <s v="KO 3605"/>
    <s v="HARNOYO (BENDAN) PEKALONGAN"/>
    <n v="20"/>
    <s v="LSN"/>
    <n v="1"/>
    <s v="CUTKENL500"/>
    <s v="CUTTER 18 MM KENKO L-500 (BESAR)"/>
    <s v="CUTTER 18 MM KENKO L-500 (BESAR)"/>
    <n v="147600"/>
    <n v="0.14000000000000001"/>
    <m/>
    <n v="2538720"/>
    <s v="NOVI / CONDRO"/>
    <m/>
    <n v="128"/>
    <n v="1"/>
    <n v="2952000"/>
    <n v="413280.00000000006"/>
    <n v="0"/>
    <n v="413280.00000000006"/>
    <n v="2538720"/>
    <n v="2538720"/>
    <m/>
    <s v="CUTTER 18 MM KENKO L-500 (BESAR)LSN14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3080033"/>
    <d v="2023-08-31T00:00:00"/>
    <n v="31"/>
    <s v="KO"/>
    <s v="3615"/>
    <s v="ANUGERAH"/>
    <s v="AM 23080033"/>
    <s v="KO 3615"/>
    <s v="CV PELITA JAYA (ANUGERAH SEJAHTERA) PURWOKERTO"/>
    <n v="36"/>
    <s v="BOX"/>
    <n v="1"/>
    <s v="lemken15gr"/>
    <s v="LEM STICK KENKO 15 GR (TANGGUNG) isi 20 pc"/>
    <s v="LEM STICK KENKO 15 GR (TANGGUNG) isi 20 pc"/>
    <n v="72000"/>
    <n v="0.13500000000000001"/>
    <m/>
    <n v="2242080"/>
    <s v="NOVI / CONDRO"/>
    <m/>
    <n v="130"/>
    <n v="3"/>
    <n v="2592000"/>
    <n v="349920"/>
    <n v="0"/>
    <n v="349920"/>
    <n v="2242080"/>
    <n v="19032768"/>
    <m/>
    <s v="LEM STICK KENKO 15 GR (TANGGUNG) isi 20 pcbox72000"/>
  </r>
  <r>
    <x v="0"/>
    <s v=""/>
    <s v=""/>
    <m/>
    <m/>
    <m/>
    <m/>
    <s v=""/>
    <s v=" "/>
    <s v=""/>
    <n v="48"/>
    <s v="LSN"/>
    <n v="2"/>
    <s v="pwjk12wpendek"/>
    <s v="PENSIL WARNA JOYKO CP-S12 MINI (PENDEK)"/>
    <s v="PENSIL WARNA JOYKO CP-S12 MINI (PENDEK)"/>
    <n v="80400"/>
    <n v="0.13500000000000001"/>
    <m/>
    <n v="3338208"/>
    <m/>
    <m/>
    <n v="130"/>
    <n v="3"/>
    <n v="3859200"/>
    <n v="520992.00000000006"/>
    <n v="0"/>
    <n v="520992.00000000006"/>
    <n v="3338208"/>
    <s v=""/>
    <m/>
    <s v="PENSIL WARNA JOYKO CP-S12 MINI (PENDEK)lsn80400"/>
  </r>
  <r>
    <x v="0"/>
    <s v=""/>
    <s v=""/>
    <m/>
    <m/>
    <m/>
    <m/>
    <s v=""/>
    <s v=" "/>
    <s v=""/>
    <n v="240"/>
    <s v="LSN"/>
    <n v="4"/>
    <s v="isikenbesar"/>
    <s v="ISI CUTTER 18 MM KENKO L-150 (BESAR)"/>
    <s v="ISI CUTTER 18 MM KENKO L-150 (BESAR)"/>
    <n v="64800"/>
    <n v="0.13500000000000001"/>
    <m/>
    <n v="13452480"/>
    <m/>
    <m/>
    <n v="130"/>
    <n v="3"/>
    <n v="15552000"/>
    <n v="2099520"/>
    <n v="0"/>
    <n v="2099520"/>
    <n v="13452480"/>
    <s v=""/>
    <m/>
    <s v="ISI CUTTER 18 MM KENKO L-150 (BESAR)lsn64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4"/>
    <n v="23080034"/>
    <d v="2023-08-31T00:00:00"/>
    <n v="31"/>
    <s v="KO"/>
    <s v="1591"/>
    <s v="LANCAR"/>
    <s v="AM 23080034"/>
    <s v="KO 1591"/>
    <s v="CV LANCAR JAYA SENTOSA MALANG"/>
    <n v="48"/>
    <s v="PCS"/>
    <n v="2"/>
    <s v="OPJK48W"/>
    <s v="CRAYON / OIL PASTEL JOYKO OP-48S PP CASE SEA WORLD"/>
    <s v="CRAYON / OIL PASTEL JOYKO OP-48S PP CASE SEA WORLD"/>
    <n v="58900"/>
    <n v="0.125"/>
    <m/>
    <n v="2473800"/>
    <s v="NOVI / CONDRO"/>
    <m/>
    <n v="134"/>
    <n v="3"/>
    <n v="2827200"/>
    <n v="353400"/>
    <n v="0"/>
    <n v="353400"/>
    <n v="2473800"/>
    <n v="10122000"/>
    <m/>
    <s v="CRAYON / OIL PASTEL JOYKO OP-48S PP CASE SEA WORLDPCS58900"/>
  </r>
  <r>
    <x v="0"/>
    <s v=""/>
    <s v=""/>
    <m/>
    <m/>
    <m/>
    <m/>
    <s v=""/>
    <s v=" "/>
    <s v=""/>
    <n v="48"/>
    <s v="PCS"/>
    <n v="2"/>
    <s v="OPJK55W"/>
    <s v="CRAYON / OIL PASTEL JOYKO OP-55S PP CASE SEA WORLD"/>
    <s v="CRAYON / OIL PASTEL JOYKO OP-55S PP CASE SEA WORLD"/>
    <n v="66900"/>
    <n v="0.125"/>
    <m/>
    <n v="2809800"/>
    <m/>
    <m/>
    <n v="134"/>
    <n v="3"/>
    <n v="3211200"/>
    <n v="401400"/>
    <n v="0"/>
    <n v="401400"/>
    <n v="2809800"/>
    <s v=""/>
    <m/>
    <s v="CRAYON / OIL PASTEL JOYKO OP-55S PP CASE SEA WORLDPCS66900"/>
  </r>
  <r>
    <x v="0"/>
    <s v=""/>
    <s v=""/>
    <m/>
    <m/>
    <m/>
    <m/>
    <s v=""/>
    <s v=" "/>
    <s v=""/>
    <n v="288"/>
    <s v="PCS"/>
    <n v="4"/>
    <s v="PWJK24WCP101"/>
    <s v="PENSIL WARNA JOYKO CP-101 (24W PANJANG)"/>
    <s v="PENSIL WARNA JOYKO CP-101 (24W PANJANG)"/>
    <n v="19200"/>
    <n v="0.125"/>
    <m/>
    <n v="4838400"/>
    <m/>
    <m/>
    <n v="134"/>
    <n v="3"/>
    <n v="5529600"/>
    <n v="691200"/>
    <n v="0"/>
    <n v="691200"/>
    <n v="4838400"/>
    <s v=""/>
    <m/>
    <s v="PENSIL WARNA JOYKO CP-101 (24W PANJANG)PCS19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5"/>
    <n v="23080035"/>
    <d v="2023-08-31T00:00:00"/>
    <n v="31"/>
    <s v="KO"/>
    <s v="3626"/>
    <s v="ANUGERAH"/>
    <s v="AM 23080035"/>
    <s v="KO 3626"/>
    <s v="CV PELITA JAYA (ANUGERAH SEJAHTERA) PURWOKERTO"/>
    <n v="60"/>
    <s v="LSN"/>
    <n v="1"/>
    <s v="ISIKENBESAR"/>
    <s v="ISI CUTTER 18 MM KENKO L-150 (BESAR)"/>
    <s v="ISI CUTTER 18 MM KENKO L-150 (BESAR)"/>
    <n v="64800"/>
    <n v="0.13500000000000001"/>
    <m/>
    <n v="3363120"/>
    <s v="NOVI / CONDRO"/>
    <m/>
    <n v="138"/>
    <n v="2"/>
    <n v="3888000"/>
    <n v="524880"/>
    <n v="0"/>
    <n v="524880"/>
    <n v="3363120"/>
    <n v="5941512"/>
    <m/>
    <s v="ISI CUTTER 18 MM KENKO L-150 (BESAR)LSN64800"/>
  </r>
  <r>
    <x v="0"/>
    <s v=""/>
    <s v=""/>
    <m/>
    <m/>
    <m/>
    <m/>
    <s v=""/>
    <s v=" "/>
    <s v=""/>
    <n v="24"/>
    <s v="LSN"/>
    <n v="1"/>
    <s v="PWKEN12WPANJANG"/>
    <s v="PENSIL WARNA KENKO CP-12F CLASSIC (PANJANG)"/>
    <s v="PENSIL WARNA KENKO CP-12F CLASSIC (PANJANG)"/>
    <n v="124200"/>
    <n v="0.13500000000000001"/>
    <m/>
    <n v="2578392"/>
    <m/>
    <m/>
    <n v="138"/>
    <n v="2"/>
    <n v="2980800"/>
    <n v="402408"/>
    <n v="0"/>
    <n v="402408"/>
    <n v="2578392"/>
    <s v=""/>
    <m/>
    <s v="PENSIL WARNA KENKO CP-12F CLASSIC (PANJANG)LSN124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6"/>
    <n v="23080036"/>
    <d v="2023-08-31T00:00:00"/>
    <n v="31"/>
    <s v="KO"/>
    <s v="3606"/>
    <s v="GANESHA"/>
    <s v="AM 23080036"/>
    <s v="KO 3606"/>
    <s v="CV GANESHA WONOSOBO"/>
    <n v="2"/>
    <s v="GRS"/>
    <m/>
    <s v="CLIKEN200"/>
    <s v="BINDER CLIP KENKO NO. 200"/>
    <s v="BINDER CLIP KENKO NO. 200"/>
    <n v="180000"/>
    <n v="0.1"/>
    <m/>
    <n v="324000"/>
    <s v="NOVI / CONDRO"/>
    <m/>
    <n v="141"/>
    <n v="7"/>
    <n v="360000"/>
    <n v="36000"/>
    <n v="0"/>
    <n v="36000"/>
    <n v="324000"/>
    <n v="1568700"/>
    <m/>
    <s v="BINDER CLIP KENKO NO. 200GRS180000"/>
  </r>
  <r>
    <x v="0"/>
    <s v=""/>
    <s v=""/>
    <m/>
    <m/>
    <m/>
    <m/>
    <s v=""/>
    <s v=" "/>
    <s v=""/>
    <n v="2"/>
    <s v="GRS"/>
    <m/>
    <s v="CLIKEN111"/>
    <s v="BINDER CLIP KENKO NO. 111"/>
    <s v="BINDER CLIP KENKO NO. 111"/>
    <n v="49200"/>
    <n v="0.1"/>
    <m/>
    <n v="88560"/>
    <m/>
    <m/>
    <n v="141"/>
    <n v="7"/>
    <n v="98400"/>
    <n v="9840"/>
    <n v="0"/>
    <n v="9840"/>
    <n v="88560"/>
    <s v=""/>
    <m/>
    <s v="BINDER CLIP KENKO NO. 111GRS49200"/>
  </r>
  <r>
    <x v="0"/>
    <s v=""/>
    <s v=""/>
    <m/>
    <m/>
    <m/>
    <m/>
    <s v=""/>
    <s v=" "/>
    <s v=""/>
    <n v="3"/>
    <s v="GRS"/>
    <m/>
    <s v="CLIKEN105"/>
    <s v="BINDER CLIP KENKO NO. 105"/>
    <s v="BINDER CLIP KENKO NO. 105"/>
    <n v="28800"/>
    <n v="0.1"/>
    <m/>
    <n v="77760"/>
    <m/>
    <m/>
    <n v="141"/>
    <n v="7"/>
    <n v="86400"/>
    <n v="8640"/>
    <n v="0"/>
    <n v="8640"/>
    <n v="77760"/>
    <s v=""/>
    <m/>
    <s v="BINDER CLIP KENKO NO. 105GRS28800"/>
  </r>
  <r>
    <x v="0"/>
    <s v=""/>
    <s v=""/>
    <m/>
    <m/>
    <m/>
    <m/>
    <s v=""/>
    <s v=" "/>
    <s v=""/>
    <n v="3"/>
    <s v="GRS"/>
    <m/>
    <s v="CLIKEN280"/>
    <s v="BINDER CLIP KENKO NO. 280"/>
    <s v="BINDER CLIP KENKO NO. 280"/>
    <n v="43000"/>
    <n v="0.1"/>
    <m/>
    <n v="116100"/>
    <m/>
    <m/>
    <n v="141"/>
    <n v="7"/>
    <n v="129000"/>
    <n v="12900"/>
    <n v="0"/>
    <n v="12900"/>
    <n v="116100"/>
    <s v=""/>
    <m/>
    <s v="BINDER CLIP KENKO NO. 280GRS43000"/>
  </r>
  <r>
    <x v="0"/>
    <s v=""/>
    <s v=""/>
    <m/>
    <m/>
    <m/>
    <m/>
    <s v=""/>
    <s v=" "/>
    <s v=""/>
    <n v="10"/>
    <s v="LSN"/>
    <m/>
    <s v="ISIKENKECIL"/>
    <s v="ISI CUTTER 9 MM KENKO A-100 (KECIL)"/>
    <s v="ISI CUTTER 9 MM KENKO A-100 (KECIL)"/>
    <n v="32400"/>
    <n v="0.1"/>
    <m/>
    <n v="291600"/>
    <m/>
    <m/>
    <n v="141"/>
    <n v="7"/>
    <n v="324000"/>
    <n v="32400"/>
    <n v="0"/>
    <n v="32400"/>
    <n v="291600"/>
    <s v=""/>
    <m/>
    <s v="ISI CUTTER 9 MM KENKO A-100 (KECIL)LSN32400"/>
  </r>
  <r>
    <x v="0"/>
    <s v=""/>
    <s v=""/>
    <m/>
    <m/>
    <m/>
    <m/>
    <s v=""/>
    <s v=" "/>
    <s v=""/>
    <n v="3"/>
    <s v="LSN"/>
    <m/>
    <s v="PENKENK1HITAM"/>
    <s v="GEL PEN KENKO K-1 HITAM"/>
    <s v="GEL PEN KENKO K-1 HITAM"/>
    <n v="39600"/>
    <n v="0.1"/>
    <m/>
    <n v="106920"/>
    <m/>
    <m/>
    <n v="141"/>
    <n v="7"/>
    <n v="118800"/>
    <n v="11880"/>
    <n v="0"/>
    <n v="11880"/>
    <n v="106920"/>
    <s v=""/>
    <m/>
    <s v="GEL PEN KENKO K-1 HITAMLSN39600"/>
  </r>
  <r>
    <x v="0"/>
    <s v=""/>
    <s v=""/>
    <m/>
    <m/>
    <m/>
    <m/>
    <s v=""/>
    <s v=" "/>
    <s v=""/>
    <n v="24"/>
    <s v="LSN"/>
    <m/>
    <s v="PENKENEASYHITAM"/>
    <s v="GEL PEN KENKO EASY GEL HITAM"/>
    <s v="GEL PEN KENKO EASY GEL HITAM"/>
    <n v="26100"/>
    <n v="0.1"/>
    <m/>
    <n v="563760"/>
    <m/>
    <m/>
    <n v="141"/>
    <n v="7"/>
    <n v="626400"/>
    <n v="62640"/>
    <n v="0"/>
    <n v="62640"/>
    <n v="563760"/>
    <s v=""/>
    <m/>
    <s v="GEL PEN KENKO EASY GEL HITAMLSN261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7"/>
    <n v="23080037"/>
    <d v="2023-08-31T00:00:00"/>
    <n v="31"/>
    <s v="KO"/>
    <s v="3620"/>
    <s v="CENTRAAL"/>
    <s v="AM 23080037"/>
    <s v="KO 3620"/>
    <s v="CV TRINITY CENTRAAL PURWOKERTO"/>
    <n v="5"/>
    <s v="GRS"/>
    <m/>
    <s v="ISIKENPL05"/>
    <s v="ISI PENSIL 2B 0.5 MM KENKO PL-05 HI-POLYMER"/>
    <s v="ISI PENSIL 2B 0.5 MM KENKO PL-05 HI-POLYMER"/>
    <n v="180000"/>
    <n v="0.125"/>
    <m/>
    <n v="787500"/>
    <s v="NOVI / CONDRO"/>
    <m/>
    <n v="149"/>
    <n v="1"/>
    <n v="900000"/>
    <n v="112500"/>
    <n v="0"/>
    <n v="112500"/>
    <n v="787500"/>
    <n v="787500"/>
    <m/>
    <s v="ISI PENSIL 2B 0.5 MM KENKO PL-05 HI-POLYMERGRS18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8"/>
    <n v="23080038"/>
    <d v="2023-08-31T00:00:00"/>
    <n v="31"/>
    <s v="KO"/>
    <s v="3046"/>
    <s v="WISUDA"/>
    <s v="AM 23080038"/>
    <s v="KO 3046"/>
    <s v="CV  WISUDA PURWOKERTO"/>
    <n v="10"/>
    <s v="LSN"/>
    <m/>
    <s v="PUSKENPN30"/>
    <s v="PUSH PIN KENKO PN-30 WARNA"/>
    <s v="PUSH PIN KENKO PN-30"/>
    <n v="33000"/>
    <n v="0.1"/>
    <m/>
    <n v="297000"/>
    <s v="NOVI / CONDRO"/>
    <m/>
    <n v="151"/>
    <n v="1"/>
    <n v="330000"/>
    <n v="33000"/>
    <n v="0"/>
    <n v="33000"/>
    <n v="297000"/>
    <n v="297000"/>
    <m/>
    <s v="PUSH PIN KENKO PN-30LSN33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9"/>
    <n v="23080039"/>
    <d v="2023-08-31T00:00:00"/>
    <n v="31"/>
    <s v="KO"/>
    <s v="1990"/>
    <s v="ARMADA"/>
    <s v="AM 23080039"/>
    <s v="KO 1990"/>
    <s v="SANTOSO BUDIONO (  ARMADA  ) PURWOKERTO"/>
    <n v="56"/>
    <s v="LSN"/>
    <m/>
    <s v="ISIKENBESAR"/>
    <s v="ISI CUTTER 18 MM KENKO L-150 (BESAR)"/>
    <s v="ISI CUTTER 18 MM KENKO L-150 (BESAR)"/>
    <n v="64800"/>
    <n v="0.13"/>
    <m/>
    <n v="3157056"/>
    <s v="NOVI / CONDRO"/>
    <m/>
    <n v="153"/>
    <n v="1"/>
    <n v="3628800"/>
    <n v="471744"/>
    <n v="0"/>
    <n v="471744"/>
    <n v="3157056"/>
    <n v="3157056"/>
    <m/>
    <s v="ISI CUTTER 18 MM KENKO L-150 (BESAR)LSN64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HIGHLIGHTER / STABILLO JOYKO HL-MIX PINK / ORANGE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PENSIL ZHONG HUA 6925-2B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SPIDOL PERMANEN KENKO KE-10 (KECIL)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45" firstHeaderRow="1" firstDataRow="1" firstDataCol="1"/>
  <pivotFields count="32">
    <pivotField axis="axisRow" showAll="0" sortType="ascending">
      <items count="71">
        <item x="1"/>
        <item x="2"/>
        <item x="3"/>
        <item x="4"/>
        <item x="5"/>
        <item x="6"/>
        <item x="7"/>
        <item m="1" x="54"/>
        <item m="1" x="57"/>
        <item x="8"/>
        <item m="1" x="62"/>
        <item x="9"/>
        <item m="1" x="63"/>
        <item x="10"/>
        <item m="1" x="66"/>
        <item m="1" x="68"/>
        <item x="11"/>
        <item m="1" x="41"/>
        <item x="12"/>
        <item m="1" x="43"/>
        <item x="13"/>
        <item m="1" x="44"/>
        <item x="14"/>
        <item m="1" x="45"/>
        <item m="1" x="61"/>
        <item m="1" x="46"/>
        <item x="15"/>
        <item m="1" x="47"/>
        <item x="16"/>
        <item x="17"/>
        <item m="1" x="48"/>
        <item m="1" x="49"/>
        <item x="18"/>
        <item x="19"/>
        <item m="1" x="58"/>
        <item x="20"/>
        <item x="21"/>
        <item x="22"/>
        <item m="1" x="53"/>
        <item m="1" x="69"/>
        <item x="23"/>
        <item x="24"/>
        <item m="1" x="64"/>
        <item m="1" x="51"/>
        <item x="25"/>
        <item m="1" x="65"/>
        <item m="1" x="52"/>
        <item m="1" x="67"/>
        <item x="26"/>
        <item m="1" x="55"/>
        <item x="27"/>
        <item m="1" x="40"/>
        <item x="28"/>
        <item x="29"/>
        <item m="1" x="60"/>
        <item x="30"/>
        <item x="31"/>
        <item m="1" x="42"/>
        <item m="1" x="59"/>
        <item x="32"/>
        <item x="33"/>
        <item m="1" x="56"/>
        <item x="34"/>
        <item x="35"/>
        <item x="36"/>
        <item x="37"/>
        <item x="38"/>
        <item x="39"/>
        <item x="0"/>
        <item n=" " m="1" x="50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9"/>
    </i>
    <i>
      <x v="11"/>
    </i>
    <i>
      <x v="13"/>
    </i>
    <i>
      <x v="16"/>
    </i>
    <i>
      <x v="18"/>
    </i>
    <i>
      <x v="20"/>
    </i>
    <i>
      <x v="22"/>
    </i>
    <i>
      <x v="26"/>
    </i>
    <i>
      <x v="28"/>
    </i>
    <i>
      <x v="29"/>
    </i>
    <i>
      <x v="32"/>
    </i>
    <i>
      <x v="33"/>
    </i>
    <i>
      <x v="35"/>
    </i>
    <i>
      <x v="36"/>
    </i>
    <i>
      <x v="37"/>
    </i>
    <i>
      <x v="40"/>
    </i>
    <i>
      <x v="41"/>
    </i>
    <i>
      <x v="44"/>
    </i>
    <i>
      <x v="48"/>
    </i>
    <i>
      <x v="50"/>
    </i>
    <i>
      <x v="52"/>
    </i>
    <i>
      <x v="53"/>
    </i>
    <i>
      <x v="55"/>
    </i>
    <i>
      <x v="56"/>
    </i>
    <i>
      <x v="59"/>
    </i>
    <i>
      <x v="60"/>
    </i>
    <i>
      <x v="62"/>
    </i>
    <i>
      <x v="63"/>
    </i>
    <i>
      <x v="64"/>
    </i>
    <i>
      <x v="65"/>
    </i>
    <i>
      <x v="66"/>
    </i>
    <i>
      <x v="67"/>
    </i>
    <i>
      <x v="68"/>
    </i>
    <i t="grand">
      <x/>
    </i>
  </rowItems>
  <colItems count="1">
    <i/>
  </colItems>
  <formats count="1">
    <format dxfId="70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72" totalsRowCount="1" headerRowDxfId="104" dataDxfId="103" totalsRowDxfId="102">
  <autoFilter ref="A2:AF271"/>
  <tableColumns count="32">
    <tableColumn id="16" name="//" dataDxfId="101" totalsRowDxfId="32">
      <calculatedColumnFormula>IF(Table1[[#This Row],[No. Invoice :]]="","",ROW())</calculatedColumnFormula>
    </tableColumn>
    <tableColumn id="18" name="h_No. Invoice :" dataDxfId="100" totalsRowDxfId="31">
      <calculatedColumnFormula>IF(Table1[h_Kode Sales :_1]="","",B$1+COUNT(INDIRECT("B$2:B"&amp;ROW()-1)))</calculatedColumnFormula>
    </tableColumn>
    <tableColumn id="2" name="Tgl Invoice :" dataDxfId="38" totalsRowDxfId="30">
      <calculatedColumnFormula>IF(Table1[[#This Row],[H_TGL]]="","",Table1[[#This Row],[H_TGL]]+C$1-1)</calculatedColumnFormula>
    </tableColumn>
    <tableColumn id="32" name="H_TGL" dataDxfId="99" totalsRowDxfId="29"/>
    <tableColumn id="17" name="h_Kode Sales :_1" dataDxfId="98" totalsRowDxfId="28"/>
    <tableColumn id="19" name="h_Kode Sales :_2" dataDxfId="97" totalsRowDxfId="27"/>
    <tableColumn id="20" name="h_toko" dataDxfId="96" totalsRowDxfId="26"/>
    <tableColumn id="1" name="No. Invoice :" dataDxfId="95" totalsRowDxfId="25">
      <calculatedColumnFormula>IF(Table1[[#This Row],[h_No. Invoice :]]="","",CONCATENATE("AM"," ",Table1[[#This Row],[h_No. Invoice :]]))</calculatedColumnFormula>
    </tableColumn>
    <tableColumn id="3" name="Kode Sales :" dataDxfId="94" totalsRowDxfId="24">
      <calculatedColumnFormula>CONCATENATE(UPPER(Table1[[#This Row],[h_Kode Sales :_1]])," ",Table1[[#This Row],[h_Kode Sales :_2]])</calculatedColumnFormula>
    </tableColumn>
    <tableColumn id="4" name="Toko" dataDxfId="93" totalsRowDxfId="23">
      <calculatedColumnFormula>IF(Table1[[#This Row],[h_toko]]="","",INDEX(Table2[e],IF(Table1[[#This Row],[h_toko]]="","",MATCH(Table1[[#This Row],[h_toko]],Table2[a],0)),))</calculatedColumnFormula>
    </tableColumn>
    <tableColumn id="5" name="Qty" dataDxfId="92" totalsRowDxfId="22"/>
    <tableColumn id="6" name="Unit" dataDxfId="91" totalsRowDxfId="21"/>
    <tableColumn id="7" name="C" dataDxfId="90" totalsRowDxfId="20"/>
    <tableColumn id="8" name="h_Item Description" dataDxfId="89" totalsRowDxfId="19"/>
    <tableColumn id="10" name="Column1" dataDxfId="88" totalsRowDxfId="18">
      <calculatedColumnFormula>IF(Table1[[#This Row],[h_Item Description]]="","",INDEX([1]!db[NB PAJAK],MATCH(Table1[[#This Row],[h_Item Description]],[1]!db[kode],0)))</calculatedColumnFormula>
    </tableColumn>
    <tableColumn id="9" name="Item Description" dataDxfId="87" totalsRowDxfId="17"/>
    <tableColumn id="11" name="Unit Price" dataDxfId="86" totalsRowDxfId="16"/>
    <tableColumn id="12" name="Disc 1" dataDxfId="85" totalsRowDxfId="15"/>
    <tableColumn id="13" name="Disc 2" dataDxfId="84" totalsRowDxfId="14"/>
    <tableColumn id="23" name="Amount" dataDxfId="83" totalsRowDxfId="13">
      <calculatedColumnFormula>Table1[[#This Row],[h_hargasetelahdiskon]]</calculatedColumnFormula>
    </tableColumn>
    <tableColumn id="14" name="pembuat nota :" dataDxfId="82" totalsRowDxfId="12"/>
    <tableColumn id="15" name="edited :" dataDxfId="81" totalsRowDxfId="11"/>
    <tableColumn id="21" name="h_id" dataDxfId="80" totalsRowDxfId="1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9" totalsRowDxfId="9">
      <calculatedColumnFormula>IF(Table1[[#This Row],[h_id]]="","",COUNTIF(Table1[h_id],Table1[[#This Row],[h_id]]))</calculatedColumnFormula>
    </tableColumn>
    <tableColumn id="24" name="h_hargasebelumdiskon" dataDxfId="78" totalsRowDxfId="8">
      <calculatedColumnFormula>IF(Table1[Item Description]="","",Table1[[#This Row],[Qty]]*Table1[[#This Row],[Unit Price]])</calculatedColumnFormula>
    </tableColumn>
    <tableColumn id="31" name="h_disc 1" dataDxfId="77" totalsRowDxfId="7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76" totalsRowDxfId="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75" totalsRowDxfId="5">
      <calculatedColumnFormula>IF(Table1[Item Description]="","",Table1[[#This Row],[h_disc 1]]+Table1[[#This Row],[h_disc 2]])</calculatedColumnFormula>
    </tableColumn>
    <tableColumn id="26" name="h_hargasetelahdiskon" dataDxfId="74" totalsRowDxfId="4">
      <calculatedColumnFormula>IF(Table1[Item Description]="","",Table1[[#This Row],[h_hargasebelumdiskon]]-Table1[[#This Row],[h_diskon]])</calculatedColumnFormula>
    </tableColumn>
    <tableColumn id="27" name="Total Invoice" dataDxfId="73" totalsRowDxfId="3">
      <calculatedColumnFormula>IF(Table1[//]="","",SUMIF(Table1[h_id],Table1[h_id],Table1[h_hargasetelahdiskon]))</calculatedColumnFormula>
    </tableColumn>
    <tableColumn id="28" name="KETERANGAN" dataDxfId="72" totalsRowDxfId="2"/>
    <tableColumn id="29" name="H_A1" dataDxfId="71" totalsRowDxfId="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69">
  <autoFilter ref="D4:P57"/>
  <tableColumns count="13">
    <tableColumn id="1" name="//" totalsRowLabel="Total" dataDxfId="68">
      <calculatedColumnFormula>IF(ROW()-(COUNTBLANK($D$1:$D$3)+1)&lt;=jNota,A5,"")</calculatedColumnFormula>
    </tableColumn>
    <tableColumn id="2" name="No. Invoice :" dataDxfId="67">
      <calculatedColumnFormula>IF(pajak[[#This Row],[//]]="","",INDEX(Table1[No. Invoice :],pajak[//]-offset))</calculatedColumnFormula>
    </tableColumn>
    <tableColumn id="3" name="Tgl Invoice :" dataDxfId="66">
      <calculatedColumnFormula>IF(pajak[[#This Row],[//]]="","",INDEX(Table1[Tgl Invoice :],pajak[//]-offset))</calculatedColumnFormula>
    </tableColumn>
    <tableColumn id="4" name="Kode Sales :" dataDxfId="65">
      <calculatedColumnFormula>IF(pajak[[#This Row],[//]]="","",INDEX(Table1[Kode Sales :],pajak[//]-offset))</calculatedColumnFormula>
    </tableColumn>
    <tableColumn id="5" name="Toko" dataDxfId="64">
      <calculatedColumnFormula>IF(pajak[[#This Row],[//]]="","",INDEX(Table1[Toko],pajak[//]-offset))</calculatedColumnFormula>
    </tableColumn>
    <tableColumn id="6" name="Total" totalsRowFunction="sum" dataDxfId="63" totalsRowDxfId="62">
      <calculatedColumnFormula>IF(pajak[[#This Row],[//]]="","",SUMIF(Table1[h_id],pajak[[#This Row],[//]],Table1[h_hargasebelumdiskon]))</calculatedColumnFormula>
    </tableColumn>
    <tableColumn id="7" name="Diskon" totalsRowFunction="sum" dataDxfId="61" totalsRowDxfId="60">
      <calculatedColumnFormula>IF(pajak[[#This Row],[//]]="","",SUMIF(Table1[h_id],pajak[[#This Row],[//]],Table1[h_diskon]))</calculatedColumnFormula>
    </tableColumn>
    <tableColumn id="8" name="Sub Total" totalsRowFunction="sum" dataDxfId="59" totalsRowDxfId="58">
      <calculatedColumnFormula>IF(pajak[[#This Row],[//]]="","",SUMIF(Table1[h_id],pajak[[#This Row],[//]],Table1[h_hargasetelahdiskon]))</calculatedColumnFormula>
    </tableColumn>
    <tableColumn id="9" name="PPN 11%" totalsRowFunction="sum" dataDxfId="57" totalsRowDxfId="56">
      <calculatedColumnFormula>IF(pajak[//]="","",pajak[[#This Row],[Sub Total]]/1.11*11%)</calculatedColumnFormula>
    </tableColumn>
    <tableColumn id="10" name="Total Invoice" totalsRowFunction="sum" dataDxfId="55" totalsRowDxfId="54">
      <calculatedColumnFormula>pajak[[#This Row],[Sub Total]]</calculatedColumnFormula>
    </tableColumn>
    <tableColumn id="14" name="pembuat nota" dataDxfId="53">
      <calculatedColumnFormula>IF(pajak[[#This Row],[//]]="","",INDEX(Table1[pembuat nota :],pajak[//]-offset))</calculatedColumnFormula>
    </tableColumn>
    <tableColumn id="15" name="edited" dataDxfId="52">
      <calculatedColumnFormula>IF(pajak[[#This Row],[//]]="","",IF(INDEX(Table1[edited :],pajak[//]-offset)="","",INDEX(Table1[edited :],pajak[//]-offset)))</calculatedColumnFormula>
    </tableColumn>
    <tableColumn id="12" name="4" dataDxfId="5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50">
  <autoFilter ref="R4:X57"/>
  <tableColumns count="7">
    <tableColumn id="8" name="AM" dataDxfId="49">
      <calculatedColumnFormula>Table4[[#Headers],[AM]]</calculatedColumnFormula>
    </tableColumn>
    <tableColumn id="2" name="---" dataDxfId="48">
      <calculatedColumnFormula>S$3+ROW()-5</calculatedColumnFormula>
    </tableColumn>
    <tableColumn id="7" name="No. Invoice :" dataDxfId="47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6">
      <calculatedColumnFormula>IF((INDEX(INDIRECT($3:$3),Table4[[#This Row],[No. Invoice :]]+$2:$2))=INDIRECT("pajak[@["&amp;Table4[#Headers]&amp;"]]"),1)</calculatedColumnFormula>
    </tableColumn>
    <tableColumn id="6" name="Tgl Invoice :" dataDxfId="45">
      <calculatedColumnFormula>IF((INDEX(INDIRECT($3:$3),Table4[[#This Row],[No. Invoice :]]+$2:$2))=INDIRECT("pajak[@["&amp;Table4[#Headers]&amp;"]]"),1)</calculatedColumnFormula>
    </tableColumn>
    <tableColumn id="4" name="Total Invoice" dataDxfId="44">
      <calculatedColumnFormula>IF((INDEX(INDIRECT($3:$3),Table4[[#This Row],[No. Invoice :]]+$2:$2))=INDIRECT("pajak[@["&amp;Table4[#Headers]&amp;"]]"),1)</calculatedColumnFormula>
    </tableColumn>
    <tableColumn id="3" name="pembuat nota" dataDxfId="43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2" totalsRowShown="0">
  <autoFilter ref="A2:E22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42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72"/>
  <sheetViews>
    <sheetView topLeftCell="E112" zoomScale="85" zoomScaleNormal="85" workbookViewId="0">
      <selection activeCell="V153" sqref="V153"/>
    </sheetView>
  </sheetViews>
  <sheetFormatPr defaultRowHeight="15" x14ac:dyDescent="0.25"/>
  <cols>
    <col min="1" max="1" width="4.7109375" style="280" customWidth="1"/>
    <col min="2" max="2" width="9.28515625" style="280" customWidth="1"/>
    <col min="3" max="3" width="10.85546875" style="281" customWidth="1"/>
    <col min="4" max="4" width="10.85546875" style="292" customWidth="1"/>
    <col min="5" max="5" width="6.7109375" style="280" customWidth="1"/>
    <col min="6" max="6" width="5.140625" style="282" customWidth="1"/>
    <col min="7" max="7" width="11.85546875" style="280" customWidth="1"/>
    <col min="8" max="8" width="12.5703125" style="280" customWidth="1"/>
    <col min="9" max="9" width="8" style="289" customWidth="1"/>
    <col min="10" max="10" width="50.85546875" style="280" customWidth="1"/>
    <col min="11" max="11" width="5.140625" style="280" customWidth="1"/>
    <col min="12" max="12" width="4.85546875" style="280" customWidth="1"/>
    <col min="13" max="13" width="3.140625" style="280" customWidth="1"/>
    <col min="14" max="14" width="24.42578125" style="280" customWidth="1"/>
    <col min="15" max="15" width="46.5703125" style="280" customWidth="1"/>
    <col min="16" max="16" width="52.42578125" style="280" customWidth="1"/>
    <col min="17" max="17" width="19.85546875" style="280" customWidth="1"/>
    <col min="18" max="18" width="7.140625" style="283" customWidth="1"/>
    <col min="19" max="19" width="7.140625" style="284" customWidth="1"/>
    <col min="20" max="20" width="14.28515625" style="284" customWidth="1"/>
    <col min="21" max="21" width="16.85546875" style="283" customWidth="1"/>
    <col min="22" max="22" width="15" style="280" customWidth="1"/>
    <col min="23" max="23" width="4.140625" style="280" customWidth="1"/>
    <col min="24" max="24" width="3.140625" style="280" customWidth="1"/>
    <col min="25" max="27" width="14.28515625" style="280" customWidth="1"/>
    <col min="28" max="28" width="13.28515625" style="283" customWidth="1"/>
    <col min="29" max="29" width="14.28515625" style="283" customWidth="1"/>
    <col min="30" max="30" width="25.5703125" style="283" customWidth="1"/>
    <col min="31" max="31" width="59.28515625" style="280" bestFit="1" customWidth="1"/>
    <col min="32" max="32" width="9.140625" style="280"/>
  </cols>
  <sheetData>
    <row r="1" spans="1:32" x14ac:dyDescent="0.25">
      <c r="A1" s="280" t="e">
        <f>cou</f>
        <v>#NAME?</v>
      </c>
      <c r="B1" s="280">
        <v>23080001</v>
      </c>
      <c r="C1" s="281">
        <v>45139</v>
      </c>
      <c r="I1" s="280"/>
      <c r="Q1" s="283"/>
      <c r="R1" s="284"/>
      <c r="T1" s="283"/>
      <c r="U1" s="280"/>
      <c r="Y1" s="283"/>
      <c r="Z1" s="283"/>
      <c r="AA1" s="283"/>
      <c r="AD1" s="280"/>
    </row>
    <row r="2" spans="1:32" x14ac:dyDescent="0.25">
      <c r="A2" s="280" t="s">
        <v>14</v>
      </c>
      <c r="B2" s="280" t="s">
        <v>30</v>
      </c>
      <c r="C2" s="285" t="s">
        <v>2</v>
      </c>
      <c r="D2" s="293" t="s">
        <v>120</v>
      </c>
      <c r="E2" s="280" t="s">
        <v>31</v>
      </c>
      <c r="F2" s="282" t="s">
        <v>32</v>
      </c>
      <c r="G2" s="280" t="s">
        <v>38</v>
      </c>
      <c r="H2" s="286" t="s">
        <v>1</v>
      </c>
      <c r="I2" s="286" t="s">
        <v>3</v>
      </c>
      <c r="J2" s="280" t="s">
        <v>4</v>
      </c>
      <c r="K2" s="280" t="s">
        <v>5</v>
      </c>
      <c r="L2" s="280" t="s">
        <v>6</v>
      </c>
      <c r="M2" s="280" t="s">
        <v>7</v>
      </c>
      <c r="N2" s="280" t="s">
        <v>83</v>
      </c>
      <c r="O2" s="280" t="s">
        <v>0</v>
      </c>
      <c r="P2" s="280" t="s">
        <v>8</v>
      </c>
      <c r="Q2" s="283" t="s">
        <v>9</v>
      </c>
      <c r="R2" s="284" t="s">
        <v>10</v>
      </c>
      <c r="S2" s="284" t="s">
        <v>11</v>
      </c>
      <c r="T2" s="283" t="s">
        <v>20</v>
      </c>
      <c r="U2" s="280" t="s">
        <v>12</v>
      </c>
      <c r="V2" s="280" t="s">
        <v>13</v>
      </c>
      <c r="W2" s="280" t="s">
        <v>40</v>
      </c>
      <c r="X2" s="280" t="s">
        <v>45</v>
      </c>
      <c r="Y2" s="283" t="s">
        <v>47</v>
      </c>
      <c r="Z2" s="283" t="s">
        <v>104</v>
      </c>
      <c r="AA2" s="283" t="s">
        <v>105</v>
      </c>
      <c r="AB2" s="283" t="s">
        <v>48</v>
      </c>
      <c r="AC2" s="283" t="s">
        <v>49</v>
      </c>
      <c r="AD2" s="280" t="s">
        <v>53</v>
      </c>
      <c r="AE2" s="280" t="s">
        <v>85</v>
      </c>
      <c r="AF2" s="280" t="s">
        <v>99</v>
      </c>
    </row>
    <row r="3" spans="1:32" x14ac:dyDescent="0.25">
      <c r="A3" s="287" t="str">
        <f ca="1">IF(Table1[[#This Row],[No. Invoice :]]="","",ROW())</f>
        <v/>
      </c>
      <c r="B3" s="287" t="str">
        <f ca="1">IF(Table1[h_Kode Sales :_1]="","",B$1+COUNT(INDIRECT("B$2:B"&amp;ROW()-1)))</f>
        <v/>
      </c>
      <c r="C3" s="281" t="str">
        <f>IF(Table1[[#This Row],[H_TGL]]="","",Table1[[#This Row],[H_TGL]]+C$1-1)</f>
        <v/>
      </c>
      <c r="H3" s="287" t="str">
        <f ca="1">IF(Table1[[#This Row],[h_No. Invoice :]]="","",CONCATENATE("AM"," ",Table1[[#This Row],[h_No. Invoice :]]))</f>
        <v/>
      </c>
      <c r="I3" s="288" t="str">
        <f>CONCATENATE(UPPER(Table1[[#This Row],[h_Kode Sales :_1]])," ",Table1[[#This Row],[h_Kode Sales :_2]])</f>
        <v xml:space="preserve"> </v>
      </c>
      <c r="J3" s="287" t="str">
        <f>IF(Table1[[#This Row],[h_toko]]="","",INDEX(Table2[e],IF(Table1[[#This Row],[h_toko]]="","",MATCH(Table1[[#This Row],[h_toko]],Table2[a],0)),))</f>
        <v/>
      </c>
      <c r="O3" s="287" t="str">
        <f>IF(Table1[[#This Row],[h_Item Description]]="","",INDEX([1]!db[NB PAJAK],MATCH(Table1[[#This Row],[h_Item Description]],[1]!db[kode],0)))</f>
        <v/>
      </c>
      <c r="Q3" s="283"/>
      <c r="R3" s="284"/>
      <c r="T3" s="283" t="str">
        <f>Table1[[#This Row],[h_hargasetelahdiskon]]</f>
        <v/>
      </c>
      <c r="W3" s="287" t="str">
        <f ca="1">IF(Table1[[#This Row],[Item Description]]="","",IF(Table1[[#This Row],[//]]="",INDIRECT(ADDRESS(ROW()-1,COLUMN())),Table1[[#This Row],[//]]))</f>
        <v/>
      </c>
      <c r="X3" s="287" t="str">
        <f ca="1">IF(Table1[[#This Row],[h_id]]="","",COUNTIF(Table1[h_id],Table1[[#This Row],[h_id]]))</f>
        <v/>
      </c>
      <c r="Y3" s="283" t="str">
        <f>IF(Table1[Item Description]="","",Table1[[#This Row],[Qty]]*Table1[[#This Row],[Unit Price]])</f>
        <v/>
      </c>
      <c r="Z3" s="283" t="str">
        <f>IF(Table1[[#This Row],[h_hargasebelumdiskon]]="","",IF(Table1[[#This Row],[Disc 1]]="",0,Table1[[#This Row],[h_hargasebelumdiskon]]*Table1[[#This Row],[Disc 1]]))</f>
        <v/>
      </c>
      <c r="AA3" s="283" t="str">
        <f>IF(Table1[[#This Row],[h_hargasebelumdiskon]]="","",IF(Table1[[#This Row],[Disc 2]]="",0,(Table1[[#This Row],[h_hargasebelumdiskon]]-Table1[[#This Row],[h_disc 1]])*Table1[[#This Row],[Disc 2]]))</f>
        <v/>
      </c>
      <c r="AB3" s="283" t="str">
        <f>IF(Table1[Item Description]="","",Table1[[#This Row],[h_disc 1]]+Table1[[#This Row],[h_disc 2]])</f>
        <v/>
      </c>
      <c r="AC3" s="283" t="str">
        <f>IF(Table1[Item Description]="","",Table1[[#This Row],[h_hargasebelumdiskon]]-Table1[[#This Row],[h_diskon]])</f>
        <v/>
      </c>
      <c r="AD3" s="283" t="str">
        <f ca="1">IF(Table1[//]="","",SUMIF(Table1[h_id],Table1[h_id],Table1[h_hargasetelahdiskon]))</f>
        <v/>
      </c>
      <c r="AE3" s="283"/>
      <c r="AF3" s="283" t="str">
        <f>Table1[[#This Row],[Item Description]]&amp;Table1[[#This Row],[Unit]]&amp;Table1[[#This Row],[Unit Price]]</f>
        <v/>
      </c>
    </row>
    <row r="4" spans="1:32" x14ac:dyDescent="0.25">
      <c r="A4" s="287">
        <f ca="1">IF(Table1[[#This Row],[No. Invoice :]]="","",ROW())</f>
        <v>4</v>
      </c>
      <c r="B4" s="287">
        <f ca="1">IF(Table1[h_Kode Sales :_1]="","",B$1+COUNT(INDIRECT("B$2:B"&amp;ROW()-1)))</f>
        <v>23080001</v>
      </c>
      <c r="C4" s="281">
        <f>IF(Table1[[#This Row],[H_TGL]]="","",Table1[[#This Row],[H_TGL]]+C$1-1)</f>
        <v>45140</v>
      </c>
      <c r="D4" s="292">
        <v>2</v>
      </c>
      <c r="E4" s="280" t="s">
        <v>128</v>
      </c>
      <c r="F4" s="282" t="s">
        <v>129</v>
      </c>
      <c r="G4" s="280" t="s">
        <v>42</v>
      </c>
      <c r="H4" s="287" t="str">
        <f ca="1">IF(Table1[[#This Row],[h_No. Invoice :]]="","",CONCATENATE("AM"," ",Table1[[#This Row],[h_No. Invoice :]]))</f>
        <v>AM 23080001</v>
      </c>
      <c r="I4" s="288" t="str">
        <f>CONCATENATE(UPPER(Table1[[#This Row],[h_Kode Sales :_1]])," ",Table1[[#This Row],[h_Kode Sales :_2]])</f>
        <v>KO 1822</v>
      </c>
      <c r="J4" s="287" t="str">
        <f>IF(Table1[[#This Row],[h_toko]]="","",INDEX(Table2[e],IF(Table1[[#This Row],[h_toko]]="","",MATCH(Table1[[#This Row],[h_toko]],Table2[a],0)),))</f>
        <v>CV TRINITY CENTRAAL PURWOKERTO</v>
      </c>
      <c r="K4" s="280">
        <v>15</v>
      </c>
      <c r="L4" s="280" t="s">
        <v>130</v>
      </c>
      <c r="N4" s="280" t="s">
        <v>131</v>
      </c>
      <c r="O4" s="287" t="str">
        <f>IF(Table1[[#This Row],[h_Item Description]]="","",INDEX([1]!db[NB PAJAK],MATCH(Table1[[#This Row],[h_Item Description]],[1]!db[kode],0)))</f>
        <v>KARTU STOCK FOLIO PUTIH</v>
      </c>
      <c r="P4" s="287" t="s">
        <v>132</v>
      </c>
      <c r="Q4" s="283">
        <v>38000</v>
      </c>
      <c r="R4" s="284"/>
      <c r="T4" s="283">
        <f>Table1[[#This Row],[h_hargasetelahdiskon]]</f>
        <v>570000</v>
      </c>
      <c r="U4" s="283" t="s">
        <v>133</v>
      </c>
      <c r="W4" s="287">
        <f ca="1">IF(Table1[[#This Row],[Item Description]]="","",IF(Table1[[#This Row],[//]]="",INDIRECT(ADDRESS(ROW()-1,COLUMN())),Table1[[#This Row],[//]]))</f>
        <v>4</v>
      </c>
      <c r="X4" s="287">
        <f ca="1">IF(Table1[[#This Row],[h_id]]="","",COUNTIF(Table1[h_id],Table1[[#This Row],[h_id]]))</f>
        <v>1</v>
      </c>
      <c r="Y4" s="283">
        <f>IF(Table1[Item Description]="","",Table1[[#This Row],[Qty]]*Table1[[#This Row],[Unit Price]])</f>
        <v>570000</v>
      </c>
      <c r="Z4" s="283">
        <f>IF(Table1[[#This Row],[h_hargasebelumdiskon]]="","",IF(Table1[[#This Row],[Disc 1]]="",0,Table1[[#This Row],[h_hargasebelumdiskon]]*Table1[[#This Row],[Disc 1]]))</f>
        <v>0</v>
      </c>
      <c r="AA4" s="283">
        <f>IF(Table1[[#This Row],[h_hargasebelumdiskon]]="","",IF(Table1[[#This Row],[Disc 2]]="",0,(Table1[[#This Row],[h_hargasebelumdiskon]]-Table1[[#This Row],[h_disc 1]])*Table1[[#This Row],[Disc 2]]))</f>
        <v>0</v>
      </c>
      <c r="AB4" s="283">
        <f>IF(Table1[Item Description]="","",Table1[[#This Row],[h_disc 1]]+Table1[[#This Row],[h_disc 2]])</f>
        <v>0</v>
      </c>
      <c r="AC4" s="283">
        <f>IF(Table1[Item Description]="","",Table1[[#This Row],[h_hargasebelumdiskon]]-Table1[[#This Row],[h_diskon]])</f>
        <v>570000</v>
      </c>
      <c r="AD4" s="283">
        <f ca="1">IF(Table1[//]="","",SUMIF(Table1[h_id],Table1[h_id],Table1[h_hargasetelahdiskon]))</f>
        <v>570000</v>
      </c>
      <c r="AE4" s="283"/>
      <c r="AF4" s="283" t="str">
        <f>Table1[[#This Row],[Item Description]]&amp;Table1[[#This Row],[Unit]]&amp;Table1[[#This Row],[Unit Price]]</f>
        <v>KARTU STOCK FOLIO MIX (biru, putih, pink)PAK38000</v>
      </c>
    </row>
    <row r="5" spans="1:32" x14ac:dyDescent="0.25">
      <c r="A5" s="287" t="str">
        <f ca="1">IF(Table1[[#This Row],[No. Invoice :]]="","",ROW())</f>
        <v/>
      </c>
      <c r="B5" s="287" t="str">
        <f ca="1">IF(Table1[h_Kode Sales :_1]="","",B$1+COUNT(INDIRECT("B$2:B"&amp;ROW()-1)))</f>
        <v/>
      </c>
      <c r="C5" s="281" t="str">
        <f>IF(Table1[[#This Row],[H_TGL]]="","",Table1[[#This Row],[H_TGL]]+C$1-1)</f>
        <v/>
      </c>
      <c r="H5" s="287" t="str">
        <f ca="1">IF(Table1[[#This Row],[h_No. Invoice :]]="","",CONCATENATE("AM"," ",Table1[[#This Row],[h_No. Invoice :]]))</f>
        <v/>
      </c>
      <c r="I5" s="288" t="str">
        <f>CONCATENATE(UPPER(Table1[[#This Row],[h_Kode Sales :_1]])," ",Table1[[#This Row],[h_Kode Sales :_2]])</f>
        <v xml:space="preserve"> </v>
      </c>
      <c r="J5" s="287" t="str">
        <f>IF(Table1[[#This Row],[h_toko]]="","",INDEX(Table2[e],IF(Table1[[#This Row],[h_toko]]="","",MATCH(Table1[[#This Row],[h_toko]],Table2[a],0)),))</f>
        <v/>
      </c>
      <c r="O5" s="287" t="str">
        <f>IF(Table1[[#This Row],[h_Item Description]]="","",INDEX([1]!db[NB PAJAK],MATCH(Table1[[#This Row],[h_Item Description]],[1]!db[kode],0)))</f>
        <v/>
      </c>
      <c r="Q5" s="283"/>
      <c r="R5" s="284"/>
      <c r="T5" s="283" t="str">
        <f>Table1[[#This Row],[h_hargasetelahdiskon]]</f>
        <v/>
      </c>
      <c r="W5" s="287" t="str">
        <f ca="1">IF(Table1[[#This Row],[Item Description]]="","",IF(Table1[[#This Row],[//]]="",INDIRECT(ADDRESS(ROW()-1,COLUMN())),Table1[[#This Row],[//]]))</f>
        <v/>
      </c>
      <c r="X5" s="287" t="str">
        <f ca="1">IF(Table1[[#This Row],[h_id]]="","",COUNTIF(Table1[h_id],Table1[[#This Row],[h_id]]))</f>
        <v/>
      </c>
      <c r="Y5" s="283" t="str">
        <f>IF(Table1[Item Description]="","",Table1[[#This Row],[Qty]]*Table1[[#This Row],[Unit Price]])</f>
        <v/>
      </c>
      <c r="Z5" s="283" t="str">
        <f>IF(Table1[[#This Row],[h_hargasebelumdiskon]]="","",IF(Table1[[#This Row],[Disc 1]]="",0,Table1[[#This Row],[h_hargasebelumdiskon]]*Table1[[#This Row],[Disc 1]]))</f>
        <v/>
      </c>
      <c r="AA5" s="283" t="str">
        <f>IF(Table1[[#This Row],[h_hargasebelumdiskon]]="","",IF(Table1[[#This Row],[Disc 2]]="",0,(Table1[[#This Row],[h_hargasebelumdiskon]]-Table1[[#This Row],[h_disc 1]])*Table1[[#This Row],[Disc 2]]))</f>
        <v/>
      </c>
      <c r="AB5" s="283" t="str">
        <f>IF(Table1[Item Description]="","",Table1[[#This Row],[h_disc 1]]+Table1[[#This Row],[h_disc 2]])</f>
        <v/>
      </c>
      <c r="AC5" s="283" t="str">
        <f>IF(Table1[Item Description]="","",Table1[[#This Row],[h_hargasebelumdiskon]]-Table1[[#This Row],[h_diskon]])</f>
        <v/>
      </c>
      <c r="AD5" s="283" t="str">
        <f ca="1">IF(Table1[//]="","",SUMIF(Table1[h_id],Table1[h_id],Table1[h_hargasetelahdiskon]))</f>
        <v/>
      </c>
      <c r="AE5" s="283"/>
      <c r="AF5" s="283" t="str">
        <f>Table1[[#This Row],[Item Description]]&amp;Table1[[#This Row],[Unit]]&amp;Table1[[#This Row],[Unit Price]]</f>
        <v/>
      </c>
    </row>
    <row r="6" spans="1:32" x14ac:dyDescent="0.25">
      <c r="A6" s="287">
        <f ca="1">IF(Table1[[#This Row],[No. Invoice :]]="","",ROW())</f>
        <v>6</v>
      </c>
      <c r="B6" s="287">
        <f ca="1">IF(Table1[h_Kode Sales :_1]="","",B$1+COUNT(INDIRECT("B$2:B"&amp;ROW()-1)))</f>
        <v>23080002</v>
      </c>
      <c r="C6" s="281">
        <f>IF(Table1[[#This Row],[H_TGL]]="","",Table1[[#This Row],[H_TGL]]+C$1-1)</f>
        <v>45141</v>
      </c>
      <c r="D6" s="292">
        <v>3</v>
      </c>
      <c r="E6" s="280" t="s">
        <v>135</v>
      </c>
      <c r="F6" s="282" t="s">
        <v>134</v>
      </c>
      <c r="G6" s="280" t="s">
        <v>93</v>
      </c>
      <c r="H6" s="287" t="str">
        <f ca="1">IF(Table1[[#This Row],[h_No. Invoice :]]="","",CONCATENATE("AM"," ",Table1[[#This Row],[h_No. Invoice :]]))</f>
        <v>AM 23080002</v>
      </c>
      <c r="I6" s="288" t="str">
        <f>CONCATENATE(UPPER(Table1[[#This Row],[h_Kode Sales :_1]])," ",Table1[[#This Row],[h_Kode Sales :_2]])</f>
        <v>G 2692</v>
      </c>
      <c r="J6" s="287" t="str">
        <f>IF(Table1[[#This Row],[h_toko]]="","",INDEX(Table2[e],IF(Table1[[#This Row],[h_toko]]="","",MATCH(Table1[[#This Row],[h_toko]],Table2[a],0)),))</f>
        <v>LILY JULIAWATI (REJO AGUNG) JOMBANG</v>
      </c>
      <c r="K6" s="280">
        <v>12</v>
      </c>
      <c r="L6" s="280" t="s">
        <v>136</v>
      </c>
      <c r="M6" s="280">
        <v>2</v>
      </c>
      <c r="N6" s="280" t="s">
        <v>137</v>
      </c>
      <c r="O6" s="287" t="str">
        <f>IF(Table1[[#This Row],[h_Item Description]]="","",INDEX([1]!db[NB PAJAK],MATCH(Table1[[#This Row],[h_Item Description]],[1]!db[kode],0)))</f>
        <v>STAPLER HEAVY DUTY JOYKO HD-12N/24</v>
      </c>
      <c r="P6" s="280" t="s">
        <v>138</v>
      </c>
      <c r="Q6" s="283">
        <v>187000</v>
      </c>
      <c r="R6" s="284">
        <v>0.125</v>
      </c>
      <c r="T6" s="283">
        <f>Table1[[#This Row],[h_hargasetelahdiskon]]</f>
        <v>1963500</v>
      </c>
      <c r="U6" s="283" t="s">
        <v>133</v>
      </c>
      <c r="W6" s="287">
        <f ca="1">IF(Table1[[#This Row],[Item Description]]="","",IF(Table1[[#This Row],[//]]="",INDIRECT(ADDRESS(ROW()-1,COLUMN())),Table1[[#This Row],[//]]))</f>
        <v>6</v>
      </c>
      <c r="X6" s="287">
        <f ca="1">IF(Table1[[#This Row],[h_id]]="","",COUNTIF(Table1[h_id],Table1[[#This Row],[h_id]]))</f>
        <v>2</v>
      </c>
      <c r="Y6" s="283">
        <f>IF(Table1[Item Description]="","",Table1[[#This Row],[Qty]]*Table1[[#This Row],[Unit Price]])</f>
        <v>2244000</v>
      </c>
      <c r="Z6" s="283">
        <f>IF(Table1[[#This Row],[h_hargasebelumdiskon]]="","",IF(Table1[[#This Row],[Disc 1]]="",0,Table1[[#This Row],[h_hargasebelumdiskon]]*Table1[[#This Row],[Disc 1]]))</f>
        <v>280500</v>
      </c>
      <c r="AA6" s="283">
        <f>IF(Table1[[#This Row],[h_hargasebelumdiskon]]="","",IF(Table1[[#This Row],[Disc 2]]="",0,(Table1[[#This Row],[h_hargasebelumdiskon]]-Table1[[#This Row],[h_disc 1]])*Table1[[#This Row],[Disc 2]]))</f>
        <v>0</v>
      </c>
      <c r="AB6" s="283">
        <f>IF(Table1[Item Description]="","",Table1[[#This Row],[h_disc 1]]+Table1[[#This Row],[h_disc 2]])</f>
        <v>280500</v>
      </c>
      <c r="AC6" s="283">
        <f>IF(Table1[Item Description]="","",Table1[[#This Row],[h_hargasebelumdiskon]]-Table1[[#This Row],[h_diskon]])</f>
        <v>1963500</v>
      </c>
      <c r="AD6" s="283">
        <f ca="1">IF(Table1[//]="","",SUMIF(Table1[h_id],Table1[h_id],Table1[h_hargasetelahdiskon]))</f>
        <v>4683000</v>
      </c>
      <c r="AE6" s="283"/>
      <c r="AF6" s="283" t="str">
        <f>Table1[[#This Row],[Item Description]]&amp;Table1[[#This Row],[Unit]]&amp;Table1[[#This Row],[Unit Price]]</f>
        <v>STAPLER HEAVY DUTY JOYKO HD-12N/24PCS187000</v>
      </c>
    </row>
    <row r="7" spans="1:32" x14ac:dyDescent="0.25">
      <c r="A7" s="287" t="str">
        <f ca="1">IF(Table1[[#This Row],[No. Invoice :]]="","",ROW())</f>
        <v/>
      </c>
      <c r="B7" s="287" t="str">
        <f ca="1">IF(Table1[h_Kode Sales :_1]="","",B$1+COUNT(INDIRECT("B$2:B"&amp;ROW()-1)))</f>
        <v/>
      </c>
      <c r="C7" s="281" t="str">
        <f>IF(Table1[[#This Row],[H_TGL]]="","",Table1[[#This Row],[H_TGL]]+C$1-1)</f>
        <v/>
      </c>
      <c r="H7" s="287" t="str">
        <f ca="1">IF(Table1[[#This Row],[h_No. Invoice :]]="","",CONCATENATE("AM"," ",Table1[[#This Row],[h_No. Invoice :]]))</f>
        <v/>
      </c>
      <c r="I7" s="288" t="str">
        <f>CONCATENATE(UPPER(Table1[[#This Row],[h_Kode Sales :_1]])," ",Table1[[#This Row],[h_Kode Sales :_2]])</f>
        <v xml:space="preserve"> </v>
      </c>
      <c r="J7" s="287" t="str">
        <f>IF(Table1[[#This Row],[h_toko]]="","",INDEX(Table2[e],IF(Table1[[#This Row],[h_toko]]="","",MATCH(Table1[[#This Row],[h_toko]],Table2[a],0)),))</f>
        <v/>
      </c>
      <c r="K7" s="280">
        <v>240</v>
      </c>
      <c r="L7" s="280" t="s">
        <v>136</v>
      </c>
      <c r="M7" s="280">
        <v>2</v>
      </c>
      <c r="N7" s="280" t="s">
        <v>139</v>
      </c>
      <c r="O7" s="287" t="str">
        <f>IF(Table1[[#This Row],[h_Item Description]]="","",INDEX([1]!db[NB PAJAK],MATCH(Table1[[#This Row],[h_Item Description]],[1]!db[kode],0)))</f>
        <v>PUNCH JOYKO 30XL</v>
      </c>
      <c r="P7" s="280" t="s">
        <v>140</v>
      </c>
      <c r="Q7" s="283">
        <v>12950</v>
      </c>
      <c r="R7" s="284">
        <v>0.125</v>
      </c>
      <c r="T7" s="283">
        <f>Table1[[#This Row],[h_hargasetelahdiskon]]</f>
        <v>2719500</v>
      </c>
      <c r="W7" s="287">
        <f ca="1">IF(Table1[[#This Row],[Item Description]]="","",IF(Table1[[#This Row],[//]]="",INDIRECT(ADDRESS(ROW()-1,COLUMN())),Table1[[#This Row],[//]]))</f>
        <v>6</v>
      </c>
      <c r="X7" s="287">
        <f ca="1">IF(Table1[[#This Row],[h_id]]="","",COUNTIF(Table1[h_id],Table1[[#This Row],[h_id]]))</f>
        <v>2</v>
      </c>
      <c r="Y7" s="283">
        <f>IF(Table1[Item Description]="","",Table1[[#This Row],[Qty]]*Table1[[#This Row],[Unit Price]])</f>
        <v>3108000</v>
      </c>
      <c r="Z7" s="283">
        <f>IF(Table1[[#This Row],[h_hargasebelumdiskon]]="","",IF(Table1[[#This Row],[Disc 1]]="",0,Table1[[#This Row],[h_hargasebelumdiskon]]*Table1[[#This Row],[Disc 1]]))</f>
        <v>388500</v>
      </c>
      <c r="AA7" s="283">
        <f>IF(Table1[[#This Row],[h_hargasebelumdiskon]]="","",IF(Table1[[#This Row],[Disc 2]]="",0,(Table1[[#This Row],[h_hargasebelumdiskon]]-Table1[[#This Row],[h_disc 1]])*Table1[[#This Row],[Disc 2]]))</f>
        <v>0</v>
      </c>
      <c r="AB7" s="283">
        <f>IF(Table1[Item Description]="","",Table1[[#This Row],[h_disc 1]]+Table1[[#This Row],[h_disc 2]])</f>
        <v>388500</v>
      </c>
      <c r="AC7" s="283">
        <f>IF(Table1[Item Description]="","",Table1[[#This Row],[h_hargasebelumdiskon]]-Table1[[#This Row],[h_diskon]])</f>
        <v>2719500</v>
      </c>
      <c r="AD7" s="283" t="str">
        <f ca="1">IF(Table1[//]="","",SUMIF(Table1[h_id],Table1[h_id],Table1[h_hargasetelahdiskon]))</f>
        <v/>
      </c>
      <c r="AE7" s="283"/>
      <c r="AF7" s="283" t="str">
        <f>Table1[[#This Row],[Item Description]]&amp;Table1[[#This Row],[Unit]]&amp;Table1[[#This Row],[Unit Price]]</f>
        <v>PUNCH JOYKO 30XLPCS12950</v>
      </c>
    </row>
    <row r="8" spans="1:32" x14ac:dyDescent="0.25">
      <c r="A8" s="287" t="str">
        <f ca="1">IF(Table1[[#This Row],[No. Invoice :]]="","",ROW())</f>
        <v/>
      </c>
      <c r="B8" s="287" t="str">
        <f ca="1">IF(Table1[h_Kode Sales :_1]="","",B$1+COUNT(INDIRECT("B$2:B"&amp;ROW()-1)))</f>
        <v/>
      </c>
      <c r="C8" s="281" t="str">
        <f>IF(Table1[[#This Row],[H_TGL]]="","",Table1[[#This Row],[H_TGL]]+C$1-1)</f>
        <v/>
      </c>
      <c r="H8" s="287" t="str">
        <f ca="1">IF(Table1[[#This Row],[h_No. Invoice :]]="","",CONCATENATE("AM"," ",Table1[[#This Row],[h_No. Invoice :]]))</f>
        <v/>
      </c>
      <c r="I8" s="288" t="str">
        <f>CONCATENATE(UPPER(Table1[[#This Row],[h_Kode Sales :_1]])," ",Table1[[#This Row],[h_Kode Sales :_2]])</f>
        <v xml:space="preserve"> </v>
      </c>
      <c r="J8" s="287" t="str">
        <f>IF(Table1[[#This Row],[h_toko]]="","",INDEX(Table2[e],IF(Table1[[#This Row],[h_toko]]="","",MATCH(Table1[[#This Row],[h_toko]],Table2[a],0)),))</f>
        <v/>
      </c>
      <c r="O8" s="287" t="str">
        <f>IF(Table1[[#This Row],[h_Item Description]]="","",INDEX([1]!db[NB PAJAK],MATCH(Table1[[#This Row],[h_Item Description]],[1]!db[kode],0)))</f>
        <v/>
      </c>
      <c r="Q8" s="283"/>
      <c r="R8" s="284"/>
      <c r="T8" s="283" t="str">
        <f>Table1[[#This Row],[h_hargasetelahdiskon]]</f>
        <v/>
      </c>
      <c r="W8" s="287" t="str">
        <f ca="1">IF(Table1[[#This Row],[Item Description]]="","",IF(Table1[[#This Row],[//]]="",INDIRECT(ADDRESS(ROW()-1,COLUMN())),Table1[[#This Row],[//]]))</f>
        <v/>
      </c>
      <c r="X8" s="287" t="str">
        <f ca="1">IF(Table1[[#This Row],[h_id]]="","",COUNTIF(Table1[h_id],Table1[[#This Row],[h_id]]))</f>
        <v/>
      </c>
      <c r="Y8" s="283" t="str">
        <f>IF(Table1[Item Description]="","",Table1[[#This Row],[Qty]]*Table1[[#This Row],[Unit Price]])</f>
        <v/>
      </c>
      <c r="Z8" s="283" t="str">
        <f>IF(Table1[[#This Row],[h_hargasebelumdiskon]]="","",IF(Table1[[#This Row],[Disc 1]]="",0,Table1[[#This Row],[h_hargasebelumdiskon]]*Table1[[#This Row],[Disc 1]]))</f>
        <v/>
      </c>
      <c r="AA8" s="283" t="str">
        <f>IF(Table1[[#This Row],[h_hargasebelumdiskon]]="","",IF(Table1[[#This Row],[Disc 2]]="",0,(Table1[[#This Row],[h_hargasebelumdiskon]]-Table1[[#This Row],[h_disc 1]])*Table1[[#This Row],[Disc 2]]))</f>
        <v/>
      </c>
      <c r="AB8" s="283" t="str">
        <f>IF(Table1[Item Description]="","",Table1[[#This Row],[h_disc 1]]+Table1[[#This Row],[h_disc 2]])</f>
        <v/>
      </c>
      <c r="AC8" s="283" t="str">
        <f>IF(Table1[Item Description]="","",Table1[[#This Row],[h_hargasebelumdiskon]]-Table1[[#This Row],[h_diskon]])</f>
        <v/>
      </c>
      <c r="AD8" s="283" t="str">
        <f ca="1">IF(Table1[//]="","",SUMIF(Table1[h_id],Table1[h_id],Table1[h_hargasetelahdiskon]))</f>
        <v/>
      </c>
      <c r="AE8" s="283"/>
      <c r="AF8" s="283" t="str">
        <f>Table1[[#This Row],[Item Description]]&amp;Table1[[#This Row],[Unit]]&amp;Table1[[#This Row],[Unit Price]]</f>
        <v/>
      </c>
    </row>
    <row r="9" spans="1:32" x14ac:dyDescent="0.25">
      <c r="A9" s="287">
        <f ca="1">IF(Table1[[#This Row],[No. Invoice :]]="","",ROW())</f>
        <v>9</v>
      </c>
      <c r="B9" s="287">
        <f ca="1">IF(Table1[h_Kode Sales :_1]="","",B$1+COUNT(INDIRECT("B$2:B"&amp;ROW()-1)))</f>
        <v>23080003</v>
      </c>
      <c r="C9" s="281">
        <f>IF(Table1[[#This Row],[H_TGL]]="","",Table1[[#This Row],[H_TGL]]+C$1-1)</f>
        <v>45142</v>
      </c>
      <c r="D9" s="292">
        <v>4</v>
      </c>
      <c r="E9" s="280" t="s">
        <v>128</v>
      </c>
      <c r="F9" s="282" t="s">
        <v>142</v>
      </c>
      <c r="G9" s="280" t="s">
        <v>87</v>
      </c>
      <c r="H9" s="287" t="str">
        <f ca="1">IF(Table1[[#This Row],[h_No. Invoice :]]="","",CONCATENATE("AM"," ",Table1[[#This Row],[h_No. Invoice :]]))</f>
        <v>AM 23080003</v>
      </c>
      <c r="I9" s="288" t="str">
        <f>CONCATENATE(UPPER(Table1[[#This Row],[h_Kode Sales :_1]])," ",Table1[[#This Row],[h_Kode Sales :_2]])</f>
        <v>KO 1825</v>
      </c>
      <c r="J9" s="287" t="str">
        <f>IF(Table1[[#This Row],[h_toko]]="","",INDEX(Table2[e],IF(Table1[[#This Row],[h_toko]]="","",MATCH(Table1[[#This Row],[h_toko]],Table2[a],0)),))</f>
        <v>SANTOSO BUDIONO (  ARMADA  ) PURWOKERTO</v>
      </c>
      <c r="K9" s="280">
        <v>96</v>
      </c>
      <c r="L9" s="280" t="s">
        <v>143</v>
      </c>
      <c r="N9" s="280" t="s">
        <v>144</v>
      </c>
      <c r="O9" s="287" t="str">
        <f>IF(Table1[[#This Row],[h_Item Description]]="","",INDEX([1]!db[NB PAJAK],MATCH(Table1[[#This Row],[h_Item Description]],[1]!db[kode],0)))</f>
        <v>GEL PEN KENKO HI-TECH-H 0.28 MM HITAM</v>
      </c>
      <c r="P9" s="280" t="s">
        <v>145</v>
      </c>
      <c r="Q9" s="283">
        <v>39000</v>
      </c>
      <c r="R9" s="284">
        <v>0.125</v>
      </c>
      <c r="T9" s="283">
        <f>Table1[[#This Row],[h_hargasetelahdiskon]]</f>
        <v>3276000</v>
      </c>
      <c r="U9" s="283" t="s">
        <v>133</v>
      </c>
      <c r="W9" s="287">
        <f ca="1">IF(Table1[[#This Row],[Item Description]]="","",IF(Table1[[#This Row],[//]]="",INDIRECT(ADDRESS(ROW()-1,COLUMN())),Table1[[#This Row],[//]]))</f>
        <v>9</v>
      </c>
      <c r="X9" s="287">
        <f ca="1">IF(Table1[[#This Row],[h_id]]="","",COUNTIF(Table1[h_id],Table1[[#This Row],[h_id]]))</f>
        <v>2</v>
      </c>
      <c r="Y9" s="283">
        <f>IF(Table1[Item Description]="","",Table1[[#This Row],[Qty]]*Table1[[#This Row],[Unit Price]])</f>
        <v>3744000</v>
      </c>
      <c r="Z9" s="283">
        <f>IF(Table1[[#This Row],[h_hargasebelumdiskon]]="","",IF(Table1[[#This Row],[Disc 1]]="",0,Table1[[#This Row],[h_hargasebelumdiskon]]*Table1[[#This Row],[Disc 1]]))</f>
        <v>468000</v>
      </c>
      <c r="AA9" s="283">
        <f>IF(Table1[[#This Row],[h_hargasebelumdiskon]]="","",IF(Table1[[#This Row],[Disc 2]]="",0,(Table1[[#This Row],[h_hargasebelumdiskon]]-Table1[[#This Row],[h_disc 1]])*Table1[[#This Row],[Disc 2]]))</f>
        <v>0</v>
      </c>
      <c r="AB9" s="283">
        <f>IF(Table1[Item Description]="","",Table1[[#This Row],[h_disc 1]]+Table1[[#This Row],[h_disc 2]])</f>
        <v>468000</v>
      </c>
      <c r="AC9" s="283">
        <f>IF(Table1[Item Description]="","",Table1[[#This Row],[h_hargasebelumdiskon]]-Table1[[#This Row],[h_diskon]])</f>
        <v>3276000</v>
      </c>
      <c r="AD9" s="283">
        <f ca="1">IF(Table1[//]="","",SUMIF(Table1[h_id],Table1[h_id],Table1[h_hargasetelahdiskon]))</f>
        <v>4914000</v>
      </c>
      <c r="AE9" s="283"/>
      <c r="AF9" s="283" t="str">
        <f>Table1[[#This Row],[Item Description]]&amp;Table1[[#This Row],[Unit]]&amp;Table1[[#This Row],[Unit Price]]</f>
        <v>GEL PEN KENKO HI-TECH-H 0.28 MM HITAMLSN39000</v>
      </c>
    </row>
    <row r="10" spans="1:32" x14ac:dyDescent="0.25">
      <c r="A10" s="287" t="str">
        <f ca="1">IF(Table1[[#This Row],[No. Invoice :]]="","",ROW())</f>
        <v/>
      </c>
      <c r="B10" s="287" t="str">
        <f ca="1">IF(Table1[h_Kode Sales :_1]="","",B$1+COUNT(INDIRECT("B$2:B"&amp;ROW()-1)))</f>
        <v/>
      </c>
      <c r="C10" s="281" t="str">
        <f>IF(Table1[[#This Row],[H_TGL]]="","",Table1[[#This Row],[H_TGL]]+C$1-1)</f>
        <v/>
      </c>
      <c r="H10" s="287" t="str">
        <f ca="1">IF(Table1[[#This Row],[h_No. Invoice :]]="","",CONCATENATE("AM"," ",Table1[[#This Row],[h_No. Invoice :]]))</f>
        <v/>
      </c>
      <c r="I10" s="288" t="str">
        <f>CONCATENATE(UPPER(Table1[[#This Row],[h_Kode Sales :_1]])," ",Table1[[#This Row],[h_Kode Sales :_2]])</f>
        <v xml:space="preserve"> </v>
      </c>
      <c r="J10" s="287" t="str">
        <f>IF(Table1[[#This Row],[h_toko]]="","",INDEX(Table2[e],IF(Table1[[#This Row],[h_toko]]="","",MATCH(Table1[[#This Row],[h_toko]],Table2[a],0)),))</f>
        <v/>
      </c>
      <c r="K10" s="280">
        <v>48</v>
      </c>
      <c r="L10" s="280" t="s">
        <v>143</v>
      </c>
      <c r="N10" s="280" t="s">
        <v>146</v>
      </c>
      <c r="O10" s="287" t="str">
        <f>IF(Table1[[#This Row],[h_Item Description]]="","",INDEX([1]!db[NB PAJAK],MATCH(Table1[[#This Row],[h_Item Description]],[1]!db[kode],0)))</f>
        <v>GEL PEN KENKO HI-TECH-H 0.28 MM BIRU</v>
      </c>
      <c r="P10" s="280" t="s">
        <v>147</v>
      </c>
      <c r="Q10" s="283">
        <v>39000</v>
      </c>
      <c r="R10" s="284">
        <v>0.125</v>
      </c>
      <c r="T10" s="283">
        <f>Table1[[#This Row],[h_hargasetelahdiskon]]</f>
        <v>1638000</v>
      </c>
      <c r="W10" s="287">
        <f ca="1">IF(Table1[[#This Row],[Item Description]]="","",IF(Table1[[#This Row],[//]]="",INDIRECT(ADDRESS(ROW()-1,COLUMN())),Table1[[#This Row],[//]]))</f>
        <v>9</v>
      </c>
      <c r="X10" s="287">
        <f ca="1">IF(Table1[[#This Row],[h_id]]="","",COUNTIF(Table1[h_id],Table1[[#This Row],[h_id]]))</f>
        <v>2</v>
      </c>
      <c r="Y10" s="283">
        <f>IF(Table1[Item Description]="","",Table1[[#This Row],[Qty]]*Table1[[#This Row],[Unit Price]])</f>
        <v>1872000</v>
      </c>
      <c r="Z10" s="283">
        <f>IF(Table1[[#This Row],[h_hargasebelumdiskon]]="","",IF(Table1[[#This Row],[Disc 1]]="",0,Table1[[#This Row],[h_hargasebelumdiskon]]*Table1[[#This Row],[Disc 1]]))</f>
        <v>234000</v>
      </c>
      <c r="AA10" s="283">
        <f>IF(Table1[[#This Row],[h_hargasebelumdiskon]]="","",IF(Table1[[#This Row],[Disc 2]]="",0,(Table1[[#This Row],[h_hargasebelumdiskon]]-Table1[[#This Row],[h_disc 1]])*Table1[[#This Row],[Disc 2]]))</f>
        <v>0</v>
      </c>
      <c r="AB10" s="283">
        <f>IF(Table1[Item Description]="","",Table1[[#This Row],[h_disc 1]]+Table1[[#This Row],[h_disc 2]])</f>
        <v>234000</v>
      </c>
      <c r="AC10" s="283">
        <f>IF(Table1[Item Description]="","",Table1[[#This Row],[h_hargasebelumdiskon]]-Table1[[#This Row],[h_diskon]])</f>
        <v>1638000</v>
      </c>
      <c r="AD10" s="283" t="str">
        <f ca="1">IF(Table1[//]="","",SUMIF(Table1[h_id],Table1[h_id],Table1[h_hargasetelahdiskon]))</f>
        <v/>
      </c>
      <c r="AE10" s="283"/>
      <c r="AF10" s="283" t="str">
        <f>Table1[[#This Row],[Item Description]]&amp;Table1[[#This Row],[Unit]]&amp;Table1[[#This Row],[Unit Price]]</f>
        <v>GEL PEN KENKO HI-TECH-H 0.28 MM BIRULSN39000</v>
      </c>
    </row>
    <row r="11" spans="1:32" x14ac:dyDescent="0.25">
      <c r="A11" s="287" t="str">
        <f ca="1">IF(Table1[[#This Row],[No. Invoice :]]="","",ROW())</f>
        <v/>
      </c>
      <c r="B11" s="287" t="str">
        <f ca="1">IF(Table1[h_Kode Sales :_1]="","",B$1+COUNT(INDIRECT("B$2:B"&amp;ROW()-1)))</f>
        <v/>
      </c>
      <c r="C11" s="281" t="str">
        <f>IF(Table1[[#This Row],[H_TGL]]="","",Table1[[#This Row],[H_TGL]]+C$1-1)</f>
        <v/>
      </c>
      <c r="H11" s="287" t="str">
        <f ca="1">IF(Table1[[#This Row],[h_No. Invoice :]]="","",CONCATENATE("AM"," ",Table1[[#This Row],[h_No. Invoice :]]))</f>
        <v/>
      </c>
      <c r="I11" s="288" t="str">
        <f>CONCATENATE(UPPER(Table1[[#This Row],[h_Kode Sales :_1]])," ",Table1[[#This Row],[h_Kode Sales :_2]])</f>
        <v xml:space="preserve"> </v>
      </c>
      <c r="J11" s="287" t="str">
        <f>IF(Table1[[#This Row],[h_toko]]="","",INDEX(Table2[e],IF(Table1[[#This Row],[h_toko]]="","",MATCH(Table1[[#This Row],[h_toko]],Table2[a],0)),))</f>
        <v/>
      </c>
      <c r="O11" s="287" t="str">
        <f>IF(Table1[[#This Row],[h_Item Description]]="","",INDEX([1]!db[NB PAJAK],MATCH(Table1[[#This Row],[h_Item Description]],[1]!db[kode],0)))</f>
        <v/>
      </c>
      <c r="Q11" s="283"/>
      <c r="R11" s="284"/>
      <c r="T11" s="283" t="str">
        <f>Table1[[#This Row],[h_hargasetelahdiskon]]</f>
        <v/>
      </c>
      <c r="W11" s="287" t="str">
        <f ca="1">IF(Table1[[#This Row],[Item Description]]="","",IF(Table1[[#This Row],[//]]="",INDIRECT(ADDRESS(ROW()-1,COLUMN())),Table1[[#This Row],[//]]))</f>
        <v/>
      </c>
      <c r="X11" s="287" t="str">
        <f ca="1">IF(Table1[[#This Row],[h_id]]="","",COUNTIF(Table1[h_id],Table1[[#This Row],[h_id]]))</f>
        <v/>
      </c>
      <c r="Y11" s="283" t="str">
        <f>IF(Table1[Item Description]="","",Table1[[#This Row],[Qty]]*Table1[[#This Row],[Unit Price]])</f>
        <v/>
      </c>
      <c r="Z11" s="283" t="str">
        <f>IF(Table1[[#This Row],[h_hargasebelumdiskon]]="","",IF(Table1[[#This Row],[Disc 1]]="",0,Table1[[#This Row],[h_hargasebelumdiskon]]*Table1[[#This Row],[Disc 1]]))</f>
        <v/>
      </c>
      <c r="AA11" s="283" t="str">
        <f>IF(Table1[[#This Row],[h_hargasebelumdiskon]]="","",IF(Table1[[#This Row],[Disc 2]]="",0,(Table1[[#This Row],[h_hargasebelumdiskon]]-Table1[[#This Row],[h_disc 1]])*Table1[[#This Row],[Disc 2]]))</f>
        <v/>
      </c>
      <c r="AB11" s="283" t="str">
        <f>IF(Table1[Item Description]="","",Table1[[#This Row],[h_disc 1]]+Table1[[#This Row],[h_disc 2]])</f>
        <v/>
      </c>
      <c r="AC11" s="283" t="str">
        <f>IF(Table1[Item Description]="","",Table1[[#This Row],[h_hargasebelumdiskon]]-Table1[[#This Row],[h_diskon]])</f>
        <v/>
      </c>
      <c r="AD11" s="283" t="str">
        <f ca="1">IF(Table1[//]="","",SUMIF(Table1[h_id],Table1[h_id],Table1[h_hargasetelahdiskon]))</f>
        <v/>
      </c>
      <c r="AE11" s="283"/>
      <c r="AF11" s="283" t="str">
        <f>Table1[[#This Row],[Item Description]]&amp;Table1[[#This Row],[Unit]]&amp;Table1[[#This Row],[Unit Price]]</f>
        <v/>
      </c>
    </row>
    <row r="12" spans="1:32" x14ac:dyDescent="0.25">
      <c r="A12" s="287">
        <f ca="1">IF(Table1[[#This Row],[No. Invoice :]]="","",ROW())</f>
        <v>12</v>
      </c>
      <c r="B12" s="287">
        <f ca="1">IF(Table1[h_Kode Sales :_1]="","",B$1+COUNT(INDIRECT("B$2:B"&amp;ROW()-1)))</f>
        <v>23080004</v>
      </c>
      <c r="C12" s="281">
        <f>IF(Table1[[#This Row],[H_TGL]]="","",Table1[[#This Row],[H_TGL]]+C$1-1)</f>
        <v>45142</v>
      </c>
      <c r="D12" s="292">
        <v>4</v>
      </c>
      <c r="E12" s="280" t="s">
        <v>128</v>
      </c>
      <c r="F12" s="282" t="s">
        <v>153</v>
      </c>
      <c r="G12" s="280" t="s">
        <v>84</v>
      </c>
      <c r="H12" s="287" t="str">
        <f ca="1">IF(Table1[[#This Row],[h_No. Invoice :]]="","",CONCATENATE("AM"," ",Table1[[#This Row],[h_No. Invoice :]]))</f>
        <v>AM 23080004</v>
      </c>
      <c r="I12" s="288" t="str">
        <f>CONCATENATE(UPPER(Table1[[#This Row],[h_Kode Sales :_1]])," ",Table1[[#This Row],[h_Kode Sales :_2]])</f>
        <v>KO 1829</v>
      </c>
      <c r="J12" s="287" t="str">
        <f>IF(Table1[[#This Row],[h_toko]]="","",INDEX(Table2[e],IF(Table1[[#This Row],[h_toko]]="","",MATCH(Table1[[#This Row],[h_toko]],Table2[a],0)),))</f>
        <v>CV PELITA JAYA (ANUGERAH SEJAHTERA) PURWOKERTO</v>
      </c>
      <c r="K12" s="280">
        <v>50</v>
      </c>
      <c r="L12" s="280" t="s">
        <v>148</v>
      </c>
      <c r="M12" s="280">
        <v>1</v>
      </c>
      <c r="N12" s="280" t="s">
        <v>149</v>
      </c>
      <c r="O12" s="287" t="str">
        <f>IF(Table1[[#This Row],[h_Item Description]]="","",INDEX([1]!db[NB PAJAK],MATCH(Table1[[#This Row],[h_Item Description]],[1]!db[kode],0)))</f>
        <v>STIP / PENGHAPUS JOYKO 526-B40P PUTIH</v>
      </c>
      <c r="P12" s="280" t="s">
        <v>150</v>
      </c>
      <c r="Q12" s="283">
        <v>28300</v>
      </c>
      <c r="R12" s="284">
        <v>0.13500000000000001</v>
      </c>
      <c r="T12" s="283">
        <f>Table1[[#This Row],[h_hargasetelahdiskon]]</f>
        <v>1223975</v>
      </c>
      <c r="U12" s="283" t="s">
        <v>133</v>
      </c>
      <c r="W12" s="287">
        <f ca="1">IF(Table1[[#This Row],[Item Description]]="","",IF(Table1[[#This Row],[//]]="",INDIRECT(ADDRESS(ROW()-1,COLUMN())),Table1[[#This Row],[//]]))</f>
        <v>12</v>
      </c>
      <c r="X12" s="287">
        <f ca="1">IF(Table1[[#This Row],[h_id]]="","",COUNTIF(Table1[h_id],Table1[[#This Row],[h_id]]))</f>
        <v>2</v>
      </c>
      <c r="Y12" s="283">
        <f>IF(Table1[Item Description]="","",Table1[[#This Row],[Qty]]*Table1[[#This Row],[Unit Price]])</f>
        <v>1415000</v>
      </c>
      <c r="Z12" s="283">
        <f>IF(Table1[[#This Row],[h_hargasebelumdiskon]]="","",IF(Table1[[#This Row],[Disc 1]]="",0,Table1[[#This Row],[h_hargasebelumdiskon]]*Table1[[#This Row],[Disc 1]]))</f>
        <v>191025</v>
      </c>
      <c r="AA12" s="283">
        <f>IF(Table1[[#This Row],[h_hargasebelumdiskon]]="","",IF(Table1[[#This Row],[Disc 2]]="",0,(Table1[[#This Row],[h_hargasebelumdiskon]]-Table1[[#This Row],[h_disc 1]])*Table1[[#This Row],[Disc 2]]))</f>
        <v>0</v>
      </c>
      <c r="AB12" s="283">
        <f>IF(Table1[Item Description]="","",Table1[[#This Row],[h_disc 1]]+Table1[[#This Row],[h_disc 2]])</f>
        <v>191025</v>
      </c>
      <c r="AC12" s="283">
        <f>IF(Table1[Item Description]="","",Table1[[#This Row],[h_hargasebelumdiskon]]-Table1[[#This Row],[h_diskon]])</f>
        <v>1223975</v>
      </c>
      <c r="AD12" s="283">
        <f ca="1">IF(Table1[//]="","",SUMIF(Table1[h_id],Table1[h_id],Table1[h_hargasetelahdiskon]))</f>
        <v>2606591</v>
      </c>
      <c r="AE12" s="283"/>
      <c r="AF12" s="283" t="str">
        <f>Table1[[#This Row],[Item Description]]&amp;Table1[[#This Row],[Unit]]&amp;Table1[[#This Row],[Unit Price]]</f>
        <v>STIP / PENGHAPUS JOYKO 526-B40P PUTIHBOX28300</v>
      </c>
    </row>
    <row r="13" spans="1:32" x14ac:dyDescent="0.25">
      <c r="A13" s="287" t="str">
        <f ca="1">IF(Table1[[#This Row],[No. Invoice :]]="","",ROW())</f>
        <v/>
      </c>
      <c r="B13" s="287" t="str">
        <f ca="1">IF(Table1[h_Kode Sales :_1]="","",B$1+COUNT(INDIRECT("B$2:B"&amp;ROW()-1)))</f>
        <v/>
      </c>
      <c r="C13" s="281" t="str">
        <f>IF(Table1[[#This Row],[H_TGL]]="","",Table1[[#This Row],[H_TGL]]+C$1-1)</f>
        <v/>
      </c>
      <c r="H13" s="287" t="str">
        <f ca="1">IF(Table1[[#This Row],[h_No. Invoice :]]="","",CONCATENATE("AM"," ",Table1[[#This Row],[h_No. Invoice :]]))</f>
        <v/>
      </c>
      <c r="I13" s="288" t="str">
        <f>CONCATENATE(UPPER(Table1[[#This Row],[h_Kode Sales :_1]])," ",Table1[[#This Row],[h_Kode Sales :_2]])</f>
        <v xml:space="preserve"> </v>
      </c>
      <c r="J13" s="287" t="str">
        <f>IF(Table1[[#This Row],[h_toko]]="","",INDEX(Table2[e],IF(Table1[[#This Row],[h_toko]]="","",MATCH(Table1[[#This Row],[h_toko]],Table2[a],0)),))</f>
        <v/>
      </c>
      <c r="K13" s="280">
        <v>72</v>
      </c>
      <c r="L13" s="280" t="s">
        <v>143</v>
      </c>
      <c r="N13" s="280" t="s">
        <v>151</v>
      </c>
      <c r="O13" s="287" t="str">
        <f>IF(Table1[[#This Row],[h_Item Description]]="","",INDEX([1]!db[NB PAJAK],MATCH(Table1[[#This Row],[h_Item Description]],[1]!db[kode],0)))</f>
        <v>MECHANICAL PENCIL 0.5 MM KENKO MP-070</v>
      </c>
      <c r="P13" s="280" t="s">
        <v>152</v>
      </c>
      <c r="Q13" s="283">
        <v>22200</v>
      </c>
      <c r="R13" s="284">
        <v>0.13500000000000001</v>
      </c>
      <c r="T13" s="283">
        <f>Table1[[#This Row],[h_hargasetelahdiskon]]</f>
        <v>1382616</v>
      </c>
      <c r="W13" s="287">
        <f ca="1">IF(Table1[[#This Row],[Item Description]]="","",IF(Table1[[#This Row],[//]]="",INDIRECT(ADDRESS(ROW()-1,COLUMN())),Table1[[#This Row],[//]]))</f>
        <v>12</v>
      </c>
      <c r="X13" s="287">
        <f ca="1">IF(Table1[[#This Row],[h_id]]="","",COUNTIF(Table1[h_id],Table1[[#This Row],[h_id]]))</f>
        <v>2</v>
      </c>
      <c r="Y13" s="283">
        <f>IF(Table1[Item Description]="","",Table1[[#This Row],[Qty]]*Table1[[#This Row],[Unit Price]])</f>
        <v>1598400</v>
      </c>
      <c r="Z13" s="283">
        <f>IF(Table1[[#This Row],[h_hargasebelumdiskon]]="","",IF(Table1[[#This Row],[Disc 1]]="",0,Table1[[#This Row],[h_hargasebelumdiskon]]*Table1[[#This Row],[Disc 1]]))</f>
        <v>215784</v>
      </c>
      <c r="AA13" s="283">
        <f>IF(Table1[[#This Row],[h_hargasebelumdiskon]]="","",IF(Table1[[#This Row],[Disc 2]]="",0,(Table1[[#This Row],[h_hargasebelumdiskon]]-Table1[[#This Row],[h_disc 1]])*Table1[[#This Row],[Disc 2]]))</f>
        <v>0</v>
      </c>
      <c r="AB13" s="283">
        <f>IF(Table1[Item Description]="","",Table1[[#This Row],[h_disc 1]]+Table1[[#This Row],[h_disc 2]])</f>
        <v>215784</v>
      </c>
      <c r="AC13" s="283">
        <f>IF(Table1[Item Description]="","",Table1[[#This Row],[h_hargasebelumdiskon]]-Table1[[#This Row],[h_diskon]])</f>
        <v>1382616</v>
      </c>
      <c r="AD13" s="283" t="str">
        <f ca="1">IF(Table1[//]="","",SUMIF(Table1[h_id],Table1[h_id],Table1[h_hargasetelahdiskon]))</f>
        <v/>
      </c>
      <c r="AE13" s="283"/>
      <c r="AF13" s="283" t="str">
        <f>Table1[[#This Row],[Item Description]]&amp;Table1[[#This Row],[Unit]]&amp;Table1[[#This Row],[Unit Price]]</f>
        <v>MECHANICAL PENCIL 0.5 MM KENKO MP-070LSN22200</v>
      </c>
    </row>
    <row r="14" spans="1:32" x14ac:dyDescent="0.25">
      <c r="A14" s="287" t="str">
        <f ca="1">IF(Table1[[#This Row],[No. Invoice :]]="","",ROW())</f>
        <v/>
      </c>
      <c r="B14" s="287" t="str">
        <f ca="1">IF(Table1[h_Kode Sales :_1]="","",B$1+COUNT(INDIRECT("B$2:B"&amp;ROW()-1)))</f>
        <v/>
      </c>
      <c r="C14" s="281" t="str">
        <f>IF(Table1[[#This Row],[H_TGL]]="","",Table1[[#This Row],[H_TGL]]+C$1-1)</f>
        <v/>
      </c>
      <c r="H14" s="287" t="str">
        <f ca="1">IF(Table1[[#This Row],[h_No. Invoice :]]="","",CONCATENATE("AM"," ",Table1[[#This Row],[h_No. Invoice :]]))</f>
        <v/>
      </c>
      <c r="I14" s="288" t="str">
        <f>CONCATENATE(UPPER(Table1[[#This Row],[h_Kode Sales :_1]])," ",Table1[[#This Row],[h_Kode Sales :_2]])</f>
        <v xml:space="preserve"> </v>
      </c>
      <c r="J14" s="287" t="str">
        <f>IF(Table1[[#This Row],[h_toko]]="","",INDEX(Table2[e],IF(Table1[[#This Row],[h_toko]]="","",MATCH(Table1[[#This Row],[h_toko]],Table2[a],0)),))</f>
        <v/>
      </c>
      <c r="O14" s="287" t="str">
        <f>IF(Table1[[#This Row],[h_Item Description]]="","",INDEX([1]!db[NB PAJAK],MATCH(Table1[[#This Row],[h_Item Description]],[1]!db[kode],0)))</f>
        <v/>
      </c>
      <c r="Q14" s="283"/>
      <c r="R14" s="284"/>
      <c r="T14" s="283" t="str">
        <f>Table1[[#This Row],[h_hargasetelahdiskon]]</f>
        <v/>
      </c>
      <c r="W14" s="287" t="str">
        <f ca="1">IF(Table1[[#This Row],[Item Description]]="","",IF(Table1[[#This Row],[//]]="",INDIRECT(ADDRESS(ROW()-1,COLUMN())),Table1[[#This Row],[//]]))</f>
        <v/>
      </c>
      <c r="X14" s="287" t="str">
        <f ca="1">IF(Table1[[#This Row],[h_id]]="","",COUNTIF(Table1[h_id],Table1[[#This Row],[h_id]]))</f>
        <v/>
      </c>
      <c r="Y14" s="283" t="str">
        <f>IF(Table1[Item Description]="","",Table1[[#This Row],[Qty]]*Table1[[#This Row],[Unit Price]])</f>
        <v/>
      </c>
      <c r="Z14" s="283" t="str">
        <f>IF(Table1[[#This Row],[h_hargasebelumdiskon]]="","",IF(Table1[[#This Row],[Disc 1]]="",0,Table1[[#This Row],[h_hargasebelumdiskon]]*Table1[[#This Row],[Disc 1]]))</f>
        <v/>
      </c>
      <c r="AA14" s="283" t="str">
        <f>IF(Table1[[#This Row],[h_hargasebelumdiskon]]="","",IF(Table1[[#This Row],[Disc 2]]="",0,(Table1[[#This Row],[h_hargasebelumdiskon]]-Table1[[#This Row],[h_disc 1]])*Table1[[#This Row],[Disc 2]]))</f>
        <v/>
      </c>
      <c r="AB14" s="283" t="str">
        <f>IF(Table1[Item Description]="","",Table1[[#This Row],[h_disc 1]]+Table1[[#This Row],[h_disc 2]])</f>
        <v/>
      </c>
      <c r="AC14" s="283" t="str">
        <f>IF(Table1[Item Description]="","",Table1[[#This Row],[h_hargasebelumdiskon]]-Table1[[#This Row],[h_diskon]])</f>
        <v/>
      </c>
      <c r="AD14" s="283" t="str">
        <f ca="1">IF(Table1[//]="","",SUMIF(Table1[h_id],Table1[h_id],Table1[h_hargasetelahdiskon]))</f>
        <v/>
      </c>
      <c r="AE14" s="283"/>
      <c r="AF14" s="283" t="str">
        <f>Table1[[#This Row],[Item Description]]&amp;Table1[[#This Row],[Unit]]&amp;Table1[[#This Row],[Unit Price]]</f>
        <v/>
      </c>
    </row>
    <row r="15" spans="1:32" x14ac:dyDescent="0.25">
      <c r="A15" s="287">
        <f ca="1">IF(Table1[[#This Row],[No. Invoice :]]="","",ROW())</f>
        <v>15</v>
      </c>
      <c r="B15" s="287">
        <f ca="1">IF(Table1[h_Kode Sales :_1]="","",B$1+COUNT(INDIRECT("B$2:B"&amp;ROW()-1)))</f>
        <v>23080005</v>
      </c>
      <c r="C15" s="281">
        <f>IF(Table1[[#This Row],[H_TGL]]="","",Table1[[#This Row],[H_TGL]]+C$1-1)</f>
        <v>45143</v>
      </c>
      <c r="D15" s="292">
        <v>5</v>
      </c>
      <c r="E15" s="280" t="s">
        <v>135</v>
      </c>
      <c r="F15" s="282" t="s">
        <v>154</v>
      </c>
      <c r="G15" s="280" t="s">
        <v>155</v>
      </c>
      <c r="H15" s="287" t="str">
        <f ca="1">IF(Table1[[#This Row],[h_No. Invoice :]]="","",CONCATENATE("AM"," ",Table1[[#This Row],[h_No. Invoice :]]))</f>
        <v>AM 23080005</v>
      </c>
      <c r="I15" s="288" t="str">
        <f>CONCATENATE(UPPER(Table1[[#This Row],[h_Kode Sales :_1]])," ",Table1[[#This Row],[h_Kode Sales :_2]])</f>
        <v>G 3001</v>
      </c>
      <c r="J15" s="287" t="str">
        <f>IF(Table1[[#This Row],[h_toko]]="","",INDEX(Table2[e],IF(Table1[[#This Row],[h_toko]]="","",MATCH(Table1[[#This Row],[h_toko]],Table2[a],0)),))</f>
        <v>GUNAWAN HARTONO KUSUMA ( NIKI SAE ) TULUNG AGUNG</v>
      </c>
      <c r="K15" s="280">
        <v>144</v>
      </c>
      <c r="L15" s="280" t="s">
        <v>143</v>
      </c>
      <c r="M15" s="280">
        <v>1</v>
      </c>
      <c r="N15" s="280" t="s">
        <v>156</v>
      </c>
      <c r="O15" s="287" t="str">
        <f>IF(Table1[[#This Row],[h_Item Description]]="","",INDEX([1]!db[NB PAJAK],MATCH(Table1[[#This Row],[h_Item Description]],[1]!db[kode],0)))</f>
        <v>GEL PEN JOYKO GP-265 Q-GEL</v>
      </c>
      <c r="P15" s="280" t="s">
        <v>157</v>
      </c>
      <c r="Q15" s="283">
        <v>28200</v>
      </c>
      <c r="R15" s="284">
        <v>0.125</v>
      </c>
      <c r="T15" s="283">
        <f>Table1[[#This Row],[h_hargasetelahdiskon]]</f>
        <v>3553200</v>
      </c>
      <c r="U15" s="283" t="s">
        <v>133</v>
      </c>
      <c r="W15" s="287">
        <f ca="1">IF(Table1[[#This Row],[Item Description]]="","",IF(Table1[[#This Row],[//]]="",INDIRECT(ADDRESS(ROW()-1,COLUMN())),Table1[[#This Row],[//]]))</f>
        <v>15</v>
      </c>
      <c r="X15" s="287">
        <f ca="1">IF(Table1[[#This Row],[h_id]]="","",COUNTIF(Table1[h_id],Table1[[#This Row],[h_id]]))</f>
        <v>2</v>
      </c>
      <c r="Y15" s="283">
        <f>IF(Table1[Item Description]="","",Table1[[#This Row],[Qty]]*Table1[[#This Row],[Unit Price]])</f>
        <v>4060800</v>
      </c>
      <c r="Z15" s="283">
        <f>IF(Table1[[#This Row],[h_hargasebelumdiskon]]="","",IF(Table1[[#This Row],[Disc 1]]="",0,Table1[[#This Row],[h_hargasebelumdiskon]]*Table1[[#This Row],[Disc 1]]))</f>
        <v>507600</v>
      </c>
      <c r="AA15" s="283">
        <f>IF(Table1[[#This Row],[h_hargasebelumdiskon]]="","",IF(Table1[[#This Row],[Disc 2]]="",0,(Table1[[#This Row],[h_hargasebelumdiskon]]-Table1[[#This Row],[h_disc 1]])*Table1[[#This Row],[Disc 2]]))</f>
        <v>0</v>
      </c>
      <c r="AB15" s="283">
        <f>IF(Table1[Item Description]="","",Table1[[#This Row],[h_disc 1]]+Table1[[#This Row],[h_disc 2]])</f>
        <v>507600</v>
      </c>
      <c r="AC15" s="283">
        <f>IF(Table1[Item Description]="","",Table1[[#This Row],[h_hargasebelumdiskon]]-Table1[[#This Row],[h_diskon]])</f>
        <v>3553200</v>
      </c>
      <c r="AD15" s="283">
        <f ca="1">IF(Table1[//]="","",SUMIF(Table1[h_id],Table1[h_id],Table1[h_hargasetelahdiskon]))</f>
        <v>6010200</v>
      </c>
      <c r="AE15" s="283"/>
      <c r="AF15" s="283" t="str">
        <f>Table1[[#This Row],[Item Description]]&amp;Table1[[#This Row],[Unit]]&amp;Table1[[#This Row],[Unit Price]]</f>
        <v>GEL PEN JOYKO GP-265 Q-GELLSN28200</v>
      </c>
    </row>
    <row r="16" spans="1:32" x14ac:dyDescent="0.25">
      <c r="A16" s="287" t="str">
        <f ca="1">IF(Table1[[#This Row],[No. Invoice :]]="","",ROW())</f>
        <v/>
      </c>
      <c r="B16" s="287" t="str">
        <f ca="1">IF(Table1[h_Kode Sales :_1]="","",B$1+COUNT(INDIRECT("B$2:B"&amp;ROW()-1)))</f>
        <v/>
      </c>
      <c r="C16" s="281" t="str">
        <f>IF(Table1[[#This Row],[H_TGL]]="","",Table1[[#This Row],[H_TGL]]+C$1-1)</f>
        <v/>
      </c>
      <c r="H16" s="287" t="str">
        <f ca="1">IF(Table1[[#This Row],[h_No. Invoice :]]="","",CONCATENATE("AM"," ",Table1[[#This Row],[h_No. Invoice :]]))</f>
        <v/>
      </c>
      <c r="I16" s="288" t="str">
        <f>CONCATENATE(UPPER(Table1[[#This Row],[h_Kode Sales :_1]])," ",Table1[[#This Row],[h_Kode Sales :_2]])</f>
        <v xml:space="preserve"> </v>
      </c>
      <c r="J16" s="287" t="str">
        <f>IF(Table1[[#This Row],[h_toko]]="","",INDEX(Table2[e],IF(Table1[[#This Row],[h_toko]]="","",MATCH(Table1[[#This Row],[h_toko]],Table2[a],0)),))</f>
        <v/>
      </c>
      <c r="K16" s="280">
        <v>288</v>
      </c>
      <c r="L16" s="280" t="s">
        <v>136</v>
      </c>
      <c r="M16" s="280">
        <v>2</v>
      </c>
      <c r="N16" s="280" t="s">
        <v>158</v>
      </c>
      <c r="O16" s="287" t="str">
        <f>IF(Table1[[#This Row],[h_Item Description]]="","",INDEX([1]!db[NB PAJAK],MATCH(Table1[[#This Row],[h_Item Description]],[1]!db[kode],0)))</f>
        <v>GUNTING JOYKO SC-848</v>
      </c>
      <c r="P16" s="280" t="s">
        <v>159</v>
      </c>
      <c r="Q16" s="283">
        <v>9750</v>
      </c>
      <c r="R16" s="284">
        <v>0.125</v>
      </c>
      <c r="T16" s="283">
        <f>Table1[[#This Row],[h_hargasetelahdiskon]]</f>
        <v>2457000</v>
      </c>
      <c r="W16" s="287">
        <f ca="1">IF(Table1[[#This Row],[Item Description]]="","",IF(Table1[[#This Row],[//]]="",INDIRECT(ADDRESS(ROW()-1,COLUMN())),Table1[[#This Row],[//]]))</f>
        <v>15</v>
      </c>
      <c r="X16" s="287">
        <f ca="1">IF(Table1[[#This Row],[h_id]]="","",COUNTIF(Table1[h_id],Table1[[#This Row],[h_id]]))</f>
        <v>2</v>
      </c>
      <c r="Y16" s="283">
        <f>IF(Table1[Item Description]="","",Table1[[#This Row],[Qty]]*Table1[[#This Row],[Unit Price]])</f>
        <v>2808000</v>
      </c>
      <c r="Z16" s="283">
        <f>IF(Table1[[#This Row],[h_hargasebelumdiskon]]="","",IF(Table1[[#This Row],[Disc 1]]="",0,Table1[[#This Row],[h_hargasebelumdiskon]]*Table1[[#This Row],[Disc 1]]))</f>
        <v>351000</v>
      </c>
      <c r="AA16" s="283">
        <f>IF(Table1[[#This Row],[h_hargasebelumdiskon]]="","",IF(Table1[[#This Row],[Disc 2]]="",0,(Table1[[#This Row],[h_hargasebelumdiskon]]-Table1[[#This Row],[h_disc 1]])*Table1[[#This Row],[Disc 2]]))</f>
        <v>0</v>
      </c>
      <c r="AB16" s="283">
        <f>IF(Table1[Item Description]="","",Table1[[#This Row],[h_disc 1]]+Table1[[#This Row],[h_disc 2]])</f>
        <v>351000</v>
      </c>
      <c r="AC16" s="283">
        <f>IF(Table1[Item Description]="","",Table1[[#This Row],[h_hargasebelumdiskon]]-Table1[[#This Row],[h_diskon]])</f>
        <v>2457000</v>
      </c>
      <c r="AD16" s="283" t="str">
        <f ca="1">IF(Table1[//]="","",SUMIF(Table1[h_id],Table1[h_id],Table1[h_hargasetelahdiskon]))</f>
        <v/>
      </c>
      <c r="AE16" s="283"/>
      <c r="AF16" s="283" t="str">
        <f>Table1[[#This Row],[Item Description]]&amp;Table1[[#This Row],[Unit]]&amp;Table1[[#This Row],[Unit Price]]</f>
        <v>GUNTING JOYKO SC-848PCS9750</v>
      </c>
    </row>
    <row r="17" spans="1:32" x14ac:dyDescent="0.25">
      <c r="A17" s="287">
        <f ca="1">IF(Table1[[#This Row],[No. Invoice :]]="","",ROW())</f>
        <v>17</v>
      </c>
      <c r="B17" s="287">
        <f ca="1">IF(Table1[h_Kode Sales :_1]="","",B$1+COUNT(INDIRECT("B$2:B"&amp;ROW()-1)))</f>
        <v>23080006</v>
      </c>
      <c r="C17" s="281">
        <f>IF(Table1[[#This Row],[H_TGL]]="","",Table1[[#This Row],[H_TGL]]+C$1-1)</f>
        <v>45145</v>
      </c>
      <c r="D17" s="292">
        <v>7</v>
      </c>
      <c r="E17" s="280" t="s">
        <v>128</v>
      </c>
      <c r="F17" s="282" t="s">
        <v>160</v>
      </c>
      <c r="G17" s="280" t="s">
        <v>91</v>
      </c>
      <c r="H17" s="287" t="str">
        <f ca="1">IF(Table1[[#This Row],[h_No. Invoice :]]="","",CONCATENATE("AM"," ",Table1[[#This Row],[h_No. Invoice :]]))</f>
        <v>AM 23080006</v>
      </c>
      <c r="I17" s="288" t="str">
        <f>CONCATENATE(UPPER(Table1[[#This Row],[h_Kode Sales :_1]])," ",Table1[[#This Row],[h_Kode Sales :_2]])</f>
        <v>KO 1840</v>
      </c>
      <c r="J17" s="287" t="str">
        <f>IF(Table1[[#This Row],[h_toko]]="","",INDEX(Table2[e],IF(Table1[[#This Row],[h_toko]]="","",MATCH(Table1[[#This Row],[h_toko]],Table2[a],0)),))</f>
        <v>CV  WISUDA PURWOKERTO</v>
      </c>
      <c r="K17" s="280">
        <v>1</v>
      </c>
      <c r="L17" s="280" t="s">
        <v>143</v>
      </c>
      <c r="O17" s="287" t="str">
        <f>IF(Table1[[#This Row],[h_Item Description]]="","",INDEX([1]!db[NB PAJAK],MATCH(Table1[[#This Row],[h_Item Description]],[1]!db[kode],0)))</f>
        <v/>
      </c>
      <c r="P17" s="280" t="s">
        <v>161</v>
      </c>
      <c r="Q17" s="283">
        <v>350000</v>
      </c>
      <c r="R17" s="284"/>
      <c r="T17" s="283">
        <f>Table1[[#This Row],[h_hargasetelahdiskon]]</f>
        <v>350000</v>
      </c>
      <c r="U17" s="283" t="s">
        <v>133</v>
      </c>
      <c r="W17" s="287">
        <f ca="1">IF(Table1[[#This Row],[Item Description]]="","",IF(Table1[[#This Row],[//]]="",INDIRECT(ADDRESS(ROW()-1,COLUMN())),Table1[[#This Row],[//]]))</f>
        <v>17</v>
      </c>
      <c r="X17" s="287">
        <f ca="1">IF(Table1[[#This Row],[h_id]]="","",COUNTIF(Table1[h_id],Table1[[#This Row],[h_id]]))</f>
        <v>1</v>
      </c>
      <c r="Y17" s="283">
        <f>IF(Table1[Item Description]="","",Table1[[#This Row],[Qty]]*Table1[[#This Row],[Unit Price]])</f>
        <v>350000</v>
      </c>
      <c r="Z17" s="283">
        <f>IF(Table1[[#This Row],[h_hargasebelumdiskon]]="","",IF(Table1[[#This Row],[Disc 1]]="",0,Table1[[#This Row],[h_hargasebelumdiskon]]*Table1[[#This Row],[Disc 1]]))</f>
        <v>0</v>
      </c>
      <c r="AA17" s="283">
        <f>IF(Table1[[#This Row],[h_hargasebelumdiskon]]="","",IF(Table1[[#This Row],[Disc 2]]="",0,(Table1[[#This Row],[h_hargasebelumdiskon]]-Table1[[#This Row],[h_disc 1]])*Table1[[#This Row],[Disc 2]]))</f>
        <v>0</v>
      </c>
      <c r="AB17" s="283">
        <f>IF(Table1[Item Description]="","",Table1[[#This Row],[h_disc 1]]+Table1[[#This Row],[h_disc 2]])</f>
        <v>0</v>
      </c>
      <c r="AC17" s="283">
        <f>IF(Table1[Item Description]="","",Table1[[#This Row],[h_hargasebelumdiskon]]-Table1[[#This Row],[h_diskon]])</f>
        <v>350000</v>
      </c>
      <c r="AD17" s="283">
        <f ca="1">IF(Table1[//]="","",SUMIF(Table1[h_id],Table1[h_id],Table1[h_hargasetelahdiskon]))</f>
        <v>350000</v>
      </c>
      <c r="AE17" s="283"/>
      <c r="AF17" s="283" t="str">
        <f>Table1[[#This Row],[Item Description]]&amp;Table1[[#This Row],[Unit]]&amp;Table1[[#This Row],[Unit Price]]</f>
        <v>STAPLER YUAN CHANG 414LSN350000</v>
      </c>
    </row>
    <row r="18" spans="1:32" x14ac:dyDescent="0.25">
      <c r="A18" s="287" t="str">
        <f ca="1">IF(Table1[[#This Row],[No. Invoice :]]="","",ROW())</f>
        <v/>
      </c>
      <c r="B18" s="287" t="str">
        <f ca="1">IF(Table1[h_Kode Sales :_1]="","",B$1+COUNT(INDIRECT("B$2:B"&amp;ROW()-1)))</f>
        <v/>
      </c>
      <c r="C18" s="281" t="str">
        <f>IF(Table1[[#This Row],[H_TGL]]="","",Table1[[#This Row],[H_TGL]]+C$1-1)</f>
        <v/>
      </c>
      <c r="H18" s="287" t="str">
        <f ca="1">IF(Table1[[#This Row],[h_No. Invoice :]]="","",CONCATENATE("AM"," ",Table1[[#This Row],[h_No. Invoice :]]))</f>
        <v/>
      </c>
      <c r="I18" s="288" t="str">
        <f>CONCATENATE(UPPER(Table1[[#This Row],[h_Kode Sales :_1]])," ",Table1[[#This Row],[h_Kode Sales :_2]])</f>
        <v xml:space="preserve"> </v>
      </c>
      <c r="J18" s="287" t="str">
        <f>IF(Table1[[#This Row],[h_toko]]="","",INDEX(Table2[e],IF(Table1[[#This Row],[h_toko]]="","",MATCH(Table1[[#This Row],[h_toko]],Table2[a],0)),))</f>
        <v/>
      </c>
      <c r="O18" s="287" t="str">
        <f>IF(Table1[[#This Row],[h_Item Description]]="","",INDEX([1]!db[NB PAJAK],MATCH(Table1[[#This Row],[h_Item Description]],[1]!db[kode],0)))</f>
        <v/>
      </c>
      <c r="Q18" s="283"/>
      <c r="R18" s="284"/>
      <c r="T18" s="283" t="str">
        <f>Table1[[#This Row],[h_hargasetelahdiskon]]</f>
        <v/>
      </c>
      <c r="W18" s="287" t="str">
        <f ca="1">IF(Table1[[#This Row],[Item Description]]="","",IF(Table1[[#This Row],[//]]="",INDIRECT(ADDRESS(ROW()-1,COLUMN())),Table1[[#This Row],[//]]))</f>
        <v/>
      </c>
      <c r="X18" s="287" t="str">
        <f ca="1">IF(Table1[[#This Row],[h_id]]="","",COUNTIF(Table1[h_id],Table1[[#This Row],[h_id]]))</f>
        <v/>
      </c>
      <c r="Y18" s="283" t="str">
        <f>IF(Table1[Item Description]="","",Table1[[#This Row],[Qty]]*Table1[[#This Row],[Unit Price]])</f>
        <v/>
      </c>
      <c r="Z18" s="283" t="str">
        <f>IF(Table1[[#This Row],[h_hargasebelumdiskon]]="","",IF(Table1[[#This Row],[Disc 1]]="",0,Table1[[#This Row],[h_hargasebelumdiskon]]*Table1[[#This Row],[Disc 1]]))</f>
        <v/>
      </c>
      <c r="AA18" s="283" t="str">
        <f>IF(Table1[[#This Row],[h_hargasebelumdiskon]]="","",IF(Table1[[#This Row],[Disc 2]]="",0,(Table1[[#This Row],[h_hargasebelumdiskon]]-Table1[[#This Row],[h_disc 1]])*Table1[[#This Row],[Disc 2]]))</f>
        <v/>
      </c>
      <c r="AB18" s="283" t="str">
        <f>IF(Table1[Item Description]="","",Table1[[#This Row],[h_disc 1]]+Table1[[#This Row],[h_disc 2]])</f>
        <v/>
      </c>
      <c r="AC18" s="283" t="str">
        <f>IF(Table1[Item Description]="","",Table1[[#This Row],[h_hargasebelumdiskon]]-Table1[[#This Row],[h_diskon]])</f>
        <v/>
      </c>
      <c r="AD18" s="283" t="str">
        <f ca="1">IF(Table1[//]="","",SUMIF(Table1[h_id],Table1[h_id],Table1[h_hargasetelahdiskon]))</f>
        <v/>
      </c>
      <c r="AE18" s="283"/>
      <c r="AF18" s="283" t="str">
        <f>Table1[[#This Row],[Item Description]]&amp;Table1[[#This Row],[Unit]]&amp;Table1[[#This Row],[Unit Price]]</f>
        <v/>
      </c>
    </row>
    <row r="19" spans="1:32" x14ac:dyDescent="0.25">
      <c r="A19" s="287">
        <f ca="1">IF(Table1[[#This Row],[No. Invoice :]]="","",ROW())</f>
        <v>19</v>
      </c>
      <c r="B19" s="287">
        <f ca="1">IF(Table1[h_Kode Sales :_1]="","",B$1+COUNT(INDIRECT("B$2:B"&amp;ROW()-1)))</f>
        <v>23080007</v>
      </c>
      <c r="C19" s="281">
        <f>IF(Table1[[#This Row],[H_TGL]]="","",Table1[[#This Row],[H_TGL]]+C$1-1)</f>
        <v>45146</v>
      </c>
      <c r="D19" s="292">
        <v>8</v>
      </c>
      <c r="E19" s="280" t="s">
        <v>162</v>
      </c>
      <c r="F19" s="282" t="s">
        <v>163</v>
      </c>
      <c r="G19" s="280" t="s">
        <v>164</v>
      </c>
      <c r="H19" s="287" t="str">
        <f ca="1">IF(Table1[[#This Row],[h_No. Invoice :]]="","",CONCATENATE("AM"," ",Table1[[#This Row],[h_No. Invoice :]]))</f>
        <v>AM 23080007</v>
      </c>
      <c r="I19" s="288" t="str">
        <f>CONCATENATE(UPPER(Table1[[#This Row],[h_Kode Sales :_1]])," ",Table1[[#This Row],[h_Kode Sales :_2]])</f>
        <v>KO 1566</v>
      </c>
      <c r="J19" s="287" t="str">
        <f>IF(Table1[[#This Row],[h_toko]]="","",INDEX(Table2[e],IF(Table1[[#This Row],[h_toko]]="","",MATCH(Table1[[#This Row],[h_toko]],Table2[a],0)),))</f>
        <v>CV RAINBOW NUSANTARA SIDOARJO</v>
      </c>
      <c r="K19" s="280">
        <v>44</v>
      </c>
      <c r="L19" s="280" t="s">
        <v>136</v>
      </c>
      <c r="N19" s="280" t="s">
        <v>176</v>
      </c>
      <c r="O19" s="287" t="str">
        <f>IF(Table1[[#This Row],[h_Item Description]]="","",INDEX([1]!db[NB PAJAK],MATCH(Table1[[#This Row],[h_Item Description]],[1]!db[kode],0)))</f>
        <v>STAND PEN SPIRAL KENKO STP-300SG</v>
      </c>
      <c r="P19" s="280" t="s">
        <v>167</v>
      </c>
      <c r="Q19" s="283">
        <v>4100</v>
      </c>
      <c r="R19" s="284">
        <v>0.14499999999999999</v>
      </c>
      <c r="T19" s="283">
        <f>Table1[[#This Row],[h_hargasetelahdiskon]]</f>
        <v>154242</v>
      </c>
      <c r="U19" s="283" t="s">
        <v>133</v>
      </c>
      <c r="W19" s="287">
        <f ca="1">IF(Table1[[#This Row],[Item Description]]="","",IF(Table1[[#This Row],[//]]="",INDIRECT(ADDRESS(ROW()-1,COLUMN())),Table1[[#This Row],[//]]))</f>
        <v>19</v>
      </c>
      <c r="X19" s="287">
        <f ca="1">IF(Table1[[#This Row],[h_id]]="","",COUNTIF(Table1[h_id],Table1[[#This Row],[h_id]]))</f>
        <v>6</v>
      </c>
      <c r="Y19" s="283">
        <f>IF(Table1[Item Description]="","",Table1[[#This Row],[Qty]]*Table1[[#This Row],[Unit Price]])</f>
        <v>180400</v>
      </c>
      <c r="Z19" s="283">
        <f>IF(Table1[[#This Row],[h_hargasebelumdiskon]]="","",IF(Table1[[#This Row],[Disc 1]]="",0,Table1[[#This Row],[h_hargasebelumdiskon]]*Table1[[#This Row],[Disc 1]]))</f>
        <v>26158</v>
      </c>
      <c r="AA19" s="283">
        <f>IF(Table1[[#This Row],[h_hargasebelumdiskon]]="","",IF(Table1[[#This Row],[Disc 2]]="",0,(Table1[[#This Row],[h_hargasebelumdiskon]]-Table1[[#This Row],[h_disc 1]])*Table1[[#This Row],[Disc 2]]))</f>
        <v>0</v>
      </c>
      <c r="AB19" s="283">
        <f>IF(Table1[Item Description]="","",Table1[[#This Row],[h_disc 1]]+Table1[[#This Row],[h_disc 2]])</f>
        <v>26158</v>
      </c>
      <c r="AC19" s="283">
        <f>IF(Table1[Item Description]="","",Table1[[#This Row],[h_hargasebelumdiskon]]-Table1[[#This Row],[h_diskon]])</f>
        <v>154242</v>
      </c>
      <c r="AD19" s="283">
        <f ca="1">IF(Table1[//]="","",SUMIF(Table1[h_id],Table1[h_id],Table1[h_hargasetelahdiskon]))</f>
        <v>2307816</v>
      </c>
      <c r="AE19" s="283"/>
      <c r="AF19" s="283" t="str">
        <f>Table1[[#This Row],[Item Description]]&amp;Table1[[#This Row],[Unit]]&amp;Table1[[#This Row],[Unit Price]]</f>
        <v>STAND PEN SPIRAL KENKO STP-300SGPCS4100</v>
      </c>
    </row>
    <row r="20" spans="1:32" x14ac:dyDescent="0.25">
      <c r="A20" s="287" t="str">
        <f ca="1">IF(Table1[[#This Row],[No. Invoice :]]="","",ROW())</f>
        <v/>
      </c>
      <c r="B20" s="287" t="str">
        <f ca="1">IF(Table1[h_Kode Sales :_1]="","",B$1+COUNT(INDIRECT("B$2:B"&amp;ROW()-1)))</f>
        <v/>
      </c>
      <c r="C20" s="281" t="str">
        <f>IF(Table1[[#This Row],[H_TGL]]="","",Table1[[#This Row],[H_TGL]]+C$1-1)</f>
        <v/>
      </c>
      <c r="H20" s="287" t="str">
        <f ca="1">IF(Table1[[#This Row],[h_No. Invoice :]]="","",CONCATENATE("AM"," ",Table1[[#This Row],[h_No. Invoice :]]))</f>
        <v/>
      </c>
      <c r="I20" s="288" t="str">
        <f>CONCATENATE(UPPER(Table1[[#This Row],[h_Kode Sales :_1]])," ",Table1[[#This Row],[h_Kode Sales :_2]])</f>
        <v xml:space="preserve"> </v>
      </c>
      <c r="J20" s="287" t="str">
        <f>IF(Table1[[#This Row],[h_toko]]="","",INDEX(Table2[e],IF(Table1[[#This Row],[h_toko]]="","",MATCH(Table1[[#This Row],[h_toko]],Table2[a],0)),))</f>
        <v/>
      </c>
      <c r="K20" s="280">
        <v>30</v>
      </c>
      <c r="L20" s="280" t="s">
        <v>136</v>
      </c>
      <c r="N20" s="280" t="s">
        <v>168</v>
      </c>
      <c r="O20" s="287" t="str">
        <f>IF(Table1[[#This Row],[h_Item Description]]="","",INDEX([1]!db[NB PAJAK],MATCH(Table1[[#This Row],[h_Item Description]],[1]!db[kode],0)))</f>
        <v>HAND TALLY COUNTER KENKO HT-302</v>
      </c>
      <c r="P20" s="280" t="s">
        <v>170</v>
      </c>
      <c r="Q20" s="283">
        <v>19000</v>
      </c>
      <c r="R20" s="284">
        <v>0.14499999999999999</v>
      </c>
      <c r="T20" s="283">
        <f>Table1[[#This Row],[h_hargasetelahdiskon]]</f>
        <v>487350</v>
      </c>
      <c r="W20" s="287">
        <f ca="1">IF(Table1[[#This Row],[Item Description]]="","",IF(Table1[[#This Row],[//]]="",INDIRECT(ADDRESS(ROW()-1,COLUMN())),Table1[[#This Row],[//]]))</f>
        <v>19</v>
      </c>
      <c r="X20" s="287">
        <f ca="1">IF(Table1[[#This Row],[h_id]]="","",COUNTIF(Table1[h_id],Table1[[#This Row],[h_id]]))</f>
        <v>6</v>
      </c>
      <c r="Y20" s="283">
        <f>IF(Table1[Item Description]="","",Table1[[#This Row],[Qty]]*Table1[[#This Row],[Unit Price]])</f>
        <v>570000</v>
      </c>
      <c r="Z20" s="283">
        <f>IF(Table1[[#This Row],[h_hargasebelumdiskon]]="","",IF(Table1[[#This Row],[Disc 1]]="",0,Table1[[#This Row],[h_hargasebelumdiskon]]*Table1[[#This Row],[Disc 1]]))</f>
        <v>82650</v>
      </c>
      <c r="AA20" s="283">
        <f>IF(Table1[[#This Row],[h_hargasebelumdiskon]]="","",IF(Table1[[#This Row],[Disc 2]]="",0,(Table1[[#This Row],[h_hargasebelumdiskon]]-Table1[[#This Row],[h_disc 1]])*Table1[[#This Row],[Disc 2]]))</f>
        <v>0</v>
      </c>
      <c r="AB20" s="283">
        <f>IF(Table1[Item Description]="","",Table1[[#This Row],[h_disc 1]]+Table1[[#This Row],[h_disc 2]])</f>
        <v>82650</v>
      </c>
      <c r="AC20" s="283">
        <f>IF(Table1[Item Description]="","",Table1[[#This Row],[h_hargasebelumdiskon]]-Table1[[#This Row],[h_diskon]])</f>
        <v>487350</v>
      </c>
      <c r="AD20" s="283" t="str">
        <f ca="1">IF(Table1[//]="","",SUMIF(Table1[h_id],Table1[h_id],Table1[h_hargasetelahdiskon]))</f>
        <v/>
      </c>
      <c r="AE20" s="283"/>
      <c r="AF20" s="283" t="str">
        <f>Table1[[#This Row],[Item Description]]&amp;Table1[[#This Row],[Unit]]&amp;Table1[[#This Row],[Unit Price]]</f>
        <v>HAND TALLY COUNTER KENKO HT-302PCS19000</v>
      </c>
    </row>
    <row r="21" spans="1:32" x14ac:dyDescent="0.25">
      <c r="A21" s="287" t="str">
        <f ca="1">IF(Table1[[#This Row],[No. Invoice :]]="","",ROW())</f>
        <v/>
      </c>
      <c r="B21" s="287" t="str">
        <f ca="1">IF(Table1[h_Kode Sales :_1]="","",B$1+COUNT(INDIRECT("B$2:B"&amp;ROW()-1)))</f>
        <v/>
      </c>
      <c r="C21" s="281" t="str">
        <f>IF(Table1[[#This Row],[H_TGL]]="","",Table1[[#This Row],[H_TGL]]+C$1-1)</f>
        <v/>
      </c>
      <c r="H21" s="287" t="str">
        <f ca="1">IF(Table1[[#This Row],[h_No. Invoice :]]="","",CONCATENATE("AM"," ",Table1[[#This Row],[h_No. Invoice :]]))</f>
        <v/>
      </c>
      <c r="I21" s="288" t="str">
        <f>CONCATENATE(UPPER(Table1[[#This Row],[h_Kode Sales :_1]])," ",Table1[[#This Row],[h_Kode Sales :_2]])</f>
        <v xml:space="preserve"> </v>
      </c>
      <c r="J21" s="287" t="str">
        <f>IF(Table1[[#This Row],[h_toko]]="","",INDEX(Table2[e],IF(Table1[[#This Row],[h_toko]]="","",MATCH(Table1[[#This Row],[h_toko]],Table2[a],0)),))</f>
        <v/>
      </c>
      <c r="K21" s="280">
        <v>60</v>
      </c>
      <c r="L21" s="280" t="s">
        <v>136</v>
      </c>
      <c r="N21" s="280" t="s">
        <v>165</v>
      </c>
      <c r="O21" s="287" t="str">
        <f>IF(Table1[[#This Row],[h_Item Description]]="","",INDEX([1]!db[NB PAJAK],MATCH(Table1[[#This Row],[h_Item Description]],[1]!db[kode],0)))</f>
        <v>JANGKA (COMPASS SET) KENKO C-168 / MS-75</v>
      </c>
      <c r="P21" s="280" t="s">
        <v>171</v>
      </c>
      <c r="Q21" s="283">
        <v>7500</v>
      </c>
      <c r="R21" s="284">
        <v>0.14499999999999999</v>
      </c>
      <c r="T21" s="283">
        <f>Table1[[#This Row],[h_hargasetelahdiskon]]</f>
        <v>384750</v>
      </c>
      <c r="W21" s="287">
        <f ca="1">IF(Table1[[#This Row],[Item Description]]="","",IF(Table1[[#This Row],[//]]="",INDIRECT(ADDRESS(ROW()-1,COLUMN())),Table1[[#This Row],[//]]))</f>
        <v>19</v>
      </c>
      <c r="X21" s="287">
        <f ca="1">IF(Table1[[#This Row],[h_id]]="","",COUNTIF(Table1[h_id],Table1[[#This Row],[h_id]]))</f>
        <v>6</v>
      </c>
      <c r="Y21" s="283">
        <f>IF(Table1[Item Description]="","",Table1[[#This Row],[Qty]]*Table1[[#This Row],[Unit Price]])</f>
        <v>450000</v>
      </c>
      <c r="Z21" s="283">
        <f>IF(Table1[[#This Row],[h_hargasebelumdiskon]]="","",IF(Table1[[#This Row],[Disc 1]]="",0,Table1[[#This Row],[h_hargasebelumdiskon]]*Table1[[#This Row],[Disc 1]]))</f>
        <v>65249.999999999993</v>
      </c>
      <c r="AA21" s="283">
        <f>IF(Table1[[#This Row],[h_hargasebelumdiskon]]="","",IF(Table1[[#This Row],[Disc 2]]="",0,(Table1[[#This Row],[h_hargasebelumdiskon]]-Table1[[#This Row],[h_disc 1]])*Table1[[#This Row],[Disc 2]]))</f>
        <v>0</v>
      </c>
      <c r="AB21" s="283">
        <f>IF(Table1[Item Description]="","",Table1[[#This Row],[h_disc 1]]+Table1[[#This Row],[h_disc 2]])</f>
        <v>65249.999999999993</v>
      </c>
      <c r="AC21" s="283">
        <f>IF(Table1[Item Description]="","",Table1[[#This Row],[h_hargasebelumdiskon]]-Table1[[#This Row],[h_diskon]])</f>
        <v>384750</v>
      </c>
      <c r="AD21" s="283" t="str">
        <f ca="1">IF(Table1[//]="","",SUMIF(Table1[h_id],Table1[h_id],Table1[h_hargasetelahdiskon]))</f>
        <v/>
      </c>
      <c r="AE21" s="283"/>
      <c r="AF21" s="283" t="str">
        <f>Table1[[#This Row],[Item Description]]&amp;Table1[[#This Row],[Unit]]&amp;Table1[[#This Row],[Unit Price]]</f>
        <v>JANGKA (COMPASS SET) KENKO C-168 / MS-75PCS7500</v>
      </c>
    </row>
    <row r="22" spans="1:32" s="287" customFormat="1" x14ac:dyDescent="0.25">
      <c r="A22" s="287" t="str">
        <f ca="1">IF(Table1[[#This Row],[No. Invoice :]]="","",ROW())</f>
        <v/>
      </c>
      <c r="B22" s="287" t="str">
        <f ca="1">IF(Table1[h_Kode Sales :_1]="","",B$1+COUNT(INDIRECT("B$2:B"&amp;ROW()-1)))</f>
        <v/>
      </c>
      <c r="C22" s="281" t="str">
        <f>IF(Table1[[#This Row],[H_TGL]]="","",Table1[[#This Row],[H_TGL]]+C$1-1)</f>
        <v/>
      </c>
      <c r="D22" s="292"/>
      <c r="E22" s="280"/>
      <c r="F22" s="282"/>
      <c r="G22" s="280"/>
      <c r="H22" s="287" t="str">
        <f ca="1">IF(Table1[[#This Row],[h_No. Invoice :]]="","",CONCATENATE("AM"," ",Table1[[#This Row],[h_No. Invoice :]]))</f>
        <v/>
      </c>
      <c r="I22" s="288" t="str">
        <f>CONCATENATE(UPPER(Table1[[#This Row],[h_Kode Sales :_1]])," ",Table1[[#This Row],[h_Kode Sales :_2]])</f>
        <v xml:space="preserve"> </v>
      </c>
      <c r="J22" s="287" t="str">
        <f>IF(Table1[[#This Row],[h_toko]]="","",INDEX(Table2[e],IF(Table1[[#This Row],[h_toko]]="","",MATCH(Table1[[#This Row],[h_toko]],Table2[a],0)),))</f>
        <v/>
      </c>
      <c r="K22" s="280">
        <v>84</v>
      </c>
      <c r="L22" s="280" t="s">
        <v>136</v>
      </c>
      <c r="M22" s="280"/>
      <c r="N22" s="280" t="s">
        <v>166</v>
      </c>
      <c r="O22" s="287" t="str">
        <f>IF(Table1[[#This Row],[h_Item Description]]="","",INDEX([1]!db[NB PAJAK],MATCH(Table1[[#This Row],[h_Item Description]],[1]!db[kode],0)))</f>
        <v>JANGKA (COMPASS SET) KENKO C-288 / MS-25</v>
      </c>
      <c r="P22" s="280" t="s">
        <v>172</v>
      </c>
      <c r="Q22" s="283">
        <v>7500</v>
      </c>
      <c r="R22" s="284">
        <v>0.14499999999999999</v>
      </c>
      <c r="S22" s="284"/>
      <c r="T22" s="283">
        <f>Table1[[#This Row],[h_hargasetelahdiskon]]</f>
        <v>538650</v>
      </c>
      <c r="U22" s="283"/>
      <c r="V22" s="280"/>
      <c r="W22" s="287">
        <f ca="1">IF(Table1[[#This Row],[Item Description]]="","",IF(Table1[[#This Row],[//]]="",INDIRECT(ADDRESS(ROW()-1,COLUMN())),Table1[[#This Row],[//]]))</f>
        <v>19</v>
      </c>
      <c r="X22" s="287">
        <f ca="1">IF(Table1[[#This Row],[h_id]]="","",COUNTIF(Table1[h_id],Table1[[#This Row],[h_id]]))</f>
        <v>6</v>
      </c>
      <c r="Y22" s="283">
        <f>IF(Table1[Item Description]="","",Table1[[#This Row],[Qty]]*Table1[[#This Row],[Unit Price]])</f>
        <v>630000</v>
      </c>
      <c r="Z22" s="283">
        <f>IF(Table1[[#This Row],[h_hargasebelumdiskon]]="","",IF(Table1[[#This Row],[Disc 1]]="",0,Table1[[#This Row],[h_hargasebelumdiskon]]*Table1[[#This Row],[Disc 1]]))</f>
        <v>91350</v>
      </c>
      <c r="AA22" s="283">
        <f>IF(Table1[[#This Row],[h_hargasebelumdiskon]]="","",IF(Table1[[#This Row],[Disc 2]]="",0,(Table1[[#This Row],[h_hargasebelumdiskon]]-Table1[[#This Row],[h_disc 1]])*Table1[[#This Row],[Disc 2]]))</f>
        <v>0</v>
      </c>
      <c r="AB22" s="283">
        <f>IF(Table1[Item Description]="","",Table1[[#This Row],[h_disc 1]]+Table1[[#This Row],[h_disc 2]])</f>
        <v>91350</v>
      </c>
      <c r="AC22" s="283">
        <f>IF(Table1[Item Description]="","",Table1[[#This Row],[h_hargasebelumdiskon]]-Table1[[#This Row],[h_diskon]])</f>
        <v>538650</v>
      </c>
      <c r="AD22" s="283" t="str">
        <f ca="1">IF(Table1[//]="","",SUMIF(Table1[h_id],Table1[h_id],Table1[h_hargasetelahdiskon]))</f>
        <v/>
      </c>
      <c r="AE22" s="283"/>
      <c r="AF22" s="283" t="str">
        <f>Table1[[#This Row],[Item Description]]&amp;Table1[[#This Row],[Unit]]&amp;Table1[[#This Row],[Unit Price]]</f>
        <v>JANGKA (COMPASS SET) KENKO C-288 / MS-25PCS7500</v>
      </c>
    </row>
    <row r="23" spans="1:32" s="287" customFormat="1" x14ac:dyDescent="0.25">
      <c r="A23" s="287" t="str">
        <f ca="1">IF(Table1[[#This Row],[No. Invoice :]]="","",ROW())</f>
        <v/>
      </c>
      <c r="B23" s="287" t="str">
        <f ca="1">IF(Table1[h_Kode Sales :_1]="","",B$1+COUNT(INDIRECT("B$2:B"&amp;ROW()-1)))</f>
        <v/>
      </c>
      <c r="C23" s="281" t="str">
        <f>IF(Table1[[#This Row],[H_TGL]]="","",Table1[[#This Row],[H_TGL]]+C$1-1)</f>
        <v/>
      </c>
      <c r="D23" s="292"/>
      <c r="E23" s="280"/>
      <c r="F23" s="282"/>
      <c r="G23" s="280"/>
      <c r="H23" s="287" t="str">
        <f ca="1">IF(Table1[[#This Row],[h_No. Invoice :]]="","",CONCATENATE("AM"," ",Table1[[#This Row],[h_No. Invoice :]]))</f>
        <v/>
      </c>
      <c r="I23" s="288" t="str">
        <f>CONCATENATE(UPPER(Table1[[#This Row],[h_Kode Sales :_1]])," ",Table1[[#This Row],[h_Kode Sales :_2]])</f>
        <v xml:space="preserve"> </v>
      </c>
      <c r="J23" s="287" t="str">
        <f>IF(Table1[[#This Row],[h_toko]]="","",INDEX(Table2[e],IF(Table1[[#This Row],[h_toko]]="","",MATCH(Table1[[#This Row],[h_toko]],Table2[a],0)),))</f>
        <v/>
      </c>
      <c r="K23" s="280">
        <v>84</v>
      </c>
      <c r="L23" s="280" t="s">
        <v>136</v>
      </c>
      <c r="M23" s="280"/>
      <c r="N23" s="280" t="s">
        <v>169</v>
      </c>
      <c r="O23" s="287" t="str">
        <f>IF(Table1[[#This Row],[h_Item Description]]="","",INDEX([1]!db[NB PAJAK],MATCH(Table1[[#This Row],[h_Item Description]],[1]!db[kode],0)))</f>
        <v>DATE STAMP KENKO D-4 (Cap Tanggal 4 Mm)</v>
      </c>
      <c r="P23" s="280" t="s">
        <v>173</v>
      </c>
      <c r="Q23" s="283">
        <v>6200</v>
      </c>
      <c r="R23" s="284">
        <v>0.14499999999999999</v>
      </c>
      <c r="S23" s="284"/>
      <c r="T23" s="283">
        <f>Table1[[#This Row],[h_hargasetelahdiskon]]</f>
        <v>445284</v>
      </c>
      <c r="U23" s="283"/>
      <c r="V23" s="280"/>
      <c r="W23" s="287">
        <f ca="1">IF(Table1[[#This Row],[Item Description]]="","",IF(Table1[[#This Row],[//]]="",INDIRECT(ADDRESS(ROW()-1,COLUMN())),Table1[[#This Row],[//]]))</f>
        <v>19</v>
      </c>
      <c r="X23" s="287">
        <f ca="1">IF(Table1[[#This Row],[h_id]]="","",COUNTIF(Table1[h_id],Table1[[#This Row],[h_id]]))</f>
        <v>6</v>
      </c>
      <c r="Y23" s="283">
        <f>IF(Table1[Item Description]="","",Table1[[#This Row],[Qty]]*Table1[[#This Row],[Unit Price]])</f>
        <v>520800</v>
      </c>
      <c r="Z23" s="283">
        <f>IF(Table1[[#This Row],[h_hargasebelumdiskon]]="","",IF(Table1[[#This Row],[Disc 1]]="",0,Table1[[#This Row],[h_hargasebelumdiskon]]*Table1[[#This Row],[Disc 1]]))</f>
        <v>75516</v>
      </c>
      <c r="AA23" s="283">
        <f>IF(Table1[[#This Row],[h_hargasebelumdiskon]]="","",IF(Table1[[#This Row],[Disc 2]]="",0,(Table1[[#This Row],[h_hargasebelumdiskon]]-Table1[[#This Row],[h_disc 1]])*Table1[[#This Row],[Disc 2]]))</f>
        <v>0</v>
      </c>
      <c r="AB23" s="283">
        <f>IF(Table1[Item Description]="","",Table1[[#This Row],[h_disc 1]]+Table1[[#This Row],[h_disc 2]])</f>
        <v>75516</v>
      </c>
      <c r="AC23" s="283">
        <f>IF(Table1[Item Description]="","",Table1[[#This Row],[h_hargasebelumdiskon]]-Table1[[#This Row],[h_diskon]])</f>
        <v>445284</v>
      </c>
      <c r="AD23" s="283" t="str">
        <f ca="1">IF(Table1[//]="","",SUMIF(Table1[h_id],Table1[h_id],Table1[h_hargasetelahdiskon]))</f>
        <v/>
      </c>
      <c r="AE23" s="283"/>
      <c r="AF23" s="283" t="str">
        <f>Table1[[#This Row],[Item Description]]&amp;Table1[[#This Row],[Unit]]&amp;Table1[[#This Row],[Unit Price]]</f>
        <v>DATE STAMP KENKO D-4 (Cap Tanggal 4 Mm)PCS6200</v>
      </c>
    </row>
    <row r="24" spans="1:32" x14ac:dyDescent="0.25">
      <c r="A24" s="287" t="str">
        <f ca="1">IF(Table1[[#This Row],[No. Invoice :]]="","",ROW())</f>
        <v/>
      </c>
      <c r="B24" s="287" t="str">
        <f ca="1">IF(Table1[h_Kode Sales :_1]="","",B$1+COUNT(INDIRECT("B$2:B"&amp;ROW()-1)))</f>
        <v/>
      </c>
      <c r="C24" s="281" t="str">
        <f>IF(Table1[[#This Row],[H_TGL]]="","",Table1[[#This Row],[H_TGL]]+C$1-1)</f>
        <v/>
      </c>
      <c r="H24" s="287" t="str">
        <f ca="1">IF(Table1[[#This Row],[h_No. Invoice :]]="","",CONCATENATE("AM"," ",Table1[[#This Row],[h_No. Invoice :]]))</f>
        <v/>
      </c>
      <c r="I24" s="288" t="str">
        <f>CONCATENATE(UPPER(Table1[[#This Row],[h_Kode Sales :_1]])," ",Table1[[#This Row],[h_Kode Sales :_2]])</f>
        <v xml:space="preserve"> </v>
      </c>
      <c r="J24" s="287" t="str">
        <f>IF(Table1[[#This Row],[h_toko]]="","",INDEX(Table2[e],IF(Table1[[#This Row],[h_toko]]="","",MATCH(Table1[[#This Row],[h_toko]],Table2[a],0)),))</f>
        <v/>
      </c>
      <c r="K24" s="280">
        <v>12</v>
      </c>
      <c r="L24" s="280" t="s">
        <v>136</v>
      </c>
      <c r="O24" s="287" t="str">
        <f>IF(Table1[[#This Row],[h_Item Description]]="","",INDEX([1]!db[NB PAJAK],MATCH(Table1[[#This Row],[h_Item Description]],[1]!db[kode],0)))</f>
        <v/>
      </c>
      <c r="P24" s="280" t="s">
        <v>174</v>
      </c>
      <c r="Q24" s="283">
        <v>29000</v>
      </c>
      <c r="R24" s="284">
        <v>0.14499999999999999</v>
      </c>
      <c r="T24" s="283">
        <f>Table1[[#This Row],[h_hargasetelahdiskon]]</f>
        <v>297540</v>
      </c>
      <c r="W24" s="287">
        <f ca="1">IF(Table1[[#This Row],[Item Description]]="","",IF(Table1[[#This Row],[//]]="",INDIRECT(ADDRESS(ROW()-1,COLUMN())),Table1[[#This Row],[//]]))</f>
        <v>19</v>
      </c>
      <c r="X24" s="287">
        <f ca="1">IF(Table1[[#This Row],[h_id]]="","",COUNTIF(Table1[h_id],Table1[[#This Row],[h_id]]))</f>
        <v>6</v>
      </c>
      <c r="Y24" s="283">
        <f>IF(Table1[Item Description]="","",Table1[[#This Row],[Qty]]*Table1[[#This Row],[Unit Price]])</f>
        <v>348000</v>
      </c>
      <c r="Z24" s="283">
        <f>IF(Table1[[#This Row],[h_hargasebelumdiskon]]="","",IF(Table1[[#This Row],[Disc 1]]="",0,Table1[[#This Row],[h_hargasebelumdiskon]]*Table1[[#This Row],[Disc 1]]))</f>
        <v>50460</v>
      </c>
      <c r="AA24" s="283">
        <f>IF(Table1[[#This Row],[h_hargasebelumdiskon]]="","",IF(Table1[[#This Row],[Disc 2]]="",0,(Table1[[#This Row],[h_hargasebelumdiskon]]-Table1[[#This Row],[h_disc 1]])*Table1[[#This Row],[Disc 2]]))</f>
        <v>0</v>
      </c>
      <c r="AB24" s="283">
        <f>IF(Table1[Item Description]="","",Table1[[#This Row],[h_disc 1]]+Table1[[#This Row],[h_disc 2]])</f>
        <v>50460</v>
      </c>
      <c r="AC24" s="283">
        <f>IF(Table1[Item Description]="","",Table1[[#This Row],[h_hargasebelumdiskon]]-Table1[[#This Row],[h_diskon]])</f>
        <v>297540</v>
      </c>
      <c r="AD24" s="283" t="str">
        <f ca="1">IF(Table1[//]="","",SUMIF(Table1[h_id],Table1[h_id],Table1[h_hargasetelahdiskon]))</f>
        <v/>
      </c>
      <c r="AE24" s="283"/>
      <c r="AF24" s="283" t="str">
        <f>Table1[[#This Row],[Item Description]]&amp;Table1[[#This Row],[Unit]]&amp;Table1[[#This Row],[Unit Price]]</f>
        <v>DESK SET KENKO K-8312 ORGANIZERPCS29000</v>
      </c>
    </row>
    <row r="25" spans="1:32" x14ac:dyDescent="0.25">
      <c r="A25" s="287" t="str">
        <f ca="1">IF(Table1[[#This Row],[No. Invoice :]]="","",ROW())</f>
        <v/>
      </c>
      <c r="B25" s="287" t="str">
        <f ca="1">IF(Table1[h_Kode Sales :_1]="","",B$1+COUNT(INDIRECT("B$2:B"&amp;ROW()-1)))</f>
        <v/>
      </c>
      <c r="C25" s="281" t="str">
        <f>IF(Table1[[#This Row],[H_TGL]]="","",Table1[[#This Row],[H_TGL]]+C$1-1)</f>
        <v/>
      </c>
      <c r="H25" s="287" t="str">
        <f ca="1">IF(Table1[[#This Row],[h_No. Invoice :]]="","",CONCATENATE("AM"," ",Table1[[#This Row],[h_No. Invoice :]]))</f>
        <v/>
      </c>
      <c r="I25" s="288" t="str">
        <f>CONCATENATE(UPPER(Table1[[#This Row],[h_Kode Sales :_1]])," ",Table1[[#This Row],[h_Kode Sales :_2]])</f>
        <v xml:space="preserve"> </v>
      </c>
      <c r="J25" s="287" t="str">
        <f>IF(Table1[[#This Row],[h_toko]]="","",INDEX(Table2[e],IF(Table1[[#This Row],[h_toko]]="","",MATCH(Table1[[#This Row],[h_toko]],Table2[a],0)),))</f>
        <v/>
      </c>
      <c r="O25" s="287" t="str">
        <f>IF(Table1[[#This Row],[h_Item Description]]="","",INDEX([1]!db[NB PAJAK],MATCH(Table1[[#This Row],[h_Item Description]],[1]!db[kode],0)))</f>
        <v/>
      </c>
      <c r="Q25" s="283"/>
      <c r="R25" s="284"/>
      <c r="T25" s="283" t="str">
        <f>Table1[[#This Row],[h_hargasetelahdiskon]]</f>
        <v/>
      </c>
      <c r="W25" s="287" t="str">
        <f ca="1">IF(Table1[[#This Row],[Item Description]]="","",IF(Table1[[#This Row],[//]]="",INDIRECT(ADDRESS(ROW()-1,COLUMN())),Table1[[#This Row],[//]]))</f>
        <v/>
      </c>
      <c r="X25" s="287" t="str">
        <f ca="1">IF(Table1[[#This Row],[h_id]]="","",COUNTIF(Table1[h_id],Table1[[#This Row],[h_id]]))</f>
        <v/>
      </c>
      <c r="Y25" s="283" t="str">
        <f>IF(Table1[Item Description]="","",Table1[[#This Row],[Qty]]*Table1[[#This Row],[Unit Price]])</f>
        <v/>
      </c>
      <c r="Z25" s="283" t="str">
        <f>IF(Table1[[#This Row],[h_hargasebelumdiskon]]="","",IF(Table1[[#This Row],[Disc 1]]="",0,Table1[[#This Row],[h_hargasebelumdiskon]]*Table1[[#This Row],[Disc 1]]))</f>
        <v/>
      </c>
      <c r="AA25" s="283" t="str">
        <f>IF(Table1[[#This Row],[h_hargasebelumdiskon]]="","",IF(Table1[[#This Row],[Disc 2]]="",0,(Table1[[#This Row],[h_hargasebelumdiskon]]-Table1[[#This Row],[h_disc 1]])*Table1[[#This Row],[Disc 2]]))</f>
        <v/>
      </c>
      <c r="AB25" s="283" t="str">
        <f>IF(Table1[Item Description]="","",Table1[[#This Row],[h_disc 1]]+Table1[[#This Row],[h_disc 2]])</f>
        <v/>
      </c>
      <c r="AC25" s="283" t="str">
        <f>IF(Table1[Item Description]="","",Table1[[#This Row],[h_hargasebelumdiskon]]-Table1[[#This Row],[h_diskon]])</f>
        <v/>
      </c>
      <c r="AD25" s="283" t="str">
        <f ca="1">IF(Table1[//]="","",SUMIF(Table1[h_id],Table1[h_id],Table1[h_hargasetelahdiskon]))</f>
        <v/>
      </c>
      <c r="AE25" s="283"/>
      <c r="AF25" s="283" t="str">
        <f>Table1[[#This Row],[Item Description]]&amp;Table1[[#This Row],[Unit]]&amp;Table1[[#This Row],[Unit Price]]</f>
        <v/>
      </c>
    </row>
    <row r="26" spans="1:32" x14ac:dyDescent="0.25">
      <c r="A26" s="287">
        <f ca="1">IF(Table1[[#This Row],[No. Invoice :]]="","",ROW())</f>
        <v>26</v>
      </c>
      <c r="B26" s="287">
        <f ca="1">IF(Table1[h_Kode Sales :_1]="","",B$1+COUNT(INDIRECT("B$2:B"&amp;ROW()-1)))</f>
        <v>23080008</v>
      </c>
      <c r="C26" s="281">
        <f>IF(Table1[[#This Row],[H_TGL]]="","",Table1[[#This Row],[H_TGL]]+C$1-1)</f>
        <v>45146</v>
      </c>
      <c r="D26" s="292">
        <v>8</v>
      </c>
      <c r="E26" s="280" t="s">
        <v>177</v>
      </c>
      <c r="F26" s="282" t="s">
        <v>178</v>
      </c>
      <c r="G26" s="280" t="s">
        <v>179</v>
      </c>
      <c r="H26" s="287" t="str">
        <f ca="1">IF(Table1[[#This Row],[h_No. Invoice :]]="","",CONCATENATE("AM"," ",Table1[[#This Row],[h_No. Invoice :]]))</f>
        <v>AM 23080008</v>
      </c>
      <c r="I26" s="288" t="str">
        <f>CONCATENATE(UPPER(Table1[[#This Row],[h_Kode Sales :_1]])," ",Table1[[#This Row],[h_Kode Sales :_2]])</f>
        <v>G 1649</v>
      </c>
      <c r="J26" s="287" t="str">
        <f>IF(Table1[[#This Row],[h_toko]]="","",INDEX(Table2[e],IF(Table1[[#This Row],[h_toko]]="","",MATCH(Table1[[#This Row],[h_toko]],Table2[a],0)),))</f>
        <v>MUHAMMAD AGUS MUNADI ( SINAR BHAKTI ) YOGYAKARTA</v>
      </c>
      <c r="K26" s="280">
        <v>72</v>
      </c>
      <c r="L26" s="280" t="s">
        <v>175</v>
      </c>
      <c r="O26" s="287" t="str">
        <f>IF(Table1[[#This Row],[h_Item Description]]="","",INDEX([1]!db[NB PAJAK],MATCH(Table1[[#This Row],[h_Item Description]],[1]!db[kode],0)))</f>
        <v/>
      </c>
      <c r="P26" s="280" t="s">
        <v>180</v>
      </c>
      <c r="Q26" s="283">
        <v>5200</v>
      </c>
      <c r="R26" s="284">
        <v>0.1</v>
      </c>
      <c r="T26" s="283">
        <f>Table1[[#This Row],[h_hargasetelahdiskon]]</f>
        <v>336960</v>
      </c>
      <c r="U26" s="283" t="s">
        <v>133</v>
      </c>
      <c r="W26" s="287">
        <f ca="1">IF(Table1[[#This Row],[Item Description]]="","",IF(Table1[[#This Row],[//]]="",INDIRECT(ADDRESS(ROW()-1,COLUMN())),Table1[[#This Row],[//]]))</f>
        <v>26</v>
      </c>
      <c r="X26" s="287">
        <f ca="1">IF(Table1[[#This Row],[h_id]]="","",COUNTIF(Table1[h_id],Table1[[#This Row],[h_id]]))</f>
        <v>1</v>
      </c>
      <c r="Y26" s="283">
        <f>IF(Table1[Item Description]="","",Table1[[#This Row],[Qty]]*Table1[[#This Row],[Unit Price]])</f>
        <v>374400</v>
      </c>
      <c r="Z26" s="283">
        <f>IF(Table1[[#This Row],[h_hargasebelumdiskon]]="","",IF(Table1[[#This Row],[Disc 1]]="",0,Table1[[#This Row],[h_hargasebelumdiskon]]*Table1[[#This Row],[Disc 1]]))</f>
        <v>37440</v>
      </c>
      <c r="AA26" s="283">
        <f>IF(Table1[[#This Row],[h_hargasebelumdiskon]]="","",IF(Table1[[#This Row],[Disc 2]]="",0,(Table1[[#This Row],[h_hargasebelumdiskon]]-Table1[[#This Row],[h_disc 1]])*Table1[[#This Row],[Disc 2]]))</f>
        <v>0</v>
      </c>
      <c r="AB26" s="283">
        <f>IF(Table1[Item Description]="","",Table1[[#This Row],[h_disc 1]]+Table1[[#This Row],[h_disc 2]])</f>
        <v>37440</v>
      </c>
      <c r="AC26" s="283">
        <f>IF(Table1[Item Description]="","",Table1[[#This Row],[h_hargasebelumdiskon]]-Table1[[#This Row],[h_diskon]])</f>
        <v>336960</v>
      </c>
      <c r="AD26" s="283">
        <f ca="1">IF(Table1[//]="","",SUMIF(Table1[h_id],Table1[h_id],Table1[h_hargasetelahdiskon]))</f>
        <v>336960</v>
      </c>
      <c r="AE26" s="283"/>
      <c r="AF26" s="283" t="str">
        <f>Table1[[#This Row],[Item Description]]&amp;Table1[[#This Row],[Unit]]&amp;Table1[[#This Row],[Unit Price]]</f>
        <v>PENCIL CASE KENKO PC-0719-URpcs5200</v>
      </c>
    </row>
    <row r="27" spans="1:32" x14ac:dyDescent="0.25">
      <c r="A27" s="287" t="str">
        <f ca="1">IF(Table1[[#This Row],[No. Invoice :]]="","",ROW())</f>
        <v/>
      </c>
      <c r="B27" s="287" t="str">
        <f ca="1">IF(Table1[h_Kode Sales :_1]="","",B$1+COUNT(INDIRECT("B$2:B"&amp;ROW()-1)))</f>
        <v/>
      </c>
      <c r="C27" s="281" t="str">
        <f>IF(Table1[[#This Row],[H_TGL]]="","",Table1[[#This Row],[H_TGL]]+C$1-1)</f>
        <v/>
      </c>
      <c r="H27" s="287" t="str">
        <f ca="1">IF(Table1[[#This Row],[h_No. Invoice :]]="","",CONCATENATE("AM"," ",Table1[[#This Row],[h_No. Invoice :]]))</f>
        <v/>
      </c>
      <c r="I27" s="288" t="str">
        <f>CONCATENATE(UPPER(Table1[[#This Row],[h_Kode Sales :_1]])," ",Table1[[#This Row],[h_Kode Sales :_2]])</f>
        <v xml:space="preserve"> </v>
      </c>
      <c r="J27" s="287" t="str">
        <f>IF(Table1[[#This Row],[h_toko]]="","",INDEX(Table2[e],IF(Table1[[#This Row],[h_toko]]="","",MATCH(Table1[[#This Row],[h_toko]],Table2[a],0)),))</f>
        <v/>
      </c>
      <c r="O27" s="287" t="str">
        <f>IF(Table1[[#This Row],[h_Item Description]]="","",INDEX([1]!db[NB PAJAK],MATCH(Table1[[#This Row],[h_Item Description]],[1]!db[kode],0)))</f>
        <v/>
      </c>
      <c r="Q27" s="283"/>
      <c r="R27" s="284"/>
      <c r="T27" s="283" t="str">
        <f>Table1[[#This Row],[h_hargasetelahdiskon]]</f>
        <v/>
      </c>
      <c r="W27" s="287" t="str">
        <f ca="1">IF(Table1[[#This Row],[Item Description]]="","",IF(Table1[[#This Row],[//]]="",INDIRECT(ADDRESS(ROW()-1,COLUMN())),Table1[[#This Row],[//]]))</f>
        <v/>
      </c>
      <c r="X27" s="287" t="str">
        <f ca="1">IF(Table1[[#This Row],[h_id]]="","",COUNTIF(Table1[h_id],Table1[[#This Row],[h_id]]))</f>
        <v/>
      </c>
      <c r="Y27" s="283" t="str">
        <f>IF(Table1[Item Description]="","",Table1[[#This Row],[Qty]]*Table1[[#This Row],[Unit Price]])</f>
        <v/>
      </c>
      <c r="Z27" s="283" t="str">
        <f>IF(Table1[[#This Row],[h_hargasebelumdiskon]]="","",IF(Table1[[#This Row],[Disc 1]]="",0,Table1[[#This Row],[h_hargasebelumdiskon]]*Table1[[#This Row],[Disc 1]]))</f>
        <v/>
      </c>
      <c r="AA27" s="283" t="str">
        <f>IF(Table1[[#This Row],[h_hargasebelumdiskon]]="","",IF(Table1[[#This Row],[Disc 2]]="",0,(Table1[[#This Row],[h_hargasebelumdiskon]]-Table1[[#This Row],[h_disc 1]])*Table1[[#This Row],[Disc 2]]))</f>
        <v/>
      </c>
      <c r="AB27" s="283" t="str">
        <f>IF(Table1[Item Description]="","",Table1[[#This Row],[h_disc 1]]+Table1[[#This Row],[h_disc 2]])</f>
        <v/>
      </c>
      <c r="AC27" s="283" t="str">
        <f>IF(Table1[Item Description]="","",Table1[[#This Row],[h_hargasebelumdiskon]]-Table1[[#This Row],[h_diskon]])</f>
        <v/>
      </c>
      <c r="AD27" s="283" t="str">
        <f ca="1">IF(Table1[//]="","",SUMIF(Table1[h_id],Table1[h_id],Table1[h_hargasetelahdiskon]))</f>
        <v/>
      </c>
      <c r="AE27" s="283"/>
      <c r="AF27" s="283" t="str">
        <f>Table1[[#This Row],[Item Description]]&amp;Table1[[#This Row],[Unit]]&amp;Table1[[#This Row],[Unit Price]]</f>
        <v/>
      </c>
    </row>
    <row r="28" spans="1:32" x14ac:dyDescent="0.25">
      <c r="A28" s="287">
        <f ca="1">IF(Table1[[#This Row],[No. Invoice :]]="","",ROW())</f>
        <v>28</v>
      </c>
      <c r="B28" s="287">
        <f ca="1">IF(Table1[h_Kode Sales :_1]="","",B$1+COUNT(INDIRECT("B$2:B"&amp;ROW()-1)))</f>
        <v>23080009</v>
      </c>
      <c r="C28" s="281">
        <f>IF(Table1[[#This Row],[H_TGL]]="","",Table1[[#This Row],[H_TGL]]+C$1-1)</f>
        <v>45147</v>
      </c>
      <c r="D28" s="292">
        <v>9</v>
      </c>
      <c r="E28" s="280" t="s">
        <v>177</v>
      </c>
      <c r="F28" s="282" t="s">
        <v>323</v>
      </c>
      <c r="G28" s="280" t="s">
        <v>93</v>
      </c>
      <c r="H28" s="287" t="str">
        <f ca="1">IF(Table1[[#This Row],[h_No. Invoice :]]="","",CONCATENATE("AM"," ",Table1[[#This Row],[h_No. Invoice :]]))</f>
        <v>AM 23080009</v>
      </c>
      <c r="I28" s="288" t="str">
        <f>CONCATENATE(UPPER(Table1[[#This Row],[h_Kode Sales :_1]])," ",Table1[[#This Row],[h_Kode Sales :_2]])</f>
        <v>G 1916</v>
      </c>
      <c r="J28" s="287" t="str">
        <f>IF(Table1[[#This Row],[h_toko]]="","",INDEX(Table2[e],IF(Table1[[#This Row],[h_toko]]="","",MATCH(Table1[[#This Row],[h_toko]],Table2[a],0)),))</f>
        <v>LILY JULIAWATI (REJO AGUNG) JOMBANG</v>
      </c>
      <c r="K28" s="280">
        <v>144</v>
      </c>
      <c r="L28" s="280" t="s">
        <v>263</v>
      </c>
      <c r="M28" s="280">
        <v>2</v>
      </c>
      <c r="O28" s="287" t="str">
        <f>IF(Table1[[#This Row],[h_Item Description]]="","",INDEX([1]!db[NB PAJAK],MATCH(Table1[[#This Row],[h_Item Description]],[1]!db[kode],0)))</f>
        <v/>
      </c>
      <c r="P28" s="280" t="s">
        <v>324</v>
      </c>
      <c r="Q28" s="283">
        <v>15800</v>
      </c>
      <c r="R28" s="284">
        <v>0.125</v>
      </c>
      <c r="T28" s="283">
        <f>Table1[[#This Row],[h_hargasetelahdiskon]]</f>
        <v>1990800</v>
      </c>
      <c r="U28" s="283" t="s">
        <v>266</v>
      </c>
      <c r="W28" s="287">
        <f ca="1">IF(Table1[[#This Row],[Item Description]]="","",IF(Table1[[#This Row],[//]]="",INDIRECT(ADDRESS(ROW()-1,COLUMN())),Table1[[#This Row],[//]]))</f>
        <v>28</v>
      </c>
      <c r="X28" s="287">
        <f ca="1">IF(Table1[[#This Row],[h_id]]="","",COUNTIF(Table1[h_id],Table1[[#This Row],[h_id]]))</f>
        <v>1</v>
      </c>
      <c r="Y28" s="283">
        <f>IF(Table1[Item Description]="","",Table1[[#This Row],[Qty]]*Table1[[#This Row],[Unit Price]])</f>
        <v>2275200</v>
      </c>
      <c r="Z28" s="283">
        <f>IF(Table1[[#This Row],[h_hargasebelumdiskon]]="","",IF(Table1[[#This Row],[Disc 1]]="",0,Table1[[#This Row],[h_hargasebelumdiskon]]*Table1[[#This Row],[Disc 1]]))</f>
        <v>284400</v>
      </c>
      <c r="AA28" s="283">
        <f>IF(Table1[[#This Row],[h_hargasebelumdiskon]]="","",IF(Table1[[#This Row],[Disc 2]]="",0,(Table1[[#This Row],[h_hargasebelumdiskon]]-Table1[[#This Row],[h_disc 1]])*Table1[[#This Row],[Disc 2]]))</f>
        <v>0</v>
      </c>
      <c r="AB28" s="283">
        <f>IF(Table1[Item Description]="","",Table1[[#This Row],[h_disc 1]]+Table1[[#This Row],[h_disc 2]])</f>
        <v>284400</v>
      </c>
      <c r="AC28" s="283">
        <f>IF(Table1[Item Description]="","",Table1[[#This Row],[h_hargasebelumdiskon]]-Table1[[#This Row],[h_diskon]])</f>
        <v>1990800</v>
      </c>
      <c r="AD28" s="283">
        <f ca="1">IF(Table1[//]="","",SUMIF(Table1[h_id],Table1[h_id],Table1[h_hargasetelahdiskon]))</f>
        <v>1990800</v>
      </c>
      <c r="AE28" s="283"/>
      <c r="AF28" s="283" t="str">
        <f>Table1[[#This Row],[Item Description]]&amp;Table1[[#This Row],[Unit]]&amp;Table1[[#This Row],[Unit Price]]</f>
        <v>BINDER NOTE JOYKO A5 (CAMPUS/CLASSIC)PC15800</v>
      </c>
    </row>
    <row r="29" spans="1:32" x14ac:dyDescent="0.25">
      <c r="A29" s="287" t="str">
        <f ca="1">IF(Table1[[#This Row],[No. Invoice :]]="","",ROW())</f>
        <v/>
      </c>
      <c r="B29" s="287" t="str">
        <f ca="1">IF(Table1[h_Kode Sales :_1]="","",B$1+COUNT(INDIRECT("B$2:B"&amp;ROW()-1)))</f>
        <v/>
      </c>
      <c r="C29" s="281" t="str">
        <f>IF(Table1[[#This Row],[H_TGL]]="","",Table1[[#This Row],[H_TGL]]+C$1-1)</f>
        <v/>
      </c>
      <c r="H29" s="287" t="str">
        <f ca="1">IF(Table1[[#This Row],[h_No. Invoice :]]="","",CONCATENATE("AM"," ",Table1[[#This Row],[h_No. Invoice :]]))</f>
        <v/>
      </c>
      <c r="I29" s="288" t="str">
        <f>CONCATENATE(UPPER(Table1[[#This Row],[h_Kode Sales :_1]])," ",Table1[[#This Row],[h_Kode Sales :_2]])</f>
        <v xml:space="preserve"> </v>
      </c>
      <c r="J29" s="287" t="str">
        <f>IF(Table1[[#This Row],[h_toko]]="","",INDEX(Table2[e],IF(Table1[[#This Row],[h_toko]]="","",MATCH(Table1[[#This Row],[h_toko]],Table2[a],0)),))</f>
        <v/>
      </c>
      <c r="O29" s="287" t="str">
        <f>IF(Table1[[#This Row],[h_Item Description]]="","",INDEX([1]!db[NB PAJAK],MATCH(Table1[[#This Row],[h_Item Description]],[1]!db[kode],0)))</f>
        <v/>
      </c>
      <c r="Q29" s="283"/>
      <c r="R29" s="284"/>
      <c r="T29" s="283" t="str">
        <f>Table1[[#This Row],[h_hargasetelahdiskon]]</f>
        <v/>
      </c>
      <c r="W29" s="287" t="str">
        <f ca="1">IF(Table1[[#This Row],[Item Description]]="","",IF(Table1[[#This Row],[//]]="",INDIRECT(ADDRESS(ROW()-1,COLUMN())),Table1[[#This Row],[//]]))</f>
        <v/>
      </c>
      <c r="X29" s="287" t="str">
        <f ca="1">IF(Table1[[#This Row],[h_id]]="","",COUNTIF(Table1[h_id],Table1[[#This Row],[h_id]]))</f>
        <v/>
      </c>
      <c r="Y29" s="283" t="str">
        <f>IF(Table1[Item Description]="","",Table1[[#This Row],[Qty]]*Table1[[#This Row],[Unit Price]])</f>
        <v/>
      </c>
      <c r="Z29" s="283" t="str">
        <f>IF(Table1[[#This Row],[h_hargasebelumdiskon]]="","",IF(Table1[[#This Row],[Disc 1]]="",0,Table1[[#This Row],[h_hargasebelumdiskon]]*Table1[[#This Row],[Disc 1]]))</f>
        <v/>
      </c>
      <c r="AA29" s="283" t="str">
        <f>IF(Table1[[#This Row],[h_hargasebelumdiskon]]="","",IF(Table1[[#This Row],[Disc 2]]="",0,(Table1[[#This Row],[h_hargasebelumdiskon]]-Table1[[#This Row],[h_disc 1]])*Table1[[#This Row],[Disc 2]]))</f>
        <v/>
      </c>
      <c r="AB29" s="283" t="str">
        <f>IF(Table1[Item Description]="","",Table1[[#This Row],[h_disc 1]]+Table1[[#This Row],[h_disc 2]])</f>
        <v/>
      </c>
      <c r="AC29" s="283" t="str">
        <f>IF(Table1[Item Description]="","",Table1[[#This Row],[h_hargasebelumdiskon]]-Table1[[#This Row],[h_diskon]])</f>
        <v/>
      </c>
      <c r="AD29" s="283" t="str">
        <f ca="1">IF(Table1[//]="","",SUMIF(Table1[h_id],Table1[h_id],Table1[h_hargasetelahdiskon]))</f>
        <v/>
      </c>
      <c r="AE29" s="283"/>
      <c r="AF29" s="283" t="str">
        <f>Table1[[#This Row],[Item Description]]&amp;Table1[[#This Row],[Unit]]&amp;Table1[[#This Row],[Unit Price]]</f>
        <v/>
      </c>
    </row>
    <row r="30" spans="1:32" x14ac:dyDescent="0.25">
      <c r="A30" s="287">
        <f ca="1">IF(Table1[[#This Row],[No. Invoice :]]="","",ROW())</f>
        <v>30</v>
      </c>
      <c r="B30" s="287">
        <f ca="1">IF(Table1[h_Kode Sales :_1]="","",B$1+COUNT(INDIRECT("B$2:B"&amp;ROW()-1)))</f>
        <v>23080010</v>
      </c>
      <c r="C30" s="281">
        <f>IF(Table1[[#This Row],[H_TGL]]="","",Table1[[#This Row],[H_TGL]]+C$1-1)</f>
        <v>45147</v>
      </c>
      <c r="D30" s="292">
        <v>9</v>
      </c>
      <c r="E30" s="280" t="s">
        <v>162</v>
      </c>
      <c r="F30" s="282" t="s">
        <v>325</v>
      </c>
      <c r="G30" s="280" t="s">
        <v>84</v>
      </c>
      <c r="H30" s="287" t="str">
        <f ca="1">IF(Table1[[#This Row],[h_No. Invoice :]]="","",CONCATENATE("AM"," ",Table1[[#This Row],[h_No. Invoice :]]))</f>
        <v>AM 23080010</v>
      </c>
      <c r="I30" s="288" t="str">
        <f>CONCATENATE(UPPER(Table1[[#This Row],[h_Kode Sales :_1]])," ",Table1[[#This Row],[h_Kode Sales :_2]])</f>
        <v>KO 1921</v>
      </c>
      <c r="J30" s="287" t="str">
        <f>IF(Table1[[#This Row],[h_toko]]="","",INDEX(Table2[e],IF(Table1[[#This Row],[h_toko]]="","",MATCH(Table1[[#This Row],[h_toko]],Table2[a],0)),))</f>
        <v>CV PELITA JAYA (ANUGERAH SEJAHTERA) PURWOKERTO</v>
      </c>
      <c r="K30" s="280">
        <v>18</v>
      </c>
      <c r="L30" s="280" t="s">
        <v>203</v>
      </c>
      <c r="M30" s="280">
        <v>1</v>
      </c>
      <c r="O30" s="287" t="str">
        <f>IF(Table1[[#This Row],[h_Item Description]]="","",INDEX([1]!db[NB PAJAK],MATCH(Table1[[#This Row],[h_Item Description]],[1]!db[kode],0)))</f>
        <v/>
      </c>
      <c r="P30" s="280" t="s">
        <v>326</v>
      </c>
      <c r="Q30" s="283">
        <v>180000</v>
      </c>
      <c r="R30" s="284">
        <v>0.13500000000000001</v>
      </c>
      <c r="T30" s="283">
        <f>Table1[[#This Row],[h_hargasetelahdiskon]]</f>
        <v>2802600</v>
      </c>
      <c r="U30" s="283" t="s">
        <v>266</v>
      </c>
      <c r="W30" s="287">
        <f ca="1">IF(Table1[[#This Row],[Item Description]]="","",IF(Table1[[#This Row],[//]]="",INDIRECT(ADDRESS(ROW()-1,COLUMN())),Table1[[#This Row],[//]]))</f>
        <v>30</v>
      </c>
      <c r="X30" s="287">
        <f ca="1">IF(Table1[[#This Row],[h_id]]="","",COUNTIF(Table1[h_id],Table1[[#This Row],[h_id]]))</f>
        <v>2</v>
      </c>
      <c r="Y30" s="283">
        <f>IF(Table1[Item Description]="","",Table1[[#This Row],[Qty]]*Table1[[#This Row],[Unit Price]])</f>
        <v>3240000</v>
      </c>
      <c r="Z30" s="283">
        <f>IF(Table1[[#This Row],[h_hargasebelumdiskon]]="","",IF(Table1[[#This Row],[Disc 1]]="",0,Table1[[#This Row],[h_hargasebelumdiskon]]*Table1[[#This Row],[Disc 1]]))</f>
        <v>437400</v>
      </c>
      <c r="AA30" s="283">
        <f>IF(Table1[[#This Row],[h_hargasebelumdiskon]]="","",IF(Table1[[#This Row],[Disc 2]]="",0,(Table1[[#This Row],[h_hargasebelumdiskon]]-Table1[[#This Row],[h_disc 1]])*Table1[[#This Row],[Disc 2]]))</f>
        <v>0</v>
      </c>
      <c r="AB30" s="283">
        <f>IF(Table1[Item Description]="","",Table1[[#This Row],[h_disc 1]]+Table1[[#This Row],[h_disc 2]])</f>
        <v>437400</v>
      </c>
      <c r="AC30" s="283">
        <f>IF(Table1[Item Description]="","",Table1[[#This Row],[h_hargasebelumdiskon]]-Table1[[#This Row],[h_diskon]])</f>
        <v>2802600</v>
      </c>
      <c r="AD30" s="283">
        <f ca="1">IF(Table1[//]="","",SUMIF(Table1[h_id],Table1[h_id],Table1[h_hargasetelahdiskon]))</f>
        <v>5511780</v>
      </c>
      <c r="AE30" s="283"/>
      <c r="AF30" s="283" t="str">
        <f>Table1[[#This Row],[Item Description]]&amp;Table1[[#This Row],[Unit]]&amp;Table1[[#This Row],[Unit Price]]</f>
        <v>ISI PENSIL 2B 0.5 MM KENKO PL-05 HI-POLYMERGRS180000</v>
      </c>
    </row>
    <row r="31" spans="1:32" x14ac:dyDescent="0.25">
      <c r="A31" s="287" t="str">
        <f ca="1">IF(Table1[[#This Row],[No. Invoice :]]="","",ROW())</f>
        <v/>
      </c>
      <c r="B31" s="287" t="str">
        <f ca="1">IF(Table1[h_Kode Sales :_1]="","",B$1+COUNT(INDIRECT("B$2:B"&amp;ROW()-1)))</f>
        <v/>
      </c>
      <c r="C31" s="281" t="str">
        <f>IF(Table1[[#This Row],[H_TGL]]="","",Table1[[#This Row],[H_TGL]]+C$1-1)</f>
        <v/>
      </c>
      <c r="H31" s="287" t="str">
        <f ca="1">IF(Table1[[#This Row],[h_No. Invoice :]]="","",CONCATENATE("AM"," ",Table1[[#This Row],[h_No. Invoice :]]))</f>
        <v/>
      </c>
      <c r="I31" s="288" t="str">
        <f>CONCATENATE(UPPER(Table1[[#This Row],[h_Kode Sales :_1]])," ",Table1[[#This Row],[h_Kode Sales :_2]])</f>
        <v xml:space="preserve"> </v>
      </c>
      <c r="J31" s="287" t="str">
        <f>IF(Table1[[#This Row],[h_toko]]="","",INDEX(Table2[e],IF(Table1[[#This Row],[h_toko]]="","",MATCH(Table1[[#This Row],[h_toko]],Table2[a],0)),))</f>
        <v/>
      </c>
      <c r="K31" s="280">
        <v>60</v>
      </c>
      <c r="L31" s="280" t="s">
        <v>267</v>
      </c>
      <c r="M31" s="280">
        <v>2</v>
      </c>
      <c r="O31" s="287" t="str">
        <f>IF(Table1[[#This Row],[h_Item Description]]="","",INDEX([1]!db[NB PAJAK],MATCH(Table1[[#This Row],[h_Item Description]],[1]!db[kode],0)))</f>
        <v/>
      </c>
      <c r="P31" s="280" t="s">
        <v>327</v>
      </c>
      <c r="Q31" s="283">
        <v>52200</v>
      </c>
      <c r="R31" s="284">
        <v>0.13500000000000001</v>
      </c>
      <c r="T31" s="283">
        <f>Table1[[#This Row],[h_hargasetelahdiskon]]</f>
        <v>2709180</v>
      </c>
      <c r="W31" s="287">
        <f ca="1">IF(Table1[[#This Row],[Item Description]]="","",IF(Table1[[#This Row],[//]]="",INDIRECT(ADDRESS(ROW()-1,COLUMN())),Table1[[#This Row],[//]]))</f>
        <v>30</v>
      </c>
      <c r="X31" s="287">
        <f ca="1">IF(Table1[[#This Row],[h_id]]="","",COUNTIF(Table1[h_id],Table1[[#This Row],[h_id]]))</f>
        <v>2</v>
      </c>
      <c r="Y31" s="283">
        <f>IF(Table1[Item Description]="","",Table1[[#This Row],[Qty]]*Table1[[#This Row],[Unit Price]])</f>
        <v>3132000</v>
      </c>
      <c r="Z31" s="283">
        <f>IF(Table1[[#This Row],[h_hargasebelumdiskon]]="","",IF(Table1[[#This Row],[Disc 1]]="",0,Table1[[#This Row],[h_hargasebelumdiskon]]*Table1[[#This Row],[Disc 1]]))</f>
        <v>422820</v>
      </c>
      <c r="AA31" s="283">
        <f>IF(Table1[[#This Row],[h_hargasebelumdiskon]]="","",IF(Table1[[#This Row],[Disc 2]]="",0,(Table1[[#This Row],[h_hargasebelumdiskon]]-Table1[[#This Row],[h_disc 1]])*Table1[[#This Row],[Disc 2]]))</f>
        <v>0</v>
      </c>
      <c r="AB31" s="283">
        <f>IF(Table1[Item Description]="","",Table1[[#This Row],[h_disc 1]]+Table1[[#This Row],[h_disc 2]])</f>
        <v>422820</v>
      </c>
      <c r="AC31" s="283">
        <f>IF(Table1[Item Description]="","",Table1[[#This Row],[h_hargasebelumdiskon]]-Table1[[#This Row],[h_diskon]])</f>
        <v>2709180</v>
      </c>
      <c r="AD31" s="283" t="str">
        <f ca="1">IF(Table1[//]="","",SUMIF(Table1[h_id],Table1[h_id],Table1[h_hargasetelahdiskon]))</f>
        <v/>
      </c>
      <c r="AE31" s="283"/>
      <c r="AF31" s="283" t="str">
        <f>Table1[[#This Row],[Item Description]]&amp;Table1[[#This Row],[Unit]]&amp;Table1[[#This Row],[Unit Price]]</f>
        <v>CUTTER 9 MM KENKO K-200 (KECIL)LS52200</v>
      </c>
    </row>
    <row r="32" spans="1:32" x14ac:dyDescent="0.25">
      <c r="A32" s="287" t="str">
        <f ca="1">IF(Table1[[#This Row],[No. Invoice :]]="","",ROW())</f>
        <v/>
      </c>
      <c r="B32" s="287" t="str">
        <f ca="1">IF(Table1[h_Kode Sales :_1]="","",B$1+COUNT(INDIRECT("B$2:B"&amp;ROW()-1)))</f>
        <v/>
      </c>
      <c r="C32" s="281" t="str">
        <f>IF(Table1[[#This Row],[H_TGL]]="","",Table1[[#This Row],[H_TGL]]+C$1-1)</f>
        <v/>
      </c>
      <c r="H32" s="287" t="str">
        <f ca="1">IF(Table1[[#This Row],[h_No. Invoice :]]="","",CONCATENATE("AM"," ",Table1[[#This Row],[h_No. Invoice :]]))</f>
        <v/>
      </c>
      <c r="I32" s="288" t="str">
        <f>CONCATENATE(UPPER(Table1[[#This Row],[h_Kode Sales :_1]])," ",Table1[[#This Row],[h_Kode Sales :_2]])</f>
        <v xml:space="preserve"> </v>
      </c>
      <c r="J32" s="287" t="str">
        <f>IF(Table1[[#This Row],[h_toko]]="","",INDEX(Table2[e],IF(Table1[[#This Row],[h_toko]]="","",MATCH(Table1[[#This Row],[h_toko]],Table2[a],0)),))</f>
        <v/>
      </c>
      <c r="O32" s="287" t="str">
        <f>IF(Table1[[#This Row],[h_Item Description]]="","",INDEX([1]!db[NB PAJAK],MATCH(Table1[[#This Row],[h_Item Description]],[1]!db[kode],0)))</f>
        <v/>
      </c>
      <c r="Q32" s="283"/>
      <c r="R32" s="284"/>
      <c r="T32" s="283" t="str">
        <f>Table1[[#This Row],[h_hargasetelahdiskon]]</f>
        <v/>
      </c>
      <c r="W32" s="287" t="str">
        <f ca="1">IF(Table1[[#This Row],[Item Description]]="","",IF(Table1[[#This Row],[//]]="",INDIRECT(ADDRESS(ROW()-1,COLUMN())),Table1[[#This Row],[//]]))</f>
        <v/>
      </c>
      <c r="X32" s="287" t="str">
        <f ca="1">IF(Table1[[#This Row],[h_id]]="","",COUNTIF(Table1[h_id],Table1[[#This Row],[h_id]]))</f>
        <v/>
      </c>
      <c r="Y32" s="283" t="str">
        <f>IF(Table1[Item Description]="","",Table1[[#This Row],[Qty]]*Table1[[#This Row],[Unit Price]])</f>
        <v/>
      </c>
      <c r="Z32" s="283" t="str">
        <f>IF(Table1[[#This Row],[h_hargasebelumdiskon]]="","",IF(Table1[[#This Row],[Disc 1]]="",0,Table1[[#This Row],[h_hargasebelumdiskon]]*Table1[[#This Row],[Disc 1]]))</f>
        <v/>
      </c>
      <c r="AA32" s="283" t="str">
        <f>IF(Table1[[#This Row],[h_hargasebelumdiskon]]="","",IF(Table1[[#This Row],[Disc 2]]="",0,(Table1[[#This Row],[h_hargasebelumdiskon]]-Table1[[#This Row],[h_disc 1]])*Table1[[#This Row],[Disc 2]]))</f>
        <v/>
      </c>
      <c r="AB32" s="283" t="str">
        <f>IF(Table1[Item Description]="","",Table1[[#This Row],[h_disc 1]]+Table1[[#This Row],[h_disc 2]])</f>
        <v/>
      </c>
      <c r="AC32" s="283" t="str">
        <f>IF(Table1[Item Description]="","",Table1[[#This Row],[h_hargasebelumdiskon]]-Table1[[#This Row],[h_diskon]])</f>
        <v/>
      </c>
      <c r="AD32" s="283" t="str">
        <f ca="1">IF(Table1[//]="","",SUMIF(Table1[h_id],Table1[h_id],Table1[h_hargasetelahdiskon]))</f>
        <v/>
      </c>
      <c r="AE32" s="283"/>
      <c r="AF32" s="283" t="str">
        <f>Table1[[#This Row],[Item Description]]&amp;Table1[[#This Row],[Unit]]&amp;Table1[[#This Row],[Unit Price]]</f>
        <v/>
      </c>
    </row>
    <row r="33" spans="1:32" x14ac:dyDescent="0.25">
      <c r="A33" s="287">
        <f ca="1">IF(Table1[[#This Row],[No. Invoice :]]="","",ROW())</f>
        <v>33</v>
      </c>
      <c r="B33" s="287">
        <f ca="1">IF(Table1[h_Kode Sales :_1]="","",B$1+COUNT(INDIRECT("B$2:B"&amp;ROW()-1)))</f>
        <v>23080011</v>
      </c>
      <c r="C33" s="281">
        <f>IF(Table1[[#This Row],[H_TGL]]="","",Table1[[#This Row],[H_TGL]]+C$1-1)</f>
        <v>45148</v>
      </c>
      <c r="D33" s="292">
        <v>10</v>
      </c>
      <c r="E33" s="280" t="s">
        <v>177</v>
      </c>
      <c r="F33" s="282" t="s">
        <v>328</v>
      </c>
      <c r="G33" s="280" t="s">
        <v>329</v>
      </c>
      <c r="H33" s="287" t="str">
        <f ca="1">IF(Table1[[#This Row],[h_No. Invoice :]]="","",CONCATENATE("AM"," ",Table1[[#This Row],[h_No. Invoice :]]))</f>
        <v>AM 23080011</v>
      </c>
      <c r="I33" s="288" t="str">
        <f>CONCATENATE(UPPER(Table1[[#This Row],[h_Kode Sales :_1]])," ",Table1[[#This Row],[h_Kode Sales :_2]])</f>
        <v>G 1923</v>
      </c>
      <c r="J33" s="287" t="str">
        <f>IF(Table1[[#This Row],[h_toko]]="","",INDEX(Table2[e],IF(Table1[[#This Row],[h_toko]]="","",MATCH(Table1[[#This Row],[h_toko]],Table2[a],0)),))</f>
        <v>CV UTAMA PUTRA TULUNG AGUNG</v>
      </c>
      <c r="K33" s="280">
        <v>144</v>
      </c>
      <c r="L33" s="280" t="s">
        <v>267</v>
      </c>
      <c r="M33" s="280">
        <v>1</v>
      </c>
      <c r="O33" s="287" t="str">
        <f>IF(Table1[[#This Row],[h_Item Description]]="","",INDEX([1]!db[NB PAJAK],MATCH(Table1[[#This Row],[h_Item Description]],[1]!db[kode],0)))</f>
        <v/>
      </c>
      <c r="P33" s="280" t="s">
        <v>330</v>
      </c>
      <c r="Q33" s="283">
        <v>10200</v>
      </c>
      <c r="R33" s="284">
        <v>0.125</v>
      </c>
      <c r="T33" s="283">
        <f>Table1[[#This Row],[h_hargasetelahdiskon]]</f>
        <v>1285200</v>
      </c>
      <c r="U33" s="283" t="s">
        <v>266</v>
      </c>
      <c r="W33" s="287">
        <f ca="1">IF(Table1[[#This Row],[Item Description]]="","",IF(Table1[[#This Row],[//]]="",INDIRECT(ADDRESS(ROW()-1,COLUMN())),Table1[[#This Row],[//]]))</f>
        <v>33</v>
      </c>
      <c r="X33" s="287">
        <f ca="1">IF(Table1[[#This Row],[h_id]]="","",COUNTIF(Table1[h_id],Table1[[#This Row],[h_id]]))</f>
        <v>1</v>
      </c>
      <c r="Y33" s="283">
        <f>IF(Table1[Item Description]="","",Table1[[#This Row],[Qty]]*Table1[[#This Row],[Unit Price]])</f>
        <v>1468800</v>
      </c>
      <c r="Z33" s="283">
        <f>IF(Table1[[#This Row],[h_hargasebelumdiskon]]="","",IF(Table1[[#This Row],[Disc 1]]="",0,Table1[[#This Row],[h_hargasebelumdiskon]]*Table1[[#This Row],[Disc 1]]))</f>
        <v>183600</v>
      </c>
      <c r="AA33" s="283">
        <f>IF(Table1[[#This Row],[h_hargasebelumdiskon]]="","",IF(Table1[[#This Row],[Disc 2]]="",0,(Table1[[#This Row],[h_hargasebelumdiskon]]-Table1[[#This Row],[h_disc 1]])*Table1[[#This Row],[Disc 2]]))</f>
        <v>0</v>
      </c>
      <c r="AB33" s="283">
        <f>IF(Table1[Item Description]="","",Table1[[#This Row],[h_disc 1]]+Table1[[#This Row],[h_disc 2]])</f>
        <v>183600</v>
      </c>
      <c r="AC33" s="283">
        <f>IF(Table1[Item Description]="","",Table1[[#This Row],[h_hargasebelumdiskon]]-Table1[[#This Row],[h_diskon]])</f>
        <v>1285200</v>
      </c>
      <c r="AD33" s="283">
        <f ca="1">IF(Table1[//]="","",SUMIF(Table1[h_id],Table1[h_id],Table1[h_hargasetelahdiskon]))</f>
        <v>1285200</v>
      </c>
      <c r="AE33" s="283"/>
      <c r="AF33" s="283" t="str">
        <f>Table1[[#This Row],[Item Description]]&amp;Table1[[#This Row],[Unit]]&amp;Table1[[#This Row],[Unit Price]]</f>
        <v>BALLPEN KENKO BP-39 N HITAMLS10200</v>
      </c>
    </row>
    <row r="34" spans="1:32" x14ac:dyDescent="0.25">
      <c r="A34" s="287" t="str">
        <f ca="1">IF(Table1[[#This Row],[No. Invoice :]]="","",ROW())</f>
        <v/>
      </c>
      <c r="B34" s="287" t="str">
        <f ca="1">IF(Table1[h_Kode Sales :_1]="","",B$1+COUNT(INDIRECT("B$2:B"&amp;ROW()-1)))</f>
        <v/>
      </c>
      <c r="C34" s="281" t="str">
        <f>IF(Table1[[#This Row],[H_TGL]]="","",Table1[[#This Row],[H_TGL]]+C$1-1)</f>
        <v/>
      </c>
      <c r="H34" s="287" t="str">
        <f ca="1">IF(Table1[[#This Row],[h_No. Invoice :]]="","",CONCATENATE("AM"," ",Table1[[#This Row],[h_No. Invoice :]]))</f>
        <v/>
      </c>
      <c r="I34" s="288" t="str">
        <f>CONCATENATE(UPPER(Table1[[#This Row],[h_Kode Sales :_1]])," ",Table1[[#This Row],[h_Kode Sales :_2]])</f>
        <v xml:space="preserve"> </v>
      </c>
      <c r="J34" s="287" t="str">
        <f>IF(Table1[[#This Row],[h_toko]]="","",INDEX(Table2[e],IF(Table1[[#This Row],[h_toko]]="","",MATCH(Table1[[#This Row],[h_toko]],Table2[a],0)),))</f>
        <v/>
      </c>
      <c r="O34" s="287" t="str">
        <f>IF(Table1[[#This Row],[h_Item Description]]="","",INDEX([1]!db[NB PAJAK],MATCH(Table1[[#This Row],[h_Item Description]],[1]!db[kode],0)))</f>
        <v/>
      </c>
      <c r="Q34" s="283"/>
      <c r="R34" s="284"/>
      <c r="T34" s="283" t="str">
        <f>Table1[[#This Row],[h_hargasetelahdiskon]]</f>
        <v/>
      </c>
      <c r="W34" s="287" t="str">
        <f ca="1">IF(Table1[[#This Row],[Item Description]]="","",IF(Table1[[#This Row],[//]]="",INDIRECT(ADDRESS(ROW()-1,COLUMN())),Table1[[#This Row],[//]]))</f>
        <v/>
      </c>
      <c r="X34" s="287" t="str">
        <f ca="1">IF(Table1[[#This Row],[h_id]]="","",COUNTIF(Table1[h_id],Table1[[#This Row],[h_id]]))</f>
        <v/>
      </c>
      <c r="Y34" s="283" t="str">
        <f>IF(Table1[Item Description]="","",Table1[[#This Row],[Qty]]*Table1[[#This Row],[Unit Price]])</f>
        <v/>
      </c>
      <c r="Z34" s="283" t="str">
        <f>IF(Table1[[#This Row],[h_hargasebelumdiskon]]="","",IF(Table1[[#This Row],[Disc 1]]="",0,Table1[[#This Row],[h_hargasebelumdiskon]]*Table1[[#This Row],[Disc 1]]))</f>
        <v/>
      </c>
      <c r="AA34" s="283" t="str">
        <f>IF(Table1[[#This Row],[h_hargasebelumdiskon]]="","",IF(Table1[[#This Row],[Disc 2]]="",0,(Table1[[#This Row],[h_hargasebelumdiskon]]-Table1[[#This Row],[h_disc 1]])*Table1[[#This Row],[Disc 2]]))</f>
        <v/>
      </c>
      <c r="AB34" s="283" t="str">
        <f>IF(Table1[Item Description]="","",Table1[[#This Row],[h_disc 1]]+Table1[[#This Row],[h_disc 2]])</f>
        <v/>
      </c>
      <c r="AC34" s="283" t="str">
        <f>IF(Table1[Item Description]="","",Table1[[#This Row],[h_hargasebelumdiskon]]-Table1[[#This Row],[h_diskon]])</f>
        <v/>
      </c>
      <c r="AD34" s="283" t="str">
        <f ca="1">IF(Table1[//]="","",SUMIF(Table1[h_id],Table1[h_id],Table1[h_hargasetelahdiskon]))</f>
        <v/>
      </c>
      <c r="AE34" s="283"/>
      <c r="AF34" s="283" t="str">
        <f>Table1[[#This Row],[Item Description]]&amp;Table1[[#This Row],[Unit]]&amp;Table1[[#This Row],[Unit Price]]</f>
        <v/>
      </c>
    </row>
    <row r="35" spans="1:32" x14ac:dyDescent="0.25">
      <c r="A35" s="287">
        <f ca="1">IF(Table1[[#This Row],[No. Invoice :]]="","",ROW())</f>
        <v>35</v>
      </c>
      <c r="B35" s="287">
        <f ca="1">IF(Table1[h_Kode Sales :_1]="","",B$1+COUNT(INDIRECT("B$2:B"&amp;ROW()-1)))</f>
        <v>23080012</v>
      </c>
      <c r="C35" s="281">
        <f>IF(Table1[[#This Row],[H_TGL]]="","",Table1[[#This Row],[H_TGL]]+C$1-1)</f>
        <v>45148</v>
      </c>
      <c r="D35" s="292">
        <v>10</v>
      </c>
      <c r="E35" s="280" t="s">
        <v>177</v>
      </c>
      <c r="F35" s="282" t="s">
        <v>331</v>
      </c>
      <c r="G35" s="280" t="s">
        <v>155</v>
      </c>
      <c r="H35" s="287" t="str">
        <f ca="1">IF(Table1[[#This Row],[h_No. Invoice :]]="","",CONCATENATE("AM"," ",Table1[[#This Row],[h_No. Invoice :]]))</f>
        <v>AM 23080012</v>
      </c>
      <c r="I35" s="288" t="str">
        <f>CONCATENATE(UPPER(Table1[[#This Row],[h_Kode Sales :_1]])," ",Table1[[#This Row],[h_Kode Sales :_2]])</f>
        <v>G 1926</v>
      </c>
      <c r="J35" s="287" t="str">
        <f>IF(Table1[[#This Row],[h_toko]]="","",INDEX(Table2[e],IF(Table1[[#This Row],[h_toko]]="","",MATCH(Table1[[#This Row],[h_toko]],Table2[a],0)),))</f>
        <v>GUNAWAN HARTONO KUSUMA ( NIKI SAE ) TULUNG AGUNG</v>
      </c>
      <c r="K35" s="280">
        <v>144</v>
      </c>
      <c r="L35" s="280" t="s">
        <v>332</v>
      </c>
      <c r="M35" s="280">
        <v>1</v>
      </c>
      <c r="O35" s="287" t="str">
        <f>IF(Table1[[#This Row],[h_Item Description]]="","",INDEX([1]!db[NB PAJAK],MATCH(Table1[[#This Row],[h_Item Description]],[1]!db[kode],0)))</f>
        <v/>
      </c>
      <c r="P35" s="280" t="s">
        <v>333</v>
      </c>
      <c r="Q35" s="283">
        <v>28500</v>
      </c>
      <c r="R35" s="284"/>
      <c r="T35" s="283">
        <f>Table1[[#This Row],[h_hargasetelahdiskon]]</f>
        <v>4104000</v>
      </c>
      <c r="U35" s="283" t="s">
        <v>266</v>
      </c>
      <c r="W35" s="287">
        <f ca="1">IF(Table1[[#This Row],[Item Description]]="","",IF(Table1[[#This Row],[//]]="",INDIRECT(ADDRESS(ROW()-1,COLUMN())),Table1[[#This Row],[//]]))</f>
        <v>35</v>
      </c>
      <c r="X35" s="287">
        <f ca="1">IF(Table1[[#This Row],[h_id]]="","",COUNTIF(Table1[h_id],Table1[[#This Row],[h_id]]))</f>
        <v>1</v>
      </c>
      <c r="Y35" s="283">
        <f>IF(Table1[Item Description]="","",Table1[[#This Row],[Qty]]*Table1[[#This Row],[Unit Price]])</f>
        <v>4104000</v>
      </c>
      <c r="Z35" s="283">
        <f>IF(Table1[[#This Row],[h_hargasebelumdiskon]]="","",IF(Table1[[#This Row],[Disc 1]]="",0,Table1[[#This Row],[h_hargasebelumdiskon]]*Table1[[#This Row],[Disc 1]]))</f>
        <v>0</v>
      </c>
      <c r="AA35" s="283">
        <f>IF(Table1[[#This Row],[h_hargasebelumdiskon]]="","",IF(Table1[[#This Row],[Disc 2]]="",0,(Table1[[#This Row],[h_hargasebelumdiskon]]-Table1[[#This Row],[h_disc 1]])*Table1[[#This Row],[Disc 2]]))</f>
        <v>0</v>
      </c>
      <c r="AB35" s="283">
        <f>IF(Table1[Item Description]="","",Table1[[#This Row],[h_disc 1]]+Table1[[#This Row],[h_disc 2]])</f>
        <v>0</v>
      </c>
      <c r="AC35" s="283">
        <f>IF(Table1[Item Description]="","",Table1[[#This Row],[h_hargasebelumdiskon]]-Table1[[#This Row],[h_diskon]])</f>
        <v>4104000</v>
      </c>
      <c r="AD35" s="283">
        <f ca="1">IF(Table1[//]="","",SUMIF(Table1[h_id],Table1[h_id],Table1[h_hargasetelahdiskon]))</f>
        <v>4104000</v>
      </c>
      <c r="AE35" s="283"/>
      <c r="AF35" s="283" t="str">
        <f>Table1[[#This Row],[Item Description]]&amp;Table1[[#This Row],[Unit]]&amp;Table1[[#This Row],[Unit Price]]</f>
        <v>GEL PEN TRIFELLO HI-TECH TF-1190 (Hitam)ls28500</v>
      </c>
    </row>
    <row r="36" spans="1:32" x14ac:dyDescent="0.25">
      <c r="A36" s="287" t="str">
        <f ca="1">IF(Table1[[#This Row],[No. Invoice :]]="","",ROW())</f>
        <v/>
      </c>
      <c r="B36" s="287" t="str">
        <f ca="1">IF(Table1[h_Kode Sales :_1]="","",B$1+COUNT(INDIRECT("B$2:B"&amp;ROW()-1)))</f>
        <v/>
      </c>
      <c r="C36" s="281" t="str">
        <f>IF(Table1[[#This Row],[H_TGL]]="","",Table1[[#This Row],[H_TGL]]+C$1-1)</f>
        <v/>
      </c>
      <c r="H36" s="287" t="str">
        <f ca="1">IF(Table1[[#This Row],[h_No. Invoice :]]="","",CONCATENATE("AM"," ",Table1[[#This Row],[h_No. Invoice :]]))</f>
        <v/>
      </c>
      <c r="I36" s="288" t="str">
        <f>CONCATENATE(UPPER(Table1[[#This Row],[h_Kode Sales :_1]])," ",Table1[[#This Row],[h_Kode Sales :_2]])</f>
        <v xml:space="preserve"> </v>
      </c>
      <c r="J36" s="287" t="str">
        <f>IF(Table1[[#This Row],[h_toko]]="","",INDEX(Table2[e],IF(Table1[[#This Row],[h_toko]]="","",MATCH(Table1[[#This Row],[h_toko]],Table2[a],0)),))</f>
        <v/>
      </c>
      <c r="O36" s="287" t="str">
        <f>IF(Table1[[#This Row],[h_Item Description]]="","",INDEX([1]!db[NB PAJAK],MATCH(Table1[[#This Row],[h_Item Description]],[1]!db[kode],0)))</f>
        <v/>
      </c>
      <c r="Q36" s="283"/>
      <c r="R36" s="284"/>
      <c r="T36" s="283" t="str">
        <f>Table1[[#This Row],[h_hargasetelahdiskon]]</f>
        <v/>
      </c>
      <c r="W36" s="287" t="str">
        <f ca="1">IF(Table1[[#This Row],[Item Description]]="","",IF(Table1[[#This Row],[//]]="",INDIRECT(ADDRESS(ROW()-1,COLUMN())),Table1[[#This Row],[//]]))</f>
        <v/>
      </c>
      <c r="X36" s="287" t="str">
        <f ca="1">IF(Table1[[#This Row],[h_id]]="","",COUNTIF(Table1[h_id],Table1[[#This Row],[h_id]]))</f>
        <v/>
      </c>
      <c r="Y36" s="283" t="str">
        <f>IF(Table1[Item Description]="","",Table1[[#This Row],[Qty]]*Table1[[#This Row],[Unit Price]])</f>
        <v/>
      </c>
      <c r="Z36" s="283" t="str">
        <f>IF(Table1[[#This Row],[h_hargasebelumdiskon]]="","",IF(Table1[[#This Row],[Disc 1]]="",0,Table1[[#This Row],[h_hargasebelumdiskon]]*Table1[[#This Row],[Disc 1]]))</f>
        <v/>
      </c>
      <c r="AA36" s="283" t="str">
        <f>IF(Table1[[#This Row],[h_hargasebelumdiskon]]="","",IF(Table1[[#This Row],[Disc 2]]="",0,(Table1[[#This Row],[h_hargasebelumdiskon]]-Table1[[#This Row],[h_disc 1]])*Table1[[#This Row],[Disc 2]]))</f>
        <v/>
      </c>
      <c r="AB36" s="283" t="str">
        <f>IF(Table1[Item Description]="","",Table1[[#This Row],[h_disc 1]]+Table1[[#This Row],[h_disc 2]])</f>
        <v/>
      </c>
      <c r="AC36" s="283" t="str">
        <f>IF(Table1[Item Description]="","",Table1[[#This Row],[h_hargasebelumdiskon]]-Table1[[#This Row],[h_diskon]])</f>
        <v/>
      </c>
      <c r="AD36" s="283" t="str">
        <f ca="1">IF(Table1[//]="","",SUMIF(Table1[h_id],Table1[h_id],Table1[h_hargasetelahdiskon]))</f>
        <v/>
      </c>
      <c r="AE36" s="283"/>
      <c r="AF36" s="283" t="str">
        <f>Table1[[#This Row],[Item Description]]&amp;Table1[[#This Row],[Unit]]&amp;Table1[[#This Row],[Unit Price]]</f>
        <v/>
      </c>
    </row>
    <row r="37" spans="1:32" x14ac:dyDescent="0.25">
      <c r="A37" s="287">
        <f ca="1">IF(Table1[[#This Row],[No. Invoice :]]="","",ROW())</f>
        <v>37</v>
      </c>
      <c r="B37" s="287">
        <f ca="1">IF(Table1[h_Kode Sales :_1]="","",B$1+COUNT(INDIRECT("B$2:B"&amp;ROW()-1)))</f>
        <v>23080013</v>
      </c>
      <c r="C37" s="281">
        <f>IF(Table1[[#This Row],[H_TGL]]="","",Table1[[#This Row],[H_TGL]]+C$1-1)</f>
        <v>45148</v>
      </c>
      <c r="D37" s="292">
        <v>10</v>
      </c>
      <c r="E37" s="280" t="s">
        <v>177</v>
      </c>
      <c r="F37" s="282" t="s">
        <v>334</v>
      </c>
      <c r="G37" s="280" t="s">
        <v>93</v>
      </c>
      <c r="H37" s="287" t="str">
        <f ca="1">IF(Table1[[#This Row],[h_No. Invoice :]]="","",CONCATENATE("AM"," ",Table1[[#This Row],[h_No. Invoice :]]))</f>
        <v>AM 23080013</v>
      </c>
      <c r="I37" s="288" t="str">
        <f>CONCATENATE(UPPER(Table1[[#This Row],[h_Kode Sales :_1]])," ",Table1[[#This Row],[h_Kode Sales :_2]])</f>
        <v>G 1927</v>
      </c>
      <c r="J37" s="287" t="str">
        <f>IF(Table1[[#This Row],[h_toko]]="","",INDEX(Table2[e],IF(Table1[[#This Row],[h_toko]]="","",MATCH(Table1[[#This Row],[h_toko]],Table2[a],0)),))</f>
        <v>LILY JULIAWATI (REJO AGUNG) JOMBANG</v>
      </c>
      <c r="K37" s="280">
        <v>720</v>
      </c>
      <c r="L37" s="280" t="s">
        <v>267</v>
      </c>
      <c r="M37" s="280">
        <v>5</v>
      </c>
      <c r="O37" s="287" t="str">
        <f>IF(Table1[[#This Row],[h_Item Description]]="","",INDEX([1]!db[NB PAJAK],MATCH(Table1[[#This Row],[h_Item Description]],[1]!db[kode],0)))</f>
        <v/>
      </c>
      <c r="P37" s="280" t="s">
        <v>333</v>
      </c>
      <c r="Q37" s="283">
        <v>28500</v>
      </c>
      <c r="R37" s="284"/>
      <c r="T37" s="283">
        <f>Table1[[#This Row],[h_hargasetelahdiskon]]</f>
        <v>20520000</v>
      </c>
      <c r="U37" s="283" t="s">
        <v>266</v>
      </c>
      <c r="W37" s="287">
        <f ca="1">IF(Table1[[#This Row],[Item Description]]="","",IF(Table1[[#This Row],[//]]="",INDIRECT(ADDRESS(ROW()-1,COLUMN())),Table1[[#This Row],[//]]))</f>
        <v>37</v>
      </c>
      <c r="X37" s="287">
        <f ca="1">IF(Table1[[#This Row],[h_id]]="","",COUNTIF(Table1[h_id],Table1[[#This Row],[h_id]]))</f>
        <v>1</v>
      </c>
      <c r="Y37" s="283">
        <f>IF(Table1[Item Description]="","",Table1[[#This Row],[Qty]]*Table1[[#This Row],[Unit Price]])</f>
        <v>20520000</v>
      </c>
      <c r="Z37" s="283">
        <f>IF(Table1[[#This Row],[h_hargasebelumdiskon]]="","",IF(Table1[[#This Row],[Disc 1]]="",0,Table1[[#This Row],[h_hargasebelumdiskon]]*Table1[[#This Row],[Disc 1]]))</f>
        <v>0</v>
      </c>
      <c r="AA37" s="283">
        <f>IF(Table1[[#This Row],[h_hargasebelumdiskon]]="","",IF(Table1[[#This Row],[Disc 2]]="",0,(Table1[[#This Row],[h_hargasebelumdiskon]]-Table1[[#This Row],[h_disc 1]])*Table1[[#This Row],[Disc 2]]))</f>
        <v>0</v>
      </c>
      <c r="AB37" s="283">
        <f>IF(Table1[Item Description]="","",Table1[[#This Row],[h_disc 1]]+Table1[[#This Row],[h_disc 2]])</f>
        <v>0</v>
      </c>
      <c r="AC37" s="283">
        <f>IF(Table1[Item Description]="","",Table1[[#This Row],[h_hargasebelumdiskon]]-Table1[[#This Row],[h_diskon]])</f>
        <v>20520000</v>
      </c>
      <c r="AD37" s="283">
        <f ca="1">IF(Table1[//]="","",SUMIF(Table1[h_id],Table1[h_id],Table1[h_hargasetelahdiskon]))</f>
        <v>20520000</v>
      </c>
      <c r="AE37" s="283"/>
      <c r="AF37" s="283" t="str">
        <f>Table1[[#This Row],[Item Description]]&amp;Table1[[#This Row],[Unit]]&amp;Table1[[#This Row],[Unit Price]]</f>
        <v>GEL PEN TRIFELLO HI-TECH TF-1190 (Hitam)LS28500</v>
      </c>
    </row>
    <row r="38" spans="1:32" x14ac:dyDescent="0.25">
      <c r="A38" s="287" t="str">
        <f ca="1">IF(Table1[[#This Row],[No. Invoice :]]="","",ROW())</f>
        <v/>
      </c>
      <c r="B38" s="287" t="str">
        <f ca="1">IF(Table1[h_Kode Sales :_1]="","",B$1+COUNT(INDIRECT("B$2:B"&amp;ROW()-1)))</f>
        <v/>
      </c>
      <c r="C38" s="281" t="str">
        <f>IF(Table1[[#This Row],[H_TGL]]="","",Table1[[#This Row],[H_TGL]]+C$1-1)</f>
        <v/>
      </c>
      <c r="H38" s="287" t="str">
        <f ca="1">IF(Table1[[#This Row],[h_No. Invoice :]]="","",CONCATENATE("AM"," ",Table1[[#This Row],[h_No. Invoice :]]))</f>
        <v/>
      </c>
      <c r="I38" s="288" t="str">
        <f>CONCATENATE(UPPER(Table1[[#This Row],[h_Kode Sales :_1]])," ",Table1[[#This Row],[h_Kode Sales :_2]])</f>
        <v xml:space="preserve"> </v>
      </c>
      <c r="J38" s="287" t="str">
        <f>IF(Table1[[#This Row],[h_toko]]="","",INDEX(Table2[e],IF(Table1[[#This Row],[h_toko]]="","",MATCH(Table1[[#This Row],[h_toko]],Table2[a],0)),))</f>
        <v/>
      </c>
      <c r="O38" s="287" t="str">
        <f>IF(Table1[[#This Row],[h_Item Description]]="","",INDEX([1]!db[NB PAJAK],MATCH(Table1[[#This Row],[h_Item Description]],[1]!db[kode],0)))</f>
        <v/>
      </c>
      <c r="Q38" s="283"/>
      <c r="R38" s="284"/>
      <c r="T38" s="283" t="str">
        <f>Table1[[#This Row],[h_hargasetelahdiskon]]</f>
        <v/>
      </c>
      <c r="W38" s="287" t="str">
        <f ca="1">IF(Table1[[#This Row],[Item Description]]="","",IF(Table1[[#This Row],[//]]="",INDIRECT(ADDRESS(ROW()-1,COLUMN())),Table1[[#This Row],[//]]))</f>
        <v/>
      </c>
      <c r="X38" s="287" t="str">
        <f ca="1">IF(Table1[[#This Row],[h_id]]="","",COUNTIF(Table1[h_id],Table1[[#This Row],[h_id]]))</f>
        <v/>
      </c>
      <c r="Y38" s="283" t="str">
        <f>IF(Table1[Item Description]="","",Table1[[#This Row],[Qty]]*Table1[[#This Row],[Unit Price]])</f>
        <v/>
      </c>
      <c r="Z38" s="283" t="str">
        <f>IF(Table1[[#This Row],[h_hargasebelumdiskon]]="","",IF(Table1[[#This Row],[Disc 1]]="",0,Table1[[#This Row],[h_hargasebelumdiskon]]*Table1[[#This Row],[Disc 1]]))</f>
        <v/>
      </c>
      <c r="AA38" s="283" t="str">
        <f>IF(Table1[[#This Row],[h_hargasebelumdiskon]]="","",IF(Table1[[#This Row],[Disc 2]]="",0,(Table1[[#This Row],[h_hargasebelumdiskon]]-Table1[[#This Row],[h_disc 1]])*Table1[[#This Row],[Disc 2]]))</f>
        <v/>
      </c>
      <c r="AB38" s="283" t="str">
        <f>IF(Table1[Item Description]="","",Table1[[#This Row],[h_disc 1]]+Table1[[#This Row],[h_disc 2]])</f>
        <v/>
      </c>
      <c r="AC38" s="283" t="str">
        <f>IF(Table1[Item Description]="","",Table1[[#This Row],[h_hargasebelumdiskon]]-Table1[[#This Row],[h_diskon]])</f>
        <v/>
      </c>
      <c r="AD38" s="283" t="str">
        <f ca="1">IF(Table1[//]="","",SUMIF(Table1[h_id],Table1[h_id],Table1[h_hargasetelahdiskon]))</f>
        <v/>
      </c>
      <c r="AE38" s="283"/>
      <c r="AF38" s="283" t="str">
        <f>Table1[[#This Row],[Item Description]]&amp;Table1[[#This Row],[Unit]]&amp;Table1[[#This Row],[Unit Price]]</f>
        <v/>
      </c>
    </row>
    <row r="39" spans="1:32" x14ac:dyDescent="0.25">
      <c r="A39" s="287">
        <f ca="1">IF(Table1[[#This Row],[No. Invoice :]]="","",ROW())</f>
        <v>39</v>
      </c>
      <c r="B39" s="287">
        <f ca="1">IF(Table1[h_Kode Sales :_1]="","",B$1+COUNT(INDIRECT("B$2:B"&amp;ROW()-1)))</f>
        <v>23080014</v>
      </c>
      <c r="C39" s="281">
        <f>IF(Table1[[#This Row],[H_TGL]]="","",Table1[[#This Row],[H_TGL]]+C$1-1)</f>
        <v>45148</v>
      </c>
      <c r="D39" s="292">
        <v>10</v>
      </c>
      <c r="E39" s="280" t="s">
        <v>162</v>
      </c>
      <c r="F39" s="282" t="s">
        <v>335</v>
      </c>
      <c r="G39" s="280" t="s">
        <v>94</v>
      </c>
      <c r="H39" s="287" t="str">
        <f ca="1">IF(Table1[[#This Row],[h_No. Invoice :]]="","",CONCATENATE("AM"," ",Table1[[#This Row],[h_No. Invoice :]]))</f>
        <v>AM 23080014</v>
      </c>
      <c r="I39" s="288" t="str">
        <f>CONCATENATE(UPPER(Table1[[#This Row],[h_Kode Sales :_1]])," ",Table1[[#This Row],[h_Kode Sales :_2]])</f>
        <v>KO 1574</v>
      </c>
      <c r="J39" s="287" t="str">
        <f>IF(Table1[[#This Row],[h_toko]]="","",INDEX(Table2[e],IF(Table1[[#This Row],[h_toko]]="","",MATCH(Table1[[#This Row],[h_toko]],Table2[a],0)),))</f>
        <v>CV LANCAR JAYA SENTOSA MALANG</v>
      </c>
      <c r="K39" s="280">
        <v>700</v>
      </c>
      <c r="L39" s="280" t="s">
        <v>130</v>
      </c>
      <c r="M39" s="280">
        <v>7</v>
      </c>
      <c r="O39" s="287" t="str">
        <f>IF(Table1[[#This Row],[h_Item Description]]="","",INDEX([1]!db[NB PAJAK],MATCH(Table1[[#This Row],[h_Item Description]],[1]!db[kode],0)))</f>
        <v/>
      </c>
      <c r="P39" s="280" t="s">
        <v>192</v>
      </c>
      <c r="Q39" s="283">
        <v>13250</v>
      </c>
      <c r="R39" s="284"/>
      <c r="T39" s="283">
        <f>Table1[[#This Row],[h_hargasetelahdiskon]]</f>
        <v>9275000</v>
      </c>
      <c r="U39" s="283" t="s">
        <v>266</v>
      </c>
      <c r="W39" s="287">
        <f ca="1">IF(Table1[[#This Row],[Item Description]]="","",IF(Table1[[#This Row],[//]]="",INDIRECT(ADDRESS(ROW()-1,COLUMN())),Table1[[#This Row],[//]]))</f>
        <v>39</v>
      </c>
      <c r="X39" s="287">
        <f ca="1">IF(Table1[[#This Row],[h_id]]="","",COUNTIF(Table1[h_id],Table1[[#This Row],[h_id]]))</f>
        <v>3</v>
      </c>
      <c r="Y39" s="283">
        <f>IF(Table1[Item Description]="","",Table1[[#This Row],[Qty]]*Table1[[#This Row],[Unit Price]])</f>
        <v>9275000</v>
      </c>
      <c r="Z39" s="283">
        <f>IF(Table1[[#This Row],[h_hargasebelumdiskon]]="","",IF(Table1[[#This Row],[Disc 1]]="",0,Table1[[#This Row],[h_hargasebelumdiskon]]*Table1[[#This Row],[Disc 1]]))</f>
        <v>0</v>
      </c>
      <c r="AA39" s="283">
        <f>IF(Table1[[#This Row],[h_hargasebelumdiskon]]="","",IF(Table1[[#This Row],[Disc 2]]="",0,(Table1[[#This Row],[h_hargasebelumdiskon]]-Table1[[#This Row],[h_disc 1]])*Table1[[#This Row],[Disc 2]]))</f>
        <v>0</v>
      </c>
      <c r="AB39" s="283">
        <f>IF(Table1[Item Description]="","",Table1[[#This Row],[h_disc 1]]+Table1[[#This Row],[h_disc 2]])</f>
        <v>0</v>
      </c>
      <c r="AC39" s="283">
        <f>IF(Table1[Item Description]="","",Table1[[#This Row],[h_hargasebelumdiskon]]-Table1[[#This Row],[h_diskon]])</f>
        <v>9275000</v>
      </c>
      <c r="AD39" s="283">
        <f ca="1">IF(Table1[//]="","",SUMIF(Table1[h_id],Table1[h_id],Table1[h_hargasetelahdiskon]))</f>
        <v>19446500</v>
      </c>
      <c r="AE39" s="283"/>
      <c r="AF39" s="283" t="str">
        <f>Table1[[#This Row],[Item Description]]&amp;Table1[[#This Row],[Unit]]&amp;Table1[[#This Row],[Unit Price]]</f>
        <v>ISI STAPLER (STAPLES) GREATWALL GW-NO. 10 (KECIL)PAK13250</v>
      </c>
    </row>
    <row r="40" spans="1:32" x14ac:dyDescent="0.25">
      <c r="A40" s="287" t="str">
        <f ca="1">IF(Table1[[#This Row],[No. Invoice :]]="","",ROW())</f>
        <v/>
      </c>
      <c r="B40" s="287" t="str">
        <f ca="1">IF(Table1[h_Kode Sales :_1]="","",B$1+COUNT(INDIRECT("B$2:B"&amp;ROW()-1)))</f>
        <v/>
      </c>
      <c r="C40" s="281" t="str">
        <f>IF(Table1[[#This Row],[H_TGL]]="","",Table1[[#This Row],[H_TGL]]+C$1-1)</f>
        <v/>
      </c>
      <c r="H40" s="287" t="str">
        <f ca="1">IF(Table1[[#This Row],[h_No. Invoice :]]="","",CONCATENATE("AM"," ",Table1[[#This Row],[h_No. Invoice :]]))</f>
        <v/>
      </c>
      <c r="I40" s="288" t="str">
        <f>CONCATENATE(UPPER(Table1[[#This Row],[h_Kode Sales :_1]])," ",Table1[[#This Row],[h_Kode Sales :_2]])</f>
        <v xml:space="preserve"> </v>
      </c>
      <c r="J40" s="287" t="str">
        <f>IF(Table1[[#This Row],[h_toko]]="","",INDEX(Table2[e],IF(Table1[[#This Row],[h_toko]]="","",MATCH(Table1[[#This Row],[h_toko]],Table2[a],0)),))</f>
        <v/>
      </c>
      <c r="K40" s="280">
        <v>288</v>
      </c>
      <c r="L40" s="280" t="s">
        <v>267</v>
      </c>
      <c r="M40" s="280">
        <v>2</v>
      </c>
      <c r="O40" s="287" t="str">
        <f>IF(Table1[[#This Row],[h_Item Description]]="","",INDEX([1]!db[NB PAJAK],MATCH(Table1[[#This Row],[h_Item Description]],[1]!db[kode],0)))</f>
        <v/>
      </c>
      <c r="P40" s="280" t="s">
        <v>333</v>
      </c>
      <c r="Q40" s="283">
        <v>28500</v>
      </c>
      <c r="R40" s="284"/>
      <c r="T40" s="283">
        <f>Table1[[#This Row],[h_hargasetelahdiskon]]</f>
        <v>8208000</v>
      </c>
      <c r="W40" s="287">
        <f ca="1">IF(Table1[[#This Row],[Item Description]]="","",IF(Table1[[#This Row],[//]]="",INDIRECT(ADDRESS(ROW()-1,COLUMN())),Table1[[#This Row],[//]]))</f>
        <v>39</v>
      </c>
      <c r="X40" s="287">
        <f ca="1">IF(Table1[[#This Row],[h_id]]="","",COUNTIF(Table1[h_id],Table1[[#This Row],[h_id]]))</f>
        <v>3</v>
      </c>
      <c r="Y40" s="283">
        <f>IF(Table1[Item Description]="","",Table1[[#This Row],[Qty]]*Table1[[#This Row],[Unit Price]])</f>
        <v>8208000</v>
      </c>
      <c r="Z40" s="283">
        <f>IF(Table1[[#This Row],[h_hargasebelumdiskon]]="","",IF(Table1[[#This Row],[Disc 1]]="",0,Table1[[#This Row],[h_hargasebelumdiskon]]*Table1[[#This Row],[Disc 1]]))</f>
        <v>0</v>
      </c>
      <c r="AA40" s="283">
        <f>IF(Table1[[#This Row],[h_hargasebelumdiskon]]="","",IF(Table1[[#This Row],[Disc 2]]="",0,(Table1[[#This Row],[h_hargasebelumdiskon]]-Table1[[#This Row],[h_disc 1]])*Table1[[#This Row],[Disc 2]]))</f>
        <v>0</v>
      </c>
      <c r="AB40" s="283">
        <f>IF(Table1[Item Description]="","",Table1[[#This Row],[h_disc 1]]+Table1[[#This Row],[h_disc 2]])</f>
        <v>0</v>
      </c>
      <c r="AC40" s="283">
        <f>IF(Table1[Item Description]="","",Table1[[#This Row],[h_hargasebelumdiskon]]-Table1[[#This Row],[h_diskon]])</f>
        <v>8208000</v>
      </c>
      <c r="AD40" s="283" t="str">
        <f ca="1">IF(Table1[//]="","",SUMIF(Table1[h_id],Table1[h_id],Table1[h_hargasetelahdiskon]))</f>
        <v/>
      </c>
      <c r="AE40" s="283"/>
      <c r="AF40" s="283" t="str">
        <f>Table1[[#This Row],[Item Description]]&amp;Table1[[#This Row],[Unit]]&amp;Table1[[#This Row],[Unit Price]]</f>
        <v>GEL PEN TRIFELLO HI-TECH TF-1190 (Hitam)LS28500</v>
      </c>
    </row>
    <row r="41" spans="1:32" x14ac:dyDescent="0.25">
      <c r="A41" s="287" t="str">
        <f ca="1">IF(Table1[[#This Row],[No. Invoice :]]="","",ROW())</f>
        <v/>
      </c>
      <c r="B41" s="287" t="str">
        <f ca="1">IF(Table1[h_Kode Sales :_1]="","",B$1+COUNT(INDIRECT("B$2:B"&amp;ROW()-1)))</f>
        <v/>
      </c>
      <c r="C41" s="281" t="str">
        <f>IF(Table1[[#This Row],[H_TGL]]="","",Table1[[#This Row],[H_TGL]]+C$1-1)</f>
        <v/>
      </c>
      <c r="H41" s="287" t="str">
        <f ca="1">IF(Table1[[#This Row],[h_No. Invoice :]]="","",CONCATENATE("AM"," ",Table1[[#This Row],[h_No. Invoice :]]))</f>
        <v/>
      </c>
      <c r="I41" s="288" t="str">
        <f>CONCATENATE(UPPER(Table1[[#This Row],[h_Kode Sales :_1]])," ",Table1[[#This Row],[h_Kode Sales :_2]])</f>
        <v xml:space="preserve"> </v>
      </c>
      <c r="J41" s="287" t="str">
        <f>IF(Table1[[#This Row],[h_toko]]="","",INDEX(Table2[e],IF(Table1[[#This Row],[h_toko]]="","",MATCH(Table1[[#This Row],[h_toko]],Table2[a],0)),))</f>
        <v/>
      </c>
      <c r="K41" s="280">
        <v>10</v>
      </c>
      <c r="L41" s="280" t="s">
        <v>267</v>
      </c>
      <c r="M41" s="280">
        <v>1</v>
      </c>
      <c r="O41" s="287" t="str">
        <f>IF(Table1[[#This Row],[h_Item Description]]="","",INDEX([1]!db[NB PAJAK],MATCH(Table1[[#This Row],[h_Item Description]],[1]!db[kode],0)))</f>
        <v/>
      </c>
      <c r="P41" s="280" t="s">
        <v>336</v>
      </c>
      <c r="Q41" s="283">
        <v>224400</v>
      </c>
      <c r="R41" s="284">
        <v>0.125</v>
      </c>
      <c r="T41" s="283">
        <f>Table1[[#This Row],[h_hargasetelahdiskon]]</f>
        <v>1963500</v>
      </c>
      <c r="W41" s="287">
        <f ca="1">IF(Table1[[#This Row],[Item Description]]="","",IF(Table1[[#This Row],[//]]="",INDIRECT(ADDRESS(ROW()-1,COLUMN())),Table1[[#This Row],[//]]))</f>
        <v>39</v>
      </c>
      <c r="X41" s="287">
        <f ca="1">IF(Table1[[#This Row],[h_id]]="","",COUNTIF(Table1[h_id],Table1[[#This Row],[h_id]]))</f>
        <v>3</v>
      </c>
      <c r="Y41" s="283">
        <f>IF(Table1[Item Description]="","",Table1[[#This Row],[Qty]]*Table1[[#This Row],[Unit Price]])</f>
        <v>2244000</v>
      </c>
      <c r="Z41" s="283">
        <f>IF(Table1[[#This Row],[h_hargasebelumdiskon]]="","",IF(Table1[[#This Row],[Disc 1]]="",0,Table1[[#This Row],[h_hargasebelumdiskon]]*Table1[[#This Row],[Disc 1]]))</f>
        <v>280500</v>
      </c>
      <c r="AA41" s="283">
        <f>IF(Table1[[#This Row],[h_hargasebelumdiskon]]="","",IF(Table1[[#This Row],[Disc 2]]="",0,(Table1[[#This Row],[h_hargasebelumdiskon]]-Table1[[#This Row],[h_disc 1]])*Table1[[#This Row],[Disc 2]]))</f>
        <v>0</v>
      </c>
      <c r="AB41" s="283">
        <f>IF(Table1[Item Description]="","",Table1[[#This Row],[h_disc 1]]+Table1[[#This Row],[h_disc 2]])</f>
        <v>280500</v>
      </c>
      <c r="AC41" s="283">
        <f>IF(Table1[Item Description]="","",Table1[[#This Row],[h_hargasebelumdiskon]]-Table1[[#This Row],[h_diskon]])</f>
        <v>1963500</v>
      </c>
      <c r="AD41" s="283" t="str">
        <f ca="1">IF(Table1[//]="","",SUMIF(Table1[h_id],Table1[h_id],Table1[h_hargasetelahdiskon]))</f>
        <v/>
      </c>
      <c r="AE41" s="283"/>
      <c r="AF41" s="283" t="str">
        <f>Table1[[#This Row],[Item Description]]&amp;Table1[[#This Row],[Unit]]&amp;Table1[[#This Row],[Unit Price]]</f>
        <v>STAPLER JOYKO HD-50LS224400</v>
      </c>
    </row>
    <row r="42" spans="1:32" x14ac:dyDescent="0.25">
      <c r="A42" s="287" t="str">
        <f ca="1">IF(Table1[[#This Row],[No. Invoice :]]="","",ROW())</f>
        <v/>
      </c>
      <c r="B42" s="287" t="str">
        <f ca="1">IF(Table1[h_Kode Sales :_1]="","",B$1+COUNT(INDIRECT("B$2:B"&amp;ROW()-1)))</f>
        <v/>
      </c>
      <c r="C42" s="281" t="str">
        <f>IF(Table1[[#This Row],[H_TGL]]="","",Table1[[#This Row],[H_TGL]]+C$1-1)</f>
        <v/>
      </c>
      <c r="H42" s="287" t="str">
        <f ca="1">IF(Table1[[#This Row],[h_No. Invoice :]]="","",CONCATENATE("AM"," ",Table1[[#This Row],[h_No. Invoice :]]))</f>
        <v/>
      </c>
      <c r="I42" s="288" t="str">
        <f>CONCATENATE(UPPER(Table1[[#This Row],[h_Kode Sales :_1]])," ",Table1[[#This Row],[h_Kode Sales :_2]])</f>
        <v xml:space="preserve"> </v>
      </c>
      <c r="J42" s="287" t="str">
        <f>IF(Table1[[#This Row],[h_toko]]="","",INDEX(Table2[e],IF(Table1[[#This Row],[h_toko]]="","",MATCH(Table1[[#This Row],[h_toko]],Table2[a],0)),))</f>
        <v/>
      </c>
      <c r="O42" s="287" t="str">
        <f>IF(Table1[[#This Row],[h_Item Description]]="","",INDEX([1]!db[NB PAJAK],MATCH(Table1[[#This Row],[h_Item Description]],[1]!db[kode],0)))</f>
        <v/>
      </c>
      <c r="Q42" s="283"/>
      <c r="R42" s="284"/>
      <c r="T42" s="283" t="str">
        <f>Table1[[#This Row],[h_hargasetelahdiskon]]</f>
        <v/>
      </c>
      <c r="W42" s="287" t="str">
        <f ca="1">IF(Table1[[#This Row],[Item Description]]="","",IF(Table1[[#This Row],[//]]="",INDIRECT(ADDRESS(ROW()-1,COLUMN())),Table1[[#This Row],[//]]))</f>
        <v/>
      </c>
      <c r="X42" s="287" t="str">
        <f ca="1">IF(Table1[[#This Row],[h_id]]="","",COUNTIF(Table1[h_id],Table1[[#This Row],[h_id]]))</f>
        <v/>
      </c>
      <c r="Y42" s="283" t="str">
        <f>IF(Table1[Item Description]="","",Table1[[#This Row],[Qty]]*Table1[[#This Row],[Unit Price]])</f>
        <v/>
      </c>
      <c r="Z42" s="283" t="str">
        <f>IF(Table1[[#This Row],[h_hargasebelumdiskon]]="","",IF(Table1[[#This Row],[Disc 1]]="",0,Table1[[#This Row],[h_hargasebelumdiskon]]*Table1[[#This Row],[Disc 1]]))</f>
        <v/>
      </c>
      <c r="AA42" s="283" t="str">
        <f>IF(Table1[[#This Row],[h_hargasebelumdiskon]]="","",IF(Table1[[#This Row],[Disc 2]]="",0,(Table1[[#This Row],[h_hargasebelumdiskon]]-Table1[[#This Row],[h_disc 1]])*Table1[[#This Row],[Disc 2]]))</f>
        <v/>
      </c>
      <c r="AB42" s="283" t="str">
        <f>IF(Table1[Item Description]="","",Table1[[#This Row],[h_disc 1]]+Table1[[#This Row],[h_disc 2]])</f>
        <v/>
      </c>
      <c r="AC42" s="283" t="str">
        <f>IF(Table1[Item Description]="","",Table1[[#This Row],[h_hargasebelumdiskon]]-Table1[[#This Row],[h_diskon]])</f>
        <v/>
      </c>
      <c r="AD42" s="283" t="str">
        <f ca="1">IF(Table1[//]="","",SUMIF(Table1[h_id],Table1[h_id],Table1[h_hargasetelahdiskon]))</f>
        <v/>
      </c>
      <c r="AE42" s="283"/>
      <c r="AF42" s="283" t="str">
        <f>Table1[[#This Row],[Item Description]]&amp;Table1[[#This Row],[Unit]]&amp;Table1[[#This Row],[Unit Price]]</f>
        <v/>
      </c>
    </row>
    <row r="43" spans="1:32" x14ac:dyDescent="0.25">
      <c r="A43" s="287">
        <f ca="1">IF(Table1[[#This Row],[No. Invoice :]]="","",ROW())</f>
        <v>43</v>
      </c>
      <c r="B43" s="287">
        <f ca="1">IF(Table1[h_Kode Sales :_1]="","",B$1+COUNT(INDIRECT("B$2:B"&amp;ROW()-1)))</f>
        <v>23080015</v>
      </c>
      <c r="C43" s="281">
        <f>IF(Table1[[#This Row],[H_TGL]]="","",Table1[[#This Row],[H_TGL]]+C$1-1)</f>
        <v>45148</v>
      </c>
      <c r="D43" s="292">
        <v>10</v>
      </c>
      <c r="E43" s="280" t="s">
        <v>162</v>
      </c>
      <c r="F43" s="282" t="s">
        <v>337</v>
      </c>
      <c r="G43" s="280" t="s">
        <v>84</v>
      </c>
      <c r="H43" s="287" t="str">
        <f ca="1">IF(Table1[[#This Row],[h_No. Invoice :]]="","",CONCATENATE("AM"," ",Table1[[#This Row],[h_No. Invoice :]]))</f>
        <v>AM 23080015</v>
      </c>
      <c r="I43" s="288" t="str">
        <f>CONCATENATE(UPPER(Table1[[#This Row],[h_Kode Sales :_1]])," ",Table1[[#This Row],[h_Kode Sales :_2]])</f>
        <v>KO 3008</v>
      </c>
      <c r="J43" s="287" t="str">
        <f>IF(Table1[[#This Row],[h_toko]]="","",INDEX(Table2[e],IF(Table1[[#This Row],[h_toko]]="","",MATCH(Table1[[#This Row],[h_toko]],Table2[a],0)),))</f>
        <v>CV PELITA JAYA (ANUGERAH SEJAHTERA) PURWOKERTO</v>
      </c>
      <c r="K43" s="280">
        <v>500</v>
      </c>
      <c r="L43" s="280" t="s">
        <v>338</v>
      </c>
      <c r="M43" s="280">
        <v>1</v>
      </c>
      <c r="O43" s="287" t="str">
        <f>IF(Table1[[#This Row],[h_Item Description]]="","",INDEX([1]!db[NB PAJAK],MATCH(Table1[[#This Row],[h_Item Description]],[1]!db[kode],0)))</f>
        <v/>
      </c>
      <c r="P43" s="280" t="s">
        <v>339</v>
      </c>
      <c r="Q43" s="283">
        <v>4300</v>
      </c>
      <c r="R43" s="284">
        <v>0.13500000000000001</v>
      </c>
      <c r="T43" s="283">
        <f>Table1[[#This Row],[h_hargasetelahdiskon]]</f>
        <v>1859750</v>
      </c>
      <c r="U43" s="283" t="s">
        <v>260</v>
      </c>
      <c r="W43" s="287">
        <f ca="1">IF(Table1[[#This Row],[Item Description]]="","",IF(Table1[[#This Row],[//]]="",INDIRECT(ADDRESS(ROW()-1,COLUMN())),Table1[[#This Row],[//]]))</f>
        <v>43</v>
      </c>
      <c r="X43" s="287">
        <f ca="1">IF(Table1[[#This Row],[h_id]]="","",COUNTIF(Table1[h_id],Table1[[#This Row],[h_id]]))</f>
        <v>1</v>
      </c>
      <c r="Y43" s="283">
        <f>IF(Table1[Item Description]="","",Table1[[#This Row],[Qty]]*Table1[[#This Row],[Unit Price]])</f>
        <v>2150000</v>
      </c>
      <c r="Z43" s="283">
        <f>IF(Table1[[#This Row],[h_hargasebelumdiskon]]="","",IF(Table1[[#This Row],[Disc 1]]="",0,Table1[[#This Row],[h_hargasebelumdiskon]]*Table1[[#This Row],[Disc 1]]))</f>
        <v>290250</v>
      </c>
      <c r="AA43" s="283">
        <f>IF(Table1[[#This Row],[h_hargasebelumdiskon]]="","",IF(Table1[[#This Row],[Disc 2]]="",0,(Table1[[#This Row],[h_hargasebelumdiskon]]-Table1[[#This Row],[h_disc 1]])*Table1[[#This Row],[Disc 2]]))</f>
        <v>0</v>
      </c>
      <c r="AB43" s="283">
        <f>IF(Table1[Item Description]="","",Table1[[#This Row],[h_disc 1]]+Table1[[#This Row],[h_disc 2]])</f>
        <v>290250</v>
      </c>
      <c r="AC43" s="283">
        <f>IF(Table1[Item Description]="","",Table1[[#This Row],[h_hargasebelumdiskon]]-Table1[[#This Row],[h_diskon]])</f>
        <v>1859750</v>
      </c>
      <c r="AD43" s="283">
        <f ca="1">IF(Table1[//]="","",SUMIF(Table1[h_id],Table1[h_id],Table1[h_hargasetelahdiskon]))</f>
        <v>1859750</v>
      </c>
      <c r="AE43" s="283"/>
      <c r="AF43" s="283" t="str">
        <f>Table1[[#This Row],[Item Description]]&amp;Table1[[#This Row],[Unit]]&amp;Table1[[#This Row],[Unit Price]]</f>
        <v>LABEL HARGA JOYKO LB-3 (2 LINE KUNING FLUOR)ROL4300</v>
      </c>
    </row>
    <row r="44" spans="1:32" x14ac:dyDescent="0.25">
      <c r="A44" s="287" t="str">
        <f ca="1">IF(Table1[[#This Row],[No. Invoice :]]="","",ROW())</f>
        <v/>
      </c>
      <c r="B44" s="287" t="str">
        <f ca="1">IF(Table1[h_Kode Sales :_1]="","",B$1+COUNT(INDIRECT("B$2:B"&amp;ROW()-1)))</f>
        <v/>
      </c>
      <c r="C44" s="281" t="str">
        <f>IF(Table1[[#This Row],[H_TGL]]="","",Table1[[#This Row],[H_TGL]]+C$1-1)</f>
        <v/>
      </c>
      <c r="H44" s="287" t="str">
        <f ca="1">IF(Table1[[#This Row],[h_No. Invoice :]]="","",CONCATENATE("AM"," ",Table1[[#This Row],[h_No. Invoice :]]))</f>
        <v/>
      </c>
      <c r="I44" s="288" t="str">
        <f>CONCATENATE(UPPER(Table1[[#This Row],[h_Kode Sales :_1]])," ",Table1[[#This Row],[h_Kode Sales :_2]])</f>
        <v xml:space="preserve"> </v>
      </c>
      <c r="J44" s="287" t="str">
        <f>IF(Table1[[#This Row],[h_toko]]="","",INDEX(Table2[e],IF(Table1[[#This Row],[h_toko]]="","",MATCH(Table1[[#This Row],[h_toko]],Table2[a],0)),))</f>
        <v/>
      </c>
      <c r="O44" s="287" t="str">
        <f>IF(Table1[[#This Row],[h_Item Description]]="","",INDEX([1]!db[NB PAJAK],MATCH(Table1[[#This Row],[h_Item Description]],[1]!db[kode],0)))</f>
        <v/>
      </c>
      <c r="Q44" s="283"/>
      <c r="R44" s="284"/>
      <c r="T44" s="283" t="str">
        <f>Table1[[#This Row],[h_hargasetelahdiskon]]</f>
        <v/>
      </c>
      <c r="W44" s="287" t="str">
        <f ca="1">IF(Table1[[#This Row],[Item Description]]="","",IF(Table1[[#This Row],[//]]="",INDIRECT(ADDRESS(ROW()-1,COLUMN())),Table1[[#This Row],[//]]))</f>
        <v/>
      </c>
      <c r="X44" s="287" t="str">
        <f ca="1">IF(Table1[[#This Row],[h_id]]="","",COUNTIF(Table1[h_id],Table1[[#This Row],[h_id]]))</f>
        <v/>
      </c>
      <c r="Y44" s="283" t="str">
        <f>IF(Table1[Item Description]="","",Table1[[#This Row],[Qty]]*Table1[[#This Row],[Unit Price]])</f>
        <v/>
      </c>
      <c r="Z44" s="283" t="str">
        <f>IF(Table1[[#This Row],[h_hargasebelumdiskon]]="","",IF(Table1[[#This Row],[Disc 1]]="",0,Table1[[#This Row],[h_hargasebelumdiskon]]*Table1[[#This Row],[Disc 1]]))</f>
        <v/>
      </c>
      <c r="AA44" s="283" t="str">
        <f>IF(Table1[[#This Row],[h_hargasebelumdiskon]]="","",IF(Table1[[#This Row],[Disc 2]]="",0,(Table1[[#This Row],[h_hargasebelumdiskon]]-Table1[[#This Row],[h_disc 1]])*Table1[[#This Row],[Disc 2]]))</f>
        <v/>
      </c>
      <c r="AB44" s="283" t="str">
        <f>IF(Table1[Item Description]="","",Table1[[#This Row],[h_disc 1]]+Table1[[#This Row],[h_disc 2]])</f>
        <v/>
      </c>
      <c r="AC44" s="283" t="str">
        <f>IF(Table1[Item Description]="","",Table1[[#This Row],[h_hargasebelumdiskon]]-Table1[[#This Row],[h_diskon]])</f>
        <v/>
      </c>
      <c r="AD44" s="283" t="str">
        <f ca="1">IF(Table1[//]="","",SUMIF(Table1[h_id],Table1[h_id],Table1[h_hargasetelahdiskon]))</f>
        <v/>
      </c>
      <c r="AE44" s="283"/>
      <c r="AF44" s="283">
        <v>10</v>
      </c>
    </row>
    <row r="45" spans="1:32" x14ac:dyDescent="0.25">
      <c r="A45" s="287">
        <f ca="1">IF(Table1[[#This Row],[No. Invoice :]]="","",ROW())</f>
        <v>45</v>
      </c>
      <c r="B45" s="287">
        <f ca="1">IF(Table1[h_Kode Sales :_1]="","",B$1+COUNT(INDIRECT("B$2:B"&amp;ROW()-1)))</f>
        <v>23080016</v>
      </c>
      <c r="C45" s="281">
        <f>IF(Table1[[#This Row],[H_TGL]]="","",Table1[[#This Row],[H_TGL]]+C$1-1)</f>
        <v>45148</v>
      </c>
      <c r="D45" s="292">
        <v>10</v>
      </c>
      <c r="E45" s="280" t="s">
        <v>33</v>
      </c>
      <c r="F45" s="282" t="s">
        <v>181</v>
      </c>
      <c r="G45" s="280" t="s">
        <v>182</v>
      </c>
      <c r="H45" s="287" t="str">
        <f ca="1">IF(Table1[[#This Row],[h_No. Invoice :]]="","",CONCATENATE("AM"," ",Table1[[#This Row],[h_No. Invoice :]]))</f>
        <v>AM 23080016</v>
      </c>
      <c r="I45" s="288" t="str">
        <f>CONCATENATE(UPPER(Table1[[#This Row],[h_Kode Sales :_1]])," ",Table1[[#This Row],[h_Kode Sales :_2]])</f>
        <v>A 1930</v>
      </c>
      <c r="J45" s="287" t="str">
        <f>IF(Table1[[#This Row],[h_toko]]="","",INDEX(Table2[e],IF(Table1[[#This Row],[h_toko]]="","",MATCH(Table1[[#This Row],[h_toko]],Table2[a],0)),))</f>
        <v>CV FM 90 FAMILY / RENI (JATIMULYO) KEBUMEN</v>
      </c>
      <c r="K45" s="280">
        <v>144</v>
      </c>
      <c r="L45" s="280" t="s">
        <v>143</v>
      </c>
      <c r="M45" s="280">
        <v>1</v>
      </c>
      <c r="O45" s="287" t="str">
        <f>IF(Table1[[#This Row],[h_Item Description]]="","",INDEX([1]!db[NB PAJAK],MATCH(Table1[[#This Row],[h_Item Description]],[1]!db[kode],0)))</f>
        <v/>
      </c>
      <c r="P45" s="280" t="s">
        <v>183</v>
      </c>
      <c r="Q45" s="283">
        <v>28500</v>
      </c>
      <c r="R45" s="284"/>
      <c r="T45" s="283">
        <f>Table1[[#This Row],[h_hargasetelahdiskon]]</f>
        <v>4104000</v>
      </c>
      <c r="U45" s="283" t="s">
        <v>133</v>
      </c>
      <c r="W45" s="287">
        <f ca="1">IF(Table1[[#This Row],[Item Description]]="","",IF(Table1[[#This Row],[//]]="",INDIRECT(ADDRESS(ROW()-1,COLUMN())),Table1[[#This Row],[//]]))</f>
        <v>45</v>
      </c>
      <c r="X45" s="287">
        <f ca="1">IF(Table1[[#This Row],[h_id]]="","",COUNTIF(Table1[h_id],Table1[[#This Row],[h_id]]))</f>
        <v>1</v>
      </c>
      <c r="Y45" s="283">
        <f>IF(Table1[Item Description]="","",Table1[[#This Row],[Qty]]*Table1[[#This Row],[Unit Price]])</f>
        <v>4104000</v>
      </c>
      <c r="Z45" s="283">
        <f>IF(Table1[[#This Row],[h_hargasebelumdiskon]]="","",IF(Table1[[#This Row],[Disc 1]]="",0,Table1[[#This Row],[h_hargasebelumdiskon]]*Table1[[#This Row],[Disc 1]]))</f>
        <v>0</v>
      </c>
      <c r="AA45" s="283">
        <f>IF(Table1[[#This Row],[h_hargasebelumdiskon]]="","",IF(Table1[[#This Row],[Disc 2]]="",0,(Table1[[#This Row],[h_hargasebelumdiskon]]-Table1[[#This Row],[h_disc 1]])*Table1[[#This Row],[Disc 2]]))</f>
        <v>0</v>
      </c>
      <c r="AB45" s="283">
        <f>IF(Table1[Item Description]="","",Table1[[#This Row],[h_disc 1]]+Table1[[#This Row],[h_disc 2]])</f>
        <v>0</v>
      </c>
      <c r="AC45" s="283">
        <f>IF(Table1[Item Description]="","",Table1[[#This Row],[h_hargasebelumdiskon]]-Table1[[#This Row],[h_diskon]])</f>
        <v>4104000</v>
      </c>
      <c r="AD45" s="283">
        <f ca="1">IF(Table1[//]="","",SUMIF(Table1[h_id],Table1[h_id],Table1[h_hargasetelahdiskon]))</f>
        <v>4104000</v>
      </c>
      <c r="AE45" s="283"/>
      <c r="AF45" s="283" t="str">
        <f>Table1[[#This Row],[Item Description]]&amp;Table1[[#This Row],[Unit]]&amp;Table1[[#This Row],[Unit Price]]</f>
        <v>GEL PEN TRIFELLO HI-TECH TF-1190 HITAMLSN28500</v>
      </c>
    </row>
    <row r="46" spans="1:32" x14ac:dyDescent="0.25">
      <c r="A46" s="287" t="str">
        <f ca="1">IF(Table1[[#This Row],[No. Invoice :]]="","",ROW())</f>
        <v/>
      </c>
      <c r="B46" s="287" t="str">
        <f ca="1">IF(Table1[h_Kode Sales :_1]="","",B$1+COUNT(INDIRECT("B$2:B"&amp;ROW()-1)))</f>
        <v/>
      </c>
      <c r="C46" s="281" t="str">
        <f>IF(Table1[[#This Row],[H_TGL]]="","",Table1[[#This Row],[H_TGL]]+C$1-1)</f>
        <v/>
      </c>
      <c r="H46" s="287" t="str">
        <f ca="1">IF(Table1[[#This Row],[h_No. Invoice :]]="","",CONCATENATE("AM"," ",Table1[[#This Row],[h_No. Invoice :]]))</f>
        <v/>
      </c>
      <c r="I46" s="288" t="str">
        <f>CONCATENATE(UPPER(Table1[[#This Row],[h_Kode Sales :_1]])," ",Table1[[#This Row],[h_Kode Sales :_2]])</f>
        <v xml:space="preserve"> </v>
      </c>
      <c r="J46" s="287" t="str">
        <f>IF(Table1[[#This Row],[h_toko]]="","",INDEX(Table2[e],IF(Table1[[#This Row],[h_toko]]="","",MATCH(Table1[[#This Row],[h_toko]],Table2[a],0)),))</f>
        <v/>
      </c>
      <c r="O46" s="287" t="str">
        <f>IF(Table1[[#This Row],[h_Item Description]]="","",INDEX([1]!db[NB PAJAK],MATCH(Table1[[#This Row],[h_Item Description]],[1]!db[kode],0)))</f>
        <v/>
      </c>
      <c r="Q46" s="283"/>
      <c r="R46" s="284"/>
      <c r="T46" s="283" t="str">
        <f>Table1[[#This Row],[h_hargasetelahdiskon]]</f>
        <v/>
      </c>
      <c r="W46" s="287" t="str">
        <f ca="1">IF(Table1[[#This Row],[Item Description]]="","",IF(Table1[[#This Row],[//]]="",INDIRECT(ADDRESS(ROW()-1,COLUMN())),Table1[[#This Row],[//]]))</f>
        <v/>
      </c>
      <c r="X46" s="287" t="str">
        <f ca="1">IF(Table1[[#This Row],[h_id]]="","",COUNTIF(Table1[h_id],Table1[[#This Row],[h_id]]))</f>
        <v/>
      </c>
      <c r="Y46" s="283" t="str">
        <f>IF(Table1[Item Description]="","",Table1[[#This Row],[Qty]]*Table1[[#This Row],[Unit Price]])</f>
        <v/>
      </c>
      <c r="Z46" s="283" t="str">
        <f>IF(Table1[[#This Row],[h_hargasebelumdiskon]]="","",IF(Table1[[#This Row],[Disc 1]]="",0,Table1[[#This Row],[h_hargasebelumdiskon]]*Table1[[#This Row],[Disc 1]]))</f>
        <v/>
      </c>
      <c r="AA46" s="283" t="str">
        <f>IF(Table1[[#This Row],[h_hargasebelumdiskon]]="","",IF(Table1[[#This Row],[Disc 2]]="",0,(Table1[[#This Row],[h_hargasebelumdiskon]]-Table1[[#This Row],[h_disc 1]])*Table1[[#This Row],[Disc 2]]))</f>
        <v/>
      </c>
      <c r="AB46" s="283" t="str">
        <f>IF(Table1[Item Description]="","",Table1[[#This Row],[h_disc 1]]+Table1[[#This Row],[h_disc 2]])</f>
        <v/>
      </c>
      <c r="AC46" s="283" t="str">
        <f>IF(Table1[Item Description]="","",Table1[[#This Row],[h_hargasebelumdiskon]]-Table1[[#This Row],[h_diskon]])</f>
        <v/>
      </c>
      <c r="AD46" s="283" t="str">
        <f ca="1">IF(Table1[//]="","",SUMIF(Table1[h_id],Table1[h_id],Table1[h_hargasetelahdiskon]))</f>
        <v/>
      </c>
      <c r="AE46" s="283"/>
      <c r="AF46" s="283" t="str">
        <f>Table1[[#This Row],[Item Description]]&amp;Table1[[#This Row],[Unit]]&amp;Table1[[#This Row],[Unit Price]]</f>
        <v/>
      </c>
    </row>
    <row r="47" spans="1:32" x14ac:dyDescent="0.25">
      <c r="A47" s="287">
        <f ca="1">IF(Table1[[#This Row],[No. Invoice :]]="","",ROW())</f>
        <v>47</v>
      </c>
      <c r="B47" s="287">
        <f ca="1">IF(Table1[h_Kode Sales :_1]="","",B$1+COUNT(INDIRECT("B$2:B"&amp;ROW()-1)))</f>
        <v>23080017</v>
      </c>
      <c r="C47" s="281">
        <f>IF(Table1[[#This Row],[H_TGL]]="","",Table1[[#This Row],[H_TGL]]+C$1-1)</f>
        <v>45149</v>
      </c>
      <c r="D47" s="292">
        <v>11</v>
      </c>
      <c r="E47" s="280" t="s">
        <v>177</v>
      </c>
      <c r="F47" s="282" t="s">
        <v>184</v>
      </c>
      <c r="G47" s="280" t="s">
        <v>93</v>
      </c>
      <c r="H47" s="287" t="str">
        <f ca="1">IF(Table1[[#This Row],[h_No. Invoice :]]="","",CONCATENATE("AM"," ",Table1[[#This Row],[h_No. Invoice :]]))</f>
        <v>AM 23080017</v>
      </c>
      <c r="I47" s="288" t="str">
        <f>CONCATENATE(UPPER(Table1[[#This Row],[h_Kode Sales :_1]])," ",Table1[[#This Row],[h_Kode Sales :_2]])</f>
        <v>G 1932</v>
      </c>
      <c r="J47" s="287" t="str">
        <f>IF(Table1[[#This Row],[h_toko]]="","",INDEX(Table2[e],IF(Table1[[#This Row],[h_toko]]="","",MATCH(Table1[[#This Row],[h_toko]],Table2[a],0)),))</f>
        <v>LILY JULIAWATI (REJO AGUNG) JOMBANG</v>
      </c>
      <c r="K47" s="280">
        <v>144</v>
      </c>
      <c r="L47" s="280" t="s">
        <v>143</v>
      </c>
      <c r="M47" s="280">
        <v>1</v>
      </c>
      <c r="N47" s="280" t="s">
        <v>185</v>
      </c>
      <c r="O47" s="287" t="str">
        <f>IF(Table1[[#This Row],[h_Item Description]]="","",INDEX([1]!db[NB PAJAK],MATCH(Table1[[#This Row],[h_Item Description]],[1]!db[kode],0)))</f>
        <v>ISI PENSIL 2B 2.0 MM JOYKO PL-10</v>
      </c>
      <c r="P47" s="280" t="s">
        <v>186</v>
      </c>
      <c r="Q47" s="283">
        <v>19800</v>
      </c>
      <c r="R47" s="284">
        <v>0.125</v>
      </c>
      <c r="T47" s="283">
        <f>Table1[[#This Row],[h_hargasetelahdiskon]]</f>
        <v>2494800</v>
      </c>
      <c r="U47" s="283" t="s">
        <v>133</v>
      </c>
      <c r="W47" s="287">
        <f ca="1">IF(Table1[[#This Row],[Item Description]]="","",IF(Table1[[#This Row],[//]]="",INDIRECT(ADDRESS(ROW()-1,COLUMN())),Table1[[#This Row],[//]]))</f>
        <v>47</v>
      </c>
      <c r="X47" s="287">
        <f ca="1">IF(Table1[[#This Row],[h_id]]="","",COUNTIF(Table1[h_id],Table1[[#This Row],[h_id]]))</f>
        <v>3</v>
      </c>
      <c r="Y47" s="283">
        <f>IF(Table1[Item Description]="","",Table1[[#This Row],[Qty]]*Table1[[#This Row],[Unit Price]])</f>
        <v>2851200</v>
      </c>
      <c r="Z47" s="283">
        <f>IF(Table1[[#This Row],[h_hargasebelumdiskon]]="","",IF(Table1[[#This Row],[Disc 1]]="",0,Table1[[#This Row],[h_hargasebelumdiskon]]*Table1[[#This Row],[Disc 1]]))</f>
        <v>356400</v>
      </c>
      <c r="AA47" s="283">
        <f>IF(Table1[[#This Row],[h_hargasebelumdiskon]]="","",IF(Table1[[#This Row],[Disc 2]]="",0,(Table1[[#This Row],[h_hargasebelumdiskon]]-Table1[[#This Row],[h_disc 1]])*Table1[[#This Row],[Disc 2]]))</f>
        <v>0</v>
      </c>
      <c r="AB47" s="283">
        <f>IF(Table1[Item Description]="","",Table1[[#This Row],[h_disc 1]]+Table1[[#This Row],[h_disc 2]])</f>
        <v>356400</v>
      </c>
      <c r="AC47" s="283">
        <f>IF(Table1[Item Description]="","",Table1[[#This Row],[h_hargasebelumdiskon]]-Table1[[#This Row],[h_diskon]])</f>
        <v>2494800</v>
      </c>
      <c r="AD47" s="283">
        <f ca="1">IF(Table1[//]="","",SUMIF(Table1[h_id],Table1[h_id],Table1[h_hargasetelahdiskon]))</f>
        <v>14170800</v>
      </c>
      <c r="AE47" s="283"/>
      <c r="AF47" s="283" t="str">
        <f>Table1[[#This Row],[Item Description]]&amp;Table1[[#This Row],[Unit]]&amp;Table1[[#This Row],[Unit Price]]</f>
        <v>ISI PENSIL 2B 2.0 MM JOYKO PL-10LSN19800</v>
      </c>
    </row>
    <row r="48" spans="1:32" x14ac:dyDescent="0.25">
      <c r="A48" s="287" t="str">
        <f ca="1">IF(Table1[[#This Row],[No. Invoice :]]="","",ROW())</f>
        <v/>
      </c>
      <c r="B48" s="287" t="str">
        <f ca="1">IF(Table1[h_Kode Sales :_1]="","",B$1+COUNT(INDIRECT("B$2:B"&amp;ROW()-1)))</f>
        <v/>
      </c>
      <c r="C48" s="281" t="str">
        <f>IF(Table1[[#This Row],[H_TGL]]="","",Table1[[#This Row],[H_TGL]]+C$1-1)</f>
        <v/>
      </c>
      <c r="H48" s="287" t="str">
        <f ca="1">IF(Table1[[#This Row],[h_No. Invoice :]]="","",CONCATENATE("AM"," ",Table1[[#This Row],[h_No. Invoice :]]))</f>
        <v/>
      </c>
      <c r="I48" s="288" t="str">
        <f>CONCATENATE(UPPER(Table1[[#This Row],[h_Kode Sales :_1]])," ",Table1[[#This Row],[h_Kode Sales :_2]])</f>
        <v xml:space="preserve"> </v>
      </c>
      <c r="J48" s="287" t="str">
        <f>IF(Table1[[#This Row],[h_toko]]="","",INDEX(Table2[e],IF(Table1[[#This Row],[h_toko]]="","",MATCH(Table1[[#This Row],[h_toko]],Table2[a],0)),))</f>
        <v/>
      </c>
      <c r="K48" s="280">
        <v>288</v>
      </c>
      <c r="L48" s="280" t="s">
        <v>143</v>
      </c>
      <c r="M48" s="280">
        <v>2</v>
      </c>
      <c r="N48" s="280" t="s">
        <v>144</v>
      </c>
      <c r="O48" s="287" t="str">
        <f>IF(Table1[[#This Row],[h_Item Description]]="","",INDEX([1]!db[NB PAJAK],MATCH(Table1[[#This Row],[h_Item Description]],[1]!db[kode],0)))</f>
        <v>GEL PEN KENKO HI-TECH-H 0.28 MM HITAM</v>
      </c>
      <c r="P48" s="280" t="s">
        <v>145</v>
      </c>
      <c r="Q48" s="283">
        <v>39000</v>
      </c>
      <c r="R48" s="284">
        <v>0.125</v>
      </c>
      <c r="T48" s="283">
        <f>Table1[[#This Row],[h_hargasetelahdiskon]]</f>
        <v>9828000</v>
      </c>
      <c r="W48" s="287">
        <f ca="1">IF(Table1[[#This Row],[Item Description]]="","",IF(Table1[[#This Row],[//]]="",INDIRECT(ADDRESS(ROW()-1,COLUMN())),Table1[[#This Row],[//]]))</f>
        <v>47</v>
      </c>
      <c r="X48" s="287">
        <f ca="1">IF(Table1[[#This Row],[h_id]]="","",COUNTIF(Table1[h_id],Table1[[#This Row],[h_id]]))</f>
        <v>3</v>
      </c>
      <c r="Y48" s="283">
        <f>IF(Table1[Item Description]="","",Table1[[#This Row],[Qty]]*Table1[[#This Row],[Unit Price]])</f>
        <v>11232000</v>
      </c>
      <c r="Z48" s="283">
        <f>IF(Table1[[#This Row],[h_hargasebelumdiskon]]="","",IF(Table1[[#This Row],[Disc 1]]="",0,Table1[[#This Row],[h_hargasebelumdiskon]]*Table1[[#This Row],[Disc 1]]))</f>
        <v>1404000</v>
      </c>
      <c r="AA48" s="283">
        <f>IF(Table1[[#This Row],[h_hargasebelumdiskon]]="","",IF(Table1[[#This Row],[Disc 2]]="",0,(Table1[[#This Row],[h_hargasebelumdiskon]]-Table1[[#This Row],[h_disc 1]])*Table1[[#This Row],[Disc 2]]))</f>
        <v>0</v>
      </c>
      <c r="AB48" s="283">
        <f>IF(Table1[Item Description]="","",Table1[[#This Row],[h_disc 1]]+Table1[[#This Row],[h_disc 2]])</f>
        <v>1404000</v>
      </c>
      <c r="AC48" s="283">
        <f>IF(Table1[Item Description]="","",Table1[[#This Row],[h_hargasebelumdiskon]]-Table1[[#This Row],[h_diskon]])</f>
        <v>9828000</v>
      </c>
      <c r="AD48" s="283" t="str">
        <f ca="1">IF(Table1[//]="","",SUMIF(Table1[h_id],Table1[h_id],Table1[h_hargasetelahdiskon]))</f>
        <v/>
      </c>
      <c r="AE48" s="283"/>
      <c r="AF48" s="283" t="str">
        <f>Table1[[#This Row],[Item Description]]&amp;Table1[[#This Row],[Unit]]&amp;Table1[[#This Row],[Unit Price]]</f>
        <v>GEL PEN KENKO HI-TECH-H 0.28 MM HITAMLSN39000</v>
      </c>
    </row>
    <row r="49" spans="1:32" x14ac:dyDescent="0.25">
      <c r="A49" s="287" t="str">
        <f ca="1">IF(Table1[[#This Row],[No. Invoice :]]="","",ROW())</f>
        <v/>
      </c>
      <c r="B49" s="287" t="str">
        <f ca="1">IF(Table1[h_Kode Sales :_1]="","",B$1+COUNT(INDIRECT("B$2:B"&amp;ROW()-1)))</f>
        <v/>
      </c>
      <c r="C49" s="281" t="str">
        <f>IF(Table1[[#This Row],[H_TGL]]="","",Table1[[#This Row],[H_TGL]]+C$1-1)</f>
        <v/>
      </c>
      <c r="H49" s="287" t="str">
        <f ca="1">IF(Table1[[#This Row],[h_No. Invoice :]]="","",CONCATENATE("AM"," ",Table1[[#This Row],[h_No. Invoice :]]))</f>
        <v/>
      </c>
      <c r="I49" s="288" t="str">
        <f>CONCATENATE(UPPER(Table1[[#This Row],[h_Kode Sales :_1]])," ",Table1[[#This Row],[h_Kode Sales :_2]])</f>
        <v xml:space="preserve"> </v>
      </c>
      <c r="J49" s="287" t="str">
        <f>IF(Table1[[#This Row],[h_toko]]="","",INDEX(Table2[e],IF(Table1[[#This Row],[h_toko]]="","",MATCH(Table1[[#This Row],[h_toko]],Table2[a],0)),))</f>
        <v/>
      </c>
      <c r="K49" s="280">
        <v>240</v>
      </c>
      <c r="L49" s="280" t="s">
        <v>187</v>
      </c>
      <c r="M49" s="280">
        <v>1</v>
      </c>
      <c r="N49" s="280" t="s">
        <v>188</v>
      </c>
      <c r="O49" s="287" t="str">
        <f>IF(Table1[[#This Row],[h_Item Description]]="","",INDEX([1]!db[NB PAJAK],MATCH(Table1[[#This Row],[h_Item Description]],[1]!db[kode],0)))</f>
        <v>KUAS SET JOYKO BR-1</v>
      </c>
      <c r="P49" s="280" t="s">
        <v>189</v>
      </c>
      <c r="Q49" s="283">
        <v>8800</v>
      </c>
      <c r="R49" s="284">
        <v>0.125</v>
      </c>
      <c r="T49" s="283">
        <f>Table1[[#This Row],[h_hargasetelahdiskon]]</f>
        <v>1848000</v>
      </c>
      <c r="W49" s="287">
        <f ca="1">IF(Table1[[#This Row],[Item Description]]="","",IF(Table1[[#This Row],[//]]="",INDIRECT(ADDRESS(ROW()-1,COLUMN())),Table1[[#This Row],[//]]))</f>
        <v>47</v>
      </c>
      <c r="X49" s="287">
        <f ca="1">IF(Table1[[#This Row],[h_id]]="","",COUNTIF(Table1[h_id],Table1[[#This Row],[h_id]]))</f>
        <v>3</v>
      </c>
      <c r="Y49" s="283">
        <f>IF(Table1[Item Description]="","",Table1[[#This Row],[Qty]]*Table1[[#This Row],[Unit Price]])</f>
        <v>2112000</v>
      </c>
      <c r="Z49" s="283">
        <f>IF(Table1[[#This Row],[h_hargasebelumdiskon]]="","",IF(Table1[[#This Row],[Disc 1]]="",0,Table1[[#This Row],[h_hargasebelumdiskon]]*Table1[[#This Row],[Disc 1]]))</f>
        <v>264000</v>
      </c>
      <c r="AA49" s="283">
        <f>IF(Table1[[#This Row],[h_hargasebelumdiskon]]="","",IF(Table1[[#This Row],[Disc 2]]="",0,(Table1[[#This Row],[h_hargasebelumdiskon]]-Table1[[#This Row],[h_disc 1]])*Table1[[#This Row],[Disc 2]]))</f>
        <v>0</v>
      </c>
      <c r="AB49" s="283">
        <f>IF(Table1[Item Description]="","",Table1[[#This Row],[h_disc 1]]+Table1[[#This Row],[h_disc 2]])</f>
        <v>264000</v>
      </c>
      <c r="AC49" s="283">
        <f>IF(Table1[Item Description]="","",Table1[[#This Row],[h_hargasebelumdiskon]]-Table1[[#This Row],[h_diskon]])</f>
        <v>1848000</v>
      </c>
      <c r="AD49" s="283" t="str">
        <f ca="1">IF(Table1[//]="","",SUMIF(Table1[h_id],Table1[h_id],Table1[h_hargasetelahdiskon]))</f>
        <v/>
      </c>
      <c r="AE49" s="283"/>
      <c r="AF49" s="283" t="str">
        <f>Table1[[#This Row],[Item Description]]&amp;Table1[[#This Row],[Unit]]&amp;Table1[[#This Row],[Unit Price]]</f>
        <v>KUAS SET JOYKO BR-1SET8800</v>
      </c>
    </row>
    <row r="50" spans="1:32" x14ac:dyDescent="0.25">
      <c r="A50" s="287" t="str">
        <f ca="1">IF(Table1[[#This Row],[No. Invoice :]]="","",ROW())</f>
        <v/>
      </c>
      <c r="B50" s="287" t="str">
        <f ca="1">IF(Table1[h_Kode Sales :_1]="","",B$1+COUNT(INDIRECT("B$2:B"&amp;ROW()-1)))</f>
        <v/>
      </c>
      <c r="C50" s="281" t="str">
        <f>IF(Table1[[#This Row],[H_TGL]]="","",Table1[[#This Row],[H_TGL]]+C$1-1)</f>
        <v/>
      </c>
      <c r="H50" s="287" t="str">
        <f ca="1">IF(Table1[[#This Row],[h_No. Invoice :]]="","",CONCATENATE("AM"," ",Table1[[#This Row],[h_No. Invoice :]]))</f>
        <v/>
      </c>
      <c r="I50" s="288" t="str">
        <f>CONCATENATE(UPPER(Table1[[#This Row],[h_Kode Sales :_1]])," ",Table1[[#This Row],[h_Kode Sales :_2]])</f>
        <v xml:space="preserve"> </v>
      </c>
      <c r="J50" s="287" t="str">
        <f>IF(Table1[[#This Row],[h_toko]]="","",INDEX(Table2[e],IF(Table1[[#This Row],[h_toko]]="","",MATCH(Table1[[#This Row],[h_toko]],Table2[a],0)),))</f>
        <v/>
      </c>
      <c r="O50" s="287" t="str">
        <f>IF(Table1[[#This Row],[h_Item Description]]="","",INDEX([1]!db[NB PAJAK],MATCH(Table1[[#This Row],[h_Item Description]],[1]!db[kode],0)))</f>
        <v/>
      </c>
      <c r="Q50" s="283"/>
      <c r="R50" s="284"/>
      <c r="T50" s="283" t="str">
        <f>Table1[[#This Row],[h_hargasetelahdiskon]]</f>
        <v/>
      </c>
      <c r="W50" s="287" t="str">
        <f ca="1">IF(Table1[[#This Row],[Item Description]]="","",IF(Table1[[#This Row],[//]]="",INDIRECT(ADDRESS(ROW()-1,COLUMN())),Table1[[#This Row],[//]]))</f>
        <v/>
      </c>
      <c r="X50" s="287" t="str">
        <f ca="1">IF(Table1[[#This Row],[h_id]]="","",COUNTIF(Table1[h_id],Table1[[#This Row],[h_id]]))</f>
        <v/>
      </c>
      <c r="Y50" s="283" t="str">
        <f>IF(Table1[Item Description]="","",Table1[[#This Row],[Qty]]*Table1[[#This Row],[Unit Price]])</f>
        <v/>
      </c>
      <c r="Z50" s="283" t="str">
        <f>IF(Table1[[#This Row],[h_hargasebelumdiskon]]="","",IF(Table1[[#This Row],[Disc 1]]="",0,Table1[[#This Row],[h_hargasebelumdiskon]]*Table1[[#This Row],[Disc 1]]))</f>
        <v/>
      </c>
      <c r="AA50" s="283" t="str">
        <f>IF(Table1[[#This Row],[h_hargasebelumdiskon]]="","",IF(Table1[[#This Row],[Disc 2]]="",0,(Table1[[#This Row],[h_hargasebelumdiskon]]-Table1[[#This Row],[h_disc 1]])*Table1[[#This Row],[Disc 2]]))</f>
        <v/>
      </c>
      <c r="AB50" s="283" t="str">
        <f>IF(Table1[Item Description]="","",Table1[[#This Row],[h_disc 1]]+Table1[[#This Row],[h_disc 2]])</f>
        <v/>
      </c>
      <c r="AC50" s="283" t="str">
        <f>IF(Table1[Item Description]="","",Table1[[#This Row],[h_hargasebelumdiskon]]-Table1[[#This Row],[h_diskon]])</f>
        <v/>
      </c>
      <c r="AD50" s="283" t="str">
        <f ca="1">IF(Table1[//]="","",SUMIF(Table1[h_id],Table1[h_id],Table1[h_hargasetelahdiskon]))</f>
        <v/>
      </c>
      <c r="AE50" s="283"/>
      <c r="AF50" s="283" t="str">
        <f>Table1[[#This Row],[Item Description]]&amp;Table1[[#This Row],[Unit]]&amp;Table1[[#This Row],[Unit Price]]</f>
        <v/>
      </c>
    </row>
    <row r="51" spans="1:32" x14ac:dyDescent="0.25">
      <c r="A51" s="287">
        <f ca="1">IF(Table1[[#This Row],[No. Invoice :]]="","",ROW())</f>
        <v>51</v>
      </c>
      <c r="B51" s="287">
        <f ca="1">IF(Table1[h_Kode Sales :_1]="","",B$1+COUNT(INDIRECT("B$2:B"&amp;ROW()-1)))</f>
        <v>23080018</v>
      </c>
      <c r="C51" s="281">
        <f>IF(Table1[[#This Row],[H_TGL]]="","",Table1[[#This Row],[H_TGL]]+C$1-1)</f>
        <v>45150</v>
      </c>
      <c r="D51" s="292">
        <v>12</v>
      </c>
      <c r="E51" s="280" t="s">
        <v>128</v>
      </c>
      <c r="F51" s="282" t="s">
        <v>190</v>
      </c>
      <c r="G51" s="280" t="s">
        <v>94</v>
      </c>
      <c r="H51" s="287" t="str">
        <f ca="1">IF(Table1[[#This Row],[h_No. Invoice :]]="","",CONCATENATE("AM"," ",Table1[[#This Row],[h_No. Invoice :]]))</f>
        <v>AM 23080018</v>
      </c>
      <c r="I51" s="288" t="str">
        <f>CONCATENATE(UPPER(Table1[[#This Row],[h_Kode Sales :_1]])," ",Table1[[#This Row],[h_Kode Sales :_2]])</f>
        <v>KO 1300</v>
      </c>
      <c r="J51" s="287" t="str">
        <f>IF(Table1[[#This Row],[h_toko]]="","",INDEX(Table2[e],IF(Table1[[#This Row],[h_toko]]="","",MATCH(Table1[[#This Row],[h_toko]],Table2[a],0)),))</f>
        <v>CV LANCAR JAYA SENTOSA MALANG</v>
      </c>
      <c r="K51" s="280">
        <v>300</v>
      </c>
      <c r="L51" s="280" t="s">
        <v>130</v>
      </c>
      <c r="M51" s="280">
        <v>3</v>
      </c>
      <c r="N51" s="280" t="s">
        <v>191</v>
      </c>
      <c r="O51" s="287" t="str">
        <f>IF(Table1[[#This Row],[h_Item Description]]="","",INDEX([1]!db[NB PAJAK],MATCH(Table1[[#This Row],[h_Item Description]],[1]!db[kode],0)))</f>
        <v>ISI STAPLER (STAPLES) GREATWALL GW-NO. 10 (KECIL)</v>
      </c>
      <c r="P51" s="280" t="s">
        <v>192</v>
      </c>
      <c r="Q51" s="283">
        <v>13250</v>
      </c>
      <c r="R51" s="284"/>
      <c r="T51" s="283">
        <f>Table1[[#This Row],[h_hargasetelahdiskon]]</f>
        <v>3975000</v>
      </c>
      <c r="U51" s="283" t="s">
        <v>133</v>
      </c>
      <c r="W51" s="287">
        <f ca="1">IF(Table1[[#This Row],[Item Description]]="","",IF(Table1[[#This Row],[//]]="",INDIRECT(ADDRESS(ROW()-1,COLUMN())),Table1[[#This Row],[//]]))</f>
        <v>51</v>
      </c>
      <c r="X51" s="287">
        <f ca="1">IF(Table1[[#This Row],[h_id]]="","",COUNTIF(Table1[h_id],Table1[[#This Row],[h_id]]))</f>
        <v>1</v>
      </c>
      <c r="Y51" s="283">
        <f>IF(Table1[Item Description]="","",Table1[[#This Row],[Qty]]*Table1[[#This Row],[Unit Price]])</f>
        <v>3975000</v>
      </c>
      <c r="Z51" s="283">
        <f>IF(Table1[[#This Row],[h_hargasebelumdiskon]]="","",IF(Table1[[#This Row],[Disc 1]]="",0,Table1[[#This Row],[h_hargasebelumdiskon]]*Table1[[#This Row],[Disc 1]]))</f>
        <v>0</v>
      </c>
      <c r="AA51" s="283">
        <f>IF(Table1[[#This Row],[h_hargasebelumdiskon]]="","",IF(Table1[[#This Row],[Disc 2]]="",0,(Table1[[#This Row],[h_hargasebelumdiskon]]-Table1[[#This Row],[h_disc 1]])*Table1[[#This Row],[Disc 2]]))</f>
        <v>0</v>
      </c>
      <c r="AB51" s="283">
        <f>IF(Table1[Item Description]="","",Table1[[#This Row],[h_disc 1]]+Table1[[#This Row],[h_disc 2]])</f>
        <v>0</v>
      </c>
      <c r="AC51" s="283">
        <f>IF(Table1[Item Description]="","",Table1[[#This Row],[h_hargasebelumdiskon]]-Table1[[#This Row],[h_diskon]])</f>
        <v>3975000</v>
      </c>
      <c r="AD51" s="283">
        <f ca="1">IF(Table1[//]="","",SUMIF(Table1[h_id],Table1[h_id],Table1[h_hargasetelahdiskon]))</f>
        <v>3975000</v>
      </c>
      <c r="AE51" s="283"/>
      <c r="AF51" s="283" t="str">
        <f>Table1[[#This Row],[Item Description]]&amp;Table1[[#This Row],[Unit]]&amp;Table1[[#This Row],[Unit Price]]</f>
        <v>ISI STAPLER (STAPLES) GREATWALL GW-NO. 10 (KECIL)PAK13250</v>
      </c>
    </row>
    <row r="52" spans="1:32" x14ac:dyDescent="0.25">
      <c r="A52" s="287" t="str">
        <f ca="1">IF(Table1[[#This Row],[No. Invoice :]]="","",ROW())</f>
        <v/>
      </c>
      <c r="B52" s="287" t="str">
        <f ca="1">IF(Table1[h_Kode Sales :_1]="","",B$1+COUNT(INDIRECT("B$2:B"&amp;ROW()-1)))</f>
        <v/>
      </c>
      <c r="C52" s="281" t="str">
        <f>IF(Table1[[#This Row],[H_TGL]]="","",Table1[[#This Row],[H_TGL]]+C$1-1)</f>
        <v/>
      </c>
      <c r="H52" s="287" t="str">
        <f ca="1">IF(Table1[[#This Row],[h_No. Invoice :]]="","",CONCATENATE("AM"," ",Table1[[#This Row],[h_No. Invoice :]]))</f>
        <v/>
      </c>
      <c r="I52" s="288" t="str">
        <f>CONCATENATE(UPPER(Table1[[#This Row],[h_Kode Sales :_1]])," ",Table1[[#This Row],[h_Kode Sales :_2]])</f>
        <v xml:space="preserve"> </v>
      </c>
      <c r="J52" s="287" t="str">
        <f>IF(Table1[[#This Row],[h_toko]]="","",INDEX(Table2[e],IF(Table1[[#This Row],[h_toko]]="","",MATCH(Table1[[#This Row],[h_toko]],Table2[a],0)),))</f>
        <v/>
      </c>
      <c r="O52" s="287" t="str">
        <f>IF(Table1[[#This Row],[h_Item Description]]="","",INDEX([1]!db[NB PAJAK],MATCH(Table1[[#This Row],[h_Item Description]],[1]!db[kode],0)))</f>
        <v/>
      </c>
      <c r="Q52" s="283"/>
      <c r="R52" s="284"/>
      <c r="T52" s="283" t="str">
        <f>Table1[[#This Row],[h_hargasetelahdiskon]]</f>
        <v/>
      </c>
      <c r="W52" s="287" t="str">
        <f ca="1">IF(Table1[[#This Row],[Item Description]]="","",IF(Table1[[#This Row],[//]]="",INDIRECT(ADDRESS(ROW()-1,COLUMN())),Table1[[#This Row],[//]]))</f>
        <v/>
      </c>
      <c r="X52" s="287" t="str">
        <f ca="1">IF(Table1[[#This Row],[h_id]]="","",COUNTIF(Table1[h_id],Table1[[#This Row],[h_id]]))</f>
        <v/>
      </c>
      <c r="Y52" s="283" t="str">
        <f>IF(Table1[Item Description]="","",Table1[[#This Row],[Qty]]*Table1[[#This Row],[Unit Price]])</f>
        <v/>
      </c>
      <c r="Z52" s="283" t="str">
        <f>IF(Table1[[#This Row],[h_hargasebelumdiskon]]="","",IF(Table1[[#This Row],[Disc 1]]="",0,Table1[[#This Row],[h_hargasebelumdiskon]]*Table1[[#This Row],[Disc 1]]))</f>
        <v/>
      </c>
      <c r="AA52" s="283" t="str">
        <f>IF(Table1[[#This Row],[h_hargasebelumdiskon]]="","",IF(Table1[[#This Row],[Disc 2]]="",0,(Table1[[#This Row],[h_hargasebelumdiskon]]-Table1[[#This Row],[h_disc 1]])*Table1[[#This Row],[Disc 2]]))</f>
        <v/>
      </c>
      <c r="AB52" s="283" t="str">
        <f>IF(Table1[Item Description]="","",Table1[[#This Row],[h_disc 1]]+Table1[[#This Row],[h_disc 2]])</f>
        <v/>
      </c>
      <c r="AC52" s="283" t="str">
        <f>IF(Table1[Item Description]="","",Table1[[#This Row],[h_hargasebelumdiskon]]-Table1[[#This Row],[h_diskon]])</f>
        <v/>
      </c>
      <c r="AD52" s="283" t="str">
        <f ca="1">IF(Table1[//]="","",SUMIF(Table1[h_id],Table1[h_id],Table1[h_hargasetelahdiskon]))</f>
        <v/>
      </c>
      <c r="AE52" s="283"/>
      <c r="AF52" s="283" t="str">
        <f>Table1[[#This Row],[Item Description]]&amp;Table1[[#This Row],[Unit]]&amp;Table1[[#This Row],[Unit Price]]</f>
        <v/>
      </c>
    </row>
    <row r="53" spans="1:32" x14ac:dyDescent="0.25">
      <c r="A53" s="287">
        <f ca="1">IF(Table1[[#This Row],[No. Invoice :]]="","",ROW())</f>
        <v>53</v>
      </c>
      <c r="B53" s="287">
        <f ca="1">IF(Table1[h_Kode Sales :_1]="","",B$1+COUNT(INDIRECT("B$2:B"&amp;ROW()-1)))</f>
        <v>23080019</v>
      </c>
      <c r="C53" s="281">
        <f>IF(Table1[[#This Row],[H_TGL]]="","",Table1[[#This Row],[H_TGL]]+C$1-1)</f>
        <v>45150</v>
      </c>
      <c r="D53" s="292">
        <v>12</v>
      </c>
      <c r="E53" s="280" t="s">
        <v>135</v>
      </c>
      <c r="F53" s="282" t="s">
        <v>193</v>
      </c>
      <c r="G53" s="280" t="s">
        <v>93</v>
      </c>
      <c r="H53" s="287" t="str">
        <f ca="1">IF(Table1[[#This Row],[h_No. Invoice :]]="","",CONCATENATE("AM"," ",Table1[[#This Row],[h_No. Invoice :]]))</f>
        <v>AM 23080019</v>
      </c>
      <c r="I53" s="288" t="str">
        <f>CONCATENATE(UPPER(Table1[[#This Row],[h_Kode Sales :_1]])," ",Table1[[#This Row],[h_Kode Sales :_2]])</f>
        <v>G 3022</v>
      </c>
      <c r="J53" s="287" t="str">
        <f>IF(Table1[[#This Row],[h_toko]]="","",INDEX(Table2[e],IF(Table1[[#This Row],[h_toko]]="","",MATCH(Table1[[#This Row],[h_toko]],Table2[a],0)),))</f>
        <v>LILY JULIAWATI (REJO AGUNG) JOMBANG</v>
      </c>
      <c r="K53" s="280">
        <v>72</v>
      </c>
      <c r="L53" s="280" t="s">
        <v>136</v>
      </c>
      <c r="M53" s="280">
        <v>1</v>
      </c>
      <c r="O53" s="287" t="str">
        <f>IF(Table1[[#This Row],[h_Item Description]]="","",INDEX([1]!db[NB PAJAK],MATCH(Table1[[#This Row],[h_Item Description]],[1]!db[kode],0)))</f>
        <v/>
      </c>
      <c r="P53" s="280" t="s">
        <v>194</v>
      </c>
      <c r="Q53" s="283">
        <v>20700</v>
      </c>
      <c r="R53" s="284">
        <v>0.125</v>
      </c>
      <c r="T53" s="283">
        <f>Table1[[#This Row],[h_hargasetelahdiskon]]</f>
        <v>1304100</v>
      </c>
      <c r="U53" s="283" t="s">
        <v>133</v>
      </c>
      <c r="W53" s="287">
        <f ca="1">IF(Table1[[#This Row],[Item Description]]="","",IF(Table1[[#This Row],[//]]="",INDIRECT(ADDRESS(ROW()-1,COLUMN())),Table1[[#This Row],[//]]))</f>
        <v>53</v>
      </c>
      <c r="X53" s="287">
        <f ca="1">IF(Table1[[#This Row],[h_id]]="","",COUNTIF(Table1[h_id],Table1[[#This Row],[h_id]]))</f>
        <v>7</v>
      </c>
      <c r="Y53" s="283">
        <f>IF(Table1[Item Description]="","",Table1[[#This Row],[Qty]]*Table1[[#This Row],[Unit Price]])</f>
        <v>1490400</v>
      </c>
      <c r="Z53" s="283">
        <f>IF(Table1[[#This Row],[h_hargasebelumdiskon]]="","",IF(Table1[[#This Row],[Disc 1]]="",0,Table1[[#This Row],[h_hargasebelumdiskon]]*Table1[[#This Row],[Disc 1]]))</f>
        <v>186300</v>
      </c>
      <c r="AA53" s="283">
        <f>IF(Table1[[#This Row],[h_hargasebelumdiskon]]="","",IF(Table1[[#This Row],[Disc 2]]="",0,(Table1[[#This Row],[h_hargasebelumdiskon]]-Table1[[#This Row],[h_disc 1]])*Table1[[#This Row],[Disc 2]]))</f>
        <v>0</v>
      </c>
      <c r="AB53" s="283">
        <f>IF(Table1[Item Description]="","",Table1[[#This Row],[h_disc 1]]+Table1[[#This Row],[h_disc 2]])</f>
        <v>186300</v>
      </c>
      <c r="AC53" s="283">
        <f>IF(Table1[Item Description]="","",Table1[[#This Row],[h_hargasebelumdiskon]]-Table1[[#This Row],[h_diskon]])</f>
        <v>1304100</v>
      </c>
      <c r="AD53" s="283">
        <f ca="1">IF(Table1[//]="","",SUMIF(Table1[h_id],Table1[h_id],Table1[h_hargasetelahdiskon]))</f>
        <v>10221750</v>
      </c>
      <c r="AE53" s="283"/>
      <c r="AF53" s="283" t="str">
        <f>Table1[[#This Row],[Item Description]]&amp;Table1[[#This Row],[Unit]]&amp;Table1[[#This Row],[Unit Price]]</f>
        <v>BINDER NOTE JOYKO B5-TSIM-M133 (IMAGINATION) - UPCS20700</v>
      </c>
    </row>
    <row r="54" spans="1:32" x14ac:dyDescent="0.25">
      <c r="A54" s="287" t="str">
        <f ca="1">IF(Table1[[#This Row],[No. Invoice :]]="","",ROW())</f>
        <v/>
      </c>
      <c r="B54" s="287" t="str">
        <f ca="1">IF(Table1[h_Kode Sales :_1]="","",B$1+COUNT(INDIRECT("B$2:B"&amp;ROW()-1)))</f>
        <v/>
      </c>
      <c r="C54" s="281" t="str">
        <f>IF(Table1[[#This Row],[H_TGL]]="","",Table1[[#This Row],[H_TGL]]+C$1-1)</f>
        <v/>
      </c>
      <c r="H54" s="287" t="str">
        <f ca="1">IF(Table1[[#This Row],[h_No. Invoice :]]="","",CONCATENATE("AM"," ",Table1[[#This Row],[h_No. Invoice :]]))</f>
        <v/>
      </c>
      <c r="I54" s="288" t="str">
        <f>CONCATENATE(UPPER(Table1[[#This Row],[h_Kode Sales :_1]])," ",Table1[[#This Row],[h_Kode Sales :_2]])</f>
        <v xml:space="preserve"> </v>
      </c>
      <c r="J54" s="287" t="str">
        <f>IF(Table1[[#This Row],[h_toko]]="","",INDEX(Table2[e],IF(Table1[[#This Row],[h_toko]]="","",MATCH(Table1[[#This Row],[h_toko]],Table2[a],0)),))</f>
        <v/>
      </c>
      <c r="K54" s="280">
        <v>72</v>
      </c>
      <c r="L54" s="280" t="s">
        <v>136</v>
      </c>
      <c r="M54" s="280">
        <v>1</v>
      </c>
      <c r="O54" s="287" t="str">
        <f>IF(Table1[[#This Row],[h_Item Description]]="","",INDEX([1]!db[NB PAJAK],MATCH(Table1[[#This Row],[h_Item Description]],[1]!db[kode],0)))</f>
        <v/>
      </c>
      <c r="P54" s="280" t="s">
        <v>195</v>
      </c>
      <c r="Q54" s="283">
        <v>20700</v>
      </c>
      <c r="R54" s="284">
        <v>0.125</v>
      </c>
      <c r="T54" s="283">
        <f>Table1[[#This Row],[h_hargasetelahdiskon]]</f>
        <v>1304100</v>
      </c>
      <c r="W54" s="287">
        <f ca="1">IF(Table1[[#This Row],[Item Description]]="","",IF(Table1[[#This Row],[//]]="",INDIRECT(ADDRESS(ROW()-1,COLUMN())),Table1[[#This Row],[//]]))</f>
        <v>53</v>
      </c>
      <c r="X54" s="287">
        <f ca="1">IF(Table1[[#This Row],[h_id]]="","",COUNTIF(Table1[h_id],Table1[[#This Row],[h_id]]))</f>
        <v>7</v>
      </c>
      <c r="Y54" s="283">
        <f>IF(Table1[Item Description]="","",Table1[[#This Row],[Qty]]*Table1[[#This Row],[Unit Price]])</f>
        <v>1490400</v>
      </c>
      <c r="Z54" s="283">
        <f>IF(Table1[[#This Row],[h_hargasebelumdiskon]]="","",IF(Table1[[#This Row],[Disc 1]]="",0,Table1[[#This Row],[h_hargasebelumdiskon]]*Table1[[#This Row],[Disc 1]]))</f>
        <v>186300</v>
      </c>
      <c r="AA54" s="283">
        <f>IF(Table1[[#This Row],[h_hargasebelumdiskon]]="","",IF(Table1[[#This Row],[Disc 2]]="",0,(Table1[[#This Row],[h_hargasebelumdiskon]]-Table1[[#This Row],[h_disc 1]])*Table1[[#This Row],[Disc 2]]))</f>
        <v>0</v>
      </c>
      <c r="AB54" s="283">
        <f>IF(Table1[Item Description]="","",Table1[[#This Row],[h_disc 1]]+Table1[[#This Row],[h_disc 2]])</f>
        <v>186300</v>
      </c>
      <c r="AC54" s="283">
        <f>IF(Table1[Item Description]="","",Table1[[#This Row],[h_hargasebelumdiskon]]-Table1[[#This Row],[h_diskon]])</f>
        <v>1304100</v>
      </c>
      <c r="AD54" s="283" t="str">
        <f ca="1">IF(Table1[//]="","",SUMIF(Table1[h_id],Table1[h_id],Table1[h_hargasetelahdiskon]))</f>
        <v/>
      </c>
      <c r="AE54" s="283"/>
      <c r="AF54" s="283" t="str">
        <f>Table1[[#This Row],[Item Description]]&amp;Table1[[#This Row],[Unit]]&amp;Table1[[#This Row],[Unit Price]]</f>
        <v>BINDER NOTE JOYKO B5-TSED-M128 (EDUCATION) - UPCS20700</v>
      </c>
    </row>
    <row r="55" spans="1:32" x14ac:dyDescent="0.25">
      <c r="A55" s="287" t="str">
        <f ca="1">IF(Table1[[#This Row],[No. Invoice :]]="","",ROW())</f>
        <v/>
      </c>
      <c r="B55" s="287" t="str">
        <f ca="1">IF(Table1[h_Kode Sales :_1]="","",B$1+COUNT(INDIRECT("B$2:B"&amp;ROW()-1)))</f>
        <v/>
      </c>
      <c r="C55" s="281" t="str">
        <f>IF(Table1[[#This Row],[H_TGL]]="","",Table1[[#This Row],[H_TGL]]+C$1-1)</f>
        <v/>
      </c>
      <c r="H55" s="287" t="str">
        <f ca="1">IF(Table1[[#This Row],[h_No. Invoice :]]="","",CONCATENATE("AM"," ",Table1[[#This Row],[h_No. Invoice :]]))</f>
        <v/>
      </c>
      <c r="I55" s="288" t="str">
        <f>CONCATENATE(UPPER(Table1[[#This Row],[h_Kode Sales :_1]])," ",Table1[[#This Row],[h_Kode Sales :_2]])</f>
        <v xml:space="preserve"> </v>
      </c>
      <c r="J55" s="287" t="str">
        <f>IF(Table1[[#This Row],[h_toko]]="","",INDEX(Table2[e],IF(Table1[[#This Row],[h_toko]]="","",MATCH(Table1[[#This Row],[h_toko]],Table2[a],0)),))</f>
        <v/>
      </c>
      <c r="K55" s="280">
        <v>72</v>
      </c>
      <c r="L55" s="280" t="s">
        <v>136</v>
      </c>
      <c r="M55" s="280">
        <v>1</v>
      </c>
      <c r="O55" s="287" t="str">
        <f>IF(Table1[[#This Row],[h_Item Description]]="","",INDEX([1]!db[NB PAJAK],MATCH(Table1[[#This Row],[h_Item Description]],[1]!db[kode],0)))</f>
        <v/>
      </c>
      <c r="P55" s="280" t="s">
        <v>202</v>
      </c>
      <c r="Q55" s="283">
        <v>20700</v>
      </c>
      <c r="R55" s="284">
        <v>0.125</v>
      </c>
      <c r="T55" s="283">
        <f>Table1[[#This Row],[h_hargasetelahdiskon]]</f>
        <v>1304100</v>
      </c>
      <c r="W55" s="287">
        <f ca="1">IF(Table1[[#This Row],[Item Description]]="","",IF(Table1[[#This Row],[//]]="",INDIRECT(ADDRESS(ROW()-1,COLUMN())),Table1[[#This Row],[//]]))</f>
        <v>53</v>
      </c>
      <c r="X55" s="287">
        <f ca="1">IF(Table1[[#This Row],[h_id]]="","",COUNTIF(Table1[h_id],Table1[[#This Row],[h_id]]))</f>
        <v>7</v>
      </c>
      <c r="Y55" s="283">
        <f>IF(Table1[Item Description]="","",Table1[[#This Row],[Qty]]*Table1[[#This Row],[Unit Price]])</f>
        <v>1490400</v>
      </c>
      <c r="Z55" s="283">
        <f>IF(Table1[[#This Row],[h_hargasebelumdiskon]]="","",IF(Table1[[#This Row],[Disc 1]]="",0,Table1[[#This Row],[h_hargasebelumdiskon]]*Table1[[#This Row],[Disc 1]]))</f>
        <v>186300</v>
      </c>
      <c r="AA55" s="283">
        <f>IF(Table1[[#This Row],[h_hargasebelumdiskon]]="","",IF(Table1[[#This Row],[Disc 2]]="",0,(Table1[[#This Row],[h_hargasebelumdiskon]]-Table1[[#This Row],[h_disc 1]])*Table1[[#This Row],[Disc 2]]))</f>
        <v>0</v>
      </c>
      <c r="AB55" s="283">
        <f>IF(Table1[Item Description]="","",Table1[[#This Row],[h_disc 1]]+Table1[[#This Row],[h_disc 2]])</f>
        <v>186300</v>
      </c>
      <c r="AC55" s="283">
        <f>IF(Table1[Item Description]="","",Table1[[#This Row],[h_hargasebelumdiskon]]-Table1[[#This Row],[h_diskon]])</f>
        <v>1304100</v>
      </c>
      <c r="AD55" s="283" t="str">
        <f ca="1">IF(Table1[//]="","",SUMIF(Table1[h_id],Table1[h_id],Table1[h_hargasetelahdiskon]))</f>
        <v/>
      </c>
      <c r="AE55" s="283"/>
      <c r="AF55" s="283" t="str">
        <f>Table1[[#This Row],[Item Description]]&amp;Table1[[#This Row],[Unit]]&amp;Table1[[#This Row],[Unit Price]]</f>
        <v>BINDER NOTE JOYKO B5-TSCS-M79 (CLASSIC) - UPCS20700</v>
      </c>
    </row>
    <row r="56" spans="1:32" x14ac:dyDescent="0.25">
      <c r="A56" s="287" t="str">
        <f ca="1">IF(Table1[[#This Row],[No. Invoice :]]="","",ROW())</f>
        <v/>
      </c>
      <c r="B56" s="287" t="str">
        <f ca="1">IF(Table1[h_Kode Sales :_1]="","",B$1+COUNT(INDIRECT("B$2:B"&amp;ROW()-1)))</f>
        <v/>
      </c>
      <c r="C56" s="281" t="str">
        <f>IF(Table1[[#This Row],[H_TGL]]="","",Table1[[#This Row],[H_TGL]]+C$1-1)</f>
        <v/>
      </c>
      <c r="H56" s="287" t="str">
        <f ca="1">IF(Table1[[#This Row],[h_No. Invoice :]]="","",CONCATENATE("AM"," ",Table1[[#This Row],[h_No. Invoice :]]))</f>
        <v/>
      </c>
      <c r="I56" s="288" t="str">
        <f>CONCATENATE(UPPER(Table1[[#This Row],[h_Kode Sales :_1]])," ",Table1[[#This Row],[h_Kode Sales :_2]])</f>
        <v xml:space="preserve"> </v>
      </c>
      <c r="J56" s="287" t="str">
        <f>IF(Table1[[#This Row],[h_toko]]="","",INDEX(Table2[e],IF(Table1[[#This Row],[h_toko]]="","",MATCH(Table1[[#This Row],[h_toko]],Table2[a],0)),))</f>
        <v/>
      </c>
      <c r="K56" s="280">
        <v>72</v>
      </c>
      <c r="L56" s="280" t="s">
        <v>136</v>
      </c>
      <c r="M56" s="280">
        <v>1</v>
      </c>
      <c r="O56" s="287" t="str">
        <f>IF(Table1[[#This Row],[h_Item Description]]="","",INDEX([1]!db[NB PAJAK],MATCH(Table1[[#This Row],[h_Item Description]],[1]!db[kode],0)))</f>
        <v/>
      </c>
      <c r="P56" s="280" t="s">
        <v>196</v>
      </c>
      <c r="Q56" s="283">
        <v>20700</v>
      </c>
      <c r="R56" s="284">
        <v>0.125</v>
      </c>
      <c r="T56" s="283">
        <f>Table1[[#This Row],[h_hargasetelahdiskon]]</f>
        <v>1304100</v>
      </c>
      <c r="W56" s="287">
        <f ca="1">IF(Table1[[#This Row],[Item Description]]="","",IF(Table1[[#This Row],[//]]="",INDIRECT(ADDRESS(ROW()-1,COLUMN())),Table1[[#This Row],[//]]))</f>
        <v>53</v>
      </c>
      <c r="X56" s="287">
        <f ca="1">IF(Table1[[#This Row],[h_id]]="","",COUNTIF(Table1[h_id],Table1[[#This Row],[h_id]]))</f>
        <v>7</v>
      </c>
      <c r="Y56" s="283">
        <f>IF(Table1[Item Description]="","",Table1[[#This Row],[Qty]]*Table1[[#This Row],[Unit Price]])</f>
        <v>1490400</v>
      </c>
      <c r="Z56" s="283">
        <f>IF(Table1[[#This Row],[h_hargasebelumdiskon]]="","",IF(Table1[[#This Row],[Disc 1]]="",0,Table1[[#This Row],[h_hargasebelumdiskon]]*Table1[[#This Row],[Disc 1]]))</f>
        <v>186300</v>
      </c>
      <c r="AA56" s="283">
        <f>IF(Table1[[#This Row],[h_hargasebelumdiskon]]="","",IF(Table1[[#This Row],[Disc 2]]="",0,(Table1[[#This Row],[h_hargasebelumdiskon]]-Table1[[#This Row],[h_disc 1]])*Table1[[#This Row],[Disc 2]]))</f>
        <v>0</v>
      </c>
      <c r="AB56" s="283">
        <f>IF(Table1[Item Description]="","",Table1[[#This Row],[h_disc 1]]+Table1[[#This Row],[h_disc 2]])</f>
        <v>186300</v>
      </c>
      <c r="AC56" s="283">
        <f>IF(Table1[Item Description]="","",Table1[[#This Row],[h_hargasebelumdiskon]]-Table1[[#This Row],[h_diskon]])</f>
        <v>1304100</v>
      </c>
      <c r="AD56" s="283" t="str">
        <f ca="1">IF(Table1[//]="","",SUMIF(Table1[h_id],Table1[h_id],Table1[h_hargasetelahdiskon]))</f>
        <v/>
      </c>
      <c r="AE56" s="283"/>
      <c r="AF56" s="283" t="str">
        <f>Table1[[#This Row],[Item Description]]&amp;Table1[[#This Row],[Unit]]&amp;Table1[[#This Row],[Unit Price]]</f>
        <v>BINDER NOTE JOYKO B5-TSIM-M114 (IMAGE) - UPCS20700</v>
      </c>
    </row>
    <row r="57" spans="1:32" ht="16.5" x14ac:dyDescent="0.25">
      <c r="A57" s="287" t="str">
        <f ca="1">IF(Table1[[#This Row],[No. Invoice :]]="","",ROW())</f>
        <v/>
      </c>
      <c r="B57" s="287" t="str">
        <f ca="1">IF(Table1[h_Kode Sales :_1]="","",B$1+COUNT(INDIRECT("B$2:B"&amp;ROW()-1)))</f>
        <v/>
      </c>
      <c r="C57" s="281" t="str">
        <f>IF(Table1[[#This Row],[H_TGL]]="","",Table1[[#This Row],[H_TGL]]+C$1-1)</f>
        <v/>
      </c>
      <c r="H57" s="287" t="str">
        <f ca="1">IF(Table1[[#This Row],[h_No. Invoice :]]="","",CONCATENATE("AM"," ",Table1[[#This Row],[h_No. Invoice :]]))</f>
        <v/>
      </c>
      <c r="I57" s="288" t="str">
        <f>CONCATENATE(UPPER(Table1[[#This Row],[h_Kode Sales :_1]])," ",Table1[[#This Row],[h_Kode Sales :_2]])</f>
        <v xml:space="preserve"> </v>
      </c>
      <c r="J57" s="287" t="str">
        <f>IF(Table1[[#This Row],[h_toko]]="","",INDEX(Table2[e],IF(Table1[[#This Row],[h_toko]]="","",MATCH(Table1[[#This Row],[h_toko]],Table2[a],0)),))</f>
        <v/>
      </c>
      <c r="K57" s="280">
        <v>72</v>
      </c>
      <c r="L57" s="280" t="s">
        <v>136</v>
      </c>
      <c r="M57" s="280">
        <v>1</v>
      </c>
      <c r="O57" s="287" t="str">
        <f>IF(Table1[[#This Row],[h_Item Description]]="","",INDEX([1]!db[NB PAJAK],MATCH(Table1[[#This Row],[h_Item Description]],[1]!db[kode],0)))</f>
        <v/>
      </c>
      <c r="P57" s="290" t="s">
        <v>197</v>
      </c>
      <c r="Q57" s="283">
        <v>20700</v>
      </c>
      <c r="R57" s="284">
        <v>0.125</v>
      </c>
      <c r="T57" s="283">
        <f>Table1[[#This Row],[h_hargasetelahdiskon]]</f>
        <v>1304100</v>
      </c>
      <c r="W57" s="287">
        <f ca="1">IF(Table1[[#This Row],[Item Description]]="","",IF(Table1[[#This Row],[//]]="",INDIRECT(ADDRESS(ROW()-1,COLUMN())),Table1[[#This Row],[//]]))</f>
        <v>53</v>
      </c>
      <c r="X57" s="287">
        <f ca="1">IF(Table1[[#This Row],[h_id]]="","",COUNTIF(Table1[h_id],Table1[[#This Row],[h_id]]))</f>
        <v>7</v>
      </c>
      <c r="Y57" s="283">
        <f>IF(Table1[Item Description]="","",Table1[[#This Row],[Qty]]*Table1[[#This Row],[Unit Price]])</f>
        <v>1490400</v>
      </c>
      <c r="Z57" s="283">
        <f>IF(Table1[[#This Row],[h_hargasebelumdiskon]]="","",IF(Table1[[#This Row],[Disc 1]]="",0,Table1[[#This Row],[h_hargasebelumdiskon]]*Table1[[#This Row],[Disc 1]]))</f>
        <v>186300</v>
      </c>
      <c r="AA57" s="283">
        <f>IF(Table1[[#This Row],[h_hargasebelumdiskon]]="","",IF(Table1[[#This Row],[Disc 2]]="",0,(Table1[[#This Row],[h_hargasebelumdiskon]]-Table1[[#This Row],[h_disc 1]])*Table1[[#This Row],[Disc 2]]))</f>
        <v>0</v>
      </c>
      <c r="AB57" s="283">
        <f>IF(Table1[Item Description]="","",Table1[[#This Row],[h_disc 1]]+Table1[[#This Row],[h_disc 2]])</f>
        <v>186300</v>
      </c>
      <c r="AC57" s="283">
        <f>IF(Table1[Item Description]="","",Table1[[#This Row],[h_hargasebelumdiskon]]-Table1[[#This Row],[h_diskon]])</f>
        <v>1304100</v>
      </c>
      <c r="AD57" s="283" t="str">
        <f ca="1">IF(Table1[//]="","",SUMIF(Table1[h_id],Table1[h_id],Table1[h_hargasetelahdiskon]))</f>
        <v/>
      </c>
      <c r="AE57" s="283"/>
      <c r="AF57" s="283" t="str">
        <f>Table1[[#This Row],[Item Description]]&amp;Table1[[#This Row],[Unit]]&amp;Table1[[#This Row],[Unit Price]]</f>
        <v>BINDER NOTE JOYKO B5-TSCL-M125 (COLLEGE) - UPCS20700</v>
      </c>
    </row>
    <row r="58" spans="1:32" x14ac:dyDescent="0.25">
      <c r="A58" s="287" t="str">
        <f ca="1">IF(Table1[[#This Row],[No. Invoice :]]="","",ROW())</f>
        <v/>
      </c>
      <c r="B58" s="287" t="str">
        <f ca="1">IF(Table1[h_Kode Sales :_1]="","",B$1+COUNT(INDIRECT("B$2:B"&amp;ROW()-1)))</f>
        <v/>
      </c>
      <c r="C58" s="281" t="str">
        <f>IF(Table1[[#This Row],[H_TGL]]="","",Table1[[#This Row],[H_TGL]]+C$1-1)</f>
        <v/>
      </c>
      <c r="H58" s="287" t="str">
        <f ca="1">IF(Table1[[#This Row],[h_No. Invoice :]]="","",CONCATENATE("AM"," ",Table1[[#This Row],[h_No. Invoice :]]))</f>
        <v/>
      </c>
      <c r="I58" s="288" t="str">
        <f>CONCATENATE(UPPER(Table1[[#This Row],[h_Kode Sales :_1]])," ",Table1[[#This Row],[h_Kode Sales :_2]])</f>
        <v xml:space="preserve"> </v>
      </c>
      <c r="J58" s="287" t="str">
        <f>IF(Table1[[#This Row],[h_toko]]="","",INDEX(Table2[e],IF(Table1[[#This Row],[h_toko]]="","",MATCH(Table1[[#This Row],[h_toko]],Table2[a],0)),))</f>
        <v/>
      </c>
      <c r="K58" s="280">
        <v>20</v>
      </c>
      <c r="L58" s="280" t="s">
        <v>136</v>
      </c>
      <c r="M58" s="280">
        <v>1</v>
      </c>
      <c r="N58" s="280" t="s">
        <v>198</v>
      </c>
      <c r="O58" s="287" t="str">
        <f>IF(Table1[[#This Row],[h_Item Description]]="","",INDEX([1]!db[NB PAJAK],MATCH(Table1[[#This Row],[h_Item Description]],[1]!db[kode],0)))</f>
        <v>MESIN LABEL HARGA KENKO MX-5500 (8 DIGITS, 1 LINE)</v>
      </c>
      <c r="P58" s="280" t="s">
        <v>200</v>
      </c>
      <c r="Q58" s="283">
        <v>40500</v>
      </c>
      <c r="R58" s="284">
        <v>0.125</v>
      </c>
      <c r="T58" s="283">
        <f>Table1[[#This Row],[h_hargasetelahdiskon]]</f>
        <v>708750</v>
      </c>
      <c r="W58" s="287">
        <f ca="1">IF(Table1[[#This Row],[Item Description]]="","",IF(Table1[[#This Row],[//]]="",INDIRECT(ADDRESS(ROW()-1,COLUMN())),Table1[[#This Row],[//]]))</f>
        <v>53</v>
      </c>
      <c r="X58" s="287">
        <f ca="1">IF(Table1[[#This Row],[h_id]]="","",COUNTIF(Table1[h_id],Table1[[#This Row],[h_id]]))</f>
        <v>7</v>
      </c>
      <c r="Y58" s="283">
        <f>IF(Table1[Item Description]="","",Table1[[#This Row],[Qty]]*Table1[[#This Row],[Unit Price]])</f>
        <v>810000</v>
      </c>
      <c r="Z58" s="283">
        <f>IF(Table1[[#This Row],[h_hargasebelumdiskon]]="","",IF(Table1[[#This Row],[Disc 1]]="",0,Table1[[#This Row],[h_hargasebelumdiskon]]*Table1[[#This Row],[Disc 1]]))</f>
        <v>101250</v>
      </c>
      <c r="AA58" s="283">
        <f>IF(Table1[[#This Row],[h_hargasebelumdiskon]]="","",IF(Table1[[#This Row],[Disc 2]]="",0,(Table1[[#This Row],[h_hargasebelumdiskon]]-Table1[[#This Row],[h_disc 1]])*Table1[[#This Row],[Disc 2]]))</f>
        <v>0</v>
      </c>
      <c r="AB58" s="283">
        <f>IF(Table1[Item Description]="","",Table1[[#This Row],[h_disc 1]]+Table1[[#This Row],[h_disc 2]])</f>
        <v>101250</v>
      </c>
      <c r="AC58" s="283">
        <f>IF(Table1[Item Description]="","",Table1[[#This Row],[h_hargasebelumdiskon]]-Table1[[#This Row],[h_diskon]])</f>
        <v>708750</v>
      </c>
      <c r="AD58" s="283" t="str">
        <f ca="1">IF(Table1[//]="","",SUMIF(Table1[h_id],Table1[h_id],Table1[h_hargasetelahdiskon]))</f>
        <v/>
      </c>
      <c r="AE58" s="283"/>
      <c r="AF58" s="283" t="str">
        <f>Table1[[#This Row],[Item Description]]&amp;Table1[[#This Row],[Unit]]&amp;Table1[[#This Row],[Unit Price]]</f>
        <v>MESIN LABEL HARGA KENKO MX-5500 (8 DIGITS, 1 LINE)PCS40500</v>
      </c>
    </row>
    <row r="59" spans="1:32" x14ac:dyDescent="0.25">
      <c r="A59" s="287" t="str">
        <f ca="1">IF(Table1[[#This Row],[No. Invoice :]]="","",ROW())</f>
        <v/>
      </c>
      <c r="B59" s="287" t="str">
        <f ca="1">IF(Table1[h_Kode Sales :_1]="","",B$1+COUNT(INDIRECT("B$2:B"&amp;ROW()-1)))</f>
        <v/>
      </c>
      <c r="C59" s="281" t="str">
        <f>IF(Table1[[#This Row],[H_TGL]]="","",Table1[[#This Row],[H_TGL]]+C$1-1)</f>
        <v/>
      </c>
      <c r="H59" s="287" t="str">
        <f ca="1">IF(Table1[[#This Row],[h_No. Invoice :]]="","",CONCATENATE("AM"," ",Table1[[#This Row],[h_No. Invoice :]]))</f>
        <v/>
      </c>
      <c r="I59" s="288" t="str">
        <f>CONCATENATE(UPPER(Table1[[#This Row],[h_Kode Sales :_1]])," ",Table1[[#This Row],[h_Kode Sales :_2]])</f>
        <v xml:space="preserve"> </v>
      </c>
      <c r="J59" s="287" t="str">
        <f>IF(Table1[[#This Row],[h_toko]]="","",INDEX(Table2[e],IF(Table1[[#This Row],[h_toko]]="","",MATCH(Table1[[#This Row],[h_toko]],Table2[a],0)),))</f>
        <v/>
      </c>
      <c r="K59" s="280">
        <v>60</v>
      </c>
      <c r="L59" s="280" t="s">
        <v>143</v>
      </c>
      <c r="M59" s="280">
        <v>2</v>
      </c>
      <c r="N59" s="280" t="s">
        <v>199</v>
      </c>
      <c r="O59" s="287" t="str">
        <f>IF(Table1[[#This Row],[h_Item Description]]="","",INDEX([1]!db[NB PAJAK],MATCH(Table1[[#This Row],[h_Item Description]],[1]!db[kode],0)))</f>
        <v>CUTTER 9 MM KENKO A-300 (KECIL)</v>
      </c>
      <c r="P59" s="280" t="s">
        <v>201</v>
      </c>
      <c r="Q59" s="283">
        <v>57000</v>
      </c>
      <c r="R59" s="284">
        <v>0.125</v>
      </c>
      <c r="T59" s="283">
        <f>Table1[[#This Row],[h_hargasetelahdiskon]]</f>
        <v>2992500</v>
      </c>
      <c r="W59" s="287">
        <f ca="1">IF(Table1[[#This Row],[Item Description]]="","",IF(Table1[[#This Row],[//]]="",INDIRECT(ADDRESS(ROW()-1,COLUMN())),Table1[[#This Row],[//]]))</f>
        <v>53</v>
      </c>
      <c r="X59" s="287">
        <f ca="1">IF(Table1[[#This Row],[h_id]]="","",COUNTIF(Table1[h_id],Table1[[#This Row],[h_id]]))</f>
        <v>7</v>
      </c>
      <c r="Y59" s="283">
        <f>IF(Table1[Item Description]="","",Table1[[#This Row],[Qty]]*Table1[[#This Row],[Unit Price]])</f>
        <v>3420000</v>
      </c>
      <c r="Z59" s="283">
        <f>IF(Table1[[#This Row],[h_hargasebelumdiskon]]="","",IF(Table1[[#This Row],[Disc 1]]="",0,Table1[[#This Row],[h_hargasebelumdiskon]]*Table1[[#This Row],[Disc 1]]))</f>
        <v>427500</v>
      </c>
      <c r="AA59" s="283">
        <f>IF(Table1[[#This Row],[h_hargasebelumdiskon]]="","",IF(Table1[[#This Row],[Disc 2]]="",0,(Table1[[#This Row],[h_hargasebelumdiskon]]-Table1[[#This Row],[h_disc 1]])*Table1[[#This Row],[Disc 2]]))</f>
        <v>0</v>
      </c>
      <c r="AB59" s="283">
        <f>IF(Table1[Item Description]="","",Table1[[#This Row],[h_disc 1]]+Table1[[#This Row],[h_disc 2]])</f>
        <v>427500</v>
      </c>
      <c r="AC59" s="283">
        <f>IF(Table1[Item Description]="","",Table1[[#This Row],[h_hargasebelumdiskon]]-Table1[[#This Row],[h_diskon]])</f>
        <v>2992500</v>
      </c>
      <c r="AD59" s="283" t="str">
        <f ca="1">IF(Table1[//]="","",SUMIF(Table1[h_id],Table1[h_id],Table1[h_hargasetelahdiskon]))</f>
        <v/>
      </c>
      <c r="AE59" s="283"/>
      <c r="AF59" s="283" t="str">
        <f>Table1[[#This Row],[Item Description]]&amp;Table1[[#This Row],[Unit]]&amp;Table1[[#This Row],[Unit Price]]</f>
        <v>CUTTER 9 MM KENKO A-300 (KECIL)LSN57000</v>
      </c>
    </row>
    <row r="60" spans="1:32" x14ac:dyDescent="0.25">
      <c r="A60" s="287" t="str">
        <f ca="1">IF(Table1[[#This Row],[No. Invoice :]]="","",ROW())</f>
        <v/>
      </c>
      <c r="B60" s="287" t="str">
        <f ca="1">IF(Table1[h_Kode Sales :_1]="","",B$1+COUNT(INDIRECT("B$2:B"&amp;ROW()-1)))</f>
        <v/>
      </c>
      <c r="C60" s="281" t="str">
        <f>IF(Table1[[#This Row],[H_TGL]]="","",Table1[[#This Row],[H_TGL]]+C$1-1)</f>
        <v/>
      </c>
      <c r="H60" s="287" t="str">
        <f ca="1">IF(Table1[[#This Row],[h_No. Invoice :]]="","",CONCATENATE("AM"," ",Table1[[#This Row],[h_No. Invoice :]]))</f>
        <v/>
      </c>
      <c r="I60" s="288" t="str">
        <f>CONCATENATE(UPPER(Table1[[#This Row],[h_Kode Sales :_1]])," ",Table1[[#This Row],[h_Kode Sales :_2]])</f>
        <v xml:space="preserve"> </v>
      </c>
      <c r="J60" s="287" t="str">
        <f>IF(Table1[[#This Row],[h_toko]]="","",INDEX(Table2[e],IF(Table1[[#This Row],[h_toko]]="","",MATCH(Table1[[#This Row],[h_toko]],Table2[a],0)),))</f>
        <v/>
      </c>
      <c r="O60" s="287" t="str">
        <f>IF(Table1[[#This Row],[h_Item Description]]="","",INDEX([1]!db[NB PAJAK],MATCH(Table1[[#This Row],[h_Item Description]],[1]!db[kode],0)))</f>
        <v/>
      </c>
      <c r="Q60" s="283"/>
      <c r="R60" s="284"/>
      <c r="T60" s="283" t="str">
        <f>Table1[[#This Row],[h_hargasetelahdiskon]]</f>
        <v/>
      </c>
      <c r="W60" s="287" t="str">
        <f ca="1">IF(Table1[[#This Row],[Item Description]]="","",IF(Table1[[#This Row],[//]]="",INDIRECT(ADDRESS(ROW()-1,COLUMN())),Table1[[#This Row],[//]]))</f>
        <v/>
      </c>
      <c r="X60" s="287" t="str">
        <f ca="1">IF(Table1[[#This Row],[h_id]]="","",COUNTIF(Table1[h_id],Table1[[#This Row],[h_id]]))</f>
        <v/>
      </c>
      <c r="Y60" s="283" t="str">
        <f>IF(Table1[Item Description]="","",Table1[[#This Row],[Qty]]*Table1[[#This Row],[Unit Price]])</f>
        <v/>
      </c>
      <c r="Z60" s="283" t="str">
        <f>IF(Table1[[#This Row],[h_hargasebelumdiskon]]="","",IF(Table1[[#This Row],[Disc 1]]="",0,Table1[[#This Row],[h_hargasebelumdiskon]]*Table1[[#This Row],[Disc 1]]))</f>
        <v/>
      </c>
      <c r="AA60" s="283" t="str">
        <f>IF(Table1[[#This Row],[h_hargasebelumdiskon]]="","",IF(Table1[[#This Row],[Disc 2]]="",0,(Table1[[#This Row],[h_hargasebelumdiskon]]-Table1[[#This Row],[h_disc 1]])*Table1[[#This Row],[Disc 2]]))</f>
        <v/>
      </c>
      <c r="AB60" s="283" t="str">
        <f>IF(Table1[Item Description]="","",Table1[[#This Row],[h_disc 1]]+Table1[[#This Row],[h_disc 2]])</f>
        <v/>
      </c>
      <c r="AC60" s="283" t="str">
        <f>IF(Table1[Item Description]="","",Table1[[#This Row],[h_hargasebelumdiskon]]-Table1[[#This Row],[h_diskon]])</f>
        <v/>
      </c>
      <c r="AD60" s="283" t="str">
        <f ca="1">IF(Table1[//]="","",SUMIF(Table1[h_id],Table1[h_id],Table1[h_hargasetelahdiskon]))</f>
        <v/>
      </c>
      <c r="AE60" s="283"/>
      <c r="AF60" s="283" t="str">
        <f>Table1[[#This Row],[Item Description]]&amp;Table1[[#This Row],[Unit]]&amp;Table1[[#This Row],[Unit Price]]</f>
        <v/>
      </c>
    </row>
    <row r="61" spans="1:32" x14ac:dyDescent="0.25">
      <c r="A61" s="287">
        <f ca="1">IF(Table1[[#This Row],[No. Invoice :]]="","",ROW())</f>
        <v>61</v>
      </c>
      <c r="B61" s="287">
        <f ca="1">IF(Table1[h_Kode Sales :_1]="","",B$1+COUNT(INDIRECT("B$2:B"&amp;ROW()-1)))</f>
        <v>23080020</v>
      </c>
      <c r="C61" s="281">
        <f>IF(Table1[[#This Row],[H_TGL]]="","",Table1[[#This Row],[H_TGL]]+C$1-1)</f>
        <v>45154</v>
      </c>
      <c r="D61" s="292">
        <v>16</v>
      </c>
      <c r="E61" s="280" t="s">
        <v>135</v>
      </c>
      <c r="F61" s="282" t="s">
        <v>240</v>
      </c>
      <c r="G61" s="280" t="s">
        <v>93</v>
      </c>
      <c r="H61" s="287" t="str">
        <f ca="1">IF(Table1[[#This Row],[h_No. Invoice :]]="","",CONCATENATE("AM"," ",Table1[[#This Row],[h_No. Invoice :]]))</f>
        <v>AM 23080020</v>
      </c>
      <c r="I61" s="288" t="str">
        <f>CONCATENATE(UPPER(Table1[[#This Row],[h_Kode Sales :_1]])," ",Table1[[#This Row],[h_Kode Sales :_2]])</f>
        <v>G 3036</v>
      </c>
      <c r="J61" s="287" t="str">
        <f>IF(Table1[[#This Row],[h_toko]]="","",INDEX(Table2[e],IF(Table1[[#This Row],[h_toko]]="","",MATCH(Table1[[#This Row],[h_toko]],Table2[a],0)),))</f>
        <v>LILY JULIAWATI (REJO AGUNG) JOMBANG</v>
      </c>
      <c r="K61" s="280">
        <v>24</v>
      </c>
      <c r="L61" s="280" t="s">
        <v>203</v>
      </c>
      <c r="M61" s="280">
        <v>2</v>
      </c>
      <c r="N61" s="280" t="s">
        <v>204</v>
      </c>
      <c r="O61" s="287" t="str">
        <f>IF(Table1[[#This Row],[h_Item Description]]="","",INDEX([1]!db[NB PAJAK],MATCH(Table1[[#This Row],[h_Item Description]],[1]!db[kode],0)))</f>
        <v>ISI PENSIL 2B 0.5 MM JOYKO PL-05</v>
      </c>
      <c r="P61" s="280" t="s">
        <v>205</v>
      </c>
      <c r="Q61" s="283">
        <v>176400</v>
      </c>
      <c r="R61" s="284">
        <v>0.125</v>
      </c>
      <c r="T61" s="283">
        <f>Table1[[#This Row],[h_hargasetelahdiskon]]</f>
        <v>3704400</v>
      </c>
      <c r="U61" s="283" t="s">
        <v>133</v>
      </c>
      <c r="W61" s="287">
        <f ca="1">IF(Table1[[#This Row],[Item Description]]="","",IF(Table1[[#This Row],[//]]="",INDIRECT(ADDRESS(ROW()-1,COLUMN())),Table1[[#This Row],[//]]))</f>
        <v>61</v>
      </c>
      <c r="X61" s="287">
        <f ca="1">IF(Table1[[#This Row],[h_id]]="","",COUNTIF(Table1[h_id],Table1[[#This Row],[h_id]]))</f>
        <v>2</v>
      </c>
      <c r="Y61" s="283">
        <f>IF(Table1[Item Description]="","",Table1[[#This Row],[Qty]]*Table1[[#This Row],[Unit Price]])</f>
        <v>4233600</v>
      </c>
      <c r="Z61" s="283">
        <f>IF(Table1[[#This Row],[h_hargasebelumdiskon]]="","",IF(Table1[[#This Row],[Disc 1]]="",0,Table1[[#This Row],[h_hargasebelumdiskon]]*Table1[[#This Row],[Disc 1]]))</f>
        <v>529200</v>
      </c>
      <c r="AA61" s="283">
        <f>IF(Table1[[#This Row],[h_hargasebelumdiskon]]="","",IF(Table1[[#This Row],[Disc 2]]="",0,(Table1[[#This Row],[h_hargasebelumdiskon]]-Table1[[#This Row],[h_disc 1]])*Table1[[#This Row],[Disc 2]]))</f>
        <v>0</v>
      </c>
      <c r="AB61" s="283">
        <f>IF(Table1[Item Description]="","",Table1[[#This Row],[h_disc 1]]+Table1[[#This Row],[h_disc 2]])</f>
        <v>529200</v>
      </c>
      <c r="AC61" s="283">
        <f>IF(Table1[Item Description]="","",Table1[[#This Row],[h_hargasebelumdiskon]]-Table1[[#This Row],[h_diskon]])</f>
        <v>3704400</v>
      </c>
      <c r="AD61" s="283">
        <f ca="1">IF(Table1[//]="","",SUMIF(Table1[h_id],Table1[h_id],Table1[h_hargasetelahdiskon]))</f>
        <v>8391600</v>
      </c>
      <c r="AE61" s="283"/>
      <c r="AF61" s="283" t="str">
        <f>Table1[[#This Row],[Item Description]]&amp;Table1[[#This Row],[Unit]]&amp;Table1[[#This Row],[Unit Price]]</f>
        <v>ISI PENSIL 2B 0.5 MM JOYKO PL-05GRS176400</v>
      </c>
    </row>
    <row r="62" spans="1:32" x14ac:dyDescent="0.25">
      <c r="A62" s="287" t="str">
        <f ca="1">IF(Table1[[#This Row],[No. Invoice :]]="","",ROW())</f>
        <v/>
      </c>
      <c r="B62" s="287" t="str">
        <f ca="1">IF(Table1[h_Kode Sales :_1]="","",B$1+COUNT(INDIRECT("B$2:B"&amp;ROW()-1)))</f>
        <v/>
      </c>
      <c r="C62" s="281" t="str">
        <f>IF(Table1[[#This Row],[H_TGL]]="","",Table1[[#This Row],[H_TGL]]+C$1-1)</f>
        <v/>
      </c>
      <c r="H62" s="287" t="str">
        <f ca="1">IF(Table1[[#This Row],[h_No. Invoice :]]="","",CONCATENATE("AM"," ",Table1[[#This Row],[h_No. Invoice :]]))</f>
        <v/>
      </c>
      <c r="I62" s="288" t="str">
        <f>CONCATENATE(UPPER(Table1[[#This Row],[h_Kode Sales :_1]])," ",Table1[[#This Row],[h_Kode Sales :_2]])</f>
        <v xml:space="preserve"> </v>
      </c>
      <c r="J62" s="287" t="str">
        <f>IF(Table1[[#This Row],[h_toko]]="","",INDEX(Table2[e],IF(Table1[[#This Row],[h_toko]]="","",MATCH(Table1[[#This Row],[h_toko]],Table2[a],0)),))</f>
        <v/>
      </c>
      <c r="K62" s="280">
        <v>144</v>
      </c>
      <c r="L62" s="280" t="s">
        <v>143</v>
      </c>
      <c r="M62" s="280">
        <v>2</v>
      </c>
      <c r="N62" s="280" t="s">
        <v>206</v>
      </c>
      <c r="O62" s="287" t="str">
        <f>IF(Table1[[#This Row],[h_Item Description]]="","",INDEX([1]!db[NB PAJAK],MATCH(Table1[[#This Row],[h_Item Description]],[1]!db[kode],0)))</f>
        <v>ISI PENSIL 2B 2.0 MM JOYKO PL-11</v>
      </c>
      <c r="P62" s="280" t="s">
        <v>207</v>
      </c>
      <c r="Q62" s="283">
        <v>37200</v>
      </c>
      <c r="R62" s="284">
        <v>0.125</v>
      </c>
      <c r="T62" s="283">
        <f>Table1[[#This Row],[h_hargasetelahdiskon]]</f>
        <v>4687200</v>
      </c>
      <c r="W62" s="287">
        <f ca="1">IF(Table1[[#This Row],[Item Description]]="","",IF(Table1[[#This Row],[//]]="",INDIRECT(ADDRESS(ROW()-1,COLUMN())),Table1[[#This Row],[//]]))</f>
        <v>61</v>
      </c>
      <c r="X62" s="287">
        <f ca="1">IF(Table1[[#This Row],[h_id]]="","",COUNTIF(Table1[h_id],Table1[[#This Row],[h_id]]))</f>
        <v>2</v>
      </c>
      <c r="Y62" s="283">
        <f>IF(Table1[Item Description]="","",Table1[[#This Row],[Qty]]*Table1[[#This Row],[Unit Price]])</f>
        <v>5356800</v>
      </c>
      <c r="Z62" s="283">
        <f>IF(Table1[[#This Row],[h_hargasebelumdiskon]]="","",IF(Table1[[#This Row],[Disc 1]]="",0,Table1[[#This Row],[h_hargasebelumdiskon]]*Table1[[#This Row],[Disc 1]]))</f>
        <v>669600</v>
      </c>
      <c r="AA62" s="283">
        <f>IF(Table1[[#This Row],[h_hargasebelumdiskon]]="","",IF(Table1[[#This Row],[Disc 2]]="",0,(Table1[[#This Row],[h_hargasebelumdiskon]]-Table1[[#This Row],[h_disc 1]])*Table1[[#This Row],[Disc 2]]))</f>
        <v>0</v>
      </c>
      <c r="AB62" s="283">
        <f>IF(Table1[Item Description]="","",Table1[[#This Row],[h_disc 1]]+Table1[[#This Row],[h_disc 2]])</f>
        <v>669600</v>
      </c>
      <c r="AC62" s="283">
        <f>IF(Table1[Item Description]="","",Table1[[#This Row],[h_hargasebelumdiskon]]-Table1[[#This Row],[h_diskon]])</f>
        <v>4687200</v>
      </c>
      <c r="AD62" s="283" t="str">
        <f ca="1">IF(Table1[//]="","",SUMIF(Table1[h_id],Table1[h_id],Table1[h_hargasetelahdiskon]))</f>
        <v/>
      </c>
      <c r="AE62" s="283"/>
      <c r="AF62" s="283" t="str">
        <f>Table1[[#This Row],[Item Description]]&amp;Table1[[#This Row],[Unit]]&amp;Table1[[#This Row],[Unit Price]]</f>
        <v>ISI PENSIL 2B 2.0 MM JOYKO PL-11LSN37200</v>
      </c>
    </row>
    <row r="63" spans="1:32" x14ac:dyDescent="0.25">
      <c r="A63" s="287" t="str">
        <f ca="1">IF(Table1[[#This Row],[No. Invoice :]]="","",ROW())</f>
        <v/>
      </c>
      <c r="B63" s="287" t="str">
        <f ca="1">IF(Table1[h_Kode Sales :_1]="","",B$1+COUNT(INDIRECT("B$2:B"&amp;ROW()-1)))</f>
        <v/>
      </c>
      <c r="C63" s="281" t="str">
        <f>IF(Table1[[#This Row],[H_TGL]]="","",Table1[[#This Row],[H_TGL]]+C$1-1)</f>
        <v/>
      </c>
      <c r="H63" s="287" t="str">
        <f ca="1">IF(Table1[[#This Row],[h_No. Invoice :]]="","",CONCATENATE("AM"," ",Table1[[#This Row],[h_No. Invoice :]]))</f>
        <v/>
      </c>
      <c r="I63" s="288" t="str">
        <f>CONCATENATE(UPPER(Table1[[#This Row],[h_Kode Sales :_1]])," ",Table1[[#This Row],[h_Kode Sales :_2]])</f>
        <v xml:space="preserve"> </v>
      </c>
      <c r="J63" s="287" t="str">
        <f>IF(Table1[[#This Row],[h_toko]]="","",INDEX(Table2[e],IF(Table1[[#This Row],[h_toko]]="","",MATCH(Table1[[#This Row],[h_toko]],Table2[a],0)),))</f>
        <v/>
      </c>
      <c r="O63" s="287" t="str">
        <f>IF(Table1[[#This Row],[h_Item Description]]="","",INDEX([1]!db[NB PAJAK],MATCH(Table1[[#This Row],[h_Item Description]],[1]!db[kode],0)))</f>
        <v/>
      </c>
      <c r="Q63" s="283"/>
      <c r="R63" s="284"/>
      <c r="T63" s="283" t="str">
        <f>Table1[[#This Row],[h_hargasetelahdiskon]]</f>
        <v/>
      </c>
      <c r="W63" s="287" t="str">
        <f ca="1">IF(Table1[[#This Row],[Item Description]]="","",IF(Table1[[#This Row],[//]]="",INDIRECT(ADDRESS(ROW()-1,COLUMN())),Table1[[#This Row],[//]]))</f>
        <v/>
      </c>
      <c r="X63" s="287" t="str">
        <f ca="1">IF(Table1[[#This Row],[h_id]]="","",COUNTIF(Table1[h_id],Table1[[#This Row],[h_id]]))</f>
        <v/>
      </c>
      <c r="Y63" s="283" t="str">
        <f>IF(Table1[Item Description]="","",Table1[[#This Row],[Qty]]*Table1[[#This Row],[Unit Price]])</f>
        <v/>
      </c>
      <c r="Z63" s="283" t="str">
        <f>IF(Table1[[#This Row],[h_hargasebelumdiskon]]="","",IF(Table1[[#This Row],[Disc 1]]="",0,Table1[[#This Row],[h_hargasebelumdiskon]]*Table1[[#This Row],[Disc 1]]))</f>
        <v/>
      </c>
      <c r="AA63" s="283" t="str">
        <f>IF(Table1[[#This Row],[h_hargasebelumdiskon]]="","",IF(Table1[[#This Row],[Disc 2]]="",0,(Table1[[#This Row],[h_hargasebelumdiskon]]-Table1[[#This Row],[h_disc 1]])*Table1[[#This Row],[Disc 2]]))</f>
        <v/>
      </c>
      <c r="AB63" s="283" t="str">
        <f>IF(Table1[Item Description]="","",Table1[[#This Row],[h_disc 1]]+Table1[[#This Row],[h_disc 2]])</f>
        <v/>
      </c>
      <c r="AC63" s="283" t="str">
        <f>IF(Table1[Item Description]="","",Table1[[#This Row],[h_hargasebelumdiskon]]-Table1[[#This Row],[h_diskon]])</f>
        <v/>
      </c>
      <c r="AD63" s="283" t="str">
        <f ca="1">IF(Table1[//]="","",SUMIF(Table1[h_id],Table1[h_id],Table1[h_hargasetelahdiskon]))</f>
        <v/>
      </c>
      <c r="AE63" s="283"/>
      <c r="AF63" s="283" t="str">
        <f>Table1[[#This Row],[Item Description]]&amp;Table1[[#This Row],[Unit]]&amp;Table1[[#This Row],[Unit Price]]</f>
        <v/>
      </c>
    </row>
    <row r="64" spans="1:32" x14ac:dyDescent="0.25">
      <c r="A64" s="287">
        <f ca="1">IF(Table1[[#This Row],[No. Invoice :]]="","",ROW())</f>
        <v>64</v>
      </c>
      <c r="B64" s="287">
        <f ca="1">IF(Table1[h_Kode Sales :_1]="","",B$1+COUNT(INDIRECT("B$2:B"&amp;ROW()-1)))</f>
        <v>23080021</v>
      </c>
      <c r="C64" s="281">
        <f>IF(Table1[[#This Row],[H_TGL]]="","",Table1[[#This Row],[H_TGL]]+C$1-1)</f>
        <v>45154</v>
      </c>
      <c r="D64" s="292">
        <v>16</v>
      </c>
      <c r="E64" s="280" t="s">
        <v>128</v>
      </c>
      <c r="F64" s="282" t="s">
        <v>208</v>
      </c>
      <c r="G64" s="280" t="s">
        <v>70</v>
      </c>
      <c r="H64" s="287" t="str">
        <f ca="1">IF(Table1[[#This Row],[h_No. Invoice :]]="","",CONCATENATE("AM"," ",Table1[[#This Row],[h_No. Invoice :]]))</f>
        <v>AM 23080021</v>
      </c>
      <c r="I64" s="288" t="str">
        <f>CONCATENATE(UPPER(Table1[[#This Row],[h_Kode Sales :_1]])," ",Table1[[#This Row],[h_Kode Sales :_2]])</f>
        <v>KO 3033</v>
      </c>
      <c r="J64" s="287" t="str">
        <f>IF(Table1[[#This Row],[h_toko]]="","",INDEX(Table2[e],IF(Table1[[#This Row],[h_toko]]="","",MATCH(Table1[[#This Row],[h_toko]],Table2[a],0)),))</f>
        <v>HARNOYO (BENDAN) PEKALONGAN</v>
      </c>
      <c r="K64" s="280">
        <v>40</v>
      </c>
      <c r="L64" s="280" t="s">
        <v>130</v>
      </c>
      <c r="M64" s="280">
        <v>1</v>
      </c>
      <c r="N64" s="280" t="s">
        <v>209</v>
      </c>
      <c r="O64" s="287" t="str">
        <f>IF(Table1[[#This Row],[h_Item Description]]="","",INDEX([1]!db[NB PAJAK],MATCH(Table1[[#This Row],[h_Item Description]],[1]!db[kode],0)))</f>
        <v>PAPER JUMBO CLIP KENKO NO. 5</v>
      </c>
      <c r="P64" s="280" t="s">
        <v>210</v>
      </c>
      <c r="Q64" s="283">
        <v>43000</v>
      </c>
      <c r="R64" s="284">
        <v>0.14000000000000001</v>
      </c>
      <c r="T64" s="283">
        <f>Table1[[#This Row],[h_hargasetelahdiskon]]</f>
        <v>1479200</v>
      </c>
      <c r="U64" s="283" t="s">
        <v>133</v>
      </c>
      <c r="W64" s="287">
        <f ca="1">IF(Table1[[#This Row],[Item Description]]="","",IF(Table1[[#This Row],[//]]="",INDIRECT(ADDRESS(ROW()-1,COLUMN())),Table1[[#This Row],[//]]))</f>
        <v>64</v>
      </c>
      <c r="X64" s="287">
        <f ca="1">IF(Table1[[#This Row],[h_id]]="","",COUNTIF(Table1[h_id],Table1[[#This Row],[h_id]]))</f>
        <v>2</v>
      </c>
      <c r="Y64" s="283">
        <f>IF(Table1[Item Description]="","",Table1[[#This Row],[Qty]]*Table1[[#This Row],[Unit Price]])</f>
        <v>1720000</v>
      </c>
      <c r="Z64" s="283">
        <f>IF(Table1[[#This Row],[h_hargasebelumdiskon]]="","",IF(Table1[[#This Row],[Disc 1]]="",0,Table1[[#This Row],[h_hargasebelumdiskon]]*Table1[[#This Row],[Disc 1]]))</f>
        <v>240800.00000000003</v>
      </c>
      <c r="AA64" s="283">
        <f>IF(Table1[[#This Row],[h_hargasebelumdiskon]]="","",IF(Table1[[#This Row],[Disc 2]]="",0,(Table1[[#This Row],[h_hargasebelumdiskon]]-Table1[[#This Row],[h_disc 1]])*Table1[[#This Row],[Disc 2]]))</f>
        <v>0</v>
      </c>
      <c r="AB64" s="283">
        <f>IF(Table1[Item Description]="","",Table1[[#This Row],[h_disc 1]]+Table1[[#This Row],[h_disc 2]])</f>
        <v>240800.00000000003</v>
      </c>
      <c r="AC64" s="283">
        <f>IF(Table1[Item Description]="","",Table1[[#This Row],[h_hargasebelumdiskon]]-Table1[[#This Row],[h_diskon]])</f>
        <v>1479200</v>
      </c>
      <c r="AD64" s="283">
        <f ca="1">IF(Table1[//]="","",SUMIF(Table1[h_id],Table1[h_id],Table1[h_hargasetelahdiskon]))</f>
        <v>1759904</v>
      </c>
      <c r="AE64" s="283"/>
      <c r="AF64" s="283" t="str">
        <f>Table1[[#This Row],[Item Description]]&amp;Table1[[#This Row],[Unit]]&amp;Table1[[#This Row],[Unit Price]]</f>
        <v>PAPER JUMBO CLIP KENKO NO. 5PAK43000</v>
      </c>
    </row>
    <row r="65" spans="1:32" x14ac:dyDescent="0.25">
      <c r="A65" s="287" t="str">
        <f ca="1">IF(Table1[[#This Row],[No. Invoice :]]="","",ROW())</f>
        <v/>
      </c>
      <c r="B65" s="287" t="str">
        <f ca="1">IF(Table1[h_Kode Sales :_1]="","",B$1+COUNT(INDIRECT("B$2:B"&amp;ROW()-1)))</f>
        <v/>
      </c>
      <c r="C65" s="281" t="str">
        <f>IF(Table1[[#This Row],[H_TGL]]="","",Table1[[#This Row],[H_TGL]]+C$1-1)</f>
        <v/>
      </c>
      <c r="H65" s="287" t="str">
        <f ca="1">IF(Table1[[#This Row],[h_No. Invoice :]]="","",CONCATENATE("AM"," ",Table1[[#This Row],[h_No. Invoice :]]))</f>
        <v/>
      </c>
      <c r="I65" s="288" t="str">
        <f>CONCATENATE(UPPER(Table1[[#This Row],[h_Kode Sales :_1]])," ",Table1[[#This Row],[h_Kode Sales :_2]])</f>
        <v xml:space="preserve"> </v>
      </c>
      <c r="J65" s="287" t="str">
        <f>IF(Table1[[#This Row],[h_toko]]="","",INDEX(Table2[e],IF(Table1[[#This Row],[h_toko]]="","",MATCH(Table1[[#This Row],[h_toko]],Table2[a],0)),))</f>
        <v/>
      </c>
      <c r="K65" s="280">
        <v>2</v>
      </c>
      <c r="L65" s="280" t="s">
        <v>143</v>
      </c>
      <c r="N65" s="280" t="s">
        <v>211</v>
      </c>
      <c r="O65" s="287" t="str">
        <f>IF(Table1[[#This Row],[h_Item Description]]="","",INDEX([1]!db[NB PAJAK],MATCH(Table1[[#This Row],[h_Item Description]],[1]!db[kode],0)))</f>
        <v>GARISAN BESI (STAINLESS STEEL) KENKO 40 CM</v>
      </c>
      <c r="P65" s="280" t="s">
        <v>212</v>
      </c>
      <c r="Q65" s="283">
        <v>163200</v>
      </c>
      <c r="R65" s="284">
        <v>0.14000000000000001</v>
      </c>
      <c r="T65" s="283">
        <f>Table1[[#This Row],[h_hargasetelahdiskon]]</f>
        <v>280704</v>
      </c>
      <c r="W65" s="287">
        <f ca="1">IF(Table1[[#This Row],[Item Description]]="","",IF(Table1[[#This Row],[//]]="",INDIRECT(ADDRESS(ROW()-1,COLUMN())),Table1[[#This Row],[//]]))</f>
        <v>64</v>
      </c>
      <c r="X65" s="287">
        <f ca="1">IF(Table1[[#This Row],[h_id]]="","",COUNTIF(Table1[h_id],Table1[[#This Row],[h_id]]))</f>
        <v>2</v>
      </c>
      <c r="Y65" s="283">
        <f>IF(Table1[Item Description]="","",Table1[[#This Row],[Qty]]*Table1[[#This Row],[Unit Price]])</f>
        <v>326400</v>
      </c>
      <c r="Z65" s="283">
        <f>IF(Table1[[#This Row],[h_hargasebelumdiskon]]="","",IF(Table1[[#This Row],[Disc 1]]="",0,Table1[[#This Row],[h_hargasebelumdiskon]]*Table1[[#This Row],[Disc 1]]))</f>
        <v>45696.000000000007</v>
      </c>
      <c r="AA65" s="283">
        <f>IF(Table1[[#This Row],[h_hargasebelumdiskon]]="","",IF(Table1[[#This Row],[Disc 2]]="",0,(Table1[[#This Row],[h_hargasebelumdiskon]]-Table1[[#This Row],[h_disc 1]])*Table1[[#This Row],[Disc 2]]))</f>
        <v>0</v>
      </c>
      <c r="AB65" s="283">
        <f>IF(Table1[Item Description]="","",Table1[[#This Row],[h_disc 1]]+Table1[[#This Row],[h_disc 2]])</f>
        <v>45696.000000000007</v>
      </c>
      <c r="AC65" s="283">
        <f>IF(Table1[Item Description]="","",Table1[[#This Row],[h_hargasebelumdiskon]]-Table1[[#This Row],[h_diskon]])</f>
        <v>280704</v>
      </c>
      <c r="AD65" s="283" t="str">
        <f ca="1">IF(Table1[//]="","",SUMIF(Table1[h_id],Table1[h_id],Table1[h_hargasetelahdiskon]))</f>
        <v/>
      </c>
      <c r="AE65" s="283"/>
      <c r="AF65" s="283" t="str">
        <f>Table1[[#This Row],[Item Description]]&amp;Table1[[#This Row],[Unit]]&amp;Table1[[#This Row],[Unit Price]]</f>
        <v>GARISAN BESI (STAINLESS STEEL) KENKO 40 CMLSN163200</v>
      </c>
    </row>
    <row r="66" spans="1:32" x14ac:dyDescent="0.25">
      <c r="A66" s="287" t="str">
        <f ca="1">IF(Table1[[#This Row],[No. Invoice :]]="","",ROW())</f>
        <v/>
      </c>
      <c r="B66" s="287" t="str">
        <f ca="1">IF(Table1[h_Kode Sales :_1]="","",B$1+COUNT(INDIRECT("B$2:B"&amp;ROW()-1)))</f>
        <v/>
      </c>
      <c r="C66" s="281" t="str">
        <f>IF(Table1[[#This Row],[H_TGL]]="","",Table1[[#This Row],[H_TGL]]+C$1-1)</f>
        <v/>
      </c>
      <c r="H66" s="287" t="str">
        <f ca="1">IF(Table1[[#This Row],[h_No. Invoice :]]="","",CONCATENATE("AM"," ",Table1[[#This Row],[h_No. Invoice :]]))</f>
        <v/>
      </c>
      <c r="I66" s="288" t="str">
        <f>CONCATENATE(UPPER(Table1[[#This Row],[h_Kode Sales :_1]])," ",Table1[[#This Row],[h_Kode Sales :_2]])</f>
        <v xml:space="preserve"> </v>
      </c>
      <c r="J66" s="287" t="str">
        <f>IF(Table1[[#This Row],[h_toko]]="","",INDEX(Table2[e],IF(Table1[[#This Row],[h_toko]]="","",MATCH(Table1[[#This Row],[h_toko]],Table2[a],0)),))</f>
        <v/>
      </c>
      <c r="O66" s="287" t="str">
        <f>IF(Table1[[#This Row],[h_Item Description]]="","",INDEX([1]!db[NB PAJAK],MATCH(Table1[[#This Row],[h_Item Description]],[1]!db[kode],0)))</f>
        <v/>
      </c>
      <c r="Q66" s="283"/>
      <c r="R66" s="284"/>
      <c r="T66" s="283" t="str">
        <f>Table1[[#This Row],[h_hargasetelahdiskon]]</f>
        <v/>
      </c>
      <c r="W66" s="287" t="str">
        <f ca="1">IF(Table1[[#This Row],[Item Description]]="","",IF(Table1[[#This Row],[//]]="",INDIRECT(ADDRESS(ROW()-1,COLUMN())),Table1[[#This Row],[//]]))</f>
        <v/>
      </c>
      <c r="X66" s="287" t="str">
        <f ca="1">IF(Table1[[#This Row],[h_id]]="","",COUNTIF(Table1[h_id],Table1[[#This Row],[h_id]]))</f>
        <v/>
      </c>
      <c r="Y66" s="283" t="str">
        <f>IF(Table1[Item Description]="","",Table1[[#This Row],[Qty]]*Table1[[#This Row],[Unit Price]])</f>
        <v/>
      </c>
      <c r="Z66" s="283" t="str">
        <f>IF(Table1[[#This Row],[h_hargasebelumdiskon]]="","",IF(Table1[[#This Row],[Disc 1]]="",0,Table1[[#This Row],[h_hargasebelumdiskon]]*Table1[[#This Row],[Disc 1]]))</f>
        <v/>
      </c>
      <c r="AA66" s="283" t="str">
        <f>IF(Table1[[#This Row],[h_hargasebelumdiskon]]="","",IF(Table1[[#This Row],[Disc 2]]="",0,(Table1[[#This Row],[h_hargasebelumdiskon]]-Table1[[#This Row],[h_disc 1]])*Table1[[#This Row],[Disc 2]]))</f>
        <v/>
      </c>
      <c r="AB66" s="283" t="str">
        <f>IF(Table1[Item Description]="","",Table1[[#This Row],[h_disc 1]]+Table1[[#This Row],[h_disc 2]])</f>
        <v/>
      </c>
      <c r="AC66" s="283" t="str">
        <f>IF(Table1[Item Description]="","",Table1[[#This Row],[h_hargasebelumdiskon]]-Table1[[#This Row],[h_diskon]])</f>
        <v/>
      </c>
      <c r="AD66" s="283" t="str">
        <f ca="1">IF(Table1[//]="","",SUMIF(Table1[h_id],Table1[h_id],Table1[h_hargasetelahdiskon]))</f>
        <v/>
      </c>
      <c r="AE66" s="283"/>
      <c r="AF66" s="283" t="str">
        <f>Table1[[#This Row],[Item Description]]&amp;Table1[[#This Row],[Unit]]&amp;Table1[[#This Row],[Unit Price]]</f>
        <v/>
      </c>
    </row>
    <row r="67" spans="1:32" x14ac:dyDescent="0.25">
      <c r="A67" s="287">
        <f ca="1">IF(Table1[[#This Row],[No. Invoice :]]="","",ROW())</f>
        <v>67</v>
      </c>
      <c r="B67" s="287">
        <f ca="1">IF(Table1[h_Kode Sales :_1]="","",B$1+COUNT(INDIRECT("B$2:B"&amp;ROW()-1)))</f>
        <v>23080022</v>
      </c>
      <c r="C67" s="281">
        <f>IF(Table1[[#This Row],[H_TGL]]="","",Table1[[#This Row],[H_TGL]]+C$1-1)</f>
        <v>45154</v>
      </c>
      <c r="D67" s="292">
        <v>16</v>
      </c>
      <c r="E67" s="280" t="s">
        <v>162</v>
      </c>
      <c r="F67" s="282" t="s">
        <v>213</v>
      </c>
      <c r="G67" s="280" t="s">
        <v>214</v>
      </c>
      <c r="H67" s="287" t="str">
        <f ca="1">IF(Table1[[#This Row],[h_No. Invoice :]]="","",CONCATENATE("AM"," ",Table1[[#This Row],[h_No. Invoice :]]))</f>
        <v>AM 23080022</v>
      </c>
      <c r="I67" s="288" t="str">
        <f>CONCATENATE(UPPER(Table1[[#This Row],[h_Kode Sales :_1]])," ",Table1[[#This Row],[h_Kode Sales :_2]])</f>
        <v>KO 3035</v>
      </c>
      <c r="J67" s="287" t="str">
        <f>IF(Table1[[#This Row],[h_toko]]="","",INDEX(Table2[e],IF(Table1[[#This Row],[h_toko]]="","",MATCH(Table1[[#This Row],[h_toko]],Table2[a],0)),))</f>
        <v>CV DWI JAYA YOGYAKARTA</v>
      </c>
      <c r="K67" s="280">
        <v>5</v>
      </c>
      <c r="L67" s="280" t="s">
        <v>203</v>
      </c>
      <c r="M67" s="280">
        <v>1</v>
      </c>
      <c r="N67" s="280" t="s">
        <v>215</v>
      </c>
      <c r="O67" s="287" t="str">
        <f>IF(Table1[[#This Row],[h_Item Description]]="","",INDEX([1]!db[NB PAJAK],MATCH(Table1[[#This Row],[h_Item Description]],[1]!db[kode],0)))</f>
        <v>BINDER CLIP KENKO NO. 260</v>
      </c>
      <c r="P67" s="280" t="s">
        <v>216</v>
      </c>
      <c r="Q67" s="283">
        <v>180000</v>
      </c>
      <c r="R67" s="284">
        <v>0.1</v>
      </c>
      <c r="T67" s="283">
        <f>Table1[[#This Row],[h_hargasetelahdiskon]]</f>
        <v>810000</v>
      </c>
      <c r="U67" s="283" t="s">
        <v>133</v>
      </c>
      <c r="W67" s="287">
        <f ca="1">IF(Table1[[#This Row],[Item Description]]="","",IF(Table1[[#This Row],[//]]="",INDIRECT(ADDRESS(ROW()-1,COLUMN())),Table1[[#This Row],[//]]))</f>
        <v>67</v>
      </c>
      <c r="X67" s="287">
        <f ca="1">IF(Table1[[#This Row],[h_id]]="","",COUNTIF(Table1[h_id],Table1[[#This Row],[h_id]]))</f>
        <v>4</v>
      </c>
      <c r="Y67" s="283">
        <f>IF(Table1[Item Description]="","",Table1[[#This Row],[Qty]]*Table1[[#This Row],[Unit Price]])</f>
        <v>900000</v>
      </c>
      <c r="Z67" s="283">
        <f>IF(Table1[[#This Row],[h_hargasebelumdiskon]]="","",IF(Table1[[#This Row],[Disc 1]]="",0,Table1[[#This Row],[h_hargasebelumdiskon]]*Table1[[#This Row],[Disc 1]]))</f>
        <v>90000</v>
      </c>
      <c r="AA67" s="283">
        <f>IF(Table1[[#This Row],[h_hargasebelumdiskon]]="","",IF(Table1[[#This Row],[Disc 2]]="",0,(Table1[[#This Row],[h_hargasebelumdiskon]]-Table1[[#This Row],[h_disc 1]])*Table1[[#This Row],[Disc 2]]))</f>
        <v>0</v>
      </c>
      <c r="AB67" s="283">
        <f>IF(Table1[Item Description]="","",Table1[[#This Row],[h_disc 1]]+Table1[[#This Row],[h_disc 2]])</f>
        <v>90000</v>
      </c>
      <c r="AC67" s="283">
        <f>IF(Table1[Item Description]="","",Table1[[#This Row],[h_hargasebelumdiskon]]-Table1[[#This Row],[h_diskon]])</f>
        <v>810000</v>
      </c>
      <c r="AD67" s="283">
        <f ca="1">IF(Table1[//]="","",SUMIF(Table1[h_id],Table1[h_id],Table1[h_hargasetelahdiskon]))</f>
        <v>2330100</v>
      </c>
      <c r="AE67" s="283"/>
      <c r="AF67" s="283" t="str">
        <f>Table1[[#This Row],[Item Description]]&amp;Table1[[#This Row],[Unit]]&amp;Table1[[#This Row],[Unit Price]]</f>
        <v>BINDER CLIP KENKO NO. 260GRS180000</v>
      </c>
    </row>
    <row r="68" spans="1:32" x14ac:dyDescent="0.25">
      <c r="A68" s="287" t="str">
        <f ca="1">IF(Table1[[#This Row],[No. Invoice :]]="","",ROW())</f>
        <v/>
      </c>
      <c r="B68" s="287" t="str">
        <f ca="1">IF(Table1[h_Kode Sales :_1]="","",B$1+COUNT(INDIRECT("B$2:B"&amp;ROW()-1)))</f>
        <v/>
      </c>
      <c r="C68" s="281" t="str">
        <f>IF(Table1[[#This Row],[H_TGL]]="","",Table1[[#This Row],[H_TGL]]+C$1-1)</f>
        <v/>
      </c>
      <c r="H68" s="287" t="str">
        <f ca="1">IF(Table1[[#This Row],[h_No. Invoice :]]="","",CONCATENATE("AM"," ",Table1[[#This Row],[h_No. Invoice :]]))</f>
        <v/>
      </c>
      <c r="I68" s="288" t="str">
        <f>CONCATENATE(UPPER(Table1[[#This Row],[h_Kode Sales :_1]])," ",Table1[[#This Row],[h_Kode Sales :_2]])</f>
        <v xml:space="preserve"> </v>
      </c>
      <c r="J68" s="287" t="str">
        <f>IF(Table1[[#This Row],[h_toko]]="","",INDEX(Table2[e],IF(Table1[[#This Row],[h_toko]]="","",MATCH(Table1[[#This Row],[h_toko]],Table2[a],0)),))</f>
        <v/>
      </c>
      <c r="K68" s="280">
        <v>6</v>
      </c>
      <c r="L68" s="280" t="s">
        <v>136</v>
      </c>
      <c r="N68" s="280" t="s">
        <v>217</v>
      </c>
      <c r="O68" s="287" t="str">
        <f>IF(Table1[[#This Row],[h_Item Description]]="","",INDEX([1]!db[NB PAJAK],MATCH(Table1[[#This Row],[h_Item Description]],[1]!db[kode],0)))</f>
        <v>STAPLER HEAVY DUTY KENKO HD-12N/13</v>
      </c>
      <c r="P68" s="280" t="s">
        <v>218</v>
      </c>
      <c r="Q68" s="283">
        <v>84000</v>
      </c>
      <c r="R68" s="284">
        <v>0.1</v>
      </c>
      <c r="T68" s="283">
        <f>Table1[[#This Row],[h_hargasetelahdiskon]]</f>
        <v>453600</v>
      </c>
      <c r="W68" s="287">
        <f ca="1">IF(Table1[[#This Row],[Item Description]]="","",IF(Table1[[#This Row],[//]]="",INDIRECT(ADDRESS(ROW()-1,COLUMN())),Table1[[#This Row],[//]]))</f>
        <v>67</v>
      </c>
      <c r="X68" s="287">
        <f ca="1">IF(Table1[[#This Row],[h_id]]="","",COUNTIF(Table1[h_id],Table1[[#This Row],[h_id]]))</f>
        <v>4</v>
      </c>
      <c r="Y68" s="283">
        <f>IF(Table1[Item Description]="","",Table1[[#This Row],[Qty]]*Table1[[#This Row],[Unit Price]])</f>
        <v>504000</v>
      </c>
      <c r="Z68" s="283">
        <f>IF(Table1[[#This Row],[h_hargasebelumdiskon]]="","",IF(Table1[[#This Row],[Disc 1]]="",0,Table1[[#This Row],[h_hargasebelumdiskon]]*Table1[[#This Row],[Disc 1]]))</f>
        <v>50400</v>
      </c>
      <c r="AA68" s="283">
        <f>IF(Table1[[#This Row],[h_hargasebelumdiskon]]="","",IF(Table1[[#This Row],[Disc 2]]="",0,(Table1[[#This Row],[h_hargasebelumdiskon]]-Table1[[#This Row],[h_disc 1]])*Table1[[#This Row],[Disc 2]]))</f>
        <v>0</v>
      </c>
      <c r="AB68" s="283">
        <f>IF(Table1[Item Description]="","",Table1[[#This Row],[h_disc 1]]+Table1[[#This Row],[h_disc 2]])</f>
        <v>50400</v>
      </c>
      <c r="AC68" s="283">
        <f>IF(Table1[Item Description]="","",Table1[[#This Row],[h_hargasebelumdiskon]]-Table1[[#This Row],[h_diskon]])</f>
        <v>453600</v>
      </c>
      <c r="AD68" s="283" t="str">
        <f ca="1">IF(Table1[//]="","",SUMIF(Table1[h_id],Table1[h_id],Table1[h_hargasetelahdiskon]))</f>
        <v/>
      </c>
      <c r="AE68" s="283"/>
      <c r="AF68" s="283" t="str">
        <f>Table1[[#This Row],[Item Description]]&amp;Table1[[#This Row],[Unit]]&amp;Table1[[#This Row],[Unit Price]]</f>
        <v>STAPLER HEAVY DUTY KENKO HD-12N/13PCS84000</v>
      </c>
    </row>
    <row r="69" spans="1:32" x14ac:dyDescent="0.25">
      <c r="A69" s="287" t="str">
        <f ca="1">IF(Table1[[#This Row],[No. Invoice :]]="","",ROW())</f>
        <v/>
      </c>
      <c r="B69" s="287" t="str">
        <f ca="1">IF(Table1[h_Kode Sales :_1]="","",B$1+COUNT(INDIRECT("B$2:B"&amp;ROW()-1)))</f>
        <v/>
      </c>
      <c r="C69" s="281" t="str">
        <f>IF(Table1[[#This Row],[H_TGL]]="","",Table1[[#This Row],[H_TGL]]+C$1-1)</f>
        <v/>
      </c>
      <c r="H69" s="287" t="str">
        <f ca="1">IF(Table1[[#This Row],[h_No. Invoice :]]="","",CONCATENATE("AM"," ",Table1[[#This Row],[h_No. Invoice :]]))</f>
        <v/>
      </c>
      <c r="I69" s="288" t="str">
        <f>CONCATENATE(UPPER(Table1[[#This Row],[h_Kode Sales :_1]])," ",Table1[[#This Row],[h_Kode Sales :_2]])</f>
        <v xml:space="preserve"> </v>
      </c>
      <c r="J69" s="287" t="str">
        <f>IF(Table1[[#This Row],[h_toko]]="","",INDEX(Table2[e],IF(Table1[[#This Row],[h_toko]]="","",MATCH(Table1[[#This Row],[h_toko]],Table2[a],0)),))</f>
        <v/>
      </c>
      <c r="K69" s="280">
        <v>3</v>
      </c>
      <c r="L69" s="280" t="s">
        <v>136</v>
      </c>
      <c r="N69" s="280" t="s">
        <v>219</v>
      </c>
      <c r="O69" s="287" t="str">
        <f>IF(Table1[[#This Row],[h_Item Description]]="","",INDEX([1]!db[NB PAJAK],MATCH(Table1[[#This Row],[h_Item Description]],[1]!db[kode],0)))</f>
        <v>STAPLER HEAVY DUTY KENKO HD-12N/24</v>
      </c>
      <c r="P69" s="280" t="s">
        <v>222</v>
      </c>
      <c r="Q69" s="283">
        <v>155000</v>
      </c>
      <c r="R69" s="284">
        <v>0.1</v>
      </c>
      <c r="T69" s="283">
        <f>Table1[[#This Row],[h_hargasetelahdiskon]]</f>
        <v>418500</v>
      </c>
      <c r="W69" s="287">
        <f ca="1">IF(Table1[[#This Row],[Item Description]]="","",IF(Table1[[#This Row],[//]]="",INDIRECT(ADDRESS(ROW()-1,COLUMN())),Table1[[#This Row],[//]]))</f>
        <v>67</v>
      </c>
      <c r="X69" s="287">
        <f ca="1">IF(Table1[[#This Row],[h_id]]="","",COUNTIF(Table1[h_id],Table1[[#This Row],[h_id]]))</f>
        <v>4</v>
      </c>
      <c r="Y69" s="283">
        <f>IF(Table1[Item Description]="","",Table1[[#This Row],[Qty]]*Table1[[#This Row],[Unit Price]])</f>
        <v>465000</v>
      </c>
      <c r="Z69" s="283">
        <f>IF(Table1[[#This Row],[h_hargasebelumdiskon]]="","",IF(Table1[[#This Row],[Disc 1]]="",0,Table1[[#This Row],[h_hargasebelumdiskon]]*Table1[[#This Row],[Disc 1]]))</f>
        <v>46500</v>
      </c>
      <c r="AA69" s="283">
        <f>IF(Table1[[#This Row],[h_hargasebelumdiskon]]="","",IF(Table1[[#This Row],[Disc 2]]="",0,(Table1[[#This Row],[h_hargasebelumdiskon]]-Table1[[#This Row],[h_disc 1]])*Table1[[#This Row],[Disc 2]]))</f>
        <v>0</v>
      </c>
      <c r="AB69" s="283">
        <f>IF(Table1[Item Description]="","",Table1[[#This Row],[h_disc 1]]+Table1[[#This Row],[h_disc 2]])</f>
        <v>46500</v>
      </c>
      <c r="AC69" s="283">
        <f>IF(Table1[Item Description]="","",Table1[[#This Row],[h_hargasebelumdiskon]]-Table1[[#This Row],[h_diskon]])</f>
        <v>418500</v>
      </c>
      <c r="AD69" s="283" t="str">
        <f ca="1">IF(Table1[//]="","",SUMIF(Table1[h_id],Table1[h_id],Table1[h_hargasetelahdiskon]))</f>
        <v/>
      </c>
      <c r="AE69" s="283"/>
      <c r="AF69" s="283" t="str">
        <f>Table1[[#This Row],[Item Description]]&amp;Table1[[#This Row],[Unit]]&amp;Table1[[#This Row],[Unit Price]]</f>
        <v>STAPLER HEAVY DUTY KENKO HD-12N/24PCS155000</v>
      </c>
    </row>
    <row r="70" spans="1:32" x14ac:dyDescent="0.25">
      <c r="A70" s="287" t="str">
        <f ca="1">IF(Table1[[#This Row],[No. Invoice :]]="","",ROW())</f>
        <v/>
      </c>
      <c r="B70" s="287" t="str">
        <f ca="1">IF(Table1[h_Kode Sales :_1]="","",B$1+COUNT(INDIRECT("B$2:B"&amp;ROW()-1)))</f>
        <v/>
      </c>
      <c r="C70" s="281" t="str">
        <f>IF(Table1[[#This Row],[H_TGL]]="","",Table1[[#This Row],[H_TGL]]+C$1-1)</f>
        <v/>
      </c>
      <c r="H70" s="287" t="str">
        <f ca="1">IF(Table1[[#This Row],[h_No. Invoice :]]="","",CONCATENATE("AM"," ",Table1[[#This Row],[h_No. Invoice :]]))</f>
        <v/>
      </c>
      <c r="I70" s="288" t="str">
        <f>CONCATENATE(UPPER(Table1[[#This Row],[h_Kode Sales :_1]])," ",Table1[[#This Row],[h_Kode Sales :_2]])</f>
        <v xml:space="preserve"> </v>
      </c>
      <c r="J70" s="287" t="str">
        <f>IF(Table1[[#This Row],[h_toko]]="","",INDEX(Table2[e],IF(Table1[[#This Row],[h_toko]]="","",MATCH(Table1[[#This Row],[h_toko]],Table2[a],0)),))</f>
        <v/>
      </c>
      <c r="K70" s="280">
        <v>2</v>
      </c>
      <c r="L70" s="280" t="s">
        <v>136</v>
      </c>
      <c r="N70" s="280" t="s">
        <v>220</v>
      </c>
      <c r="O70" s="287" t="str">
        <f>IF(Table1[[#This Row],[h_Item Description]]="","",INDEX([1]!db[NB PAJAK],MATCH(Table1[[#This Row],[h_Item Description]],[1]!db[kode],0)))</f>
        <v>STAPLER HEAVY DUTY KENKO HD-12L/24</v>
      </c>
      <c r="P70" s="280" t="s">
        <v>221</v>
      </c>
      <c r="Q70" s="283">
        <v>360000</v>
      </c>
      <c r="R70" s="284">
        <v>0.1</v>
      </c>
      <c r="T70" s="283">
        <f>Table1[[#This Row],[h_hargasetelahdiskon]]</f>
        <v>648000</v>
      </c>
      <c r="W70" s="287">
        <f ca="1">IF(Table1[[#This Row],[Item Description]]="","",IF(Table1[[#This Row],[//]]="",INDIRECT(ADDRESS(ROW()-1,COLUMN())),Table1[[#This Row],[//]]))</f>
        <v>67</v>
      </c>
      <c r="X70" s="287">
        <f ca="1">IF(Table1[[#This Row],[h_id]]="","",COUNTIF(Table1[h_id],Table1[[#This Row],[h_id]]))</f>
        <v>4</v>
      </c>
      <c r="Y70" s="283">
        <f>IF(Table1[Item Description]="","",Table1[[#This Row],[Qty]]*Table1[[#This Row],[Unit Price]])</f>
        <v>720000</v>
      </c>
      <c r="Z70" s="283">
        <f>IF(Table1[[#This Row],[h_hargasebelumdiskon]]="","",IF(Table1[[#This Row],[Disc 1]]="",0,Table1[[#This Row],[h_hargasebelumdiskon]]*Table1[[#This Row],[Disc 1]]))</f>
        <v>72000</v>
      </c>
      <c r="AA70" s="283">
        <f>IF(Table1[[#This Row],[h_hargasebelumdiskon]]="","",IF(Table1[[#This Row],[Disc 2]]="",0,(Table1[[#This Row],[h_hargasebelumdiskon]]-Table1[[#This Row],[h_disc 1]])*Table1[[#This Row],[Disc 2]]))</f>
        <v>0</v>
      </c>
      <c r="AB70" s="283">
        <f>IF(Table1[Item Description]="","",Table1[[#This Row],[h_disc 1]]+Table1[[#This Row],[h_disc 2]])</f>
        <v>72000</v>
      </c>
      <c r="AC70" s="283">
        <f>IF(Table1[Item Description]="","",Table1[[#This Row],[h_hargasebelumdiskon]]-Table1[[#This Row],[h_diskon]])</f>
        <v>648000</v>
      </c>
      <c r="AD70" s="283" t="str">
        <f ca="1">IF(Table1[//]="","",SUMIF(Table1[h_id],Table1[h_id],Table1[h_hargasetelahdiskon]))</f>
        <v/>
      </c>
      <c r="AE70" s="283"/>
      <c r="AF70" s="283" t="str">
        <f>Table1[[#This Row],[Item Description]]&amp;Table1[[#This Row],[Unit]]&amp;Table1[[#This Row],[Unit Price]]</f>
        <v>STAPLER HEAVY DUTY KENKO HD-12L/24PCS360000</v>
      </c>
    </row>
    <row r="71" spans="1:32" x14ac:dyDescent="0.25">
      <c r="A71" s="287" t="str">
        <f>IF(Table1[[#This Row],[No. Invoice :]]="","",ROW())</f>
        <v/>
      </c>
      <c r="B71" s="287" t="str">
        <f ca="1">IF(Table1[h_Kode Sales :_1]="","",B$1+COUNT(INDIRECT("B$2:B"&amp;ROW()-1)))</f>
        <v/>
      </c>
      <c r="C71" s="281" t="str">
        <f>IF(Table1[[#This Row],[H_TGL]]="","",Table1[[#This Row],[H_TGL]]+C$1-1)</f>
        <v/>
      </c>
      <c r="H71" s="287"/>
      <c r="I71" s="288"/>
      <c r="J71" s="287" t="str">
        <f>IF(Table1[[#This Row],[h_toko]]="","",INDEX(Table2[e],IF(Table1[[#This Row],[h_toko]]="","",MATCH(Table1[[#This Row],[h_toko]],Table2[a],0)),))</f>
        <v/>
      </c>
      <c r="O71" s="287" t="str">
        <f>IF(Table1[[#This Row],[h_Item Description]]="","",INDEX([1]!db[NB PAJAK],MATCH(Table1[[#This Row],[h_Item Description]],[1]!db[kode],0)))</f>
        <v/>
      </c>
      <c r="Q71" s="283"/>
      <c r="R71" s="284"/>
      <c r="T71" s="283" t="str">
        <f>Table1[[#This Row],[h_hargasetelahdiskon]]</f>
        <v/>
      </c>
      <c r="W71" s="287" t="str">
        <f ca="1">IF(Table1[[#This Row],[Item Description]]="","",IF(Table1[[#This Row],[//]]="",INDIRECT(ADDRESS(ROW()-1,COLUMN())),Table1[[#This Row],[//]]))</f>
        <v/>
      </c>
      <c r="X71" s="287" t="str">
        <f ca="1">IF(Table1[[#This Row],[h_id]]="","",COUNTIF(Table1[h_id],Table1[[#This Row],[h_id]]))</f>
        <v/>
      </c>
      <c r="Y71" s="283" t="str">
        <f>IF(Table1[Item Description]="","",Table1[[#This Row],[Qty]]*Table1[[#This Row],[Unit Price]])</f>
        <v/>
      </c>
      <c r="Z71" s="283" t="str">
        <f>IF(Table1[[#This Row],[h_hargasebelumdiskon]]="","",IF(Table1[[#This Row],[Disc 1]]="",0,Table1[[#This Row],[h_hargasebelumdiskon]]*Table1[[#This Row],[Disc 1]]))</f>
        <v/>
      </c>
      <c r="AA71" s="283" t="str">
        <f>IF(Table1[[#This Row],[h_hargasebelumdiskon]]="","",IF(Table1[[#This Row],[Disc 2]]="",0,(Table1[[#This Row],[h_hargasebelumdiskon]]-Table1[[#This Row],[h_disc 1]])*Table1[[#This Row],[Disc 2]]))</f>
        <v/>
      </c>
      <c r="AB71" s="283" t="str">
        <f>IF(Table1[Item Description]="","",Table1[[#This Row],[h_disc 1]]+Table1[[#This Row],[h_disc 2]])</f>
        <v/>
      </c>
      <c r="AC71" s="283" t="str">
        <f>IF(Table1[Item Description]="","",Table1[[#This Row],[h_hargasebelumdiskon]]-Table1[[#This Row],[h_diskon]])</f>
        <v/>
      </c>
      <c r="AD71" s="283" t="str">
        <f>IF(Table1[//]="","",SUMIF(Table1[h_id],Table1[h_id],Table1[h_hargasetelahdiskon]))</f>
        <v/>
      </c>
      <c r="AE71" s="283"/>
      <c r="AF71" s="283" t="str">
        <f>Table1[[#This Row],[Item Description]]&amp;Table1[[#This Row],[Unit]]&amp;Table1[[#This Row],[Unit Price]]</f>
        <v/>
      </c>
    </row>
    <row r="72" spans="1:32" x14ac:dyDescent="0.25">
      <c r="A72" s="287">
        <f ca="1">IF(Table1[[#This Row],[No. Invoice :]]="","",ROW())</f>
        <v>72</v>
      </c>
      <c r="B72" s="287">
        <f ca="1">IF(Table1[h_Kode Sales :_1]="","",B$1+COUNT(INDIRECT("B$2:B"&amp;ROW()-1)))</f>
        <v>23080023</v>
      </c>
      <c r="C72" s="281">
        <f>IF(Table1[[#This Row],[H_TGL]]="","",Table1[[#This Row],[H_TGL]]+C$1-1)</f>
        <v>45156</v>
      </c>
      <c r="D72" s="292">
        <v>18</v>
      </c>
      <c r="E72" s="280" t="s">
        <v>162</v>
      </c>
      <c r="F72" s="282" t="s">
        <v>223</v>
      </c>
      <c r="G72" s="280" t="s">
        <v>84</v>
      </c>
      <c r="H72" s="287" t="str">
        <f ca="1">IF(Table1[[#This Row],[h_No. Invoice :]]="","",CONCATENATE("AM"," ",Table1[[#This Row],[h_No. Invoice :]]))</f>
        <v>AM 23080023</v>
      </c>
      <c r="I72" s="288" t="str">
        <f>CONCATENATE(UPPER(Table1[[#This Row],[h_Kode Sales :_1]])," ",Table1[[#This Row],[h_Kode Sales :_2]])</f>
        <v>KO 3047</v>
      </c>
      <c r="J72" s="287" t="str">
        <f>IF(Table1[[#This Row],[h_toko]]="","",INDEX(Table2[e],IF(Table1[[#This Row],[h_toko]]="","",MATCH(Table1[[#This Row],[h_toko]],Table2[a],0)),))</f>
        <v>CV PELITA JAYA (ANUGERAH SEJAHTERA) PURWOKERTO</v>
      </c>
      <c r="K72" s="280">
        <v>100</v>
      </c>
      <c r="L72" s="280" t="s">
        <v>143</v>
      </c>
      <c r="M72" s="280">
        <v>5</v>
      </c>
      <c r="N72" s="280" t="s">
        <v>224</v>
      </c>
      <c r="O72" s="287" t="str">
        <f>IF(Table1[[#This Row],[h_Item Description]]="","",INDEX([1]!db[NB PAJAK],MATCH(Table1[[#This Row],[h_Item Description]],[1]!db[kode],0)))</f>
        <v>STAPLER KENKO HD-10</v>
      </c>
      <c r="P72" s="280" t="s">
        <v>225</v>
      </c>
      <c r="Q72" s="283">
        <v>93000</v>
      </c>
      <c r="R72" s="284">
        <v>0.13500000000000001</v>
      </c>
      <c r="T72" s="283">
        <f>Table1[[#This Row],[h_hargasetelahdiskon]]</f>
        <v>8044500</v>
      </c>
      <c r="U72" s="283" t="s">
        <v>133</v>
      </c>
      <c r="W72" s="287">
        <f ca="1">IF(Table1[[#This Row],[Item Description]]="","",IF(Table1[[#This Row],[//]]="",INDIRECT(ADDRESS(ROW()-1,COLUMN())),Table1[[#This Row],[//]]))</f>
        <v>72</v>
      </c>
      <c r="X72" s="287">
        <f ca="1">IF(Table1[[#This Row],[h_id]]="","",COUNTIF(Table1[h_id],Table1[[#This Row],[h_id]]))</f>
        <v>1</v>
      </c>
      <c r="Y72" s="283">
        <f>IF(Table1[Item Description]="","",Table1[[#This Row],[Qty]]*Table1[[#This Row],[Unit Price]])</f>
        <v>9300000</v>
      </c>
      <c r="Z72" s="283">
        <f>IF(Table1[[#This Row],[h_hargasebelumdiskon]]="","",IF(Table1[[#This Row],[Disc 1]]="",0,Table1[[#This Row],[h_hargasebelumdiskon]]*Table1[[#This Row],[Disc 1]]))</f>
        <v>1255500</v>
      </c>
      <c r="AA72" s="283">
        <f>IF(Table1[[#This Row],[h_hargasebelumdiskon]]="","",IF(Table1[[#This Row],[Disc 2]]="",0,(Table1[[#This Row],[h_hargasebelumdiskon]]-Table1[[#This Row],[h_disc 1]])*Table1[[#This Row],[Disc 2]]))</f>
        <v>0</v>
      </c>
      <c r="AB72" s="283">
        <f>IF(Table1[Item Description]="","",Table1[[#This Row],[h_disc 1]]+Table1[[#This Row],[h_disc 2]])</f>
        <v>1255500</v>
      </c>
      <c r="AC72" s="283">
        <f>IF(Table1[Item Description]="","",Table1[[#This Row],[h_hargasebelumdiskon]]-Table1[[#This Row],[h_diskon]])</f>
        <v>8044500</v>
      </c>
      <c r="AD72" s="283">
        <f ca="1">IF(Table1[//]="","",SUMIF(Table1[h_id],Table1[h_id],Table1[h_hargasetelahdiskon]))</f>
        <v>8044500</v>
      </c>
      <c r="AE72" s="283"/>
      <c r="AF72" s="283" t="str">
        <f>Table1[[#This Row],[Item Description]]&amp;Table1[[#This Row],[Unit]]&amp;Table1[[#This Row],[Unit Price]]</f>
        <v>STAPLER KENKO HD-10LSN93000</v>
      </c>
    </row>
    <row r="73" spans="1:32" x14ac:dyDescent="0.25">
      <c r="A73" s="287" t="str">
        <f ca="1">IF(Table1[[#This Row],[No. Invoice :]]="","",ROW())</f>
        <v/>
      </c>
      <c r="B73" s="287" t="str">
        <f ca="1">IF(Table1[h_Kode Sales :_1]="","",B$1+COUNT(INDIRECT("B$2:B"&amp;ROW()-1)))</f>
        <v/>
      </c>
      <c r="C73" s="281" t="str">
        <f>IF(Table1[[#This Row],[H_TGL]]="","",Table1[[#This Row],[H_TGL]]+C$1-1)</f>
        <v/>
      </c>
      <c r="H73" s="287" t="str">
        <f ca="1">IF(Table1[[#This Row],[h_No. Invoice :]]="","",CONCATENATE("AM"," ",Table1[[#This Row],[h_No. Invoice :]]))</f>
        <v/>
      </c>
      <c r="I73" s="288" t="str">
        <f>CONCATENATE(UPPER(Table1[[#This Row],[h_Kode Sales :_1]])," ",Table1[[#This Row],[h_Kode Sales :_2]])</f>
        <v xml:space="preserve"> </v>
      </c>
      <c r="J73" s="287" t="str">
        <f>IF(Table1[[#This Row],[h_toko]]="","",INDEX(Table2[e],IF(Table1[[#This Row],[h_toko]]="","",MATCH(Table1[[#This Row],[h_toko]],Table2[a],0)),))</f>
        <v/>
      </c>
      <c r="O73" s="287" t="str">
        <f>IF(Table1[[#This Row],[h_Item Description]]="","",INDEX([1]!db[NB PAJAK],MATCH(Table1[[#This Row],[h_Item Description]],[1]!db[kode],0)))</f>
        <v/>
      </c>
      <c r="Q73" s="283"/>
      <c r="R73" s="284"/>
      <c r="T73" s="283" t="str">
        <f>Table1[[#This Row],[h_hargasetelahdiskon]]</f>
        <v/>
      </c>
      <c r="W73" s="287" t="str">
        <f ca="1">IF(Table1[[#This Row],[Item Description]]="","",IF(Table1[[#This Row],[//]]="",INDIRECT(ADDRESS(ROW()-1,COLUMN())),Table1[[#This Row],[//]]))</f>
        <v/>
      </c>
      <c r="X73" s="287" t="str">
        <f ca="1">IF(Table1[[#This Row],[h_id]]="","",COUNTIF(Table1[h_id],Table1[[#This Row],[h_id]]))</f>
        <v/>
      </c>
      <c r="Y73" s="283" t="str">
        <f>IF(Table1[Item Description]="","",Table1[[#This Row],[Qty]]*Table1[[#This Row],[Unit Price]])</f>
        <v/>
      </c>
      <c r="Z73" s="283" t="str">
        <f>IF(Table1[[#This Row],[h_hargasebelumdiskon]]="","",IF(Table1[[#This Row],[Disc 1]]="",0,Table1[[#This Row],[h_hargasebelumdiskon]]*Table1[[#This Row],[Disc 1]]))</f>
        <v/>
      </c>
      <c r="AA73" s="283" t="str">
        <f>IF(Table1[[#This Row],[h_hargasebelumdiskon]]="","",IF(Table1[[#This Row],[Disc 2]]="",0,(Table1[[#This Row],[h_hargasebelumdiskon]]-Table1[[#This Row],[h_disc 1]])*Table1[[#This Row],[Disc 2]]))</f>
        <v/>
      </c>
      <c r="AB73" s="283" t="str">
        <f>IF(Table1[Item Description]="","",Table1[[#This Row],[h_disc 1]]+Table1[[#This Row],[h_disc 2]])</f>
        <v/>
      </c>
      <c r="AC73" s="283" t="str">
        <f>IF(Table1[Item Description]="","",Table1[[#This Row],[h_hargasebelumdiskon]]-Table1[[#This Row],[h_diskon]])</f>
        <v/>
      </c>
      <c r="AD73" s="283" t="str">
        <f ca="1">IF(Table1[//]="","",SUMIF(Table1[h_id],Table1[h_id],Table1[h_hargasetelahdiskon]))</f>
        <v/>
      </c>
      <c r="AE73" s="283"/>
      <c r="AF73" s="283" t="str">
        <f>Table1[[#This Row],[Item Description]]&amp;Table1[[#This Row],[Unit]]&amp;Table1[[#This Row],[Unit Price]]</f>
        <v/>
      </c>
    </row>
    <row r="74" spans="1:32" x14ac:dyDescent="0.25">
      <c r="A74" s="287">
        <f ca="1">IF(Table1[[#This Row],[No. Invoice :]]="","",ROW())</f>
        <v>74</v>
      </c>
      <c r="B74" s="287">
        <f ca="1">IF(Table1[h_Kode Sales :_1]="","",B$1+COUNT(INDIRECT("B$2:B"&amp;ROW()-1)))</f>
        <v>23080024</v>
      </c>
      <c r="C74" s="281">
        <f>IF(Table1[[#This Row],[H_TGL]]="","",Table1[[#This Row],[H_TGL]]+C$1-1)</f>
        <v>45156</v>
      </c>
      <c r="D74" s="292">
        <v>18</v>
      </c>
      <c r="E74" s="280" t="s">
        <v>177</v>
      </c>
      <c r="F74" s="282" t="s">
        <v>226</v>
      </c>
      <c r="G74" s="280" t="s">
        <v>93</v>
      </c>
      <c r="H74" s="287" t="str">
        <f ca="1">IF(Table1[[#This Row],[h_No. Invoice :]]="","",CONCATENATE("AM"," ",Table1[[#This Row],[h_No. Invoice :]]))</f>
        <v>AM 23080024</v>
      </c>
      <c r="I74" s="288" t="str">
        <f>CONCATENATE(UPPER(Table1[[#This Row],[h_Kode Sales :_1]])," ",Table1[[#This Row],[h_Kode Sales :_2]])</f>
        <v>G 3502</v>
      </c>
      <c r="J74" s="287" t="str">
        <f>IF(Table1[[#This Row],[h_toko]]="","",INDEX(Table2[e],IF(Table1[[#This Row],[h_toko]]="","",MATCH(Table1[[#This Row],[h_toko]],Table2[a],0)),))</f>
        <v>LILY JULIAWATI (REJO AGUNG) JOMBANG</v>
      </c>
      <c r="K74" s="280">
        <v>120</v>
      </c>
      <c r="L74" s="280" t="s">
        <v>136</v>
      </c>
      <c r="M74" s="280">
        <v>1</v>
      </c>
      <c r="N74" s="280" t="s">
        <v>227</v>
      </c>
      <c r="O74" s="287" t="str">
        <f>IF(Table1[[#This Row],[h_Item Description]]="","",INDEX([1]!db[NB PAJAK],MATCH(Table1[[#This Row],[h_Item Description]],[1]!db[kode],0)))</f>
        <v>CALCULATOR JOYKO CC-8CO WARNA</v>
      </c>
      <c r="P74" s="280" t="s">
        <v>232</v>
      </c>
      <c r="Q74" s="283">
        <v>47000</v>
      </c>
      <c r="R74" s="284">
        <v>0.125</v>
      </c>
      <c r="T74" s="283">
        <f>Table1[[#This Row],[h_hargasetelahdiskon]]</f>
        <v>4935000</v>
      </c>
      <c r="U74" s="283" t="s">
        <v>133</v>
      </c>
      <c r="W74" s="287">
        <f ca="1">IF(Table1[[#This Row],[Item Description]]="","",IF(Table1[[#This Row],[//]]="",INDIRECT(ADDRESS(ROW()-1,COLUMN())),Table1[[#This Row],[//]]))</f>
        <v>74</v>
      </c>
      <c r="X74" s="287">
        <f ca="1">IF(Table1[[#This Row],[h_id]]="","",COUNTIF(Table1[h_id],Table1[[#This Row],[h_id]]))</f>
        <v>12</v>
      </c>
      <c r="Y74" s="283">
        <f>IF(Table1[Item Description]="","",Table1[[#This Row],[Qty]]*Table1[[#This Row],[Unit Price]])</f>
        <v>5640000</v>
      </c>
      <c r="Z74" s="283">
        <f>IF(Table1[[#This Row],[h_hargasebelumdiskon]]="","",IF(Table1[[#This Row],[Disc 1]]="",0,Table1[[#This Row],[h_hargasebelumdiskon]]*Table1[[#This Row],[Disc 1]]))</f>
        <v>705000</v>
      </c>
      <c r="AA74" s="283">
        <f>IF(Table1[[#This Row],[h_hargasebelumdiskon]]="","",IF(Table1[[#This Row],[Disc 2]]="",0,(Table1[[#This Row],[h_hargasebelumdiskon]]-Table1[[#This Row],[h_disc 1]])*Table1[[#This Row],[Disc 2]]))</f>
        <v>0</v>
      </c>
      <c r="AB74" s="283">
        <f>IF(Table1[Item Description]="","",Table1[[#This Row],[h_disc 1]]+Table1[[#This Row],[h_disc 2]])</f>
        <v>705000</v>
      </c>
      <c r="AC74" s="283">
        <f>IF(Table1[Item Description]="","",Table1[[#This Row],[h_hargasebelumdiskon]]-Table1[[#This Row],[h_diskon]])</f>
        <v>4935000</v>
      </c>
      <c r="AD74" s="283">
        <f ca="1">IF(Table1[//]="","",SUMIF(Table1[h_id],Table1[h_id],Table1[h_hargasetelahdiskon]))</f>
        <v>28812000</v>
      </c>
      <c r="AE74" s="283"/>
      <c r="AF74" s="283" t="str">
        <f>Table1[[#This Row],[Item Description]]&amp;Table1[[#This Row],[Unit]]&amp;Table1[[#This Row],[Unit Price]]</f>
        <v>CALCULATOR JOYKO CC-8CO WARNAPCS47000</v>
      </c>
    </row>
    <row r="75" spans="1:32" x14ac:dyDescent="0.25">
      <c r="A75" s="287" t="str">
        <f ca="1">IF(Table1[[#This Row],[No. Invoice :]]="","",ROW())</f>
        <v/>
      </c>
      <c r="B75" s="287" t="str">
        <f ca="1">IF(Table1[h_Kode Sales :_1]="","",B$1+COUNT(INDIRECT("B$2:B"&amp;ROW()-1)))</f>
        <v/>
      </c>
      <c r="C75" s="281" t="str">
        <f>IF(Table1[[#This Row],[H_TGL]]="","",Table1[[#This Row],[H_TGL]]+C$1-1)</f>
        <v/>
      </c>
      <c r="H75" s="287" t="str">
        <f ca="1">IF(Table1[[#This Row],[h_No. Invoice :]]="","",CONCATENATE("AM"," ",Table1[[#This Row],[h_No. Invoice :]]))</f>
        <v/>
      </c>
      <c r="I75" s="288" t="str">
        <f>CONCATENATE(UPPER(Table1[[#This Row],[h_Kode Sales :_1]])," ",Table1[[#This Row],[h_Kode Sales :_2]])</f>
        <v xml:space="preserve"> </v>
      </c>
      <c r="J75" s="287" t="str">
        <f>IF(Table1[[#This Row],[h_toko]]="","",INDEX(Table2[e],IF(Table1[[#This Row],[h_toko]]="","",MATCH(Table1[[#This Row],[h_toko]],Table2[a],0)),))</f>
        <v/>
      </c>
      <c r="K75" s="280">
        <v>72</v>
      </c>
      <c r="L75" s="280" t="s">
        <v>136</v>
      </c>
      <c r="M75" s="280">
        <v>1</v>
      </c>
      <c r="O75" s="287" t="str">
        <f>IF(Table1[[#This Row],[h_Item Description]]="","",INDEX([1]!db[NB PAJAK],MATCH(Table1[[#This Row],[h_Item Description]],[1]!db[kode],0)))</f>
        <v/>
      </c>
      <c r="P75" s="280" t="s">
        <v>230</v>
      </c>
      <c r="Q75" s="283">
        <v>15800</v>
      </c>
      <c r="R75" s="284">
        <v>0.125</v>
      </c>
      <c r="T75" s="283">
        <f>Table1[[#This Row],[h_hargasetelahdiskon]]</f>
        <v>995400</v>
      </c>
      <c r="W75" s="287">
        <f ca="1">IF(Table1[[#This Row],[Item Description]]="","",IF(Table1[[#This Row],[//]]="",INDIRECT(ADDRESS(ROW()-1,COLUMN())),Table1[[#This Row],[//]]))</f>
        <v>74</v>
      </c>
      <c r="X75" s="287">
        <f ca="1">IF(Table1[[#This Row],[h_id]]="","",COUNTIF(Table1[h_id],Table1[[#This Row],[h_id]]))</f>
        <v>12</v>
      </c>
      <c r="Y75" s="283">
        <f>IF(Table1[Item Description]="","",Table1[[#This Row],[Qty]]*Table1[[#This Row],[Unit Price]])</f>
        <v>1137600</v>
      </c>
      <c r="Z75" s="283">
        <f>IF(Table1[[#This Row],[h_hargasebelumdiskon]]="","",IF(Table1[[#This Row],[Disc 1]]="",0,Table1[[#This Row],[h_hargasebelumdiskon]]*Table1[[#This Row],[Disc 1]]))</f>
        <v>142200</v>
      </c>
      <c r="AA75" s="283">
        <f>IF(Table1[[#This Row],[h_hargasebelumdiskon]]="","",IF(Table1[[#This Row],[Disc 2]]="",0,(Table1[[#This Row],[h_hargasebelumdiskon]]-Table1[[#This Row],[h_disc 1]])*Table1[[#This Row],[Disc 2]]))</f>
        <v>0</v>
      </c>
      <c r="AB75" s="283">
        <f>IF(Table1[Item Description]="","",Table1[[#This Row],[h_disc 1]]+Table1[[#This Row],[h_disc 2]])</f>
        <v>142200</v>
      </c>
      <c r="AC75" s="283">
        <f>IF(Table1[Item Description]="","",Table1[[#This Row],[h_hargasebelumdiskon]]-Table1[[#This Row],[h_diskon]])</f>
        <v>995400</v>
      </c>
      <c r="AD75" s="283" t="str">
        <f ca="1">IF(Table1[//]="","",SUMIF(Table1[h_id],Table1[h_id],Table1[h_hargasetelahdiskon]))</f>
        <v/>
      </c>
      <c r="AE75" s="283"/>
      <c r="AF75" s="283" t="str">
        <f>Table1[[#This Row],[Item Description]]&amp;Table1[[#This Row],[Unit]]&amp;Table1[[#This Row],[Unit Price]]</f>
        <v>BINDER NOTE JOYKO A5-TSAF-F511 (ANIMAL FACE) JK-FPCS15800</v>
      </c>
    </row>
    <row r="76" spans="1:32" x14ac:dyDescent="0.25">
      <c r="A76" s="287" t="str">
        <f ca="1">IF(Table1[[#This Row],[No. Invoice :]]="","",ROW())</f>
        <v/>
      </c>
      <c r="B76" s="287" t="str">
        <f ca="1">IF(Table1[h_Kode Sales :_1]="","",B$1+COUNT(INDIRECT("B$2:B"&amp;ROW()-1)))</f>
        <v/>
      </c>
      <c r="C76" s="281" t="str">
        <f>IF(Table1[[#This Row],[H_TGL]]="","",Table1[[#This Row],[H_TGL]]+C$1-1)</f>
        <v/>
      </c>
      <c r="H76" s="287" t="str">
        <f ca="1">IF(Table1[[#This Row],[h_No. Invoice :]]="","",CONCATENATE("AM"," ",Table1[[#This Row],[h_No. Invoice :]]))</f>
        <v/>
      </c>
      <c r="I76" s="288" t="str">
        <f>CONCATENATE(UPPER(Table1[[#This Row],[h_Kode Sales :_1]])," ",Table1[[#This Row],[h_Kode Sales :_2]])</f>
        <v xml:space="preserve"> </v>
      </c>
      <c r="J76" s="287" t="str">
        <f>IF(Table1[[#This Row],[h_toko]]="","",INDEX(Table2[e],IF(Table1[[#This Row],[h_toko]]="","",MATCH(Table1[[#This Row],[h_toko]],Table2[a],0)),))</f>
        <v/>
      </c>
      <c r="K76" s="280">
        <v>72</v>
      </c>
      <c r="L76" s="280" t="s">
        <v>136</v>
      </c>
      <c r="M76" s="280">
        <v>1</v>
      </c>
      <c r="O76" s="287" t="str">
        <f>IF(Table1[[#This Row],[h_Item Description]]="","",INDEX([1]!db[NB PAJAK],MATCH(Table1[[#This Row],[h_Item Description]],[1]!db[kode],0)))</f>
        <v/>
      </c>
      <c r="P76" s="280" t="s">
        <v>231</v>
      </c>
      <c r="Q76" s="283">
        <v>15800</v>
      </c>
      <c r="R76" s="284">
        <v>0.125</v>
      </c>
      <c r="T76" s="283">
        <f>Table1[[#This Row],[h_hargasetelahdiskon]]</f>
        <v>995400</v>
      </c>
      <c r="W76" s="287">
        <f ca="1">IF(Table1[[#This Row],[Item Description]]="","",IF(Table1[[#This Row],[//]]="",INDIRECT(ADDRESS(ROW()-1,COLUMN())),Table1[[#This Row],[//]]))</f>
        <v>74</v>
      </c>
      <c r="X76" s="287">
        <f ca="1">IF(Table1[[#This Row],[h_id]]="","",COUNTIF(Table1[h_id],Table1[[#This Row],[h_id]]))</f>
        <v>12</v>
      </c>
      <c r="Y76" s="283">
        <f>IF(Table1[Item Description]="","",Table1[[#This Row],[Qty]]*Table1[[#This Row],[Unit Price]])</f>
        <v>1137600</v>
      </c>
      <c r="Z76" s="283">
        <f>IF(Table1[[#This Row],[h_hargasebelumdiskon]]="","",IF(Table1[[#This Row],[Disc 1]]="",0,Table1[[#This Row],[h_hargasebelumdiskon]]*Table1[[#This Row],[Disc 1]]))</f>
        <v>142200</v>
      </c>
      <c r="AA76" s="283">
        <f>IF(Table1[[#This Row],[h_hargasebelumdiskon]]="","",IF(Table1[[#This Row],[Disc 2]]="",0,(Table1[[#This Row],[h_hargasebelumdiskon]]-Table1[[#This Row],[h_disc 1]])*Table1[[#This Row],[Disc 2]]))</f>
        <v>0</v>
      </c>
      <c r="AB76" s="283">
        <f>IF(Table1[Item Description]="","",Table1[[#This Row],[h_disc 1]]+Table1[[#This Row],[h_disc 2]])</f>
        <v>142200</v>
      </c>
      <c r="AC76" s="283">
        <f>IF(Table1[Item Description]="","",Table1[[#This Row],[h_hargasebelumdiskon]]-Table1[[#This Row],[h_diskon]])</f>
        <v>995400</v>
      </c>
      <c r="AD76" s="283" t="str">
        <f ca="1">IF(Table1[//]="","",SUMIF(Table1[h_id],Table1[h_id],Table1[h_hargasetelahdiskon]))</f>
        <v/>
      </c>
      <c r="AE76" s="283"/>
      <c r="AF76" s="283" t="str">
        <f>Table1[[#This Row],[Item Description]]&amp;Table1[[#This Row],[Unit]]&amp;Table1[[#This Row],[Unit Price]]</f>
        <v>BINDER NOTE JOYKO A5-TSAF-F512 (ANIMAL FACE) JK-FPCS15800</v>
      </c>
    </row>
    <row r="77" spans="1:32" x14ac:dyDescent="0.25">
      <c r="A77" s="287" t="str">
        <f ca="1">IF(Table1[[#This Row],[No. Invoice :]]="","",ROW())</f>
        <v/>
      </c>
      <c r="B77" s="287" t="str">
        <f ca="1">IF(Table1[h_Kode Sales :_1]="","",B$1+COUNT(INDIRECT("B$2:B"&amp;ROW()-1)))</f>
        <v/>
      </c>
      <c r="C77" s="281" t="str">
        <f>IF(Table1[[#This Row],[H_TGL]]="","",Table1[[#This Row],[H_TGL]]+C$1-1)</f>
        <v/>
      </c>
      <c r="H77" s="287" t="str">
        <f ca="1">IF(Table1[[#This Row],[h_No. Invoice :]]="","",CONCATENATE("AM"," ",Table1[[#This Row],[h_No. Invoice :]]))</f>
        <v/>
      </c>
      <c r="I77" s="288" t="str">
        <f>CONCATENATE(UPPER(Table1[[#This Row],[h_Kode Sales :_1]])," ",Table1[[#This Row],[h_Kode Sales :_2]])</f>
        <v xml:space="preserve"> </v>
      </c>
      <c r="J77" s="287" t="str">
        <f>IF(Table1[[#This Row],[h_toko]]="","",INDEX(Table2[e],IF(Table1[[#This Row],[h_toko]]="","",MATCH(Table1[[#This Row],[h_toko]],Table2[a],0)),))</f>
        <v/>
      </c>
      <c r="K77" s="280">
        <v>144</v>
      </c>
      <c r="L77" s="280" t="s">
        <v>143</v>
      </c>
      <c r="M77" s="280">
        <v>1</v>
      </c>
      <c r="N77" s="280" t="s">
        <v>185</v>
      </c>
      <c r="O77" s="287" t="str">
        <f>IF(Table1[[#This Row],[h_Item Description]]="","",INDEX([1]!db[NB PAJAK],MATCH(Table1[[#This Row],[h_Item Description]],[1]!db[kode],0)))</f>
        <v>ISI PENSIL 2B 2.0 MM JOYKO PL-10</v>
      </c>
      <c r="P77" s="280" t="s">
        <v>186</v>
      </c>
      <c r="Q77" s="283">
        <v>19800</v>
      </c>
      <c r="R77" s="284">
        <v>0.125</v>
      </c>
      <c r="T77" s="283">
        <f>Table1[[#This Row],[h_hargasetelahdiskon]]</f>
        <v>2494800</v>
      </c>
      <c r="W77" s="287">
        <f ca="1">IF(Table1[[#This Row],[Item Description]]="","",IF(Table1[[#This Row],[//]]="",INDIRECT(ADDRESS(ROW()-1,COLUMN())),Table1[[#This Row],[//]]))</f>
        <v>74</v>
      </c>
      <c r="X77" s="287">
        <f ca="1">IF(Table1[[#This Row],[h_id]]="","",COUNTIF(Table1[h_id],Table1[[#This Row],[h_id]]))</f>
        <v>12</v>
      </c>
      <c r="Y77" s="283">
        <f>IF(Table1[Item Description]="","",Table1[[#This Row],[Qty]]*Table1[[#This Row],[Unit Price]])</f>
        <v>2851200</v>
      </c>
      <c r="Z77" s="283">
        <f>IF(Table1[[#This Row],[h_hargasebelumdiskon]]="","",IF(Table1[[#This Row],[Disc 1]]="",0,Table1[[#This Row],[h_hargasebelumdiskon]]*Table1[[#This Row],[Disc 1]]))</f>
        <v>356400</v>
      </c>
      <c r="AA77" s="283">
        <f>IF(Table1[[#This Row],[h_hargasebelumdiskon]]="","",IF(Table1[[#This Row],[Disc 2]]="",0,(Table1[[#This Row],[h_hargasebelumdiskon]]-Table1[[#This Row],[h_disc 1]])*Table1[[#This Row],[Disc 2]]))</f>
        <v>0</v>
      </c>
      <c r="AB77" s="283">
        <f>IF(Table1[Item Description]="","",Table1[[#This Row],[h_disc 1]]+Table1[[#This Row],[h_disc 2]])</f>
        <v>356400</v>
      </c>
      <c r="AC77" s="283">
        <f>IF(Table1[Item Description]="","",Table1[[#This Row],[h_hargasebelumdiskon]]-Table1[[#This Row],[h_diskon]])</f>
        <v>2494800</v>
      </c>
      <c r="AD77" s="283" t="str">
        <f ca="1">IF(Table1[//]="","",SUMIF(Table1[h_id],Table1[h_id],Table1[h_hargasetelahdiskon]))</f>
        <v/>
      </c>
      <c r="AE77" s="283"/>
      <c r="AF77" s="283" t="str">
        <f>Table1[[#This Row],[Item Description]]&amp;Table1[[#This Row],[Unit]]&amp;Table1[[#This Row],[Unit Price]]</f>
        <v>ISI PENSIL 2B 2.0 MM JOYKO PL-10LSN19800</v>
      </c>
    </row>
    <row r="78" spans="1:32" x14ac:dyDescent="0.25">
      <c r="A78" s="287" t="str">
        <f ca="1">IF(Table1[[#This Row],[No. Invoice :]]="","",ROW())</f>
        <v/>
      </c>
      <c r="B78" s="287" t="str">
        <f ca="1">IF(Table1[h_Kode Sales :_1]="","",B$1+COUNT(INDIRECT("B$2:B"&amp;ROW()-1)))</f>
        <v/>
      </c>
      <c r="C78" s="281" t="str">
        <f>IF(Table1[[#This Row],[H_TGL]]="","",Table1[[#This Row],[H_TGL]]+C$1-1)</f>
        <v/>
      </c>
      <c r="H78" s="287" t="str">
        <f ca="1">IF(Table1[[#This Row],[h_No. Invoice :]]="","",CONCATENATE("AM"," ",Table1[[#This Row],[h_No. Invoice :]]))</f>
        <v/>
      </c>
      <c r="I78" s="288" t="str">
        <f>CONCATENATE(UPPER(Table1[[#This Row],[h_Kode Sales :_1]])," ",Table1[[#This Row],[h_Kode Sales :_2]])</f>
        <v xml:space="preserve"> </v>
      </c>
      <c r="J78" s="287" t="str">
        <f>IF(Table1[[#This Row],[h_toko]]="","",INDEX(Table2[e],IF(Table1[[#This Row],[h_toko]]="","",MATCH(Table1[[#This Row],[h_toko]],Table2[a],0)),))</f>
        <v/>
      </c>
      <c r="K78" s="280">
        <v>48</v>
      </c>
      <c r="L78" s="280" t="s">
        <v>136</v>
      </c>
      <c r="M78" s="280">
        <v>2</v>
      </c>
      <c r="N78" s="280" t="s">
        <v>228</v>
      </c>
      <c r="O78" s="287" t="str">
        <f>IF(Table1[[#This Row],[h_Item Description]]="","",INDEX([1]!db[NB PAJAK],MATCH(Table1[[#This Row],[h_Item Description]],[1]!db[kode],0)))</f>
        <v>PUNCH JOYKO 85</v>
      </c>
      <c r="P78" s="280" t="s">
        <v>233</v>
      </c>
      <c r="Q78" s="283">
        <v>40000</v>
      </c>
      <c r="R78" s="284">
        <v>0.125</v>
      </c>
      <c r="T78" s="283">
        <f>Table1[[#This Row],[h_hargasetelahdiskon]]</f>
        <v>1680000</v>
      </c>
      <c r="W78" s="287">
        <f ca="1">IF(Table1[[#This Row],[Item Description]]="","",IF(Table1[[#This Row],[//]]="",INDIRECT(ADDRESS(ROW()-1,COLUMN())),Table1[[#This Row],[//]]))</f>
        <v>74</v>
      </c>
      <c r="X78" s="287">
        <f ca="1">IF(Table1[[#This Row],[h_id]]="","",COUNTIF(Table1[h_id],Table1[[#This Row],[h_id]]))</f>
        <v>12</v>
      </c>
      <c r="Y78" s="283">
        <f>IF(Table1[Item Description]="","",Table1[[#This Row],[Qty]]*Table1[[#This Row],[Unit Price]])</f>
        <v>1920000</v>
      </c>
      <c r="Z78" s="283">
        <f>IF(Table1[[#This Row],[h_hargasebelumdiskon]]="","",IF(Table1[[#This Row],[Disc 1]]="",0,Table1[[#This Row],[h_hargasebelumdiskon]]*Table1[[#This Row],[Disc 1]]))</f>
        <v>240000</v>
      </c>
      <c r="AA78" s="283">
        <f>IF(Table1[[#This Row],[h_hargasebelumdiskon]]="","",IF(Table1[[#This Row],[Disc 2]]="",0,(Table1[[#This Row],[h_hargasebelumdiskon]]-Table1[[#This Row],[h_disc 1]])*Table1[[#This Row],[Disc 2]]))</f>
        <v>0</v>
      </c>
      <c r="AB78" s="283">
        <f>IF(Table1[Item Description]="","",Table1[[#This Row],[h_disc 1]]+Table1[[#This Row],[h_disc 2]])</f>
        <v>240000</v>
      </c>
      <c r="AC78" s="283">
        <f>IF(Table1[Item Description]="","",Table1[[#This Row],[h_hargasebelumdiskon]]-Table1[[#This Row],[h_diskon]])</f>
        <v>1680000</v>
      </c>
      <c r="AD78" s="283" t="str">
        <f ca="1">IF(Table1[//]="","",SUMIF(Table1[h_id],Table1[h_id],Table1[h_hargasetelahdiskon]))</f>
        <v/>
      </c>
      <c r="AE78" s="283"/>
      <c r="AF78" s="283" t="str">
        <f>Table1[[#This Row],[Item Description]]&amp;Table1[[#This Row],[Unit]]&amp;Table1[[#This Row],[Unit Price]]</f>
        <v>PUNCH JOYKO 85PCS40000</v>
      </c>
    </row>
    <row r="79" spans="1:32" x14ac:dyDescent="0.25">
      <c r="A79" s="287" t="str">
        <f ca="1">IF(Table1[[#This Row],[No. Invoice :]]="","",ROW())</f>
        <v/>
      </c>
      <c r="B79" s="287" t="str">
        <f ca="1">IF(Table1[h_Kode Sales :_1]="","",B$1+COUNT(INDIRECT("B$2:B"&amp;ROW()-1)))</f>
        <v/>
      </c>
      <c r="C79" s="281" t="str">
        <f>IF(Table1[[#This Row],[H_TGL]]="","",Table1[[#This Row],[H_TGL]]+C$1-1)</f>
        <v/>
      </c>
      <c r="H79" s="287" t="str">
        <f ca="1">IF(Table1[[#This Row],[h_No. Invoice :]]="","",CONCATENATE("AM"," ",Table1[[#This Row],[h_No. Invoice :]]))</f>
        <v/>
      </c>
      <c r="I79" s="288" t="str">
        <f>CONCATENATE(UPPER(Table1[[#This Row],[h_Kode Sales :_1]])," ",Table1[[#This Row],[h_Kode Sales :_2]])</f>
        <v xml:space="preserve"> </v>
      </c>
      <c r="J79" s="287" t="str">
        <f>IF(Table1[[#This Row],[h_toko]]="","",INDEX(Table2[e],IF(Table1[[#This Row],[h_toko]]="","",MATCH(Table1[[#This Row],[h_toko]],Table2[a],0)),))</f>
        <v/>
      </c>
      <c r="K79" s="280">
        <v>288</v>
      </c>
      <c r="L79" s="280" t="s">
        <v>143</v>
      </c>
      <c r="M79" s="280">
        <v>2</v>
      </c>
      <c r="N79" s="280" t="s">
        <v>229</v>
      </c>
      <c r="O79" s="287" t="str">
        <f>IF(Table1[[#This Row],[h_Item Description]]="","",INDEX([1]!db[NB PAJAK],MATCH(Table1[[#This Row],[h_Item Description]],[1]!db[kode],0)))</f>
        <v>GEL PEN JOYKO GP-237 X-TECH</v>
      </c>
      <c r="P79" s="280" t="s">
        <v>234</v>
      </c>
      <c r="Q79" s="283">
        <v>43200</v>
      </c>
      <c r="R79" s="284">
        <v>0.125</v>
      </c>
      <c r="T79" s="283">
        <f>Table1[[#This Row],[h_hargasetelahdiskon]]</f>
        <v>10886400</v>
      </c>
      <c r="W79" s="287">
        <f ca="1">IF(Table1[[#This Row],[Item Description]]="","",IF(Table1[[#This Row],[//]]="",INDIRECT(ADDRESS(ROW()-1,COLUMN())),Table1[[#This Row],[//]]))</f>
        <v>74</v>
      </c>
      <c r="X79" s="287">
        <f ca="1">IF(Table1[[#This Row],[h_id]]="","",COUNTIF(Table1[h_id],Table1[[#This Row],[h_id]]))</f>
        <v>12</v>
      </c>
      <c r="Y79" s="283">
        <f>IF(Table1[Item Description]="","",Table1[[#This Row],[Qty]]*Table1[[#This Row],[Unit Price]])</f>
        <v>12441600</v>
      </c>
      <c r="Z79" s="283">
        <f>IF(Table1[[#This Row],[h_hargasebelumdiskon]]="","",IF(Table1[[#This Row],[Disc 1]]="",0,Table1[[#This Row],[h_hargasebelumdiskon]]*Table1[[#This Row],[Disc 1]]))</f>
        <v>1555200</v>
      </c>
      <c r="AA79" s="283">
        <f>IF(Table1[[#This Row],[h_hargasebelumdiskon]]="","",IF(Table1[[#This Row],[Disc 2]]="",0,(Table1[[#This Row],[h_hargasebelumdiskon]]-Table1[[#This Row],[h_disc 1]])*Table1[[#This Row],[Disc 2]]))</f>
        <v>0</v>
      </c>
      <c r="AB79" s="283">
        <f>IF(Table1[Item Description]="","",Table1[[#This Row],[h_disc 1]]+Table1[[#This Row],[h_disc 2]])</f>
        <v>1555200</v>
      </c>
      <c r="AC79" s="283">
        <f>IF(Table1[Item Description]="","",Table1[[#This Row],[h_hargasebelumdiskon]]-Table1[[#This Row],[h_diskon]])</f>
        <v>10886400</v>
      </c>
      <c r="AD79" s="283" t="str">
        <f ca="1">IF(Table1[//]="","",SUMIF(Table1[h_id],Table1[h_id],Table1[h_hargasetelahdiskon]))</f>
        <v/>
      </c>
      <c r="AE79" s="283"/>
      <c r="AF79" s="283" t="str">
        <f>Table1[[#This Row],[Item Description]]&amp;Table1[[#This Row],[Unit]]&amp;Table1[[#This Row],[Unit Price]]</f>
        <v>GEL PEN JOYKO GP-237 X-TECHLSN43200</v>
      </c>
    </row>
    <row r="80" spans="1:32" x14ac:dyDescent="0.25">
      <c r="A80" s="287" t="str">
        <f ca="1">IF(Table1[[#This Row],[No. Invoice :]]="","",ROW())</f>
        <v/>
      </c>
      <c r="B80" s="287" t="str">
        <f ca="1">IF(Table1[h_Kode Sales :_1]="","",B$1+COUNT(INDIRECT("B$2:B"&amp;ROW()-1)))</f>
        <v/>
      </c>
      <c r="C80" s="281" t="str">
        <f>IF(Table1[[#This Row],[H_TGL]]="","",Table1[[#This Row],[H_TGL]]+C$1-1)</f>
        <v/>
      </c>
      <c r="H80" s="287" t="str">
        <f ca="1">IF(Table1[[#This Row],[h_No. Invoice :]]="","",CONCATENATE("AM"," ",Table1[[#This Row],[h_No. Invoice :]]))</f>
        <v/>
      </c>
      <c r="I80" s="288" t="str">
        <f>CONCATENATE(UPPER(Table1[[#This Row],[h_Kode Sales :_1]])," ",Table1[[#This Row],[h_Kode Sales :_2]])</f>
        <v xml:space="preserve"> </v>
      </c>
      <c r="J80" s="287" t="str">
        <f>IF(Table1[[#This Row],[h_toko]]="","",INDEX(Table2[e],IF(Table1[[#This Row],[h_toko]]="","",MATCH(Table1[[#This Row],[h_toko]],Table2[a],0)),))</f>
        <v/>
      </c>
      <c r="K80" s="280">
        <v>240</v>
      </c>
      <c r="L80" s="280" t="s">
        <v>187</v>
      </c>
      <c r="M80" s="280">
        <v>1</v>
      </c>
      <c r="N80" s="280" t="s">
        <v>188</v>
      </c>
      <c r="O80" s="287" t="str">
        <f>IF(Table1[[#This Row],[h_Item Description]]="","",INDEX([1]!db[NB PAJAK],MATCH(Table1[[#This Row],[h_Item Description]],[1]!db[kode],0)))</f>
        <v>KUAS SET JOYKO BR-1</v>
      </c>
      <c r="P80" s="280" t="s">
        <v>189</v>
      </c>
      <c r="Q80" s="283">
        <v>8800</v>
      </c>
      <c r="R80" s="284">
        <v>0.125</v>
      </c>
      <c r="T80" s="283">
        <f>Table1[[#This Row],[h_hargasetelahdiskon]]</f>
        <v>1848000</v>
      </c>
      <c r="W80" s="287">
        <f ca="1">IF(Table1[[#This Row],[Item Description]]="","",IF(Table1[[#This Row],[//]]="",INDIRECT(ADDRESS(ROW()-1,COLUMN())),Table1[[#This Row],[//]]))</f>
        <v>74</v>
      </c>
      <c r="X80" s="287">
        <f ca="1">IF(Table1[[#This Row],[h_id]]="","",COUNTIF(Table1[h_id],Table1[[#This Row],[h_id]]))</f>
        <v>12</v>
      </c>
      <c r="Y80" s="283">
        <f>IF(Table1[Item Description]="","",Table1[[#This Row],[Qty]]*Table1[[#This Row],[Unit Price]])</f>
        <v>2112000</v>
      </c>
      <c r="Z80" s="283">
        <f>IF(Table1[[#This Row],[h_hargasebelumdiskon]]="","",IF(Table1[[#This Row],[Disc 1]]="",0,Table1[[#This Row],[h_hargasebelumdiskon]]*Table1[[#This Row],[Disc 1]]))</f>
        <v>264000</v>
      </c>
      <c r="AA80" s="283">
        <f>IF(Table1[[#This Row],[h_hargasebelumdiskon]]="","",IF(Table1[[#This Row],[Disc 2]]="",0,(Table1[[#This Row],[h_hargasebelumdiskon]]-Table1[[#This Row],[h_disc 1]])*Table1[[#This Row],[Disc 2]]))</f>
        <v>0</v>
      </c>
      <c r="AB80" s="283">
        <f>IF(Table1[Item Description]="","",Table1[[#This Row],[h_disc 1]]+Table1[[#This Row],[h_disc 2]])</f>
        <v>264000</v>
      </c>
      <c r="AC80" s="283">
        <f>IF(Table1[Item Description]="","",Table1[[#This Row],[h_hargasebelumdiskon]]-Table1[[#This Row],[h_diskon]])</f>
        <v>1848000</v>
      </c>
      <c r="AD80" s="283" t="str">
        <f ca="1">IF(Table1[//]="","",SUMIF(Table1[h_id],Table1[h_id],Table1[h_hargasetelahdiskon]))</f>
        <v/>
      </c>
      <c r="AE80" s="283"/>
      <c r="AF80" s="283" t="str">
        <f>Table1[[#This Row],[Item Description]]&amp;Table1[[#This Row],[Unit]]&amp;Table1[[#This Row],[Unit Price]]</f>
        <v>KUAS SET JOYKO BR-1SET8800</v>
      </c>
    </row>
    <row r="81" spans="1:32" x14ac:dyDescent="0.25">
      <c r="A81" s="287" t="str">
        <f ca="1">IF(Table1[[#This Row],[No. Invoice :]]="","",ROW())</f>
        <v/>
      </c>
      <c r="B81" s="287" t="str">
        <f ca="1">IF(Table1[h_Kode Sales :_1]="","",B$1+COUNT(INDIRECT("B$2:B"&amp;ROW()-1)))</f>
        <v/>
      </c>
      <c r="C81" s="281" t="str">
        <f>IF(Table1[[#This Row],[H_TGL]]="","",Table1[[#This Row],[H_TGL]]+C$1-1)</f>
        <v/>
      </c>
      <c r="H81" s="287" t="str">
        <f ca="1">IF(Table1[[#This Row],[h_No. Invoice :]]="","",CONCATENATE("AM"," ",Table1[[#This Row],[h_No. Invoice :]]))</f>
        <v/>
      </c>
      <c r="I81" s="288" t="str">
        <f>CONCATENATE(UPPER(Table1[[#This Row],[h_Kode Sales :_1]])," ",Table1[[#This Row],[h_Kode Sales :_2]])</f>
        <v xml:space="preserve"> </v>
      </c>
      <c r="J81" s="287" t="str">
        <f>IF(Table1[[#This Row],[h_toko]]="","",INDEX(Table2[e],IF(Table1[[#This Row],[h_toko]]="","",MATCH(Table1[[#This Row],[h_toko]],Table2[a],0)),))</f>
        <v/>
      </c>
      <c r="K81" s="280">
        <v>72</v>
      </c>
      <c r="L81" s="280" t="s">
        <v>136</v>
      </c>
      <c r="M81" s="280">
        <v>1</v>
      </c>
      <c r="O81" s="287" t="str">
        <f>IF(Table1[[#This Row],[h_Item Description]]="","",INDEX([1]!db[NB PAJAK],MATCH(Table1[[#This Row],[h_Item Description]],[1]!db[kode],0)))</f>
        <v/>
      </c>
      <c r="P81" s="280" t="s">
        <v>235</v>
      </c>
      <c r="Q81" s="283">
        <v>15800</v>
      </c>
      <c r="R81" s="284">
        <v>0.125</v>
      </c>
      <c r="T81" s="283">
        <f>Table1[[#This Row],[h_hargasetelahdiskon]]</f>
        <v>995400</v>
      </c>
      <c r="W81" s="287">
        <f ca="1">IF(Table1[[#This Row],[Item Description]]="","",IF(Table1[[#This Row],[//]]="",INDIRECT(ADDRESS(ROW()-1,COLUMN())),Table1[[#This Row],[//]]))</f>
        <v>74</v>
      </c>
      <c r="X81" s="287">
        <f ca="1">IF(Table1[[#This Row],[h_id]]="","",COUNTIF(Table1[h_id],Table1[[#This Row],[h_id]]))</f>
        <v>12</v>
      </c>
      <c r="Y81" s="283">
        <f>IF(Table1[Item Description]="","",Table1[[#This Row],[Qty]]*Table1[[#This Row],[Unit Price]])</f>
        <v>1137600</v>
      </c>
      <c r="Z81" s="283">
        <f>IF(Table1[[#This Row],[h_hargasebelumdiskon]]="","",IF(Table1[[#This Row],[Disc 1]]="",0,Table1[[#This Row],[h_hargasebelumdiskon]]*Table1[[#This Row],[Disc 1]]))</f>
        <v>142200</v>
      </c>
      <c r="AA81" s="283">
        <f>IF(Table1[[#This Row],[h_hargasebelumdiskon]]="","",IF(Table1[[#This Row],[Disc 2]]="",0,(Table1[[#This Row],[h_hargasebelumdiskon]]-Table1[[#This Row],[h_disc 1]])*Table1[[#This Row],[Disc 2]]))</f>
        <v>0</v>
      </c>
      <c r="AB81" s="283">
        <f>IF(Table1[Item Description]="","",Table1[[#This Row],[h_disc 1]]+Table1[[#This Row],[h_disc 2]])</f>
        <v>142200</v>
      </c>
      <c r="AC81" s="283">
        <f>IF(Table1[Item Description]="","",Table1[[#This Row],[h_hargasebelumdiskon]]-Table1[[#This Row],[h_diskon]])</f>
        <v>995400</v>
      </c>
      <c r="AD81" s="283" t="str">
        <f ca="1">IF(Table1[//]="","",SUMIF(Table1[h_id],Table1[h_id],Table1[h_hargasetelahdiskon]))</f>
        <v/>
      </c>
      <c r="AE81" s="283"/>
      <c r="AF81" s="283" t="str">
        <f>Table1[[#This Row],[Item Description]]&amp;Table1[[#This Row],[Unit]]&amp;Table1[[#This Row],[Unit Price]]</f>
        <v>BINDER NOTE JOYKO A5-TSBS-M376  (BASIC) -UPCS15800</v>
      </c>
    </row>
    <row r="82" spans="1:32" x14ac:dyDescent="0.25">
      <c r="A82" s="287" t="str">
        <f ca="1">IF(Table1[[#This Row],[No. Invoice :]]="","",ROW())</f>
        <v/>
      </c>
      <c r="B82" s="287" t="str">
        <f ca="1">IF(Table1[h_Kode Sales :_1]="","",B$1+COUNT(INDIRECT("B$2:B"&amp;ROW()-1)))</f>
        <v/>
      </c>
      <c r="C82" s="281" t="str">
        <f>IF(Table1[[#This Row],[H_TGL]]="","",Table1[[#This Row],[H_TGL]]+C$1-1)</f>
        <v/>
      </c>
      <c r="H82" s="287" t="str">
        <f ca="1">IF(Table1[[#This Row],[h_No. Invoice :]]="","",CONCATENATE("AM"," ",Table1[[#This Row],[h_No. Invoice :]]))</f>
        <v/>
      </c>
      <c r="I82" s="288" t="str">
        <f>CONCATENATE(UPPER(Table1[[#This Row],[h_Kode Sales :_1]])," ",Table1[[#This Row],[h_Kode Sales :_2]])</f>
        <v xml:space="preserve"> </v>
      </c>
      <c r="J82" s="287" t="str">
        <f>IF(Table1[[#This Row],[h_toko]]="","",INDEX(Table2[e],IF(Table1[[#This Row],[h_toko]]="","",MATCH(Table1[[#This Row],[h_toko]],Table2[a],0)),))</f>
        <v/>
      </c>
      <c r="K82" s="280">
        <v>72</v>
      </c>
      <c r="L82" s="280" t="s">
        <v>136</v>
      </c>
      <c r="M82" s="280">
        <v>1</v>
      </c>
      <c r="O82" s="287" t="str">
        <f>IF(Table1[[#This Row],[h_Item Description]]="","",INDEX([1]!db[NB PAJAK],MATCH(Table1[[#This Row],[h_Item Description]],[1]!db[kode],0)))</f>
        <v/>
      </c>
      <c r="P82" s="280" t="s">
        <v>236</v>
      </c>
      <c r="Q82" s="283">
        <v>15800</v>
      </c>
      <c r="R82" s="284">
        <v>0.125</v>
      </c>
      <c r="T82" s="283">
        <f>Table1[[#This Row],[h_hargasetelahdiskon]]</f>
        <v>995400</v>
      </c>
      <c r="W82" s="287">
        <f ca="1">IF(Table1[[#This Row],[Item Description]]="","",IF(Table1[[#This Row],[//]]="",INDIRECT(ADDRESS(ROW()-1,COLUMN())),Table1[[#This Row],[//]]))</f>
        <v>74</v>
      </c>
      <c r="X82" s="287">
        <f ca="1">IF(Table1[[#This Row],[h_id]]="","",COUNTIF(Table1[h_id],Table1[[#This Row],[h_id]]))</f>
        <v>12</v>
      </c>
      <c r="Y82" s="283">
        <f>IF(Table1[Item Description]="","",Table1[[#This Row],[Qty]]*Table1[[#This Row],[Unit Price]])</f>
        <v>1137600</v>
      </c>
      <c r="Z82" s="283">
        <f>IF(Table1[[#This Row],[h_hargasebelumdiskon]]="","",IF(Table1[[#This Row],[Disc 1]]="",0,Table1[[#This Row],[h_hargasebelumdiskon]]*Table1[[#This Row],[Disc 1]]))</f>
        <v>142200</v>
      </c>
      <c r="AA82" s="283">
        <f>IF(Table1[[#This Row],[h_hargasebelumdiskon]]="","",IF(Table1[[#This Row],[Disc 2]]="",0,(Table1[[#This Row],[h_hargasebelumdiskon]]-Table1[[#This Row],[h_disc 1]])*Table1[[#This Row],[Disc 2]]))</f>
        <v>0</v>
      </c>
      <c r="AB82" s="283">
        <f>IF(Table1[Item Description]="","",Table1[[#This Row],[h_disc 1]]+Table1[[#This Row],[h_disc 2]])</f>
        <v>142200</v>
      </c>
      <c r="AC82" s="283">
        <f>IF(Table1[Item Description]="","",Table1[[#This Row],[h_hargasebelumdiskon]]-Table1[[#This Row],[h_diskon]])</f>
        <v>995400</v>
      </c>
      <c r="AD82" s="283" t="str">
        <f ca="1">IF(Table1[//]="","",SUMIF(Table1[h_id],Table1[h_id],Table1[h_hargasetelahdiskon]))</f>
        <v/>
      </c>
      <c r="AE82" s="283"/>
      <c r="AF82" s="283" t="str">
        <f>Table1[[#This Row],[Item Description]]&amp;Table1[[#This Row],[Unit]]&amp;Table1[[#This Row],[Unit Price]]</f>
        <v>BINDER NOTE JOYKO A5-TSCS-M432 (CLASSIC) - UPCS15800</v>
      </c>
    </row>
    <row r="83" spans="1:32" x14ac:dyDescent="0.25">
      <c r="A83" s="287" t="str">
        <f ca="1">IF(Table1[[#This Row],[No. Invoice :]]="","",ROW())</f>
        <v/>
      </c>
      <c r="B83" s="287" t="str">
        <f ca="1">IF(Table1[h_Kode Sales :_1]="","",B$1+COUNT(INDIRECT("B$2:B"&amp;ROW()-1)))</f>
        <v/>
      </c>
      <c r="C83" s="281" t="str">
        <f>IF(Table1[[#This Row],[H_TGL]]="","",Table1[[#This Row],[H_TGL]]+C$1-1)</f>
        <v/>
      </c>
      <c r="H83" s="287" t="str">
        <f ca="1">IF(Table1[[#This Row],[h_No. Invoice :]]="","",CONCATENATE("AM"," ",Table1[[#This Row],[h_No. Invoice :]]))</f>
        <v/>
      </c>
      <c r="I83" s="288" t="str">
        <f>CONCATENATE(UPPER(Table1[[#This Row],[h_Kode Sales :_1]])," ",Table1[[#This Row],[h_Kode Sales :_2]])</f>
        <v xml:space="preserve"> </v>
      </c>
      <c r="J83" s="287" t="str">
        <f>IF(Table1[[#This Row],[h_toko]]="","",INDEX(Table2[e],IF(Table1[[#This Row],[h_toko]]="","",MATCH(Table1[[#This Row],[h_toko]],Table2[a],0)),))</f>
        <v/>
      </c>
      <c r="K83" s="280">
        <v>72</v>
      </c>
      <c r="L83" s="280" t="s">
        <v>136</v>
      </c>
      <c r="M83" s="280">
        <v>1</v>
      </c>
      <c r="O83" s="287" t="str">
        <f>IF(Table1[[#This Row],[h_Item Description]]="","",INDEX([1]!db[NB PAJAK],MATCH(Table1[[#This Row],[h_Item Description]],[1]!db[kode],0)))</f>
        <v/>
      </c>
      <c r="P83" s="280" t="s">
        <v>237</v>
      </c>
      <c r="Q83" s="283">
        <v>15800</v>
      </c>
      <c r="R83" s="284">
        <v>0.125</v>
      </c>
      <c r="T83" s="283">
        <f>Table1[[#This Row],[h_hargasetelahdiskon]]</f>
        <v>995400</v>
      </c>
      <c r="W83" s="287">
        <f ca="1">IF(Table1[[#This Row],[Item Description]]="","",IF(Table1[[#This Row],[//]]="",INDIRECT(ADDRESS(ROW()-1,COLUMN())),Table1[[#This Row],[//]]))</f>
        <v>74</v>
      </c>
      <c r="X83" s="287">
        <f ca="1">IF(Table1[[#This Row],[h_id]]="","",COUNTIF(Table1[h_id],Table1[[#This Row],[h_id]]))</f>
        <v>12</v>
      </c>
      <c r="Y83" s="283">
        <f>IF(Table1[Item Description]="","",Table1[[#This Row],[Qty]]*Table1[[#This Row],[Unit Price]])</f>
        <v>1137600</v>
      </c>
      <c r="Z83" s="283">
        <f>IF(Table1[[#This Row],[h_hargasebelumdiskon]]="","",IF(Table1[[#This Row],[Disc 1]]="",0,Table1[[#This Row],[h_hargasebelumdiskon]]*Table1[[#This Row],[Disc 1]]))</f>
        <v>142200</v>
      </c>
      <c r="AA83" s="283">
        <f>IF(Table1[[#This Row],[h_hargasebelumdiskon]]="","",IF(Table1[[#This Row],[Disc 2]]="",0,(Table1[[#This Row],[h_hargasebelumdiskon]]-Table1[[#This Row],[h_disc 1]])*Table1[[#This Row],[Disc 2]]))</f>
        <v>0</v>
      </c>
      <c r="AB83" s="283">
        <f>IF(Table1[Item Description]="","",Table1[[#This Row],[h_disc 1]]+Table1[[#This Row],[h_disc 2]])</f>
        <v>142200</v>
      </c>
      <c r="AC83" s="283">
        <f>IF(Table1[Item Description]="","",Table1[[#This Row],[h_hargasebelumdiskon]]-Table1[[#This Row],[h_diskon]])</f>
        <v>995400</v>
      </c>
      <c r="AD83" s="283" t="str">
        <f ca="1">IF(Table1[//]="","",SUMIF(Table1[h_id],Table1[h_id],Table1[h_hargasetelahdiskon]))</f>
        <v/>
      </c>
      <c r="AE83" s="283"/>
      <c r="AF83" s="283" t="str">
        <f>Table1[[#This Row],[Item Description]]&amp;Table1[[#This Row],[Unit]]&amp;Table1[[#This Row],[Unit Price]]</f>
        <v>BINDER NOTE JOYKO A5-TSUN-M473 (UNIVERSITY) - UPCS15800</v>
      </c>
    </row>
    <row r="84" spans="1:32" x14ac:dyDescent="0.25">
      <c r="A84" s="287" t="str">
        <f ca="1">IF(Table1[[#This Row],[No. Invoice :]]="","",ROW())</f>
        <v/>
      </c>
      <c r="B84" s="287" t="str">
        <f ca="1">IF(Table1[h_Kode Sales :_1]="","",B$1+COUNT(INDIRECT("B$2:B"&amp;ROW()-1)))</f>
        <v/>
      </c>
      <c r="C84" s="281" t="str">
        <f>IF(Table1[[#This Row],[H_TGL]]="","",Table1[[#This Row],[H_TGL]]+C$1-1)</f>
        <v/>
      </c>
      <c r="H84" s="287" t="str">
        <f ca="1">IF(Table1[[#This Row],[h_No. Invoice :]]="","",CONCATENATE("AM"," ",Table1[[#This Row],[h_No. Invoice :]]))</f>
        <v/>
      </c>
      <c r="I84" s="288" t="str">
        <f>CONCATENATE(UPPER(Table1[[#This Row],[h_Kode Sales :_1]])," ",Table1[[#This Row],[h_Kode Sales :_2]])</f>
        <v xml:space="preserve"> </v>
      </c>
      <c r="J84" s="287" t="str">
        <f>IF(Table1[[#This Row],[h_toko]]="","",INDEX(Table2[e],IF(Table1[[#This Row],[h_toko]]="","",MATCH(Table1[[#This Row],[h_toko]],Table2[a],0)),))</f>
        <v/>
      </c>
      <c r="K84" s="280">
        <v>72</v>
      </c>
      <c r="L84" s="280" t="s">
        <v>136</v>
      </c>
      <c r="M84" s="280">
        <v>1</v>
      </c>
      <c r="O84" s="287" t="str">
        <f>IF(Table1[[#This Row],[h_Item Description]]="","",INDEX([1]!db[NB PAJAK],MATCH(Table1[[#This Row],[h_Item Description]],[1]!db[kode],0)))</f>
        <v/>
      </c>
      <c r="P84" s="280" t="s">
        <v>238</v>
      </c>
      <c r="Q84" s="283">
        <v>15800</v>
      </c>
      <c r="R84" s="284">
        <v>0.125</v>
      </c>
      <c r="T84" s="283">
        <f>Table1[[#This Row],[h_hargasetelahdiskon]]</f>
        <v>995400</v>
      </c>
      <c r="W84" s="287">
        <f ca="1">IF(Table1[[#This Row],[Item Description]]="","",IF(Table1[[#This Row],[//]]="",INDIRECT(ADDRESS(ROW()-1,COLUMN())),Table1[[#This Row],[//]]))</f>
        <v>74</v>
      </c>
      <c r="X84" s="287">
        <f ca="1">IF(Table1[[#This Row],[h_id]]="","",COUNTIF(Table1[h_id],Table1[[#This Row],[h_id]]))</f>
        <v>12</v>
      </c>
      <c r="Y84" s="283">
        <f>IF(Table1[Item Description]="","",Table1[[#This Row],[Qty]]*Table1[[#This Row],[Unit Price]])</f>
        <v>1137600</v>
      </c>
      <c r="Z84" s="283">
        <f>IF(Table1[[#This Row],[h_hargasebelumdiskon]]="","",IF(Table1[[#This Row],[Disc 1]]="",0,Table1[[#This Row],[h_hargasebelumdiskon]]*Table1[[#This Row],[Disc 1]]))</f>
        <v>142200</v>
      </c>
      <c r="AA84" s="283">
        <f>IF(Table1[[#This Row],[h_hargasebelumdiskon]]="","",IF(Table1[[#This Row],[Disc 2]]="",0,(Table1[[#This Row],[h_hargasebelumdiskon]]-Table1[[#This Row],[h_disc 1]])*Table1[[#This Row],[Disc 2]]))</f>
        <v>0</v>
      </c>
      <c r="AB84" s="283">
        <f>IF(Table1[Item Description]="","",Table1[[#This Row],[h_disc 1]]+Table1[[#This Row],[h_disc 2]])</f>
        <v>142200</v>
      </c>
      <c r="AC84" s="283">
        <f>IF(Table1[Item Description]="","",Table1[[#This Row],[h_hargasebelumdiskon]]-Table1[[#This Row],[h_diskon]])</f>
        <v>995400</v>
      </c>
      <c r="AD84" s="283" t="str">
        <f ca="1">IF(Table1[//]="","",SUMIF(Table1[h_id],Table1[h_id],Table1[h_hargasetelahdiskon]))</f>
        <v/>
      </c>
      <c r="AE84" s="283"/>
      <c r="AF84" s="283" t="str">
        <f>Table1[[#This Row],[Item Description]]&amp;Table1[[#This Row],[Unit]]&amp;Table1[[#This Row],[Unit Price]]</f>
        <v>BINDER NOTE JOYKO A5-TSTP-513 (TEMPORARY) - UPCS15800</v>
      </c>
    </row>
    <row r="85" spans="1:32" x14ac:dyDescent="0.25">
      <c r="A85" s="287" t="str">
        <f ca="1">IF(Table1[[#This Row],[No. Invoice :]]="","",ROW())</f>
        <v/>
      </c>
      <c r="B85" s="287" t="str">
        <f ca="1">IF(Table1[h_Kode Sales :_1]="","",B$1+COUNT(INDIRECT("B$2:B"&amp;ROW()-1)))</f>
        <v/>
      </c>
      <c r="C85" s="281" t="str">
        <f>IF(Table1[[#This Row],[H_TGL]]="","",Table1[[#This Row],[H_TGL]]+C$1-1)</f>
        <v/>
      </c>
      <c r="H85" s="287" t="str">
        <f ca="1">IF(Table1[[#This Row],[h_No. Invoice :]]="","",CONCATENATE("AM"," ",Table1[[#This Row],[h_No. Invoice :]]))</f>
        <v/>
      </c>
      <c r="I85" s="288" t="str">
        <f>CONCATENATE(UPPER(Table1[[#This Row],[h_Kode Sales :_1]])," ",Table1[[#This Row],[h_Kode Sales :_2]])</f>
        <v xml:space="preserve"> </v>
      </c>
      <c r="J85" s="287" t="str">
        <f>IF(Table1[[#This Row],[h_toko]]="","",INDEX(Table2[e],IF(Table1[[#This Row],[h_toko]]="","",MATCH(Table1[[#This Row],[h_toko]],Table2[a],0)),))</f>
        <v/>
      </c>
      <c r="K85" s="280">
        <v>72</v>
      </c>
      <c r="L85" s="280" t="s">
        <v>136</v>
      </c>
      <c r="M85" s="280">
        <v>1</v>
      </c>
      <c r="O85" s="287" t="str">
        <f>IF(Table1[[#This Row],[h_Item Description]]="","",INDEX([1]!db[NB PAJAK],MATCH(Table1[[#This Row],[h_Item Description]],[1]!db[kode],0)))</f>
        <v/>
      </c>
      <c r="P85" s="280" t="s">
        <v>239</v>
      </c>
      <c r="Q85" s="283">
        <v>15800</v>
      </c>
      <c r="R85" s="284">
        <v>0.125</v>
      </c>
      <c r="T85" s="283">
        <f>Table1[[#This Row],[h_hargasetelahdiskon]]</f>
        <v>995400</v>
      </c>
      <c r="W85" s="287">
        <f ca="1">IF(Table1[[#This Row],[Item Description]]="","",IF(Table1[[#This Row],[//]]="",INDIRECT(ADDRESS(ROW()-1,COLUMN())),Table1[[#This Row],[//]]))</f>
        <v>74</v>
      </c>
      <c r="X85" s="287">
        <f ca="1">IF(Table1[[#This Row],[h_id]]="","",COUNTIF(Table1[h_id],Table1[[#This Row],[h_id]]))</f>
        <v>12</v>
      </c>
      <c r="Y85" s="283">
        <f>IF(Table1[Item Description]="","",Table1[[#This Row],[Qty]]*Table1[[#This Row],[Unit Price]])</f>
        <v>1137600</v>
      </c>
      <c r="Z85" s="283">
        <f>IF(Table1[[#This Row],[h_hargasebelumdiskon]]="","",IF(Table1[[#This Row],[Disc 1]]="",0,Table1[[#This Row],[h_hargasebelumdiskon]]*Table1[[#This Row],[Disc 1]]))</f>
        <v>142200</v>
      </c>
      <c r="AA85" s="283">
        <f>IF(Table1[[#This Row],[h_hargasebelumdiskon]]="","",IF(Table1[[#This Row],[Disc 2]]="",0,(Table1[[#This Row],[h_hargasebelumdiskon]]-Table1[[#This Row],[h_disc 1]])*Table1[[#This Row],[Disc 2]]))</f>
        <v>0</v>
      </c>
      <c r="AB85" s="283">
        <f>IF(Table1[Item Description]="","",Table1[[#This Row],[h_disc 1]]+Table1[[#This Row],[h_disc 2]])</f>
        <v>142200</v>
      </c>
      <c r="AC85" s="283">
        <f>IF(Table1[Item Description]="","",Table1[[#This Row],[h_hargasebelumdiskon]]-Table1[[#This Row],[h_diskon]])</f>
        <v>995400</v>
      </c>
      <c r="AD85" s="283" t="str">
        <f ca="1">IF(Table1[//]="","",SUMIF(Table1[h_id],Table1[h_id],Table1[h_hargasetelahdiskon]))</f>
        <v/>
      </c>
      <c r="AE85" s="283"/>
      <c r="AF85" s="283" t="str">
        <f>Table1[[#This Row],[Item Description]]&amp;Table1[[#This Row],[Unit]]&amp;Table1[[#This Row],[Unit Price]]</f>
        <v>BINDER NOTE JOYKO A5-TSED-M477 (ACADEMY) - UPCS15800</v>
      </c>
    </row>
    <row r="86" spans="1:32" x14ac:dyDescent="0.25">
      <c r="A86" s="287" t="str">
        <f ca="1">IF(Table1[[#This Row],[No. Invoice :]]="","",ROW())</f>
        <v/>
      </c>
      <c r="B86" s="287" t="str">
        <f ca="1">IF(Table1[h_Kode Sales :_1]="","",B$1+COUNT(INDIRECT("B$2:B"&amp;ROW()-1)))</f>
        <v/>
      </c>
      <c r="C86" s="281" t="str">
        <f>IF(Table1[[#This Row],[H_TGL]]="","",Table1[[#This Row],[H_TGL]]+C$1-1)</f>
        <v/>
      </c>
      <c r="H86" s="287" t="str">
        <f ca="1">IF(Table1[[#This Row],[h_No. Invoice :]]="","",CONCATENATE("AM"," ",Table1[[#This Row],[h_No. Invoice :]]))</f>
        <v/>
      </c>
      <c r="I86" s="288" t="str">
        <f>CONCATENATE(UPPER(Table1[[#This Row],[h_Kode Sales :_1]])," ",Table1[[#This Row],[h_Kode Sales :_2]])</f>
        <v xml:space="preserve"> </v>
      </c>
      <c r="J86" s="287" t="str">
        <f>IF(Table1[[#This Row],[h_toko]]="","",INDEX(Table2[e],IF(Table1[[#This Row],[h_toko]]="","",MATCH(Table1[[#This Row],[h_toko]],Table2[a],0)),))</f>
        <v/>
      </c>
      <c r="O86" s="287" t="str">
        <f>IF(Table1[[#This Row],[h_Item Description]]="","",INDEX([1]!db[NB PAJAK],MATCH(Table1[[#This Row],[h_Item Description]],[1]!db[kode],0)))</f>
        <v/>
      </c>
      <c r="Q86" s="283"/>
      <c r="R86" s="284"/>
      <c r="T86" s="283" t="str">
        <f>Table1[[#This Row],[h_hargasetelahdiskon]]</f>
        <v/>
      </c>
      <c r="W86" s="287" t="str">
        <f ca="1">IF(Table1[[#This Row],[Item Description]]="","",IF(Table1[[#This Row],[//]]="",INDIRECT(ADDRESS(ROW()-1,COLUMN())),Table1[[#This Row],[//]]))</f>
        <v/>
      </c>
      <c r="X86" s="287" t="str">
        <f ca="1">IF(Table1[[#This Row],[h_id]]="","",COUNTIF(Table1[h_id],Table1[[#This Row],[h_id]]))</f>
        <v/>
      </c>
      <c r="Y86" s="283" t="str">
        <f>IF(Table1[Item Description]="","",Table1[[#This Row],[Qty]]*Table1[[#This Row],[Unit Price]])</f>
        <v/>
      </c>
      <c r="Z86" s="283" t="str">
        <f>IF(Table1[[#This Row],[h_hargasebelumdiskon]]="","",IF(Table1[[#This Row],[Disc 1]]="",0,Table1[[#This Row],[h_hargasebelumdiskon]]*Table1[[#This Row],[Disc 1]]))</f>
        <v/>
      </c>
      <c r="AA86" s="283" t="str">
        <f>IF(Table1[[#This Row],[h_hargasebelumdiskon]]="","",IF(Table1[[#This Row],[Disc 2]]="",0,(Table1[[#This Row],[h_hargasebelumdiskon]]-Table1[[#This Row],[h_disc 1]])*Table1[[#This Row],[Disc 2]]))</f>
        <v/>
      </c>
      <c r="AB86" s="283" t="str">
        <f>IF(Table1[Item Description]="","",Table1[[#This Row],[h_disc 1]]+Table1[[#This Row],[h_disc 2]])</f>
        <v/>
      </c>
      <c r="AC86" s="283" t="str">
        <f>IF(Table1[Item Description]="","",Table1[[#This Row],[h_hargasebelumdiskon]]-Table1[[#This Row],[h_diskon]])</f>
        <v/>
      </c>
      <c r="AD86" s="283" t="str">
        <f ca="1">IF(Table1[//]="","",SUMIF(Table1[h_id],Table1[h_id],Table1[h_hargasetelahdiskon]))</f>
        <v/>
      </c>
      <c r="AE86" s="283"/>
      <c r="AF86" s="283" t="str">
        <f>Table1[[#This Row],[Item Description]]&amp;Table1[[#This Row],[Unit]]&amp;Table1[[#This Row],[Unit Price]]</f>
        <v/>
      </c>
    </row>
    <row r="87" spans="1:32" x14ac:dyDescent="0.25">
      <c r="A87" s="287">
        <f ca="1">IF(Table1[[#This Row],[No. Invoice :]]="","",ROW())</f>
        <v>87</v>
      </c>
      <c r="B87" s="287">
        <f ca="1">IF(Table1[h_Kode Sales :_1]="","",B$1+COUNT(INDIRECT("B$2:B"&amp;ROW()-1)))</f>
        <v>23080025</v>
      </c>
      <c r="C87" s="281">
        <f>IF(Table1[[#This Row],[H_TGL]]="","",Table1[[#This Row],[H_TGL]]+C$1-1)</f>
        <v>45160</v>
      </c>
      <c r="D87" s="292">
        <v>22</v>
      </c>
      <c r="E87" s="280" t="s">
        <v>128</v>
      </c>
      <c r="F87" s="282" t="s">
        <v>262</v>
      </c>
      <c r="G87" s="280" t="s">
        <v>67</v>
      </c>
      <c r="H87" s="287" t="str">
        <f ca="1">IF(Table1[[#This Row],[h_No. Invoice :]]="","",CONCATENATE("AM"," ",Table1[[#This Row],[h_No. Invoice :]]))</f>
        <v>AM 23080025</v>
      </c>
      <c r="I87" s="288" t="str">
        <f>CONCATENATE(UPPER(Table1[[#This Row],[h_Kode Sales :_1]])," ",Table1[[#This Row],[h_Kode Sales :_2]])</f>
        <v>KO 1585</v>
      </c>
      <c r="J87" s="287" t="str">
        <f>IF(Table1[[#This Row],[h_toko]]="","",INDEX(Table2[e],IF(Table1[[#This Row],[h_toko]]="","",MATCH(Table1[[#This Row],[h_toko]],Table2[a],0)),))</f>
        <v>CV RAINBOW NUSANTARA SIDOARJO</v>
      </c>
      <c r="K87" s="280">
        <v>156</v>
      </c>
      <c r="L87" s="280" t="s">
        <v>263</v>
      </c>
      <c r="O87" s="287" t="str">
        <f>IF(Table1[[#This Row],[h_Item Description]]="","",INDEX([1]!db[NB PAJAK],MATCH(Table1[[#This Row],[h_Item Description]],[1]!db[kode],0)))</f>
        <v/>
      </c>
      <c r="P87" s="280" t="s">
        <v>172</v>
      </c>
      <c r="Q87" s="283">
        <v>7500</v>
      </c>
      <c r="R87" s="284">
        <v>0.14499999999999999</v>
      </c>
      <c r="T87" s="283">
        <f>Table1[[#This Row],[h_hargasetelahdiskon]]</f>
        <v>1000350</v>
      </c>
      <c r="U87" s="283" t="s">
        <v>266</v>
      </c>
      <c r="W87" s="287">
        <f ca="1">IF(Table1[[#This Row],[Item Description]]="","",IF(Table1[[#This Row],[//]]="",INDIRECT(ADDRESS(ROW()-1,COLUMN())),Table1[[#This Row],[//]]))</f>
        <v>87</v>
      </c>
      <c r="X87" s="287">
        <f ca="1">IF(Table1[[#This Row],[h_id]]="","",COUNTIF(Table1[h_id],Table1[[#This Row],[h_id]]))</f>
        <v>5</v>
      </c>
      <c r="Y87" s="283">
        <f>IF(Table1[Item Description]="","",Table1[[#This Row],[Qty]]*Table1[[#This Row],[Unit Price]])</f>
        <v>1170000</v>
      </c>
      <c r="Z87" s="283">
        <f>IF(Table1[[#This Row],[h_hargasebelumdiskon]]="","",IF(Table1[[#This Row],[Disc 1]]="",0,Table1[[#This Row],[h_hargasebelumdiskon]]*Table1[[#This Row],[Disc 1]]))</f>
        <v>169650</v>
      </c>
      <c r="AA87" s="283">
        <f>IF(Table1[[#This Row],[h_hargasebelumdiskon]]="","",IF(Table1[[#This Row],[Disc 2]]="",0,(Table1[[#This Row],[h_hargasebelumdiskon]]-Table1[[#This Row],[h_disc 1]])*Table1[[#This Row],[Disc 2]]))</f>
        <v>0</v>
      </c>
      <c r="AB87" s="283">
        <f>IF(Table1[Item Description]="","",Table1[[#This Row],[h_disc 1]]+Table1[[#This Row],[h_disc 2]])</f>
        <v>169650</v>
      </c>
      <c r="AC87" s="283">
        <f>IF(Table1[Item Description]="","",Table1[[#This Row],[h_hargasebelumdiskon]]-Table1[[#This Row],[h_diskon]])</f>
        <v>1000350</v>
      </c>
      <c r="AD87" s="283">
        <f ca="1">IF(Table1[//]="","",SUMIF(Table1[h_id],Table1[h_id],Table1[h_hargasetelahdiskon]))</f>
        <v>2879725.5</v>
      </c>
      <c r="AE87" s="283"/>
      <c r="AF87" s="283" t="str">
        <f>Table1[[#This Row],[Item Description]]&amp;Table1[[#This Row],[Unit]]&amp;Table1[[#This Row],[Unit Price]]</f>
        <v>JANGKA (COMPASS SET) KENKO C-288 / MS-25PC7500</v>
      </c>
    </row>
    <row r="88" spans="1:32" x14ac:dyDescent="0.25">
      <c r="A88" s="287" t="str">
        <f ca="1">IF(Table1[[#This Row],[No. Invoice :]]="","",ROW())</f>
        <v/>
      </c>
      <c r="B88" s="287" t="str">
        <f ca="1">IF(Table1[h_Kode Sales :_1]="","",B$1+COUNT(INDIRECT("B$2:B"&amp;ROW()-1)))</f>
        <v/>
      </c>
      <c r="C88" s="281" t="str">
        <f>IF(Table1[[#This Row],[H_TGL]]="","",Table1[[#This Row],[H_TGL]]+C$1-1)</f>
        <v/>
      </c>
      <c r="H88" s="287" t="str">
        <f ca="1">IF(Table1[[#This Row],[h_No. Invoice :]]="","",CONCATENATE("AM"," ",Table1[[#This Row],[h_No. Invoice :]]))</f>
        <v/>
      </c>
      <c r="I88" s="288" t="str">
        <f>CONCATENATE(UPPER(Table1[[#This Row],[h_Kode Sales :_1]])," ",Table1[[#This Row],[h_Kode Sales :_2]])</f>
        <v xml:space="preserve"> </v>
      </c>
      <c r="J88" s="287" t="str">
        <f>IF(Table1[[#This Row],[h_toko]]="","",INDEX(Table2[e],IF(Table1[[#This Row],[h_toko]]="","",MATCH(Table1[[#This Row],[h_toko]],Table2[a],0)),))</f>
        <v/>
      </c>
      <c r="K88" s="280">
        <v>3</v>
      </c>
      <c r="L88" s="280" t="s">
        <v>263</v>
      </c>
      <c r="O88" s="287" t="str">
        <f>IF(Table1[[#This Row],[h_Item Description]]="","",INDEX([1]!db[NB PAJAK],MATCH(Table1[[#This Row],[h_Item Description]],[1]!db[kode],0)))</f>
        <v/>
      </c>
      <c r="P88" s="280" t="s">
        <v>264</v>
      </c>
      <c r="Q88" s="283">
        <v>43500</v>
      </c>
      <c r="R88" s="284">
        <v>0.14499999999999999</v>
      </c>
      <c r="T88" s="283">
        <f>Table1[[#This Row],[h_hargasetelahdiskon]]</f>
        <v>111577.5</v>
      </c>
      <c r="W88" s="287">
        <f ca="1">IF(Table1[[#This Row],[Item Description]]="","",IF(Table1[[#This Row],[//]]="",INDIRECT(ADDRESS(ROW()-1,COLUMN())),Table1[[#This Row],[//]]))</f>
        <v>87</v>
      </c>
      <c r="X88" s="287">
        <f ca="1">IF(Table1[[#This Row],[h_id]]="","",COUNTIF(Table1[h_id],Table1[[#This Row],[h_id]]))</f>
        <v>5</v>
      </c>
      <c r="Y88" s="283">
        <f>IF(Table1[Item Description]="","",Table1[[#This Row],[Qty]]*Table1[[#This Row],[Unit Price]])</f>
        <v>130500</v>
      </c>
      <c r="Z88" s="283">
        <f>IF(Table1[[#This Row],[h_hargasebelumdiskon]]="","",IF(Table1[[#This Row],[Disc 1]]="",0,Table1[[#This Row],[h_hargasebelumdiskon]]*Table1[[#This Row],[Disc 1]]))</f>
        <v>18922.5</v>
      </c>
      <c r="AA88" s="283">
        <f>IF(Table1[[#This Row],[h_hargasebelumdiskon]]="","",IF(Table1[[#This Row],[Disc 2]]="",0,(Table1[[#This Row],[h_hargasebelumdiskon]]-Table1[[#This Row],[h_disc 1]])*Table1[[#This Row],[Disc 2]]))</f>
        <v>0</v>
      </c>
      <c r="AB88" s="283">
        <f>IF(Table1[Item Description]="","",Table1[[#This Row],[h_disc 1]]+Table1[[#This Row],[h_disc 2]])</f>
        <v>18922.5</v>
      </c>
      <c r="AC88" s="283">
        <f>IF(Table1[Item Description]="","",Table1[[#This Row],[h_hargasebelumdiskon]]-Table1[[#This Row],[h_diskon]])</f>
        <v>111577.5</v>
      </c>
      <c r="AD88" s="283" t="str">
        <f ca="1">IF(Table1[//]="","",SUMIF(Table1[h_id],Table1[h_id],Table1[h_hargasetelahdiskon]))</f>
        <v/>
      </c>
      <c r="AE88" s="283"/>
      <c r="AF88" s="283" t="str">
        <f>Table1[[#This Row],[Item Description]]&amp;Table1[[#This Row],[Unit]]&amp;Table1[[#This Row],[Unit Price]]</f>
        <v>GARISAN BESI (STAINLESS STEEL) KENKO 100 CM / 1 MPC43500</v>
      </c>
    </row>
    <row r="89" spans="1:32" x14ac:dyDescent="0.25">
      <c r="A89" s="287" t="str">
        <f ca="1">IF(Table1[[#This Row],[No. Invoice :]]="","",ROW())</f>
        <v/>
      </c>
      <c r="B89" s="287" t="str">
        <f ca="1">IF(Table1[h_Kode Sales :_1]="","",B$1+COUNT(INDIRECT("B$2:B"&amp;ROW()-1)))</f>
        <v/>
      </c>
      <c r="C89" s="281" t="str">
        <f>IF(Table1[[#This Row],[H_TGL]]="","",Table1[[#This Row],[H_TGL]]+C$1-1)</f>
        <v/>
      </c>
      <c r="H89" s="287" t="str">
        <f ca="1">IF(Table1[[#This Row],[h_No. Invoice :]]="","",CONCATENATE("AM"," ",Table1[[#This Row],[h_No. Invoice :]]))</f>
        <v/>
      </c>
      <c r="I89" s="288" t="str">
        <f>CONCATENATE(UPPER(Table1[[#This Row],[h_Kode Sales :_1]])," ",Table1[[#This Row],[h_Kode Sales :_2]])</f>
        <v xml:space="preserve"> </v>
      </c>
      <c r="J89" s="287" t="str">
        <f>IF(Table1[[#This Row],[h_toko]]="","",INDEX(Table2[e],IF(Table1[[#This Row],[h_toko]]="","",MATCH(Table1[[#This Row],[h_toko]],Table2[a],0)),))</f>
        <v/>
      </c>
      <c r="K89" s="280">
        <v>216</v>
      </c>
      <c r="L89" s="280" t="s">
        <v>263</v>
      </c>
      <c r="O89" s="287" t="str">
        <f>IF(Table1[[#This Row],[h_Item Description]]="","",INDEX([1]!db[NB PAJAK],MATCH(Table1[[#This Row],[h_Item Description]],[1]!db[kode],0)))</f>
        <v/>
      </c>
      <c r="P89" s="280" t="s">
        <v>265</v>
      </c>
      <c r="Q89" s="283">
        <v>3150</v>
      </c>
      <c r="R89" s="284">
        <v>0.14499999999999999</v>
      </c>
      <c r="T89" s="283">
        <f>Table1[[#This Row],[h_hargasetelahdiskon]]</f>
        <v>581742</v>
      </c>
      <c r="W89" s="287">
        <f ca="1">IF(Table1[[#This Row],[Item Description]]="","",IF(Table1[[#This Row],[//]]="",INDIRECT(ADDRESS(ROW()-1,COLUMN())),Table1[[#This Row],[//]]))</f>
        <v>87</v>
      </c>
      <c r="X89" s="287">
        <f ca="1">IF(Table1[[#This Row],[h_id]]="","",COUNTIF(Table1[h_id],Table1[[#This Row],[h_id]]))</f>
        <v>5</v>
      </c>
      <c r="Y89" s="283">
        <f>IF(Table1[Item Description]="","",Table1[[#This Row],[Qty]]*Table1[[#This Row],[Unit Price]])</f>
        <v>680400</v>
      </c>
      <c r="Z89" s="283">
        <f>IF(Table1[[#This Row],[h_hargasebelumdiskon]]="","",IF(Table1[[#This Row],[Disc 1]]="",0,Table1[[#This Row],[h_hargasebelumdiskon]]*Table1[[#This Row],[Disc 1]]))</f>
        <v>98658</v>
      </c>
      <c r="AA89" s="283">
        <f>IF(Table1[[#This Row],[h_hargasebelumdiskon]]="","",IF(Table1[[#This Row],[Disc 2]]="",0,(Table1[[#This Row],[h_hargasebelumdiskon]]-Table1[[#This Row],[h_disc 1]])*Table1[[#This Row],[Disc 2]]))</f>
        <v>0</v>
      </c>
      <c r="AB89" s="283">
        <f>IF(Table1[Item Description]="","",Table1[[#This Row],[h_disc 1]]+Table1[[#This Row],[h_disc 2]])</f>
        <v>98658</v>
      </c>
      <c r="AC89" s="283">
        <f>IF(Table1[Item Description]="","",Table1[[#This Row],[h_hargasebelumdiskon]]-Table1[[#This Row],[h_diskon]])</f>
        <v>581742</v>
      </c>
      <c r="AD89" s="283" t="str">
        <f ca="1">IF(Table1[//]="","",SUMIF(Table1[h_id],Table1[h_id],Table1[h_hargasetelahdiskon]))</f>
        <v/>
      </c>
      <c r="AE89" s="283"/>
      <c r="AF89" s="283" t="str">
        <f>Table1[[#This Row],[Item Description]]&amp;Table1[[#This Row],[Unit]]&amp;Table1[[#This Row],[Unit Price]]</f>
        <v>GARISAN BESI (STAINLESS STEEL) KENKO 15 CMPC3150</v>
      </c>
    </row>
    <row r="90" spans="1:32" x14ac:dyDescent="0.25">
      <c r="A90" s="287" t="str">
        <f ca="1">IF(Table1[[#This Row],[No. Invoice :]]="","",ROW())</f>
        <v/>
      </c>
      <c r="B90" s="287" t="str">
        <f ca="1">IF(Table1[h_Kode Sales :_1]="","",B$1+COUNT(INDIRECT("B$2:B"&amp;ROW()-1)))</f>
        <v/>
      </c>
      <c r="C90" s="281" t="str">
        <f>IF(Table1[[#This Row],[H_TGL]]="","",Table1[[#This Row],[H_TGL]]+C$1-1)</f>
        <v/>
      </c>
      <c r="H90" s="287" t="str">
        <f ca="1">IF(Table1[[#This Row],[h_No. Invoice :]]="","",CONCATENATE("AM"," ",Table1[[#This Row],[h_No. Invoice :]]))</f>
        <v/>
      </c>
      <c r="I90" s="288" t="str">
        <f>CONCATENATE(UPPER(Table1[[#This Row],[h_Kode Sales :_1]])," ",Table1[[#This Row],[h_Kode Sales :_2]])</f>
        <v xml:space="preserve"> </v>
      </c>
      <c r="J90" s="287" t="str">
        <f>IF(Table1[[#This Row],[h_toko]]="","",INDEX(Table2[e],IF(Table1[[#This Row],[h_toko]]="","",MATCH(Table1[[#This Row],[h_toko]],Table2[a],0)),))</f>
        <v/>
      </c>
      <c r="K90" s="280">
        <v>288</v>
      </c>
      <c r="L90" s="280" t="s">
        <v>263</v>
      </c>
      <c r="O90" s="287" t="str">
        <f>IF(Table1[[#This Row],[h_Item Description]]="","",INDEX([1]!db[NB PAJAK],MATCH(Table1[[#This Row],[h_Item Description]],[1]!db[kode],0)))</f>
        <v/>
      </c>
      <c r="P90" s="280" t="s">
        <v>256</v>
      </c>
      <c r="Q90" s="283">
        <v>2750</v>
      </c>
      <c r="R90" s="284">
        <v>0.14499999999999999</v>
      </c>
      <c r="T90" s="283">
        <f>Table1[[#This Row],[h_hargasetelahdiskon]]</f>
        <v>677160</v>
      </c>
      <c r="W90" s="287">
        <f ca="1">IF(Table1[[#This Row],[Item Description]]="","",IF(Table1[[#This Row],[//]]="",INDIRECT(ADDRESS(ROW()-1,COLUMN())),Table1[[#This Row],[//]]))</f>
        <v>87</v>
      </c>
      <c r="X90" s="287">
        <f ca="1">IF(Table1[[#This Row],[h_id]]="","",COUNTIF(Table1[h_id],Table1[[#This Row],[h_id]]))</f>
        <v>5</v>
      </c>
      <c r="Y90" s="283">
        <f>IF(Table1[Item Description]="","",Table1[[#This Row],[Qty]]*Table1[[#This Row],[Unit Price]])</f>
        <v>792000</v>
      </c>
      <c r="Z90" s="283">
        <f>IF(Table1[[#This Row],[h_hargasebelumdiskon]]="","",IF(Table1[[#This Row],[Disc 1]]="",0,Table1[[#This Row],[h_hargasebelumdiskon]]*Table1[[#This Row],[Disc 1]]))</f>
        <v>114839.99999999999</v>
      </c>
      <c r="AA90" s="283">
        <f>IF(Table1[[#This Row],[h_hargasebelumdiskon]]="","",IF(Table1[[#This Row],[Disc 2]]="",0,(Table1[[#This Row],[h_hargasebelumdiskon]]-Table1[[#This Row],[h_disc 1]])*Table1[[#This Row],[Disc 2]]))</f>
        <v>0</v>
      </c>
      <c r="AB90" s="283">
        <f>IF(Table1[Item Description]="","",Table1[[#This Row],[h_disc 1]]+Table1[[#This Row],[h_disc 2]])</f>
        <v>114839.99999999999</v>
      </c>
      <c r="AC90" s="283">
        <f>IF(Table1[Item Description]="","",Table1[[#This Row],[h_hargasebelumdiskon]]-Table1[[#This Row],[h_diskon]])</f>
        <v>677160</v>
      </c>
      <c r="AD90" s="283" t="str">
        <f ca="1">IF(Table1[//]="","",SUMIF(Table1[h_id],Table1[h_id],Table1[h_hargasetelahdiskon]))</f>
        <v/>
      </c>
      <c r="AE90" s="283"/>
      <c r="AF90" s="283" t="str">
        <f>Table1[[#This Row],[Item Description]]&amp;Table1[[#This Row],[Unit]]&amp;Table1[[#This Row],[Unit Price]]</f>
        <v>PUSH PIN KENKO PN-30PC2750</v>
      </c>
    </row>
    <row r="91" spans="1:32" x14ac:dyDescent="0.25">
      <c r="A91" s="287" t="str">
        <f ca="1">IF(Table1[[#This Row],[No. Invoice :]]="","",ROW())</f>
        <v/>
      </c>
      <c r="B91" s="287" t="str">
        <f ca="1">IF(Table1[h_Kode Sales :_1]="","",B$1+COUNT(INDIRECT("B$2:B"&amp;ROW()-1)))</f>
        <v/>
      </c>
      <c r="C91" s="281" t="str">
        <f>IF(Table1[[#This Row],[H_TGL]]="","",Table1[[#This Row],[H_TGL]]+C$1-1)</f>
        <v/>
      </c>
      <c r="H91" s="287" t="str">
        <f ca="1">IF(Table1[[#This Row],[h_No. Invoice :]]="","",CONCATENATE("AM"," ",Table1[[#This Row],[h_No. Invoice :]]))</f>
        <v/>
      </c>
      <c r="I91" s="288" t="str">
        <f>CONCATENATE(UPPER(Table1[[#This Row],[h_Kode Sales :_1]])," ",Table1[[#This Row],[h_Kode Sales :_2]])</f>
        <v xml:space="preserve"> </v>
      </c>
      <c r="J91" s="287" t="str">
        <f>IF(Table1[[#This Row],[h_toko]]="","",INDEX(Table2[e],IF(Table1[[#This Row],[h_toko]]="","",MATCH(Table1[[#This Row],[h_toko]],Table2[a],0)),))</f>
        <v/>
      </c>
      <c r="K91" s="280">
        <v>96</v>
      </c>
      <c r="L91" s="280" t="s">
        <v>263</v>
      </c>
      <c r="O91" s="287" t="str">
        <f>IF(Table1[[#This Row],[h_Item Description]]="","",INDEX([1]!db[NB PAJAK],MATCH(Table1[[#This Row],[h_Item Description]],[1]!db[kode],0)))</f>
        <v/>
      </c>
      <c r="P91" s="280" t="s">
        <v>173</v>
      </c>
      <c r="Q91" s="283">
        <v>6200</v>
      </c>
      <c r="R91" s="284">
        <v>0.14499999999999999</v>
      </c>
      <c r="T91" s="283">
        <f>Table1[[#This Row],[h_hargasetelahdiskon]]</f>
        <v>508896</v>
      </c>
      <c r="W91" s="287">
        <f ca="1">IF(Table1[[#This Row],[Item Description]]="","",IF(Table1[[#This Row],[//]]="",INDIRECT(ADDRESS(ROW()-1,COLUMN())),Table1[[#This Row],[//]]))</f>
        <v>87</v>
      </c>
      <c r="X91" s="287">
        <f ca="1">IF(Table1[[#This Row],[h_id]]="","",COUNTIF(Table1[h_id],Table1[[#This Row],[h_id]]))</f>
        <v>5</v>
      </c>
      <c r="Y91" s="283">
        <f>IF(Table1[Item Description]="","",Table1[[#This Row],[Qty]]*Table1[[#This Row],[Unit Price]])</f>
        <v>595200</v>
      </c>
      <c r="Z91" s="283">
        <f>IF(Table1[[#This Row],[h_hargasebelumdiskon]]="","",IF(Table1[[#This Row],[Disc 1]]="",0,Table1[[#This Row],[h_hargasebelumdiskon]]*Table1[[#This Row],[Disc 1]]))</f>
        <v>86304</v>
      </c>
      <c r="AA91" s="283">
        <f>IF(Table1[[#This Row],[h_hargasebelumdiskon]]="","",IF(Table1[[#This Row],[Disc 2]]="",0,(Table1[[#This Row],[h_hargasebelumdiskon]]-Table1[[#This Row],[h_disc 1]])*Table1[[#This Row],[Disc 2]]))</f>
        <v>0</v>
      </c>
      <c r="AB91" s="283">
        <f>IF(Table1[Item Description]="","",Table1[[#This Row],[h_disc 1]]+Table1[[#This Row],[h_disc 2]])</f>
        <v>86304</v>
      </c>
      <c r="AC91" s="283">
        <f>IF(Table1[Item Description]="","",Table1[[#This Row],[h_hargasebelumdiskon]]-Table1[[#This Row],[h_diskon]])</f>
        <v>508896</v>
      </c>
      <c r="AD91" s="283" t="str">
        <f ca="1">IF(Table1[//]="","",SUMIF(Table1[h_id],Table1[h_id],Table1[h_hargasetelahdiskon]))</f>
        <v/>
      </c>
      <c r="AE91" s="283"/>
      <c r="AF91" s="283" t="str">
        <f>Table1[[#This Row],[Item Description]]&amp;Table1[[#This Row],[Unit]]&amp;Table1[[#This Row],[Unit Price]]</f>
        <v>DATE STAMP KENKO D-4 (Cap Tanggal 4 Mm)PC6200</v>
      </c>
    </row>
    <row r="92" spans="1:32" x14ac:dyDescent="0.25">
      <c r="A92" s="287" t="str">
        <f ca="1">IF(Table1[[#This Row],[No. Invoice :]]="","",ROW())</f>
        <v/>
      </c>
      <c r="B92" s="287" t="str">
        <f ca="1">IF(Table1[h_Kode Sales :_1]="","",B$1+COUNT(INDIRECT("B$2:B"&amp;ROW()-1)))</f>
        <v/>
      </c>
      <c r="C92" s="281" t="str">
        <f>IF(Table1[[#This Row],[H_TGL]]="","",Table1[[#This Row],[H_TGL]]+C$1-1)</f>
        <v/>
      </c>
      <c r="H92" s="287" t="str">
        <f ca="1">IF(Table1[[#This Row],[h_No. Invoice :]]="","",CONCATENATE("AM"," ",Table1[[#This Row],[h_No. Invoice :]]))</f>
        <v/>
      </c>
      <c r="I92" s="288" t="str">
        <f>CONCATENATE(UPPER(Table1[[#This Row],[h_Kode Sales :_1]])," ",Table1[[#This Row],[h_Kode Sales :_2]])</f>
        <v xml:space="preserve"> </v>
      </c>
      <c r="J92" s="287" t="str">
        <f>IF(Table1[[#This Row],[h_toko]]="","",INDEX(Table2[e],IF(Table1[[#This Row],[h_toko]]="","",MATCH(Table1[[#This Row],[h_toko]],Table2[a],0)),))</f>
        <v/>
      </c>
      <c r="O92" s="287" t="str">
        <f>IF(Table1[[#This Row],[h_Item Description]]="","",INDEX([1]!db[NB PAJAK],MATCH(Table1[[#This Row],[h_Item Description]],[1]!db[kode],0)))</f>
        <v/>
      </c>
      <c r="Q92" s="283"/>
      <c r="R92" s="284"/>
      <c r="T92" s="283" t="str">
        <f>Table1[[#This Row],[h_hargasetelahdiskon]]</f>
        <v/>
      </c>
      <c r="W92" s="287" t="str">
        <f ca="1">IF(Table1[[#This Row],[Item Description]]="","",IF(Table1[[#This Row],[//]]="",INDIRECT(ADDRESS(ROW()-1,COLUMN())),Table1[[#This Row],[//]]))</f>
        <v/>
      </c>
      <c r="X92" s="287" t="str">
        <f ca="1">IF(Table1[[#This Row],[h_id]]="","",COUNTIF(Table1[h_id],Table1[[#This Row],[h_id]]))</f>
        <v/>
      </c>
      <c r="Y92" s="283" t="str">
        <f>IF(Table1[Item Description]="","",Table1[[#This Row],[Qty]]*Table1[[#This Row],[Unit Price]])</f>
        <v/>
      </c>
      <c r="Z92" s="283" t="str">
        <f>IF(Table1[[#This Row],[h_hargasebelumdiskon]]="","",IF(Table1[[#This Row],[Disc 1]]="",0,Table1[[#This Row],[h_hargasebelumdiskon]]*Table1[[#This Row],[Disc 1]]))</f>
        <v/>
      </c>
      <c r="AA92" s="283" t="str">
        <f>IF(Table1[[#This Row],[h_hargasebelumdiskon]]="","",IF(Table1[[#This Row],[Disc 2]]="",0,(Table1[[#This Row],[h_hargasebelumdiskon]]-Table1[[#This Row],[h_disc 1]])*Table1[[#This Row],[Disc 2]]))</f>
        <v/>
      </c>
      <c r="AB92" s="283" t="str">
        <f>IF(Table1[Item Description]="","",Table1[[#This Row],[h_disc 1]]+Table1[[#This Row],[h_disc 2]])</f>
        <v/>
      </c>
      <c r="AC92" s="283" t="str">
        <f>IF(Table1[Item Description]="","",Table1[[#This Row],[h_hargasebelumdiskon]]-Table1[[#This Row],[h_diskon]])</f>
        <v/>
      </c>
      <c r="AD92" s="283" t="str">
        <f ca="1">IF(Table1[//]="","",SUMIF(Table1[h_id],Table1[h_id],Table1[h_hargasetelahdiskon]))</f>
        <v/>
      </c>
      <c r="AE92" s="283"/>
      <c r="AF92" s="283" t="str">
        <f>Table1[[#This Row],[Item Description]]&amp;Table1[[#This Row],[Unit]]&amp;Table1[[#This Row],[Unit Price]]</f>
        <v/>
      </c>
    </row>
    <row r="93" spans="1:32" x14ac:dyDescent="0.25">
      <c r="A93" s="287">
        <f ca="1">IF(Table1[[#This Row],[No. Invoice :]]="","",ROW())</f>
        <v>93</v>
      </c>
      <c r="B93" s="287">
        <f ca="1">IF(Table1[h_Kode Sales :_1]="","",B$1+COUNT(INDIRECT("B$2:B"&amp;ROW()-1)))</f>
        <v>23080026</v>
      </c>
      <c r="C93" s="281">
        <f>IF(Table1[[#This Row],[H_TGL]]="","",Table1[[#This Row],[H_TGL]]+C$1-1)</f>
        <v>45161</v>
      </c>
      <c r="D93" s="292">
        <v>23</v>
      </c>
      <c r="E93" s="280" t="s">
        <v>128</v>
      </c>
      <c r="F93" s="282" t="s">
        <v>261</v>
      </c>
      <c r="G93" s="280" t="s">
        <v>70</v>
      </c>
      <c r="H93" s="287" t="str">
        <f ca="1">IF(Table1[[#This Row],[h_No. Invoice :]]="","",CONCATENATE("AM"," ",Table1[[#This Row],[h_No. Invoice :]]))</f>
        <v>AM 23080026</v>
      </c>
      <c r="I93" s="288" t="str">
        <f>CONCATENATE(UPPER(Table1[[#This Row],[h_Kode Sales :_1]])," ",Table1[[#This Row],[h_Kode Sales :_2]])</f>
        <v>KO 3516</v>
      </c>
      <c r="J93" s="287" t="str">
        <f>IF(Table1[[#This Row],[h_toko]]="","",INDEX(Table2[e],IF(Table1[[#This Row],[h_toko]]="","",MATCH(Table1[[#This Row],[h_toko]],Table2[a],0)),))</f>
        <v>HARNOYO (BENDAN) PEKALONGAN</v>
      </c>
      <c r="K93" s="280">
        <v>100</v>
      </c>
      <c r="L93" s="280" t="s">
        <v>130</v>
      </c>
      <c r="M93" s="280">
        <v>2</v>
      </c>
      <c r="N93" s="280" t="s">
        <v>248</v>
      </c>
      <c r="O93" s="287" t="str">
        <f>IF(Table1[[#This Row],[h_Item Description]]="","",INDEX([1]!db[NB PAJAK],MATCH(Table1[[#This Row],[h_Item Description]],[1]!db[kode],0)))</f>
        <v>BINDER CLIP KENKO NO. 105</v>
      </c>
      <c r="P93" s="280" t="s">
        <v>255</v>
      </c>
      <c r="Q93" s="283">
        <v>17000</v>
      </c>
      <c r="R93" s="284">
        <v>0.14000000000000001</v>
      </c>
      <c r="T93" s="283">
        <f>Table1[[#This Row],[h_hargasetelahdiskon]]</f>
        <v>1462000</v>
      </c>
      <c r="U93" s="283" t="s">
        <v>260</v>
      </c>
      <c r="W93" s="287">
        <f ca="1">IF(Table1[[#This Row],[Item Description]]="","",IF(Table1[[#This Row],[//]]="",INDIRECT(ADDRESS(ROW()-1,COLUMN())),Table1[[#This Row],[//]]))</f>
        <v>93</v>
      </c>
      <c r="X93" s="287">
        <f ca="1">IF(Table1[[#This Row],[h_id]]="","",COUNTIF(Table1[h_id],Table1[[#This Row],[h_id]]))</f>
        <v>1</v>
      </c>
      <c r="Y93" s="283">
        <f>IF(Table1[Item Description]="","",Table1[[#This Row],[Qty]]*Table1[[#This Row],[Unit Price]])</f>
        <v>1700000</v>
      </c>
      <c r="Z93" s="283">
        <f>IF(Table1[[#This Row],[h_hargasebelumdiskon]]="","",IF(Table1[[#This Row],[Disc 1]]="",0,Table1[[#This Row],[h_hargasebelumdiskon]]*Table1[[#This Row],[Disc 1]]))</f>
        <v>238000.00000000003</v>
      </c>
      <c r="AA93" s="283">
        <f>IF(Table1[[#This Row],[h_hargasebelumdiskon]]="","",IF(Table1[[#This Row],[Disc 2]]="",0,(Table1[[#This Row],[h_hargasebelumdiskon]]-Table1[[#This Row],[h_disc 1]])*Table1[[#This Row],[Disc 2]]))</f>
        <v>0</v>
      </c>
      <c r="AB93" s="283">
        <f>IF(Table1[Item Description]="","",Table1[[#This Row],[h_disc 1]]+Table1[[#This Row],[h_disc 2]])</f>
        <v>238000.00000000003</v>
      </c>
      <c r="AC93" s="283">
        <f>IF(Table1[Item Description]="","",Table1[[#This Row],[h_hargasebelumdiskon]]-Table1[[#This Row],[h_diskon]])</f>
        <v>1462000</v>
      </c>
      <c r="AD93" s="283">
        <f ca="1">IF(Table1[//]="","",SUMIF(Table1[h_id],Table1[h_id],Table1[h_hargasetelahdiskon]))</f>
        <v>1462000</v>
      </c>
      <c r="AE93" s="283"/>
      <c r="AF93" s="283" t="str">
        <f>Table1[[#This Row],[Item Description]]&amp;Table1[[#This Row],[Unit]]&amp;Table1[[#This Row],[Unit Price]]</f>
        <v>BINDER CLIP KENKO NO. 105PAK17000</v>
      </c>
    </row>
    <row r="94" spans="1:32" x14ac:dyDescent="0.25">
      <c r="A94" s="287" t="str">
        <f ca="1">IF(Table1[[#This Row],[No. Invoice :]]="","",ROW())</f>
        <v/>
      </c>
      <c r="B94" s="287" t="str">
        <f ca="1">IF(Table1[h_Kode Sales :_1]="","",B$1+COUNT(INDIRECT("B$2:B"&amp;ROW()-1)))</f>
        <v/>
      </c>
      <c r="C94" s="281" t="str">
        <f>IF(Table1[[#This Row],[H_TGL]]="","",Table1[[#This Row],[H_TGL]]+C$1-1)</f>
        <v/>
      </c>
      <c r="H94" s="287" t="str">
        <f ca="1">IF(Table1[[#This Row],[h_No. Invoice :]]="","",CONCATENATE("AM"," ",Table1[[#This Row],[h_No. Invoice :]]))</f>
        <v/>
      </c>
      <c r="I94" s="288" t="str">
        <f>CONCATENATE(UPPER(Table1[[#This Row],[h_Kode Sales :_1]])," ",Table1[[#This Row],[h_Kode Sales :_2]])</f>
        <v xml:space="preserve"> </v>
      </c>
      <c r="J94" s="287" t="str">
        <f>IF(Table1[[#This Row],[h_toko]]="","",INDEX(Table2[e],IF(Table1[[#This Row],[h_toko]]="","",MATCH(Table1[[#This Row],[h_toko]],Table2[a],0)),))</f>
        <v/>
      </c>
      <c r="O94" s="287" t="str">
        <f>IF(Table1[[#This Row],[h_Item Description]]="","",INDEX([1]!db[NB PAJAK],MATCH(Table1[[#This Row],[h_Item Description]],[1]!db[kode],0)))</f>
        <v/>
      </c>
      <c r="Q94" s="283"/>
      <c r="R94" s="284"/>
      <c r="T94" s="283" t="str">
        <f>Table1[[#This Row],[h_hargasetelahdiskon]]</f>
        <v/>
      </c>
      <c r="W94" s="287" t="str">
        <f ca="1">IF(Table1[[#This Row],[Item Description]]="","",IF(Table1[[#This Row],[//]]="",INDIRECT(ADDRESS(ROW()-1,COLUMN())),Table1[[#This Row],[//]]))</f>
        <v/>
      </c>
      <c r="X94" s="287" t="str">
        <f ca="1">IF(Table1[[#This Row],[h_id]]="","",COUNTIF(Table1[h_id],Table1[[#This Row],[h_id]]))</f>
        <v/>
      </c>
      <c r="Y94" s="283" t="str">
        <f>IF(Table1[Item Description]="","",Table1[[#This Row],[Qty]]*Table1[[#This Row],[Unit Price]])</f>
        <v/>
      </c>
      <c r="Z94" s="283" t="str">
        <f>IF(Table1[[#This Row],[h_hargasebelumdiskon]]="","",IF(Table1[[#This Row],[Disc 1]]="",0,Table1[[#This Row],[h_hargasebelumdiskon]]*Table1[[#This Row],[Disc 1]]))</f>
        <v/>
      </c>
      <c r="AA94" s="283" t="str">
        <f>IF(Table1[[#This Row],[h_hargasebelumdiskon]]="","",IF(Table1[[#This Row],[Disc 2]]="",0,(Table1[[#This Row],[h_hargasebelumdiskon]]-Table1[[#This Row],[h_disc 1]])*Table1[[#This Row],[Disc 2]]))</f>
        <v/>
      </c>
      <c r="AB94" s="283" t="str">
        <f>IF(Table1[Item Description]="","",Table1[[#This Row],[h_disc 1]]+Table1[[#This Row],[h_disc 2]])</f>
        <v/>
      </c>
      <c r="AC94" s="283" t="str">
        <f>IF(Table1[Item Description]="","",Table1[[#This Row],[h_hargasebelumdiskon]]-Table1[[#This Row],[h_diskon]])</f>
        <v/>
      </c>
      <c r="AD94" s="283" t="str">
        <f ca="1">IF(Table1[//]="","",SUMIF(Table1[h_id],Table1[h_id],Table1[h_hargasetelahdiskon]))</f>
        <v/>
      </c>
      <c r="AE94" s="283"/>
      <c r="AF94" s="283" t="str">
        <f>Table1[[#This Row],[Item Description]]&amp;Table1[[#This Row],[Unit]]&amp;Table1[[#This Row],[Unit Price]]</f>
        <v/>
      </c>
    </row>
    <row r="95" spans="1:32" x14ac:dyDescent="0.25">
      <c r="A95" s="287">
        <f ca="1">IF(Table1[[#This Row],[No. Invoice :]]="","",ROW())</f>
        <v>95</v>
      </c>
      <c r="B95" s="287">
        <f ca="1">IF(Table1[h_Kode Sales :_1]="","",B$1+COUNT(INDIRECT("B$2:B"&amp;ROW()-1)))</f>
        <v>23080027</v>
      </c>
      <c r="C95" s="281">
        <f>IF(Table1[[#This Row],[H_TGL]]="","",Table1[[#This Row],[H_TGL]]+C$1-1)</f>
        <v>45161</v>
      </c>
      <c r="D95" s="292">
        <v>23</v>
      </c>
      <c r="E95" s="280" t="s">
        <v>162</v>
      </c>
      <c r="F95" s="282" t="s">
        <v>257</v>
      </c>
      <c r="G95" s="280" t="s">
        <v>84</v>
      </c>
      <c r="H95" s="287" t="str">
        <f ca="1">IF(Table1[[#This Row],[h_No. Invoice :]]="","",CONCATENATE("AM"," ",Table1[[#This Row],[h_No. Invoice :]]))</f>
        <v>AM 23080027</v>
      </c>
      <c r="I95" s="288" t="str">
        <f>CONCATENATE(UPPER(Table1[[#This Row],[h_Kode Sales :_1]])," ",Table1[[#This Row],[h_Kode Sales :_2]])</f>
        <v>KO 3520</v>
      </c>
      <c r="J95" s="287" t="str">
        <f>IF(Table1[[#This Row],[h_toko]]="","",INDEX(Table2[e],IF(Table1[[#This Row],[h_toko]]="","",MATCH(Table1[[#This Row],[h_toko]],Table2[a],0)),))</f>
        <v>CV PELITA JAYA (ANUGERAH SEJAHTERA) PURWOKERTO</v>
      </c>
      <c r="K95" s="280">
        <v>144</v>
      </c>
      <c r="L95" s="280" t="s">
        <v>267</v>
      </c>
      <c r="M95" s="280">
        <v>2</v>
      </c>
      <c r="N95" s="280" t="s">
        <v>258</v>
      </c>
      <c r="O95" s="287" t="str">
        <f>IF(Table1[[#This Row],[h_Item Description]]="","",INDEX([1]!db[NB PAJAK],MATCH(Table1[[#This Row],[h_Item Description]],[1]!db[kode],0)))</f>
        <v>CORRECTION FLUID KENKO KE-108</v>
      </c>
      <c r="P95" s="280" t="s">
        <v>259</v>
      </c>
      <c r="Q95" s="283">
        <v>47100</v>
      </c>
      <c r="R95" s="284">
        <v>0.13500000000000001</v>
      </c>
      <c r="T95" s="283">
        <f>Table1[[#This Row],[h_hargasetelahdiskon]]</f>
        <v>5866776</v>
      </c>
      <c r="U95" s="283" t="s">
        <v>260</v>
      </c>
      <c r="W95" s="287">
        <f ca="1">IF(Table1[[#This Row],[Item Description]]="","",IF(Table1[[#This Row],[//]]="",INDIRECT(ADDRESS(ROW()-1,COLUMN())),Table1[[#This Row],[//]]))</f>
        <v>95</v>
      </c>
      <c r="X95" s="287">
        <f ca="1">IF(Table1[[#This Row],[h_id]]="","",COUNTIF(Table1[h_id],Table1[[#This Row],[h_id]]))</f>
        <v>1</v>
      </c>
      <c r="Y95" s="283">
        <f>IF(Table1[Item Description]="","",Table1[[#This Row],[Qty]]*Table1[[#This Row],[Unit Price]])</f>
        <v>6782400</v>
      </c>
      <c r="Z95" s="283">
        <f>IF(Table1[[#This Row],[h_hargasebelumdiskon]]="","",IF(Table1[[#This Row],[Disc 1]]="",0,Table1[[#This Row],[h_hargasebelumdiskon]]*Table1[[#This Row],[Disc 1]]))</f>
        <v>915624.00000000012</v>
      </c>
      <c r="AA95" s="283">
        <f>IF(Table1[[#This Row],[h_hargasebelumdiskon]]="","",IF(Table1[[#This Row],[Disc 2]]="",0,(Table1[[#This Row],[h_hargasebelumdiskon]]-Table1[[#This Row],[h_disc 1]])*Table1[[#This Row],[Disc 2]]))</f>
        <v>0</v>
      </c>
      <c r="AB95" s="283">
        <f>IF(Table1[Item Description]="","",Table1[[#This Row],[h_disc 1]]+Table1[[#This Row],[h_disc 2]])</f>
        <v>915624.00000000012</v>
      </c>
      <c r="AC95" s="283">
        <f>IF(Table1[Item Description]="","",Table1[[#This Row],[h_hargasebelumdiskon]]-Table1[[#This Row],[h_diskon]])</f>
        <v>5866776</v>
      </c>
      <c r="AD95" s="283">
        <f ca="1">IF(Table1[//]="","",SUMIF(Table1[h_id],Table1[h_id],Table1[h_hargasetelahdiskon]))</f>
        <v>5866776</v>
      </c>
      <c r="AE95" s="283"/>
      <c r="AF95" s="283" t="str">
        <f>Table1[[#This Row],[Item Description]]&amp;Table1[[#This Row],[Unit]]&amp;Table1[[#This Row],[Unit Price]]</f>
        <v>CORRECTION FLUID KENKO KE-108LS47100</v>
      </c>
    </row>
    <row r="96" spans="1:32" x14ac:dyDescent="0.25">
      <c r="A96" s="287" t="str">
        <f ca="1">IF(Table1[[#This Row],[No. Invoice :]]="","",ROW())</f>
        <v/>
      </c>
      <c r="B96" s="287" t="str">
        <f ca="1">IF(Table1[h_Kode Sales :_1]="","",B$1+COUNT(INDIRECT("B$2:B"&amp;ROW()-1)))</f>
        <v/>
      </c>
      <c r="C96" s="281" t="str">
        <f>IF(Table1[[#This Row],[H_TGL]]="","",Table1[[#This Row],[H_TGL]]+C$1-1)</f>
        <v/>
      </c>
      <c r="H96" s="287" t="str">
        <f ca="1">IF(Table1[[#This Row],[h_No. Invoice :]]="","",CONCATENATE("AM"," ",Table1[[#This Row],[h_No. Invoice :]]))</f>
        <v/>
      </c>
      <c r="I96" s="288" t="str">
        <f>CONCATENATE(UPPER(Table1[[#This Row],[h_Kode Sales :_1]])," ",Table1[[#This Row],[h_Kode Sales :_2]])</f>
        <v xml:space="preserve"> </v>
      </c>
      <c r="J96" s="287" t="str">
        <f>IF(Table1[[#This Row],[h_toko]]="","",INDEX(Table2[e],IF(Table1[[#This Row],[h_toko]]="","",MATCH(Table1[[#This Row],[h_toko]],Table2[a],0)),))</f>
        <v/>
      </c>
      <c r="O96" s="287" t="str">
        <f>IF(Table1[[#This Row],[h_Item Description]]="","",INDEX([1]!db[NB PAJAK],MATCH(Table1[[#This Row],[h_Item Description]],[1]!db[kode],0)))</f>
        <v/>
      </c>
      <c r="Q96" s="283"/>
      <c r="R96" s="284"/>
      <c r="T96" s="283" t="str">
        <f>Table1[[#This Row],[h_hargasetelahdiskon]]</f>
        <v/>
      </c>
      <c r="W96" s="287" t="str">
        <f ca="1">IF(Table1[[#This Row],[Item Description]]="","",IF(Table1[[#This Row],[//]]="",INDIRECT(ADDRESS(ROW()-1,COLUMN())),Table1[[#This Row],[//]]))</f>
        <v/>
      </c>
      <c r="X96" s="287" t="str">
        <f ca="1">IF(Table1[[#This Row],[h_id]]="","",COUNTIF(Table1[h_id],Table1[[#This Row],[h_id]]))</f>
        <v/>
      </c>
      <c r="Y96" s="283" t="str">
        <f>IF(Table1[Item Description]="","",Table1[[#This Row],[Qty]]*Table1[[#This Row],[Unit Price]])</f>
        <v/>
      </c>
      <c r="Z96" s="283" t="str">
        <f>IF(Table1[[#This Row],[h_hargasebelumdiskon]]="","",IF(Table1[[#This Row],[Disc 1]]="",0,Table1[[#This Row],[h_hargasebelumdiskon]]*Table1[[#This Row],[Disc 1]]))</f>
        <v/>
      </c>
      <c r="AA96" s="283" t="str">
        <f>IF(Table1[[#This Row],[h_hargasebelumdiskon]]="","",IF(Table1[[#This Row],[Disc 2]]="",0,(Table1[[#This Row],[h_hargasebelumdiskon]]-Table1[[#This Row],[h_disc 1]])*Table1[[#This Row],[Disc 2]]))</f>
        <v/>
      </c>
      <c r="AB96" s="283" t="str">
        <f>IF(Table1[Item Description]="","",Table1[[#This Row],[h_disc 1]]+Table1[[#This Row],[h_disc 2]])</f>
        <v/>
      </c>
      <c r="AC96" s="283" t="str">
        <f>IF(Table1[Item Description]="","",Table1[[#This Row],[h_hargasebelumdiskon]]-Table1[[#This Row],[h_diskon]])</f>
        <v/>
      </c>
      <c r="AD96" s="283" t="str">
        <f ca="1">IF(Table1[//]="","",SUMIF(Table1[h_id],Table1[h_id],Table1[h_hargasetelahdiskon]))</f>
        <v/>
      </c>
      <c r="AE96" s="283"/>
      <c r="AF96" s="283" t="str">
        <f>Table1[[#This Row],[Item Description]]&amp;Table1[[#This Row],[Unit]]&amp;Table1[[#This Row],[Unit Price]]</f>
        <v/>
      </c>
    </row>
    <row r="97" spans="1:32" x14ac:dyDescent="0.25">
      <c r="A97" s="287">
        <f ca="1">IF(Table1[[#This Row],[No. Invoice :]]="","",ROW())</f>
        <v>97</v>
      </c>
      <c r="B97" s="287">
        <f ca="1">IF(Table1[h_Kode Sales :_1]="","",B$1+COUNT(INDIRECT("B$2:B"&amp;ROW()-1)))</f>
        <v>23080028</v>
      </c>
      <c r="C97" s="281">
        <f>IF(Table1[[#This Row],[H_TGL]]="","",Table1[[#This Row],[H_TGL]]+C$1-1)</f>
        <v>45166</v>
      </c>
      <c r="D97" s="292">
        <v>28</v>
      </c>
      <c r="E97" s="280" t="s">
        <v>177</v>
      </c>
      <c r="F97" s="282" t="s">
        <v>268</v>
      </c>
      <c r="G97" s="280" t="s">
        <v>93</v>
      </c>
      <c r="H97" s="287" t="str">
        <f ca="1">IF(Table1[[#This Row],[h_No. Invoice :]]="","",CONCATENATE("AM"," ",Table1[[#This Row],[h_No. Invoice :]]))</f>
        <v>AM 23080028</v>
      </c>
      <c r="I97" s="288" t="str">
        <f>CONCATENATE(UPPER(Table1[[#This Row],[h_Kode Sales :_1]])," ",Table1[[#This Row],[h_Kode Sales :_2]])</f>
        <v>G 3589</v>
      </c>
      <c r="J97" s="287" t="str">
        <f>IF(Table1[[#This Row],[h_toko]]="","",INDEX(Table2[e],IF(Table1[[#This Row],[h_toko]]="","",MATCH(Table1[[#This Row],[h_toko]],Table2[a],0)),))</f>
        <v>LILY JULIAWATI (REJO AGUNG) JOMBANG</v>
      </c>
      <c r="K97" s="280">
        <v>80</v>
      </c>
      <c r="L97" s="280" t="s">
        <v>263</v>
      </c>
      <c r="M97" s="280">
        <v>1</v>
      </c>
      <c r="O97" s="287" t="str">
        <f>IF(Table1[[#This Row],[h_Item Description]]="","",INDEX([1]!db[NB PAJAK],MATCH(Table1[[#This Row],[h_Item Description]],[1]!db[kode],0)))</f>
        <v/>
      </c>
      <c r="P97" s="280" t="s">
        <v>269</v>
      </c>
      <c r="Q97" s="283">
        <v>56000</v>
      </c>
      <c r="R97" s="284">
        <v>0.125</v>
      </c>
      <c r="T97" s="283">
        <f>Table1[[#This Row],[h_hargasetelahdiskon]]</f>
        <v>3920000</v>
      </c>
      <c r="U97" s="283" t="s">
        <v>266</v>
      </c>
      <c r="W97" s="287">
        <f ca="1">IF(Table1[[#This Row],[Item Description]]="","",IF(Table1[[#This Row],[//]]="",INDIRECT(ADDRESS(ROW()-1,COLUMN())),Table1[[#This Row],[//]]))</f>
        <v>97</v>
      </c>
      <c r="X97" s="287">
        <f ca="1">IF(Table1[[#This Row],[h_id]]="","",COUNTIF(Table1[h_id],Table1[[#This Row],[h_id]]))</f>
        <v>2</v>
      </c>
      <c r="Y97" s="283">
        <f>IF(Table1[Item Description]="","",Table1[[#This Row],[Qty]]*Table1[[#This Row],[Unit Price]])</f>
        <v>4480000</v>
      </c>
      <c r="Z97" s="283">
        <f>IF(Table1[[#This Row],[h_hargasebelumdiskon]]="","",IF(Table1[[#This Row],[Disc 1]]="",0,Table1[[#This Row],[h_hargasebelumdiskon]]*Table1[[#This Row],[Disc 1]]))</f>
        <v>560000</v>
      </c>
      <c r="AA97" s="283">
        <f>IF(Table1[[#This Row],[h_hargasebelumdiskon]]="","",IF(Table1[[#This Row],[Disc 2]]="",0,(Table1[[#This Row],[h_hargasebelumdiskon]]-Table1[[#This Row],[h_disc 1]])*Table1[[#This Row],[Disc 2]]))</f>
        <v>0</v>
      </c>
      <c r="AB97" s="283">
        <f>IF(Table1[Item Description]="","",Table1[[#This Row],[h_disc 1]]+Table1[[#This Row],[h_disc 2]])</f>
        <v>560000</v>
      </c>
      <c r="AC97" s="283">
        <f>IF(Table1[Item Description]="","",Table1[[#This Row],[h_hargasebelumdiskon]]-Table1[[#This Row],[h_diskon]])</f>
        <v>3920000</v>
      </c>
      <c r="AD97" s="283">
        <f ca="1">IF(Table1[//]="","",SUMIF(Table1[h_id],Table1[h_id],Table1[h_hargasetelahdiskon]))</f>
        <v>11669000</v>
      </c>
      <c r="AE97" s="283"/>
      <c r="AF97" s="283" t="str">
        <f>Table1[[#This Row],[Item Description]]&amp;Table1[[#This Row],[Unit]]&amp;Table1[[#This Row],[Unit Price]]</f>
        <v>CALCULATOR JOYKO CC-12COPC56000</v>
      </c>
    </row>
    <row r="98" spans="1:32" x14ac:dyDescent="0.25">
      <c r="A98" s="287" t="str">
        <f ca="1">IF(Table1[[#This Row],[No. Invoice :]]="","",ROW())</f>
        <v/>
      </c>
      <c r="B98" s="287" t="str">
        <f ca="1">IF(Table1[h_Kode Sales :_1]="","",B$1+COUNT(INDIRECT("B$2:B"&amp;ROW()-1)))</f>
        <v/>
      </c>
      <c r="C98" s="281" t="str">
        <f>IF(Table1[[#This Row],[H_TGL]]="","",Table1[[#This Row],[H_TGL]]+C$1-1)</f>
        <v/>
      </c>
      <c r="H98" s="287" t="str">
        <f ca="1">IF(Table1[[#This Row],[h_No. Invoice :]]="","",CONCATENATE("AM"," ",Table1[[#This Row],[h_No. Invoice :]]))</f>
        <v/>
      </c>
      <c r="I98" s="288" t="str">
        <f>CONCATENATE(UPPER(Table1[[#This Row],[h_Kode Sales :_1]])," ",Table1[[#This Row],[h_Kode Sales :_2]])</f>
        <v xml:space="preserve"> </v>
      </c>
      <c r="J98" s="287" t="str">
        <f>IF(Table1[[#This Row],[h_toko]]="","",INDEX(Table2[e],IF(Table1[[#This Row],[h_toko]]="","",MATCH(Table1[[#This Row],[h_toko]],Table2[a],0)),))</f>
        <v/>
      </c>
      <c r="K98" s="280">
        <v>60</v>
      </c>
      <c r="L98" s="280" t="s">
        <v>267</v>
      </c>
      <c r="M98" s="280">
        <v>3</v>
      </c>
      <c r="O98" s="287" t="str">
        <f>IF(Table1[[#This Row],[h_Item Description]]="","",INDEX([1]!db[NB PAJAK],MATCH(Table1[[#This Row],[h_Item Description]],[1]!db[kode],0)))</f>
        <v/>
      </c>
      <c r="P98" s="280" t="s">
        <v>270</v>
      </c>
      <c r="Q98" s="283">
        <v>147600</v>
      </c>
      <c r="R98" s="284">
        <v>0.125</v>
      </c>
      <c r="T98" s="283">
        <f>Table1[[#This Row],[h_hargasetelahdiskon]]</f>
        <v>7749000</v>
      </c>
      <c r="W98" s="287">
        <f ca="1">IF(Table1[[#This Row],[Item Description]]="","",IF(Table1[[#This Row],[//]]="",INDIRECT(ADDRESS(ROW()-1,COLUMN())),Table1[[#This Row],[//]]))</f>
        <v>97</v>
      </c>
      <c r="X98" s="287">
        <f ca="1">IF(Table1[[#This Row],[h_id]]="","",COUNTIF(Table1[h_id],Table1[[#This Row],[h_id]]))</f>
        <v>2</v>
      </c>
      <c r="Y98" s="283">
        <f>IF(Table1[Item Description]="","",Table1[[#This Row],[Qty]]*Table1[[#This Row],[Unit Price]])</f>
        <v>8856000</v>
      </c>
      <c r="Z98" s="283">
        <f>IF(Table1[[#This Row],[h_hargasebelumdiskon]]="","",IF(Table1[[#This Row],[Disc 1]]="",0,Table1[[#This Row],[h_hargasebelumdiskon]]*Table1[[#This Row],[Disc 1]]))</f>
        <v>1107000</v>
      </c>
      <c r="AA98" s="283">
        <f>IF(Table1[[#This Row],[h_hargasebelumdiskon]]="","",IF(Table1[[#This Row],[Disc 2]]="",0,(Table1[[#This Row],[h_hargasebelumdiskon]]-Table1[[#This Row],[h_disc 1]])*Table1[[#This Row],[Disc 2]]))</f>
        <v>0</v>
      </c>
      <c r="AB98" s="283">
        <f>IF(Table1[Item Description]="","",Table1[[#This Row],[h_disc 1]]+Table1[[#This Row],[h_disc 2]])</f>
        <v>1107000</v>
      </c>
      <c r="AC98" s="283">
        <f>IF(Table1[Item Description]="","",Table1[[#This Row],[h_hargasebelumdiskon]]-Table1[[#This Row],[h_diskon]])</f>
        <v>7749000</v>
      </c>
      <c r="AD98" s="283" t="str">
        <f ca="1">IF(Table1[//]="","",SUMIF(Table1[h_id],Table1[h_id],Table1[h_hargasetelahdiskon]))</f>
        <v/>
      </c>
      <c r="AE98" s="283"/>
      <c r="AF98" s="283" t="str">
        <f>Table1[[#This Row],[Item Description]]&amp;Table1[[#This Row],[Unit]]&amp;Table1[[#This Row],[Unit Price]]</f>
        <v>CUTTER 18 MM KENKO L-500 (BESAR)LS147600</v>
      </c>
    </row>
    <row r="99" spans="1:32" x14ac:dyDescent="0.25">
      <c r="A99" s="287" t="str">
        <f ca="1">IF(Table1[[#This Row],[No. Invoice :]]="","",ROW())</f>
        <v/>
      </c>
      <c r="B99" s="287" t="str">
        <f ca="1">IF(Table1[h_Kode Sales :_1]="","",B$1+COUNT(INDIRECT("B$2:B"&amp;ROW()-1)))</f>
        <v/>
      </c>
      <c r="C99" s="281" t="str">
        <f>IF(Table1[[#This Row],[H_TGL]]="","",Table1[[#This Row],[H_TGL]]+C$1-1)</f>
        <v/>
      </c>
      <c r="H99" s="287" t="str">
        <f ca="1">IF(Table1[[#This Row],[h_No. Invoice :]]="","",CONCATENATE("AM"," ",Table1[[#This Row],[h_No. Invoice :]]))</f>
        <v/>
      </c>
      <c r="I99" s="288" t="str">
        <f>CONCATENATE(UPPER(Table1[[#This Row],[h_Kode Sales :_1]])," ",Table1[[#This Row],[h_Kode Sales :_2]])</f>
        <v xml:space="preserve"> </v>
      </c>
      <c r="J99" s="287" t="str">
        <f>IF(Table1[[#This Row],[h_toko]]="","",INDEX(Table2[e],IF(Table1[[#This Row],[h_toko]]="","",MATCH(Table1[[#This Row],[h_toko]],Table2[a],0)),))</f>
        <v/>
      </c>
      <c r="O99" s="287" t="str">
        <f>IF(Table1[[#This Row],[h_Item Description]]="","",INDEX([1]!db[NB PAJAK],MATCH(Table1[[#This Row],[h_Item Description]],[1]!db[kode],0)))</f>
        <v/>
      </c>
      <c r="Q99" s="283"/>
      <c r="R99" s="284"/>
      <c r="T99" s="283" t="str">
        <f>Table1[[#This Row],[h_hargasetelahdiskon]]</f>
        <v/>
      </c>
      <c r="W99" s="287" t="str">
        <f ca="1">IF(Table1[[#This Row],[Item Description]]="","",IF(Table1[[#This Row],[//]]="",INDIRECT(ADDRESS(ROW()-1,COLUMN())),Table1[[#This Row],[//]]))</f>
        <v/>
      </c>
      <c r="X99" s="287" t="str">
        <f ca="1">IF(Table1[[#This Row],[h_id]]="","",COUNTIF(Table1[h_id],Table1[[#This Row],[h_id]]))</f>
        <v/>
      </c>
      <c r="Y99" s="283" t="str">
        <f>IF(Table1[Item Description]="","",Table1[[#This Row],[Qty]]*Table1[[#This Row],[Unit Price]])</f>
        <v/>
      </c>
      <c r="Z99" s="283" t="str">
        <f>IF(Table1[[#This Row],[h_hargasebelumdiskon]]="","",IF(Table1[[#This Row],[Disc 1]]="",0,Table1[[#This Row],[h_hargasebelumdiskon]]*Table1[[#This Row],[Disc 1]]))</f>
        <v/>
      </c>
      <c r="AA99" s="283" t="str">
        <f>IF(Table1[[#This Row],[h_hargasebelumdiskon]]="","",IF(Table1[[#This Row],[Disc 2]]="",0,(Table1[[#This Row],[h_hargasebelumdiskon]]-Table1[[#This Row],[h_disc 1]])*Table1[[#This Row],[Disc 2]]))</f>
        <v/>
      </c>
      <c r="AB99" s="283" t="str">
        <f>IF(Table1[Item Description]="","",Table1[[#This Row],[h_disc 1]]+Table1[[#This Row],[h_disc 2]])</f>
        <v/>
      </c>
      <c r="AC99" s="283" t="str">
        <f>IF(Table1[Item Description]="","",Table1[[#This Row],[h_hargasebelumdiskon]]-Table1[[#This Row],[h_diskon]])</f>
        <v/>
      </c>
      <c r="AD99" s="283" t="str">
        <f ca="1">IF(Table1[//]="","",SUMIF(Table1[h_id],Table1[h_id],Table1[h_hargasetelahdiskon]))</f>
        <v/>
      </c>
      <c r="AE99" s="283"/>
      <c r="AF99" s="283" t="str">
        <f>Table1[[#This Row],[Item Description]]&amp;Table1[[#This Row],[Unit]]&amp;Table1[[#This Row],[Unit Price]]</f>
        <v/>
      </c>
    </row>
    <row r="100" spans="1:32" x14ac:dyDescent="0.25">
      <c r="A100" s="287">
        <f ca="1">IF(Table1[[#This Row],[No. Invoice :]]="","",ROW())</f>
        <v>100</v>
      </c>
      <c r="B100" s="287">
        <f ca="1">IF(Table1[h_Kode Sales :_1]="","",B$1+COUNT(INDIRECT("B$2:B"&amp;ROW()-1)))</f>
        <v>23080029</v>
      </c>
      <c r="C100" s="281">
        <f>IF(Table1[[#This Row],[H_TGL]]="","",Table1[[#This Row],[H_TGL]]+C$1-1)</f>
        <v>45162</v>
      </c>
      <c r="D100" s="292">
        <v>24</v>
      </c>
      <c r="E100" s="280" t="s">
        <v>128</v>
      </c>
      <c r="F100" s="282" t="s">
        <v>241</v>
      </c>
      <c r="G100" s="280" t="s">
        <v>214</v>
      </c>
      <c r="H100" s="287" t="str">
        <f ca="1">IF(Table1[[#This Row],[h_No. Invoice :]]="","",CONCATENATE("AM"," ",Table1[[#This Row],[h_No. Invoice :]]))</f>
        <v>AM 23080029</v>
      </c>
      <c r="I100" s="288" t="str">
        <f>CONCATENATE(UPPER(Table1[[#This Row],[h_Kode Sales :_1]])," ",Table1[[#This Row],[h_Kode Sales :_2]])</f>
        <v>KO 3572</v>
      </c>
      <c r="J100" s="287" t="str">
        <f>IF(Table1[[#This Row],[h_toko]]="","",INDEX(Table2[e],IF(Table1[[#This Row],[h_toko]]="","",MATCH(Table1[[#This Row],[h_toko]],Table2[a],0)),))</f>
        <v>CV DWI JAYA YOGYAKARTA</v>
      </c>
      <c r="K100" s="280">
        <v>6</v>
      </c>
      <c r="L100" s="280" t="s">
        <v>143</v>
      </c>
      <c r="N100" s="280" t="s">
        <v>242</v>
      </c>
      <c r="O100" s="287" t="str">
        <f>IF(Table1[[#This Row],[h_Item Description]]="","",INDEX([1]!db[NB PAJAK],MATCH(Table1[[#This Row],[h_Item Description]],[1]!db[kode],0)))</f>
        <v>CORRECTION FLUID KENKO KE-01</v>
      </c>
      <c r="P100" s="280" t="s">
        <v>250</v>
      </c>
      <c r="Q100" s="283">
        <v>54300</v>
      </c>
      <c r="R100" s="284">
        <v>0.1</v>
      </c>
      <c r="T100" s="283">
        <f>Table1[[#This Row],[h_hargasetelahdiskon]]</f>
        <v>293220</v>
      </c>
      <c r="U100" s="283" t="s">
        <v>133</v>
      </c>
      <c r="W100" s="287">
        <f ca="1">IF(Table1[[#This Row],[Item Description]]="","",IF(Table1[[#This Row],[//]]="",INDIRECT(ADDRESS(ROW()-1,COLUMN())),Table1[[#This Row],[//]]))</f>
        <v>100</v>
      </c>
      <c r="X100" s="287">
        <f ca="1">IF(Table1[[#This Row],[h_id]]="","",COUNTIF(Table1[h_id],Table1[[#This Row],[h_id]]))</f>
        <v>8</v>
      </c>
      <c r="Y100" s="283">
        <f>IF(Table1[Item Description]="","",Table1[[#This Row],[Qty]]*Table1[[#This Row],[Unit Price]])</f>
        <v>325800</v>
      </c>
      <c r="Z100" s="283">
        <f>IF(Table1[[#This Row],[h_hargasebelumdiskon]]="","",IF(Table1[[#This Row],[Disc 1]]="",0,Table1[[#This Row],[h_hargasebelumdiskon]]*Table1[[#This Row],[Disc 1]]))</f>
        <v>32580</v>
      </c>
      <c r="AA100" s="283">
        <f>IF(Table1[[#This Row],[h_hargasebelumdiskon]]="","",IF(Table1[[#This Row],[Disc 2]]="",0,(Table1[[#This Row],[h_hargasebelumdiskon]]-Table1[[#This Row],[h_disc 1]])*Table1[[#This Row],[Disc 2]]))</f>
        <v>0</v>
      </c>
      <c r="AB100" s="283">
        <f>IF(Table1[Item Description]="","",Table1[[#This Row],[h_disc 1]]+Table1[[#This Row],[h_disc 2]])</f>
        <v>32580</v>
      </c>
      <c r="AC100" s="283">
        <f>IF(Table1[Item Description]="","",Table1[[#This Row],[h_hargasebelumdiskon]]-Table1[[#This Row],[h_diskon]])</f>
        <v>293220</v>
      </c>
      <c r="AD100" s="283">
        <f ca="1">IF(Table1[//]="","",SUMIF(Table1[h_id],Table1[h_id],Table1[h_hargasetelahdiskon]))</f>
        <v>3602340</v>
      </c>
      <c r="AE100" s="283"/>
      <c r="AF100" s="283" t="str">
        <f>Table1[[#This Row],[Item Description]]&amp;Table1[[#This Row],[Unit]]&amp;Table1[[#This Row],[Unit Price]]</f>
        <v>CORRECTION FLUID KENKO KE-01LSN54300</v>
      </c>
    </row>
    <row r="101" spans="1:32" x14ac:dyDescent="0.25">
      <c r="A101" s="287" t="str">
        <f ca="1">IF(Table1[[#This Row],[No. Invoice :]]="","",ROW())</f>
        <v/>
      </c>
      <c r="B101" s="287" t="str">
        <f ca="1">IF(Table1[h_Kode Sales :_1]="","",B$1+COUNT(INDIRECT("B$2:B"&amp;ROW()-1)))</f>
        <v/>
      </c>
      <c r="C101" s="281" t="str">
        <f>IF(Table1[[#This Row],[H_TGL]]="","",Table1[[#This Row],[H_TGL]]+C$1-1)</f>
        <v/>
      </c>
      <c r="H101" s="287" t="str">
        <f ca="1">IF(Table1[[#This Row],[h_No. Invoice :]]="","",CONCATENATE("AM"," ",Table1[[#This Row],[h_No. Invoice :]]))</f>
        <v/>
      </c>
      <c r="I101" s="288" t="str">
        <f>CONCATENATE(UPPER(Table1[[#This Row],[h_Kode Sales :_1]])," ",Table1[[#This Row],[h_Kode Sales :_2]])</f>
        <v xml:space="preserve"> </v>
      </c>
      <c r="J101" s="287" t="str">
        <f>IF(Table1[[#This Row],[h_toko]]="","",INDEX(Table2[e],IF(Table1[[#This Row],[h_toko]]="","",MATCH(Table1[[#This Row],[h_toko]],Table2[a],0)),))</f>
        <v/>
      </c>
      <c r="K101" s="280">
        <v>6</v>
      </c>
      <c r="L101" s="280" t="s">
        <v>143</v>
      </c>
      <c r="N101" s="280" t="s">
        <v>243</v>
      </c>
      <c r="O101" s="287" t="str">
        <f>IF(Table1[[#This Row],[h_Item Description]]="","",INDEX([1]!db[NB PAJAK],MATCH(Table1[[#This Row],[h_Item Description]],[1]!db[kode],0)))</f>
        <v>CORRECTION TAPE KENKO CT-902 (12M x 5MM)</v>
      </c>
      <c r="P101" s="280" t="s">
        <v>251</v>
      </c>
      <c r="Q101" s="283">
        <v>60000</v>
      </c>
      <c r="R101" s="284">
        <v>0.1</v>
      </c>
      <c r="T101" s="283">
        <f>Table1[[#This Row],[h_hargasetelahdiskon]]</f>
        <v>324000</v>
      </c>
      <c r="W101" s="287">
        <f ca="1">IF(Table1[[#This Row],[Item Description]]="","",IF(Table1[[#This Row],[//]]="",INDIRECT(ADDRESS(ROW()-1,COLUMN())),Table1[[#This Row],[//]]))</f>
        <v>100</v>
      </c>
      <c r="X101" s="287">
        <f ca="1">IF(Table1[[#This Row],[h_id]]="","",COUNTIF(Table1[h_id],Table1[[#This Row],[h_id]]))</f>
        <v>8</v>
      </c>
      <c r="Y101" s="283">
        <f>IF(Table1[Item Description]="","",Table1[[#This Row],[Qty]]*Table1[[#This Row],[Unit Price]])</f>
        <v>360000</v>
      </c>
      <c r="Z101" s="283">
        <f>IF(Table1[[#This Row],[h_hargasebelumdiskon]]="","",IF(Table1[[#This Row],[Disc 1]]="",0,Table1[[#This Row],[h_hargasebelumdiskon]]*Table1[[#This Row],[Disc 1]]))</f>
        <v>36000</v>
      </c>
      <c r="AA101" s="283">
        <f>IF(Table1[[#This Row],[h_hargasebelumdiskon]]="","",IF(Table1[[#This Row],[Disc 2]]="",0,(Table1[[#This Row],[h_hargasebelumdiskon]]-Table1[[#This Row],[h_disc 1]])*Table1[[#This Row],[Disc 2]]))</f>
        <v>0</v>
      </c>
      <c r="AB101" s="283">
        <f>IF(Table1[Item Description]="","",Table1[[#This Row],[h_disc 1]]+Table1[[#This Row],[h_disc 2]])</f>
        <v>36000</v>
      </c>
      <c r="AC101" s="283">
        <f>IF(Table1[Item Description]="","",Table1[[#This Row],[h_hargasebelumdiskon]]-Table1[[#This Row],[h_diskon]])</f>
        <v>324000</v>
      </c>
      <c r="AD101" s="283" t="str">
        <f ca="1">IF(Table1[//]="","",SUMIF(Table1[h_id],Table1[h_id],Table1[h_hargasetelahdiskon]))</f>
        <v/>
      </c>
      <c r="AE101" s="283"/>
      <c r="AF101" s="283" t="str">
        <f>Table1[[#This Row],[Item Description]]&amp;Table1[[#This Row],[Unit]]&amp;Table1[[#This Row],[Unit Price]]</f>
        <v>CORRECTION TAPE KENKO CT-902 (12M x 5MM)LSN60000</v>
      </c>
    </row>
    <row r="102" spans="1:32" x14ac:dyDescent="0.25">
      <c r="A102" s="287" t="str">
        <f ca="1">IF(Table1[[#This Row],[No. Invoice :]]="","",ROW())</f>
        <v/>
      </c>
      <c r="B102" s="287" t="str">
        <f ca="1">IF(Table1[h_Kode Sales :_1]="","",B$1+COUNT(INDIRECT("B$2:B"&amp;ROW()-1)))</f>
        <v/>
      </c>
      <c r="C102" s="281" t="str">
        <f>IF(Table1[[#This Row],[H_TGL]]="","",Table1[[#This Row],[H_TGL]]+C$1-1)</f>
        <v/>
      </c>
      <c r="H102" s="287" t="str">
        <f ca="1">IF(Table1[[#This Row],[h_No. Invoice :]]="","",CONCATENATE("AM"," ",Table1[[#This Row],[h_No. Invoice :]]))</f>
        <v/>
      </c>
      <c r="I102" s="288" t="str">
        <f>CONCATENATE(UPPER(Table1[[#This Row],[h_Kode Sales :_1]])," ",Table1[[#This Row],[h_Kode Sales :_2]])</f>
        <v xml:space="preserve"> </v>
      </c>
      <c r="J102" s="287" t="str">
        <f>IF(Table1[[#This Row],[h_toko]]="","",INDEX(Table2[e],IF(Table1[[#This Row],[h_toko]]="","",MATCH(Table1[[#This Row],[h_toko]],Table2[a],0)),))</f>
        <v/>
      </c>
      <c r="K102" s="280">
        <v>12</v>
      </c>
      <c r="L102" s="280" t="s">
        <v>143</v>
      </c>
      <c r="N102" s="280" t="s">
        <v>244</v>
      </c>
      <c r="O102" s="287" t="str">
        <f>IF(Table1[[#This Row],[h_Item Description]]="","",INDEX([1]!db[NB PAJAK],MATCH(Table1[[#This Row],[h_Item Description]],[1]!db[kode],0)))</f>
        <v>GEL PEN KENKO K-1 HITAM</v>
      </c>
      <c r="P102" s="280" t="s">
        <v>252</v>
      </c>
      <c r="Q102" s="283">
        <v>39600</v>
      </c>
      <c r="R102" s="284">
        <v>0.1</v>
      </c>
      <c r="T102" s="283">
        <f>Table1[[#This Row],[h_hargasetelahdiskon]]</f>
        <v>427680</v>
      </c>
      <c r="W102" s="287">
        <f ca="1">IF(Table1[[#This Row],[Item Description]]="","",IF(Table1[[#This Row],[//]]="",INDIRECT(ADDRESS(ROW()-1,COLUMN())),Table1[[#This Row],[//]]))</f>
        <v>100</v>
      </c>
      <c r="X102" s="287">
        <f ca="1">IF(Table1[[#This Row],[h_id]]="","",COUNTIF(Table1[h_id],Table1[[#This Row],[h_id]]))</f>
        <v>8</v>
      </c>
      <c r="Y102" s="283">
        <f>IF(Table1[Item Description]="","",Table1[[#This Row],[Qty]]*Table1[[#This Row],[Unit Price]])</f>
        <v>475200</v>
      </c>
      <c r="Z102" s="283">
        <f>IF(Table1[[#This Row],[h_hargasebelumdiskon]]="","",IF(Table1[[#This Row],[Disc 1]]="",0,Table1[[#This Row],[h_hargasebelumdiskon]]*Table1[[#This Row],[Disc 1]]))</f>
        <v>47520</v>
      </c>
      <c r="AA102" s="283">
        <f>IF(Table1[[#This Row],[h_hargasebelumdiskon]]="","",IF(Table1[[#This Row],[Disc 2]]="",0,(Table1[[#This Row],[h_hargasebelumdiskon]]-Table1[[#This Row],[h_disc 1]])*Table1[[#This Row],[Disc 2]]))</f>
        <v>0</v>
      </c>
      <c r="AB102" s="283">
        <f>IF(Table1[Item Description]="","",Table1[[#This Row],[h_disc 1]]+Table1[[#This Row],[h_disc 2]])</f>
        <v>47520</v>
      </c>
      <c r="AC102" s="283">
        <f>IF(Table1[Item Description]="","",Table1[[#This Row],[h_hargasebelumdiskon]]-Table1[[#This Row],[h_diskon]])</f>
        <v>427680</v>
      </c>
      <c r="AD102" s="283" t="str">
        <f ca="1">IF(Table1[//]="","",SUMIF(Table1[h_id],Table1[h_id],Table1[h_hargasetelahdiskon]))</f>
        <v/>
      </c>
      <c r="AE102" s="283"/>
      <c r="AF102" s="283" t="str">
        <f>Table1[[#This Row],[Item Description]]&amp;Table1[[#This Row],[Unit]]&amp;Table1[[#This Row],[Unit Price]]</f>
        <v>GEL PEN KENKO K-1 HITAMLSN39600</v>
      </c>
    </row>
    <row r="103" spans="1:32" x14ac:dyDescent="0.25">
      <c r="A103" s="287" t="str">
        <f ca="1">IF(Table1[[#This Row],[No. Invoice :]]="","",ROW())</f>
        <v/>
      </c>
      <c r="B103" s="287" t="str">
        <f ca="1">IF(Table1[h_Kode Sales :_1]="","",B$1+COUNT(INDIRECT("B$2:B"&amp;ROW()-1)))</f>
        <v/>
      </c>
      <c r="C103" s="281" t="str">
        <f>IF(Table1[[#This Row],[H_TGL]]="","",Table1[[#This Row],[H_TGL]]+C$1-1)</f>
        <v/>
      </c>
      <c r="H103" s="287" t="str">
        <f ca="1">IF(Table1[[#This Row],[h_No. Invoice :]]="","",CONCATENATE("AM"," ",Table1[[#This Row],[h_No. Invoice :]]))</f>
        <v/>
      </c>
      <c r="I103" s="288" t="str">
        <f>CONCATENATE(UPPER(Table1[[#This Row],[h_Kode Sales :_1]])," ",Table1[[#This Row],[h_Kode Sales :_2]])</f>
        <v xml:space="preserve"> </v>
      </c>
      <c r="J103" s="287" t="str">
        <f>IF(Table1[[#This Row],[h_toko]]="","",INDEX(Table2[e],IF(Table1[[#This Row],[h_toko]]="","",MATCH(Table1[[#This Row],[h_toko]],Table2[a],0)),))</f>
        <v/>
      </c>
      <c r="K103" s="280">
        <v>12</v>
      </c>
      <c r="L103" s="280" t="s">
        <v>143</v>
      </c>
      <c r="N103" s="280" t="s">
        <v>245</v>
      </c>
      <c r="O103" s="287" t="str">
        <f>IF(Table1[[#This Row],[h_Item Description]]="","",INDEX([1]!db[NB PAJAK],MATCH(Table1[[#This Row],[h_Item Description]],[1]!db[kode],0)))</f>
        <v>GEL PEN KENKO KE-303 T-GEL TRIANGULAR HITAM</v>
      </c>
      <c r="P103" s="280" t="s">
        <v>253</v>
      </c>
      <c r="Q103" s="283">
        <v>21600</v>
      </c>
      <c r="R103" s="284">
        <v>0.1</v>
      </c>
      <c r="T103" s="283">
        <f>Table1[[#This Row],[h_hargasetelahdiskon]]</f>
        <v>233280</v>
      </c>
      <c r="W103" s="287">
        <f ca="1">IF(Table1[[#This Row],[Item Description]]="","",IF(Table1[[#This Row],[//]]="",INDIRECT(ADDRESS(ROW()-1,COLUMN())),Table1[[#This Row],[//]]))</f>
        <v>100</v>
      </c>
      <c r="X103" s="287">
        <f ca="1">IF(Table1[[#This Row],[h_id]]="","",COUNTIF(Table1[h_id],Table1[[#This Row],[h_id]]))</f>
        <v>8</v>
      </c>
      <c r="Y103" s="283">
        <f>IF(Table1[Item Description]="","",Table1[[#This Row],[Qty]]*Table1[[#This Row],[Unit Price]])</f>
        <v>259200</v>
      </c>
      <c r="Z103" s="283">
        <f>IF(Table1[[#This Row],[h_hargasebelumdiskon]]="","",IF(Table1[[#This Row],[Disc 1]]="",0,Table1[[#This Row],[h_hargasebelumdiskon]]*Table1[[#This Row],[Disc 1]]))</f>
        <v>25920</v>
      </c>
      <c r="AA103" s="283">
        <f>IF(Table1[[#This Row],[h_hargasebelumdiskon]]="","",IF(Table1[[#This Row],[Disc 2]]="",0,(Table1[[#This Row],[h_hargasebelumdiskon]]-Table1[[#This Row],[h_disc 1]])*Table1[[#This Row],[Disc 2]]))</f>
        <v>0</v>
      </c>
      <c r="AB103" s="283">
        <f>IF(Table1[Item Description]="","",Table1[[#This Row],[h_disc 1]]+Table1[[#This Row],[h_disc 2]])</f>
        <v>25920</v>
      </c>
      <c r="AC103" s="283">
        <f>IF(Table1[Item Description]="","",Table1[[#This Row],[h_hargasebelumdiskon]]-Table1[[#This Row],[h_diskon]])</f>
        <v>233280</v>
      </c>
      <c r="AD103" s="283" t="str">
        <f ca="1">IF(Table1[//]="","",SUMIF(Table1[h_id],Table1[h_id],Table1[h_hargasetelahdiskon]))</f>
        <v/>
      </c>
      <c r="AE103" s="283"/>
      <c r="AF103" s="283" t="str">
        <f>Table1[[#This Row],[Item Description]]&amp;Table1[[#This Row],[Unit]]&amp;Table1[[#This Row],[Unit Price]]</f>
        <v>GEL PEN KENKO KE-303 T-GEL TRIANGULAR HITAMLSN21600</v>
      </c>
    </row>
    <row r="104" spans="1:32" x14ac:dyDescent="0.25">
      <c r="A104" s="287" t="str">
        <f ca="1">IF(Table1[[#This Row],[No. Invoice :]]="","",ROW())</f>
        <v/>
      </c>
      <c r="B104" s="287" t="str">
        <f ca="1">IF(Table1[h_Kode Sales :_1]="","",B$1+COUNT(INDIRECT("B$2:B"&amp;ROW()-1)))</f>
        <v/>
      </c>
      <c r="C104" s="281" t="str">
        <f>IF(Table1[[#This Row],[H_TGL]]="","",Table1[[#This Row],[H_TGL]]+C$1-1)</f>
        <v/>
      </c>
      <c r="H104" s="287" t="str">
        <f ca="1">IF(Table1[[#This Row],[h_No. Invoice :]]="","",CONCATENATE("AM"," ",Table1[[#This Row],[h_No. Invoice :]]))</f>
        <v/>
      </c>
      <c r="I104" s="288" t="str">
        <f>CONCATENATE(UPPER(Table1[[#This Row],[h_Kode Sales :_1]])," ",Table1[[#This Row],[h_Kode Sales :_2]])</f>
        <v xml:space="preserve"> </v>
      </c>
      <c r="J104" s="287" t="str">
        <f>IF(Table1[[#This Row],[h_toko]]="","",INDEX(Table2[e],IF(Table1[[#This Row],[h_toko]]="","",MATCH(Table1[[#This Row],[h_toko]],Table2[a],0)),))</f>
        <v/>
      </c>
      <c r="K104" s="280">
        <v>6</v>
      </c>
      <c r="L104" s="280" t="s">
        <v>143</v>
      </c>
      <c r="N104" s="280" t="s">
        <v>249</v>
      </c>
      <c r="O104" s="287" t="str">
        <f>IF(Table1[[#This Row],[h_Item Description]]="","",INDEX([1]!db[NB PAJAK],MATCH(Table1[[#This Row],[h_Item Description]],[1]!db[kode],0)))</f>
        <v>PUSH PIN KENKO PN-30 WARNA</v>
      </c>
      <c r="P104" s="280" t="s">
        <v>256</v>
      </c>
      <c r="Q104" s="283">
        <v>33000</v>
      </c>
      <c r="R104" s="284">
        <v>0.1</v>
      </c>
      <c r="T104" s="283">
        <f>Table1[[#This Row],[h_hargasetelahdiskon]]</f>
        <v>178200</v>
      </c>
      <c r="W104" s="287">
        <f ca="1">IF(Table1[[#This Row],[Item Description]]="","",IF(Table1[[#This Row],[//]]="",INDIRECT(ADDRESS(ROW()-1,COLUMN())),Table1[[#This Row],[//]]))</f>
        <v>100</v>
      </c>
      <c r="X104" s="287">
        <f ca="1">IF(Table1[[#This Row],[h_id]]="","",COUNTIF(Table1[h_id],Table1[[#This Row],[h_id]]))</f>
        <v>8</v>
      </c>
      <c r="Y104" s="283">
        <f>IF(Table1[Item Description]="","",Table1[[#This Row],[Qty]]*Table1[[#This Row],[Unit Price]])</f>
        <v>198000</v>
      </c>
      <c r="Z104" s="283">
        <f>IF(Table1[[#This Row],[h_hargasebelumdiskon]]="","",IF(Table1[[#This Row],[Disc 1]]="",0,Table1[[#This Row],[h_hargasebelumdiskon]]*Table1[[#This Row],[Disc 1]]))</f>
        <v>19800</v>
      </c>
      <c r="AA104" s="283">
        <f>IF(Table1[[#This Row],[h_hargasebelumdiskon]]="","",IF(Table1[[#This Row],[Disc 2]]="",0,(Table1[[#This Row],[h_hargasebelumdiskon]]-Table1[[#This Row],[h_disc 1]])*Table1[[#This Row],[Disc 2]]))</f>
        <v>0</v>
      </c>
      <c r="AB104" s="283">
        <f>IF(Table1[Item Description]="","",Table1[[#This Row],[h_disc 1]]+Table1[[#This Row],[h_disc 2]])</f>
        <v>19800</v>
      </c>
      <c r="AC104" s="283">
        <f>IF(Table1[Item Description]="","",Table1[[#This Row],[h_hargasebelumdiskon]]-Table1[[#This Row],[h_diskon]])</f>
        <v>178200</v>
      </c>
      <c r="AD104" s="283" t="str">
        <f ca="1">IF(Table1[//]="","",SUMIF(Table1[h_id],Table1[h_id],Table1[h_hargasetelahdiskon]))</f>
        <v/>
      </c>
      <c r="AE104" s="283"/>
      <c r="AF104" s="283" t="str">
        <f>Table1[[#This Row],[Item Description]]&amp;Table1[[#This Row],[Unit]]&amp;Table1[[#This Row],[Unit Price]]</f>
        <v>PUSH PIN KENKO PN-30LSN33000</v>
      </c>
    </row>
    <row r="105" spans="1:32" x14ac:dyDescent="0.25">
      <c r="A105" s="287" t="str">
        <f ca="1">IF(Table1[[#This Row],[No. Invoice :]]="","",ROW())</f>
        <v/>
      </c>
      <c r="B105" s="287" t="str">
        <f ca="1">IF(Table1[h_Kode Sales :_1]="","",B$1+COUNT(INDIRECT("B$2:B"&amp;ROW()-1)))</f>
        <v/>
      </c>
      <c r="C105" s="281" t="str">
        <f>IF(Table1[[#This Row],[H_TGL]]="","",Table1[[#This Row],[H_TGL]]+C$1-1)</f>
        <v/>
      </c>
      <c r="H105" s="287" t="str">
        <f ca="1">IF(Table1[[#This Row],[h_No. Invoice :]]="","",CONCATENATE("AM"," ",Table1[[#This Row],[h_No. Invoice :]]))</f>
        <v/>
      </c>
      <c r="I105" s="288" t="str">
        <f>CONCATENATE(UPPER(Table1[[#This Row],[h_Kode Sales :_1]])," ",Table1[[#This Row],[h_Kode Sales :_2]])</f>
        <v xml:space="preserve"> </v>
      </c>
      <c r="J105" s="287" t="str">
        <f>IF(Table1[[#This Row],[h_toko]]="","",INDEX(Table2[e],IF(Table1[[#This Row],[h_toko]]="","",MATCH(Table1[[#This Row],[h_toko]],Table2[a],0)),))</f>
        <v/>
      </c>
      <c r="K105" s="280">
        <v>6</v>
      </c>
      <c r="L105" s="280" t="s">
        <v>143</v>
      </c>
      <c r="N105" s="280" t="s">
        <v>246</v>
      </c>
      <c r="O105" s="287" t="str">
        <f>IF(Table1[[#This Row],[h_Item Description]]="","",INDEX([1]!db[NB PAJAK],MATCH(Table1[[#This Row],[h_Item Description]],[1]!db[kode],0)))</f>
        <v>PAPER CLIP WARNA KENKO 3100</v>
      </c>
      <c r="P105" s="280" t="s">
        <v>254</v>
      </c>
      <c r="Q105" s="283">
        <v>41400</v>
      </c>
      <c r="R105" s="284">
        <v>0.1</v>
      </c>
      <c r="T105" s="283">
        <f>Table1[[#This Row],[h_hargasetelahdiskon]]</f>
        <v>223560</v>
      </c>
      <c r="W105" s="287">
        <f ca="1">IF(Table1[[#This Row],[Item Description]]="","",IF(Table1[[#This Row],[//]]="",INDIRECT(ADDRESS(ROW()-1,COLUMN())),Table1[[#This Row],[//]]))</f>
        <v>100</v>
      </c>
      <c r="X105" s="287">
        <f ca="1">IF(Table1[[#This Row],[h_id]]="","",COUNTIF(Table1[h_id],Table1[[#This Row],[h_id]]))</f>
        <v>8</v>
      </c>
      <c r="Y105" s="283">
        <f>IF(Table1[Item Description]="","",Table1[[#This Row],[Qty]]*Table1[[#This Row],[Unit Price]])</f>
        <v>248400</v>
      </c>
      <c r="Z105" s="283">
        <f>IF(Table1[[#This Row],[h_hargasebelumdiskon]]="","",IF(Table1[[#This Row],[Disc 1]]="",0,Table1[[#This Row],[h_hargasebelumdiskon]]*Table1[[#This Row],[Disc 1]]))</f>
        <v>24840</v>
      </c>
      <c r="AA105" s="283">
        <f>IF(Table1[[#This Row],[h_hargasebelumdiskon]]="","",IF(Table1[[#This Row],[Disc 2]]="",0,(Table1[[#This Row],[h_hargasebelumdiskon]]-Table1[[#This Row],[h_disc 1]])*Table1[[#This Row],[Disc 2]]))</f>
        <v>0</v>
      </c>
      <c r="AB105" s="283">
        <f>IF(Table1[Item Description]="","",Table1[[#This Row],[h_disc 1]]+Table1[[#This Row],[h_disc 2]])</f>
        <v>24840</v>
      </c>
      <c r="AC105" s="283">
        <f>IF(Table1[Item Description]="","",Table1[[#This Row],[h_hargasebelumdiskon]]-Table1[[#This Row],[h_diskon]])</f>
        <v>223560</v>
      </c>
      <c r="AD105" s="283" t="str">
        <f ca="1">IF(Table1[//]="","",SUMIF(Table1[h_id],Table1[h_id],Table1[h_hargasetelahdiskon]))</f>
        <v/>
      </c>
      <c r="AE105" s="283"/>
      <c r="AF105" s="283" t="str">
        <f>Table1[[#This Row],[Item Description]]&amp;Table1[[#This Row],[Unit]]&amp;Table1[[#This Row],[Unit Price]]</f>
        <v>PAPER CLIP WARNA KENKO 3100LSN41400</v>
      </c>
    </row>
    <row r="106" spans="1:32" x14ac:dyDescent="0.25">
      <c r="A106" s="287" t="str">
        <f ca="1">IF(Table1[[#This Row],[No. Invoice :]]="","",ROW())</f>
        <v/>
      </c>
      <c r="B106" s="287" t="str">
        <f ca="1">IF(Table1[h_Kode Sales :_1]="","",B$1+COUNT(INDIRECT("B$2:B"&amp;ROW()-1)))</f>
        <v/>
      </c>
      <c r="C106" s="281" t="str">
        <f>IF(Table1[[#This Row],[H_TGL]]="","",Table1[[#This Row],[H_TGL]]+C$1-1)</f>
        <v/>
      </c>
      <c r="H106" s="287" t="str">
        <f ca="1">IF(Table1[[#This Row],[h_No. Invoice :]]="","",CONCATENATE("AM"," ",Table1[[#This Row],[h_No. Invoice :]]))</f>
        <v/>
      </c>
      <c r="I106" s="288" t="str">
        <f>CONCATENATE(UPPER(Table1[[#This Row],[h_Kode Sales :_1]])," ",Table1[[#This Row],[h_Kode Sales :_2]])</f>
        <v xml:space="preserve"> </v>
      </c>
      <c r="J106" s="287" t="str">
        <f>IF(Table1[[#This Row],[h_toko]]="","",INDEX(Table2[e],IF(Table1[[#This Row],[h_toko]]="","",MATCH(Table1[[#This Row],[h_toko]],Table2[a],0)),))</f>
        <v/>
      </c>
      <c r="K106" s="280">
        <v>2</v>
      </c>
      <c r="L106" s="280" t="s">
        <v>143</v>
      </c>
      <c r="N106" s="280" t="s">
        <v>247</v>
      </c>
      <c r="O106" s="287" t="str">
        <f>IF(Table1[[#This Row],[h_Item Description]]="","",INDEX([1]!db[NB PAJAK],MATCH(Table1[[#This Row],[h_Item Description]],[1]!db[kode],0)))</f>
        <v>DESK SET KENKO K-8312 ORGANIZER</v>
      </c>
      <c r="P106" s="280" t="s">
        <v>174</v>
      </c>
      <c r="Q106" s="283">
        <v>348000</v>
      </c>
      <c r="R106" s="284">
        <v>0.1</v>
      </c>
      <c r="T106" s="283">
        <f>Table1[[#This Row],[h_hargasetelahdiskon]]</f>
        <v>626400</v>
      </c>
      <c r="W106" s="287">
        <f ca="1">IF(Table1[[#This Row],[Item Description]]="","",IF(Table1[[#This Row],[//]]="",INDIRECT(ADDRESS(ROW()-1,COLUMN())),Table1[[#This Row],[//]]))</f>
        <v>100</v>
      </c>
      <c r="X106" s="287">
        <f ca="1">IF(Table1[[#This Row],[h_id]]="","",COUNTIF(Table1[h_id],Table1[[#This Row],[h_id]]))</f>
        <v>8</v>
      </c>
      <c r="Y106" s="283">
        <f>IF(Table1[Item Description]="","",Table1[[#This Row],[Qty]]*Table1[[#This Row],[Unit Price]])</f>
        <v>696000</v>
      </c>
      <c r="Z106" s="283">
        <f>IF(Table1[[#This Row],[h_hargasebelumdiskon]]="","",IF(Table1[[#This Row],[Disc 1]]="",0,Table1[[#This Row],[h_hargasebelumdiskon]]*Table1[[#This Row],[Disc 1]]))</f>
        <v>69600</v>
      </c>
      <c r="AA106" s="283">
        <f>IF(Table1[[#This Row],[h_hargasebelumdiskon]]="","",IF(Table1[[#This Row],[Disc 2]]="",0,(Table1[[#This Row],[h_hargasebelumdiskon]]-Table1[[#This Row],[h_disc 1]])*Table1[[#This Row],[Disc 2]]))</f>
        <v>0</v>
      </c>
      <c r="AB106" s="283">
        <f>IF(Table1[Item Description]="","",Table1[[#This Row],[h_disc 1]]+Table1[[#This Row],[h_disc 2]])</f>
        <v>69600</v>
      </c>
      <c r="AC106" s="283">
        <f>IF(Table1[Item Description]="","",Table1[[#This Row],[h_hargasebelumdiskon]]-Table1[[#This Row],[h_diskon]])</f>
        <v>626400</v>
      </c>
      <c r="AD106" s="283" t="str">
        <f ca="1">IF(Table1[//]="","",SUMIF(Table1[h_id],Table1[h_id],Table1[h_hargasetelahdiskon]))</f>
        <v/>
      </c>
      <c r="AE106" s="283"/>
      <c r="AF106" s="283" t="str">
        <f>Table1[[#This Row],[Item Description]]&amp;Table1[[#This Row],[Unit]]&amp;Table1[[#This Row],[Unit Price]]</f>
        <v>DESK SET KENKO K-8312 ORGANIZERLSN348000</v>
      </c>
    </row>
    <row r="107" spans="1:32" x14ac:dyDescent="0.25">
      <c r="A107" s="287" t="str">
        <f ca="1">IF(Table1[[#This Row],[No. Invoice :]]="","",ROW())</f>
        <v/>
      </c>
      <c r="B107" s="287" t="str">
        <f ca="1">IF(Table1[h_Kode Sales :_1]="","",B$1+COUNT(INDIRECT("B$2:B"&amp;ROW()-1)))</f>
        <v/>
      </c>
      <c r="C107" s="281" t="str">
        <f>IF(Table1[[#This Row],[H_TGL]]="","",Table1[[#This Row],[H_TGL]]+C$1-1)</f>
        <v/>
      </c>
      <c r="H107" s="287" t="str">
        <f ca="1">IF(Table1[[#This Row],[h_No. Invoice :]]="","",CONCATENATE("AM"," ",Table1[[#This Row],[h_No. Invoice :]]))</f>
        <v/>
      </c>
      <c r="I107" s="288" t="str">
        <f>CONCATENATE(UPPER(Table1[[#This Row],[h_Kode Sales :_1]])," ",Table1[[#This Row],[h_Kode Sales :_2]])</f>
        <v xml:space="preserve"> </v>
      </c>
      <c r="J107" s="287" t="str">
        <f>IF(Table1[[#This Row],[h_toko]]="","",INDEX(Table2[e],IF(Table1[[#This Row],[h_toko]]="","",MATCH(Table1[[#This Row],[h_toko]],Table2[a],0)),))</f>
        <v/>
      </c>
      <c r="K107" s="280">
        <v>50</v>
      </c>
      <c r="L107" s="280" t="s">
        <v>203</v>
      </c>
      <c r="M107" s="280">
        <v>1</v>
      </c>
      <c r="N107" s="280" t="s">
        <v>248</v>
      </c>
      <c r="O107" s="287" t="str">
        <f>IF(Table1[[#This Row],[h_Item Description]]="","",INDEX([1]!db[NB PAJAK],MATCH(Table1[[#This Row],[h_Item Description]],[1]!db[kode],0)))</f>
        <v>BINDER CLIP KENKO NO. 105</v>
      </c>
      <c r="P107" s="280" t="s">
        <v>255</v>
      </c>
      <c r="Q107" s="283">
        <v>28800</v>
      </c>
      <c r="R107" s="284">
        <v>0.1</v>
      </c>
      <c r="T107" s="283">
        <f>Table1[[#This Row],[h_hargasetelahdiskon]]</f>
        <v>1296000</v>
      </c>
      <c r="W107" s="287">
        <f ca="1">IF(Table1[[#This Row],[Item Description]]="","",IF(Table1[[#This Row],[//]]="",INDIRECT(ADDRESS(ROW()-1,COLUMN())),Table1[[#This Row],[//]]))</f>
        <v>100</v>
      </c>
      <c r="X107" s="287">
        <f ca="1">IF(Table1[[#This Row],[h_id]]="","",COUNTIF(Table1[h_id],Table1[[#This Row],[h_id]]))</f>
        <v>8</v>
      </c>
      <c r="Y107" s="283">
        <f>IF(Table1[Item Description]="","",Table1[[#This Row],[Qty]]*Table1[[#This Row],[Unit Price]])</f>
        <v>1440000</v>
      </c>
      <c r="Z107" s="283">
        <f>IF(Table1[[#This Row],[h_hargasebelumdiskon]]="","",IF(Table1[[#This Row],[Disc 1]]="",0,Table1[[#This Row],[h_hargasebelumdiskon]]*Table1[[#This Row],[Disc 1]]))</f>
        <v>144000</v>
      </c>
      <c r="AA107" s="283">
        <f>IF(Table1[[#This Row],[h_hargasebelumdiskon]]="","",IF(Table1[[#This Row],[Disc 2]]="",0,(Table1[[#This Row],[h_hargasebelumdiskon]]-Table1[[#This Row],[h_disc 1]])*Table1[[#This Row],[Disc 2]]))</f>
        <v>0</v>
      </c>
      <c r="AB107" s="283">
        <f>IF(Table1[Item Description]="","",Table1[[#This Row],[h_disc 1]]+Table1[[#This Row],[h_disc 2]])</f>
        <v>144000</v>
      </c>
      <c r="AC107" s="283">
        <f>IF(Table1[Item Description]="","",Table1[[#This Row],[h_hargasebelumdiskon]]-Table1[[#This Row],[h_diskon]])</f>
        <v>1296000</v>
      </c>
      <c r="AD107" s="283" t="str">
        <f ca="1">IF(Table1[//]="","",SUMIF(Table1[h_id],Table1[h_id],Table1[h_hargasetelahdiskon]))</f>
        <v/>
      </c>
      <c r="AE107" s="283"/>
      <c r="AF107" s="283" t="str">
        <f>Table1[[#This Row],[Item Description]]&amp;Table1[[#This Row],[Unit]]&amp;Table1[[#This Row],[Unit Price]]</f>
        <v>BINDER CLIP KENKO NO. 105GRS28800</v>
      </c>
    </row>
    <row r="108" spans="1:32" x14ac:dyDescent="0.25">
      <c r="A108" s="287" t="str">
        <f ca="1">IF(Table1[[#This Row],[No. Invoice :]]="","",ROW())</f>
        <v/>
      </c>
      <c r="B108" s="287" t="str">
        <f ca="1">IF(Table1[h_Kode Sales :_1]="","",B$1+COUNT(INDIRECT("B$2:B"&amp;ROW()-1)))</f>
        <v/>
      </c>
      <c r="C108" s="281" t="str">
        <f>IF(Table1[[#This Row],[H_TGL]]="","",Table1[[#This Row],[H_TGL]]+C$1-1)</f>
        <v/>
      </c>
      <c r="H108" s="287" t="str">
        <f ca="1">IF(Table1[[#This Row],[h_No. Invoice :]]="","",CONCATENATE("AM"," ",Table1[[#This Row],[h_No. Invoice :]]))</f>
        <v/>
      </c>
      <c r="I108" s="288" t="str">
        <f>CONCATENATE(UPPER(Table1[[#This Row],[h_Kode Sales :_1]])," ",Table1[[#This Row],[h_Kode Sales :_2]])</f>
        <v xml:space="preserve"> </v>
      </c>
      <c r="J108" s="287" t="str">
        <f>IF(Table1[[#This Row],[h_toko]]="","",INDEX(Table2[e],IF(Table1[[#This Row],[h_toko]]="","",MATCH(Table1[[#This Row],[h_toko]],Table2[a],0)),))</f>
        <v/>
      </c>
      <c r="O108" s="287" t="str">
        <f>IF(Table1[[#This Row],[h_Item Description]]="","",INDEX([1]!db[NB PAJAK],MATCH(Table1[[#This Row],[h_Item Description]],[1]!db[kode],0)))</f>
        <v/>
      </c>
      <c r="Q108" s="283"/>
      <c r="R108" s="284"/>
      <c r="T108" s="283" t="str">
        <f>Table1[[#This Row],[h_hargasetelahdiskon]]</f>
        <v/>
      </c>
      <c r="W108" s="287" t="str">
        <f ca="1">IF(Table1[[#This Row],[Item Description]]="","",IF(Table1[[#This Row],[//]]="",INDIRECT(ADDRESS(ROW()-1,COLUMN())),Table1[[#This Row],[//]]))</f>
        <v/>
      </c>
      <c r="X108" s="287" t="str">
        <f ca="1">IF(Table1[[#This Row],[h_id]]="","",COUNTIF(Table1[h_id],Table1[[#This Row],[h_id]]))</f>
        <v/>
      </c>
      <c r="Y108" s="283" t="str">
        <f>IF(Table1[Item Description]="","",Table1[[#This Row],[Qty]]*Table1[[#This Row],[Unit Price]])</f>
        <v/>
      </c>
      <c r="Z108" s="283" t="str">
        <f>IF(Table1[[#This Row],[h_hargasebelumdiskon]]="","",IF(Table1[[#This Row],[Disc 1]]="",0,Table1[[#This Row],[h_hargasebelumdiskon]]*Table1[[#This Row],[Disc 1]]))</f>
        <v/>
      </c>
      <c r="AA108" s="283" t="str">
        <f>IF(Table1[[#This Row],[h_hargasebelumdiskon]]="","",IF(Table1[[#This Row],[Disc 2]]="",0,(Table1[[#This Row],[h_hargasebelumdiskon]]-Table1[[#This Row],[h_disc 1]])*Table1[[#This Row],[Disc 2]]))</f>
        <v/>
      </c>
      <c r="AB108" s="283" t="str">
        <f>IF(Table1[Item Description]="","",Table1[[#This Row],[h_disc 1]]+Table1[[#This Row],[h_disc 2]])</f>
        <v/>
      </c>
      <c r="AC108" s="283" t="str">
        <f>IF(Table1[Item Description]="","",Table1[[#This Row],[h_hargasebelumdiskon]]-Table1[[#This Row],[h_diskon]])</f>
        <v/>
      </c>
      <c r="AD108" s="283" t="str">
        <f ca="1">IF(Table1[//]="","",SUMIF(Table1[h_id],Table1[h_id],Table1[h_hargasetelahdiskon]))</f>
        <v/>
      </c>
      <c r="AE108" s="283"/>
      <c r="AF108" s="283" t="str">
        <f>Table1[[#This Row],[Item Description]]&amp;Table1[[#This Row],[Unit]]&amp;Table1[[#This Row],[Unit Price]]</f>
        <v/>
      </c>
    </row>
    <row r="109" spans="1:32" x14ac:dyDescent="0.25">
      <c r="A109" s="287">
        <f ca="1">IF(Table1[[#This Row],[No. Invoice :]]="","",ROW())</f>
        <v>109</v>
      </c>
      <c r="B109" s="287">
        <f ca="1">IF(Table1[h_Kode Sales :_1]="","",B$1+COUNT(INDIRECT("B$2:B"&amp;ROW()-1)))</f>
        <v>23080030</v>
      </c>
      <c r="C109" s="281">
        <f>IF(Table1[[#This Row],[H_TGL]]="","",Table1[[#This Row],[H_TGL]]+C$1-1)</f>
        <v>45166</v>
      </c>
      <c r="D109" s="292">
        <v>28</v>
      </c>
      <c r="E109" s="280" t="s">
        <v>162</v>
      </c>
      <c r="F109" s="282" t="s">
        <v>271</v>
      </c>
      <c r="G109" s="280" t="s">
        <v>84</v>
      </c>
      <c r="H109" s="287" t="str">
        <f ca="1">IF(Table1[[#This Row],[h_No. Invoice :]]="","",CONCATENATE("AM"," ",Table1[[#This Row],[h_No. Invoice :]]))</f>
        <v>AM 23080030</v>
      </c>
      <c r="I109" s="288" t="str">
        <f>CONCATENATE(UPPER(Table1[[#This Row],[h_Kode Sales :_1]])," ",Table1[[#This Row],[h_Kode Sales :_2]])</f>
        <v>KO 3591</v>
      </c>
      <c r="J109" s="287" t="str">
        <f>IF(Table1[[#This Row],[h_toko]]="","",INDEX(Table2[e],IF(Table1[[#This Row],[h_toko]]="","",MATCH(Table1[[#This Row],[h_toko]],Table2[a],0)),))</f>
        <v>CV PELITA JAYA (ANUGERAH SEJAHTERA) PURWOKERTO</v>
      </c>
      <c r="K109" s="280">
        <v>48</v>
      </c>
      <c r="L109" s="280" t="s">
        <v>267</v>
      </c>
      <c r="M109" s="280">
        <v>2</v>
      </c>
      <c r="O109" s="287" t="str">
        <f>IF(Table1[[#This Row],[h_Item Description]]="","",INDEX([1]!db[NB PAJAK],MATCH(Table1[[#This Row],[h_Item Description]],[1]!db[kode],0)))</f>
        <v/>
      </c>
      <c r="P109" s="280" t="s">
        <v>272</v>
      </c>
      <c r="Q109" s="283">
        <v>124200</v>
      </c>
      <c r="R109" s="284">
        <v>0.13500000000000001</v>
      </c>
      <c r="T109" s="283">
        <f>Table1[[#This Row],[h_hargasetelahdiskon]]</f>
        <v>5156784</v>
      </c>
      <c r="U109" s="283" t="s">
        <v>266</v>
      </c>
      <c r="W109" s="287">
        <f ca="1">IF(Table1[[#This Row],[Item Description]]="","",IF(Table1[[#This Row],[//]]="",INDIRECT(ADDRESS(ROW()-1,COLUMN())),Table1[[#This Row],[//]]))</f>
        <v>109</v>
      </c>
      <c r="X109" s="287">
        <f ca="1">IF(Table1[[#This Row],[h_id]]="","",COUNTIF(Table1[h_id],Table1[[#This Row],[h_id]]))</f>
        <v>2</v>
      </c>
      <c r="Y109" s="283">
        <f>IF(Table1[Item Description]="","",Table1[[#This Row],[Qty]]*Table1[[#This Row],[Unit Price]])</f>
        <v>5961600</v>
      </c>
      <c r="Z109" s="283">
        <f>IF(Table1[[#This Row],[h_hargasebelumdiskon]]="","",IF(Table1[[#This Row],[Disc 1]]="",0,Table1[[#This Row],[h_hargasebelumdiskon]]*Table1[[#This Row],[Disc 1]]))</f>
        <v>804816</v>
      </c>
      <c r="AA109" s="283">
        <f>IF(Table1[[#This Row],[h_hargasebelumdiskon]]="","",IF(Table1[[#This Row],[Disc 2]]="",0,(Table1[[#This Row],[h_hargasebelumdiskon]]-Table1[[#This Row],[h_disc 1]])*Table1[[#This Row],[Disc 2]]))</f>
        <v>0</v>
      </c>
      <c r="AB109" s="283">
        <f>IF(Table1[Item Description]="","",Table1[[#This Row],[h_disc 1]]+Table1[[#This Row],[h_disc 2]])</f>
        <v>804816</v>
      </c>
      <c r="AC109" s="283">
        <f>IF(Table1[Item Description]="","",Table1[[#This Row],[h_hargasebelumdiskon]]-Table1[[#This Row],[h_diskon]])</f>
        <v>5156784</v>
      </c>
      <c r="AD109" s="283">
        <f ca="1">IF(Table1[//]="","",SUMIF(Table1[h_id],Table1[h_id],Table1[h_hargasetelahdiskon]))</f>
        <v>6018324</v>
      </c>
      <c r="AE109" s="283"/>
      <c r="AF109" s="283" t="str">
        <f>Table1[[#This Row],[Item Description]]&amp;Table1[[#This Row],[Unit]]&amp;Table1[[#This Row],[Unit Price]]</f>
        <v>PENSIL WARNA KENKO CP-12F CLASSIC (PANJANG)LS124200</v>
      </c>
    </row>
    <row r="110" spans="1:32" x14ac:dyDescent="0.25">
      <c r="A110" s="287" t="str">
        <f ca="1">IF(Table1[[#This Row],[No. Invoice :]]="","",ROW())</f>
        <v/>
      </c>
      <c r="B110" s="287" t="str">
        <f ca="1">IF(Table1[h_Kode Sales :_1]="","",B$1+COUNT(INDIRECT("B$2:B"&amp;ROW()-1)))</f>
        <v/>
      </c>
      <c r="C110" s="281" t="str">
        <f>IF(Table1[[#This Row],[H_TGL]]="","",Table1[[#This Row],[H_TGL]]+C$1-1)</f>
        <v/>
      </c>
      <c r="H110" s="287" t="str">
        <f ca="1">IF(Table1[[#This Row],[h_No. Invoice :]]="","",CONCATENATE("AM"," ",Table1[[#This Row],[h_No. Invoice :]]))</f>
        <v/>
      </c>
      <c r="I110" s="288" t="str">
        <f>CONCATENATE(UPPER(Table1[[#This Row],[h_Kode Sales :_1]])," ",Table1[[#This Row],[h_Kode Sales :_2]])</f>
        <v xml:space="preserve"> </v>
      </c>
      <c r="J110" s="287" t="str">
        <f>IF(Table1[[#This Row],[h_toko]]="","",INDEX(Table2[e],IF(Table1[[#This Row],[h_toko]]="","",MATCH(Table1[[#This Row],[h_toko]],Table2[a],0)),))</f>
        <v/>
      </c>
      <c r="K110" s="280">
        <v>10</v>
      </c>
      <c r="L110" s="280" t="s">
        <v>267</v>
      </c>
      <c r="O110" s="287" t="str">
        <f>IF(Table1[[#This Row],[h_Item Description]]="","",INDEX([1]!db[NB PAJAK],MATCH(Table1[[#This Row],[h_Item Description]],[1]!db[kode],0)))</f>
        <v/>
      </c>
      <c r="P110" s="280" t="s">
        <v>273</v>
      </c>
      <c r="Q110" s="283">
        <v>99600</v>
      </c>
      <c r="R110" s="284">
        <v>0.13500000000000001</v>
      </c>
      <c r="T110" s="283">
        <f>Table1[[#This Row],[h_hargasetelahdiskon]]</f>
        <v>861540</v>
      </c>
      <c r="W110" s="287">
        <f ca="1">IF(Table1[[#This Row],[Item Description]]="","",IF(Table1[[#This Row],[//]]="",INDIRECT(ADDRESS(ROW()-1,COLUMN())),Table1[[#This Row],[//]]))</f>
        <v>109</v>
      </c>
      <c r="X110" s="287">
        <f ca="1">IF(Table1[[#This Row],[h_id]]="","",COUNTIF(Table1[h_id],Table1[[#This Row],[h_id]]))</f>
        <v>2</v>
      </c>
      <c r="Y110" s="283">
        <f>IF(Table1[Item Description]="","",Table1[[#This Row],[Qty]]*Table1[[#This Row],[Unit Price]])</f>
        <v>996000</v>
      </c>
      <c r="Z110" s="283">
        <f>IF(Table1[[#This Row],[h_hargasebelumdiskon]]="","",IF(Table1[[#This Row],[Disc 1]]="",0,Table1[[#This Row],[h_hargasebelumdiskon]]*Table1[[#This Row],[Disc 1]]))</f>
        <v>134460</v>
      </c>
      <c r="AA110" s="283">
        <f>IF(Table1[[#This Row],[h_hargasebelumdiskon]]="","",IF(Table1[[#This Row],[Disc 2]]="",0,(Table1[[#This Row],[h_hargasebelumdiskon]]-Table1[[#This Row],[h_disc 1]])*Table1[[#This Row],[Disc 2]]))</f>
        <v>0</v>
      </c>
      <c r="AB110" s="283">
        <f>IF(Table1[Item Description]="","",Table1[[#This Row],[h_disc 1]]+Table1[[#This Row],[h_disc 2]])</f>
        <v>134460</v>
      </c>
      <c r="AC110" s="283">
        <f>IF(Table1[Item Description]="","",Table1[[#This Row],[h_hargasebelumdiskon]]-Table1[[#This Row],[h_diskon]])</f>
        <v>861540</v>
      </c>
      <c r="AD110" s="283" t="str">
        <f ca="1">IF(Table1[//]="","",SUMIF(Table1[h_id],Table1[h_id],Table1[h_hargasetelahdiskon]))</f>
        <v/>
      </c>
      <c r="AE110" s="283"/>
      <c r="AF110" s="283" t="str">
        <f>Table1[[#This Row],[Item Description]]&amp;Table1[[#This Row],[Unit]]&amp;Table1[[#This Row],[Unit Price]]</f>
        <v>STAMP PLATE DATER KENKO S-68 (Cap Lunas)LS99600</v>
      </c>
    </row>
    <row r="111" spans="1:32" x14ac:dyDescent="0.25">
      <c r="A111" s="287" t="str">
        <f ca="1">IF(Table1[[#This Row],[No. Invoice :]]="","",ROW())</f>
        <v/>
      </c>
      <c r="B111" s="287" t="str">
        <f ca="1">IF(Table1[h_Kode Sales :_1]="","",B$1+COUNT(INDIRECT("B$2:B"&amp;ROW()-1)))</f>
        <v/>
      </c>
      <c r="C111" s="281" t="str">
        <f>IF(Table1[[#This Row],[H_TGL]]="","",Table1[[#This Row],[H_TGL]]+C$1-1)</f>
        <v/>
      </c>
      <c r="H111" s="287" t="str">
        <f ca="1">IF(Table1[[#This Row],[h_No. Invoice :]]="","",CONCATENATE("AM"," ",Table1[[#This Row],[h_No. Invoice :]]))</f>
        <v/>
      </c>
      <c r="I111" s="288" t="str">
        <f>CONCATENATE(UPPER(Table1[[#This Row],[h_Kode Sales :_1]])," ",Table1[[#This Row],[h_Kode Sales :_2]])</f>
        <v xml:space="preserve"> </v>
      </c>
      <c r="J111" s="287" t="str">
        <f>IF(Table1[[#This Row],[h_toko]]="","",INDEX(Table2[e],IF(Table1[[#This Row],[h_toko]]="","",MATCH(Table1[[#This Row],[h_toko]],Table2[a],0)),))</f>
        <v/>
      </c>
      <c r="O111" s="287" t="str">
        <f>IF(Table1[[#This Row],[h_Item Description]]="","",INDEX([1]!db[NB PAJAK],MATCH(Table1[[#This Row],[h_Item Description]],[1]!db[kode],0)))</f>
        <v/>
      </c>
      <c r="Q111" s="283"/>
      <c r="R111" s="284"/>
      <c r="T111" s="283" t="str">
        <f>Table1[[#This Row],[h_hargasetelahdiskon]]</f>
        <v/>
      </c>
      <c r="W111" s="287" t="str">
        <f ca="1">IF(Table1[[#This Row],[Item Description]]="","",IF(Table1[[#This Row],[//]]="",INDIRECT(ADDRESS(ROW()-1,COLUMN())),Table1[[#This Row],[//]]))</f>
        <v/>
      </c>
      <c r="X111" s="287" t="str">
        <f ca="1">IF(Table1[[#This Row],[h_id]]="","",COUNTIF(Table1[h_id],Table1[[#This Row],[h_id]]))</f>
        <v/>
      </c>
      <c r="Y111" s="283" t="str">
        <f>IF(Table1[Item Description]="","",Table1[[#This Row],[Qty]]*Table1[[#This Row],[Unit Price]])</f>
        <v/>
      </c>
      <c r="Z111" s="283" t="str">
        <f>IF(Table1[[#This Row],[h_hargasebelumdiskon]]="","",IF(Table1[[#This Row],[Disc 1]]="",0,Table1[[#This Row],[h_hargasebelumdiskon]]*Table1[[#This Row],[Disc 1]]))</f>
        <v/>
      </c>
      <c r="AA111" s="283" t="str">
        <f>IF(Table1[[#This Row],[h_hargasebelumdiskon]]="","",IF(Table1[[#This Row],[Disc 2]]="",0,(Table1[[#This Row],[h_hargasebelumdiskon]]-Table1[[#This Row],[h_disc 1]])*Table1[[#This Row],[Disc 2]]))</f>
        <v/>
      </c>
      <c r="AB111" s="283" t="str">
        <f>IF(Table1[Item Description]="","",Table1[[#This Row],[h_disc 1]]+Table1[[#This Row],[h_disc 2]])</f>
        <v/>
      </c>
      <c r="AC111" s="283" t="str">
        <f>IF(Table1[Item Description]="","",Table1[[#This Row],[h_hargasebelumdiskon]]-Table1[[#This Row],[h_diskon]])</f>
        <v/>
      </c>
      <c r="AD111" s="283" t="str">
        <f ca="1">IF(Table1[//]="","",SUMIF(Table1[h_id],Table1[h_id],Table1[h_hargasetelahdiskon]))</f>
        <v/>
      </c>
      <c r="AE111" s="283"/>
      <c r="AF111" s="283" t="str">
        <f>Table1[[#This Row],[Item Description]]&amp;Table1[[#This Row],[Unit]]&amp;Table1[[#This Row],[Unit Price]]</f>
        <v/>
      </c>
    </row>
    <row r="112" spans="1:32" x14ac:dyDescent="0.25">
      <c r="A112" s="287">
        <f ca="1">IF(Table1[[#This Row],[No. Invoice :]]="","",ROW())</f>
        <v>112</v>
      </c>
      <c r="B112" s="287">
        <f ca="1">IF(Table1[h_Kode Sales :_1]="","",B$1+COUNT(INDIRECT("B$2:B"&amp;ROW()-1)))</f>
        <v>23080031</v>
      </c>
      <c r="C112" s="281">
        <f>IF(Table1[[#This Row],[H_TGL]]="","",Table1[[#This Row],[H_TGL]]+C$1-1)</f>
        <v>45167</v>
      </c>
      <c r="D112" s="292">
        <v>29</v>
      </c>
      <c r="E112" s="280" t="s">
        <v>162</v>
      </c>
      <c r="F112" s="282" t="s">
        <v>274</v>
      </c>
      <c r="G112" s="280" t="s">
        <v>275</v>
      </c>
      <c r="H112" s="287" t="str">
        <f ca="1">IF(Table1[[#This Row],[h_No. Invoice :]]="","",CONCATENATE("AM"," ",Table1[[#This Row],[h_No. Invoice :]]))</f>
        <v>AM 23080031</v>
      </c>
      <c r="I112" s="288" t="str">
        <f>CONCATENATE(UPPER(Table1[[#This Row],[h_Kode Sales :_1]])," ",Table1[[#This Row],[h_Kode Sales :_2]])</f>
        <v>KO 3599</v>
      </c>
      <c r="J112" s="287" t="str">
        <f>IF(Table1[[#This Row],[h_toko]]="","",INDEX(Table2[e],IF(Table1[[#This Row],[h_toko]]="","",MATCH(Table1[[#This Row],[h_toko]],Table2[a],0)),))</f>
        <v>CV SINAR CAHAYA NIRMALA BREBES</v>
      </c>
      <c r="K112" s="280">
        <v>1</v>
      </c>
      <c r="L112" s="280" t="s">
        <v>276</v>
      </c>
      <c r="N112" s="280" t="s">
        <v>166</v>
      </c>
      <c r="O112" s="287" t="str">
        <f>IF(Table1[[#This Row],[h_Item Description]]="","",INDEX([1]!db[NB PAJAK],MATCH(Table1[[#This Row],[h_Item Description]],[1]!db[kode],0)))</f>
        <v>JANGKA (COMPASS SET) KENKO C-288 / MS-25</v>
      </c>
      <c r="P112" s="280" t="s">
        <v>172</v>
      </c>
      <c r="Q112" s="283">
        <v>90000</v>
      </c>
      <c r="R112" s="284">
        <v>0.1</v>
      </c>
      <c r="T112" s="283">
        <f>Table1[[#This Row],[h_hargasetelahdiskon]]</f>
        <v>81000</v>
      </c>
      <c r="U112" s="283" t="s">
        <v>133</v>
      </c>
      <c r="W112" s="287">
        <f ca="1">IF(Table1[[#This Row],[Item Description]]="","",IF(Table1[[#This Row],[//]]="",INDIRECT(ADDRESS(ROW()-1,COLUMN())),Table1[[#This Row],[//]]))</f>
        <v>112</v>
      </c>
      <c r="X112" s="287">
        <f ca="1">IF(Table1[[#This Row],[h_id]]="","",COUNTIF(Table1[h_id],Table1[[#This Row],[h_id]]))</f>
        <v>15</v>
      </c>
      <c r="Y112" s="283">
        <f>IF(Table1[Item Description]="","",Table1[[#This Row],[Qty]]*Table1[[#This Row],[Unit Price]])</f>
        <v>90000</v>
      </c>
      <c r="Z112" s="283">
        <f>IF(Table1[[#This Row],[h_hargasebelumdiskon]]="","",IF(Table1[[#This Row],[Disc 1]]="",0,Table1[[#This Row],[h_hargasebelumdiskon]]*Table1[[#This Row],[Disc 1]]))</f>
        <v>9000</v>
      </c>
      <c r="AA112" s="283">
        <f>IF(Table1[[#This Row],[h_hargasebelumdiskon]]="","",IF(Table1[[#This Row],[Disc 2]]="",0,(Table1[[#This Row],[h_hargasebelumdiskon]]-Table1[[#This Row],[h_disc 1]])*Table1[[#This Row],[Disc 2]]))</f>
        <v>0</v>
      </c>
      <c r="AB112" s="283">
        <f>IF(Table1[Item Description]="","",Table1[[#This Row],[h_disc 1]]+Table1[[#This Row],[h_disc 2]])</f>
        <v>9000</v>
      </c>
      <c r="AC112" s="283">
        <f>IF(Table1[Item Description]="","",Table1[[#This Row],[h_hargasebelumdiskon]]-Table1[[#This Row],[h_diskon]])</f>
        <v>81000</v>
      </c>
      <c r="AD112" s="283">
        <f ca="1">IF(Table1[//]="","",SUMIF(Table1[h_id],Table1[h_id],Table1[h_hargasetelahdiskon]))</f>
        <v>1690330</v>
      </c>
      <c r="AE112" s="283"/>
      <c r="AF112" s="283" t="str">
        <f>Table1[[#This Row],[Item Description]]&amp;Table1[[#This Row],[Unit]]&amp;Table1[[#This Row],[Unit Price]]</f>
        <v>JANGKA (COMPASS SET) KENKO C-288 / MS-25lsn90000</v>
      </c>
    </row>
    <row r="113" spans="1:32" x14ac:dyDescent="0.25">
      <c r="A113" s="287" t="str">
        <f ca="1">IF(Table1[[#This Row],[No. Invoice :]]="","",ROW())</f>
        <v/>
      </c>
      <c r="B113" s="287" t="str">
        <f ca="1">IF(Table1[h_Kode Sales :_1]="","",B$1+COUNT(INDIRECT("B$2:B"&amp;ROW()-1)))</f>
        <v/>
      </c>
      <c r="C113" s="281" t="str">
        <f>IF(Table1[[#This Row],[H_TGL]]="","",Table1[[#This Row],[H_TGL]]+C$1-1)</f>
        <v/>
      </c>
      <c r="H113" s="287" t="str">
        <f ca="1">IF(Table1[[#This Row],[h_No. Invoice :]]="","",CONCATENATE("AM"," ",Table1[[#This Row],[h_No. Invoice :]]))</f>
        <v/>
      </c>
      <c r="I113" s="288" t="str">
        <f>CONCATENATE(UPPER(Table1[[#This Row],[h_Kode Sales :_1]])," ",Table1[[#This Row],[h_Kode Sales :_2]])</f>
        <v xml:space="preserve"> </v>
      </c>
      <c r="J113" s="287" t="str">
        <f>IF(Table1[[#This Row],[h_toko]]="","",INDEX(Table2[e],IF(Table1[[#This Row],[h_toko]]="","",MATCH(Table1[[#This Row],[h_toko]],Table2[a],0)),))</f>
        <v/>
      </c>
      <c r="K113" s="280">
        <v>1</v>
      </c>
      <c r="L113" s="280" t="s">
        <v>203</v>
      </c>
      <c r="N113" s="280" t="s">
        <v>277</v>
      </c>
      <c r="O113" s="287" t="str">
        <f>IF(Table1[[#This Row],[h_Item Description]]="","",INDEX([1]!db[NB PAJAK],MATCH(Table1[[#This Row],[h_Item Description]],[1]!db[kode],0)))</f>
        <v>PENSIL KENKO 2B-6393 FLUORESCENT</v>
      </c>
      <c r="P113" s="287" t="s">
        <v>295</v>
      </c>
      <c r="Q113" s="283">
        <v>120000</v>
      </c>
      <c r="R113" s="284">
        <v>0.1</v>
      </c>
      <c r="T113" s="283">
        <f>Table1[[#This Row],[h_hargasetelahdiskon]]</f>
        <v>108000</v>
      </c>
      <c r="W113" s="287">
        <f ca="1">IF(Table1[[#This Row],[Item Description]]="","",IF(Table1[[#This Row],[//]]="",INDIRECT(ADDRESS(ROW()-1,COLUMN())),Table1[[#This Row],[//]]))</f>
        <v>112</v>
      </c>
      <c r="X113" s="287">
        <f ca="1">IF(Table1[[#This Row],[h_id]]="","",COUNTIF(Table1[h_id],Table1[[#This Row],[h_id]]))</f>
        <v>15</v>
      </c>
      <c r="Y113" s="283">
        <f>IF(Table1[Item Description]="","",Table1[[#This Row],[Qty]]*Table1[[#This Row],[Unit Price]])</f>
        <v>120000</v>
      </c>
      <c r="Z113" s="283">
        <f>IF(Table1[[#This Row],[h_hargasebelumdiskon]]="","",IF(Table1[[#This Row],[Disc 1]]="",0,Table1[[#This Row],[h_hargasebelumdiskon]]*Table1[[#This Row],[Disc 1]]))</f>
        <v>12000</v>
      </c>
      <c r="AA113" s="283">
        <f>IF(Table1[[#This Row],[h_hargasebelumdiskon]]="","",IF(Table1[[#This Row],[Disc 2]]="",0,(Table1[[#This Row],[h_hargasebelumdiskon]]-Table1[[#This Row],[h_disc 1]])*Table1[[#This Row],[Disc 2]]))</f>
        <v>0</v>
      </c>
      <c r="AB113" s="283">
        <f>IF(Table1[Item Description]="","",Table1[[#This Row],[h_disc 1]]+Table1[[#This Row],[h_disc 2]])</f>
        <v>12000</v>
      </c>
      <c r="AC113" s="283">
        <f>IF(Table1[Item Description]="","",Table1[[#This Row],[h_hargasebelumdiskon]]-Table1[[#This Row],[h_diskon]])</f>
        <v>108000</v>
      </c>
      <c r="AD113" s="283" t="str">
        <f ca="1">IF(Table1[//]="","",SUMIF(Table1[h_id],Table1[h_id],Table1[h_hargasetelahdiskon]))</f>
        <v/>
      </c>
      <c r="AE113" s="283"/>
      <c r="AF113" s="283" t="str">
        <f>Table1[[#This Row],[Item Description]]&amp;Table1[[#This Row],[Unit]]&amp;Table1[[#This Row],[Unit Price]]</f>
        <v>PENSIL KENKO 2B-6393 FLUORESCENTGRS120000</v>
      </c>
    </row>
    <row r="114" spans="1:32" x14ac:dyDescent="0.25">
      <c r="A114" s="287" t="str">
        <f ca="1">IF(Table1[[#This Row],[No. Invoice :]]="","",ROW())</f>
        <v/>
      </c>
      <c r="B114" s="287" t="str">
        <f ca="1">IF(Table1[h_Kode Sales :_1]="","",B$1+COUNT(INDIRECT("B$2:B"&amp;ROW()-1)))</f>
        <v/>
      </c>
      <c r="C114" s="281" t="str">
        <f>IF(Table1[[#This Row],[H_TGL]]="","",Table1[[#This Row],[H_TGL]]+C$1-1)</f>
        <v/>
      </c>
      <c r="H114" s="287" t="str">
        <f ca="1">IF(Table1[[#This Row],[h_No. Invoice :]]="","",CONCATENATE("AM"," ",Table1[[#This Row],[h_No. Invoice :]]))</f>
        <v/>
      </c>
      <c r="I114" s="288" t="str">
        <f>CONCATENATE(UPPER(Table1[[#This Row],[h_Kode Sales :_1]])," ",Table1[[#This Row],[h_Kode Sales :_2]])</f>
        <v xml:space="preserve"> </v>
      </c>
      <c r="J114" s="287" t="str">
        <f>IF(Table1[[#This Row],[h_toko]]="","",INDEX(Table2[e],IF(Table1[[#This Row],[h_toko]]="","",MATCH(Table1[[#This Row],[h_toko]],Table2[a],0)),))</f>
        <v/>
      </c>
      <c r="K114" s="280">
        <v>1</v>
      </c>
      <c r="L114" s="280" t="s">
        <v>143</v>
      </c>
      <c r="N114" s="280" t="s">
        <v>278</v>
      </c>
      <c r="O114" s="287" t="e">
        <f>IF(Table1[[#This Row],[h_Item Description]]="","",INDEX([1]!db[NB PAJAK],MATCH(Table1[[#This Row],[h_Item Description]],[1]!db[kode],0)))</f>
        <v>#N/A</v>
      </c>
      <c r="P114" s="280" t="s">
        <v>289</v>
      </c>
      <c r="Q114" s="283">
        <v>158400</v>
      </c>
      <c r="R114" s="284">
        <v>0.1</v>
      </c>
      <c r="T114" s="283">
        <f>Table1[[#This Row],[h_hargasetelahdiskon]]</f>
        <v>142560</v>
      </c>
      <c r="W114" s="287">
        <f ca="1">IF(Table1[[#This Row],[Item Description]]="","",IF(Table1[[#This Row],[//]]="",INDIRECT(ADDRESS(ROW()-1,COLUMN())),Table1[[#This Row],[//]]))</f>
        <v>112</v>
      </c>
      <c r="X114" s="287">
        <f ca="1">IF(Table1[[#This Row],[h_id]]="","",COUNTIF(Table1[h_id],Table1[[#This Row],[h_id]]))</f>
        <v>15</v>
      </c>
      <c r="Y114" s="283">
        <f>IF(Table1[Item Description]="","",Table1[[#This Row],[Qty]]*Table1[[#This Row],[Unit Price]])</f>
        <v>158400</v>
      </c>
      <c r="Z114" s="283">
        <f>IF(Table1[[#This Row],[h_hargasebelumdiskon]]="","",IF(Table1[[#This Row],[Disc 1]]="",0,Table1[[#This Row],[h_hargasebelumdiskon]]*Table1[[#This Row],[Disc 1]]))</f>
        <v>15840</v>
      </c>
      <c r="AA114" s="283">
        <f>IF(Table1[[#This Row],[h_hargasebelumdiskon]]="","",IF(Table1[[#This Row],[Disc 2]]="",0,(Table1[[#This Row],[h_hargasebelumdiskon]]-Table1[[#This Row],[h_disc 1]])*Table1[[#This Row],[Disc 2]]))</f>
        <v>0</v>
      </c>
      <c r="AB114" s="283">
        <f>IF(Table1[Item Description]="","",Table1[[#This Row],[h_disc 1]]+Table1[[#This Row],[h_disc 2]])</f>
        <v>15840</v>
      </c>
      <c r="AC114" s="283">
        <f>IF(Table1[Item Description]="","",Table1[[#This Row],[h_hargasebelumdiskon]]-Table1[[#This Row],[h_diskon]])</f>
        <v>142560</v>
      </c>
      <c r="AD114" s="283" t="str">
        <f ca="1">IF(Table1[//]="","",SUMIF(Table1[h_id],Table1[h_id],Table1[h_hargasetelahdiskon]))</f>
        <v/>
      </c>
      <c r="AE114" s="283"/>
      <c r="AF114" s="283" t="str">
        <f>Table1[[#This Row],[Item Description]]&amp;Table1[[#This Row],[Unit]]&amp;Table1[[#This Row],[Unit Price]]</f>
        <v>PUNCH KENKO NO. 30NPLSN158400</v>
      </c>
    </row>
    <row r="115" spans="1:32" x14ac:dyDescent="0.25">
      <c r="A115" s="287" t="str">
        <f ca="1">IF(Table1[[#This Row],[No. Invoice :]]="","",ROW())</f>
        <v/>
      </c>
      <c r="B115" s="287" t="str">
        <f ca="1">IF(Table1[h_Kode Sales :_1]="","",B$1+COUNT(INDIRECT("B$2:B"&amp;ROW()-1)))</f>
        <v/>
      </c>
      <c r="C115" s="281" t="str">
        <f>IF(Table1[[#This Row],[H_TGL]]="","",Table1[[#This Row],[H_TGL]]+C$1-1)</f>
        <v/>
      </c>
      <c r="H115" s="287" t="str">
        <f ca="1">IF(Table1[[#This Row],[h_No. Invoice :]]="","",CONCATENATE("AM"," ",Table1[[#This Row],[h_No. Invoice :]]))</f>
        <v/>
      </c>
      <c r="I115" s="288" t="str">
        <f>CONCATENATE(UPPER(Table1[[#This Row],[h_Kode Sales :_1]])," ",Table1[[#This Row],[h_Kode Sales :_2]])</f>
        <v xml:space="preserve"> </v>
      </c>
      <c r="J115" s="287" t="str">
        <f>IF(Table1[[#This Row],[h_toko]]="","",INDEX(Table2[e],IF(Table1[[#This Row],[h_toko]]="","",MATCH(Table1[[#This Row],[h_toko]],Table2[a],0)),))</f>
        <v/>
      </c>
      <c r="K115" s="280">
        <v>3</v>
      </c>
      <c r="L115" s="280" t="s">
        <v>143</v>
      </c>
      <c r="N115" s="280" t="s">
        <v>279</v>
      </c>
      <c r="O115" s="287" t="e">
        <f>IF(Table1[[#This Row],[h_Item Description]]="","",INDEX([1]!db[NB PAJAK],MATCH(Table1[[#This Row],[h_Item Description]],[1]!db[kode],0)))</f>
        <v>#N/A</v>
      </c>
      <c r="P115" s="280" t="s">
        <v>290</v>
      </c>
      <c r="Q115" s="283">
        <v>26400</v>
      </c>
      <c r="R115" s="284">
        <v>0.1</v>
      </c>
      <c r="T115" s="283">
        <f>Table1[[#This Row],[h_hargasetelahdiskon]]</f>
        <v>71280</v>
      </c>
      <c r="W115" s="287">
        <f ca="1">IF(Table1[[#This Row],[Item Description]]="","",IF(Table1[[#This Row],[//]]="",INDIRECT(ADDRESS(ROW()-1,COLUMN())),Table1[[#This Row],[//]]))</f>
        <v>112</v>
      </c>
      <c r="X115" s="287">
        <f ca="1">IF(Table1[[#This Row],[h_id]]="","",COUNTIF(Table1[h_id],Table1[[#This Row],[h_id]]))</f>
        <v>15</v>
      </c>
      <c r="Y115" s="283">
        <f>IF(Table1[Item Description]="","",Table1[[#This Row],[Qty]]*Table1[[#This Row],[Unit Price]])</f>
        <v>79200</v>
      </c>
      <c r="Z115" s="283">
        <f>IF(Table1[[#This Row],[h_hargasebelumdiskon]]="","",IF(Table1[[#This Row],[Disc 1]]="",0,Table1[[#This Row],[h_hargasebelumdiskon]]*Table1[[#This Row],[Disc 1]]))</f>
        <v>7920</v>
      </c>
      <c r="AA115" s="283">
        <f>IF(Table1[[#This Row],[h_hargasebelumdiskon]]="","",IF(Table1[[#This Row],[Disc 2]]="",0,(Table1[[#This Row],[h_hargasebelumdiskon]]-Table1[[#This Row],[h_disc 1]])*Table1[[#This Row],[Disc 2]]))</f>
        <v>0</v>
      </c>
      <c r="AB115" s="283">
        <f>IF(Table1[Item Description]="","",Table1[[#This Row],[h_disc 1]]+Table1[[#This Row],[h_disc 2]])</f>
        <v>7920</v>
      </c>
      <c r="AC115" s="283">
        <f>IF(Table1[Item Description]="","",Table1[[#This Row],[h_hargasebelumdiskon]]-Table1[[#This Row],[h_diskon]])</f>
        <v>71280</v>
      </c>
      <c r="AD115" s="283" t="str">
        <f ca="1">IF(Table1[//]="","",SUMIF(Table1[h_id],Table1[h_id],Table1[h_hargasetelahdiskon]))</f>
        <v/>
      </c>
      <c r="AE115" s="283"/>
      <c r="AF115" s="283" t="str">
        <f>Table1[[#This Row],[Item Description]]&amp;Table1[[#This Row],[Unit]]&amp;Table1[[#This Row],[Unit Price]]</f>
        <v>GEL PEN JOYKO GP-218LSN26400</v>
      </c>
    </row>
    <row r="116" spans="1:32" x14ac:dyDescent="0.25">
      <c r="A116" s="287" t="str">
        <f ca="1">IF(Table1[[#This Row],[No. Invoice :]]="","",ROW())</f>
        <v/>
      </c>
      <c r="B116" s="287" t="str">
        <f ca="1">IF(Table1[h_Kode Sales :_1]="","",B$1+COUNT(INDIRECT("B$2:B"&amp;ROW()-1)))</f>
        <v/>
      </c>
      <c r="C116" s="281" t="str">
        <f>IF(Table1[[#This Row],[H_TGL]]="","",Table1[[#This Row],[H_TGL]]+C$1-1)</f>
        <v/>
      </c>
      <c r="H116" s="287" t="str">
        <f ca="1">IF(Table1[[#This Row],[h_No. Invoice :]]="","",CONCATENATE("AM"," ",Table1[[#This Row],[h_No. Invoice :]]))</f>
        <v/>
      </c>
      <c r="I116" s="288" t="str">
        <f>CONCATENATE(UPPER(Table1[[#This Row],[h_Kode Sales :_1]])," ",Table1[[#This Row],[h_Kode Sales :_2]])</f>
        <v xml:space="preserve"> </v>
      </c>
      <c r="J116" s="287" t="str">
        <f>IF(Table1[[#This Row],[h_toko]]="","",INDEX(Table2[e],IF(Table1[[#This Row],[h_toko]]="","",MATCH(Table1[[#This Row],[h_toko]],Table2[a],0)),))</f>
        <v/>
      </c>
      <c r="K116" s="280">
        <v>48</v>
      </c>
      <c r="L116" s="280" t="s">
        <v>136</v>
      </c>
      <c r="N116" s="280" t="s">
        <v>280</v>
      </c>
      <c r="O116" s="287" t="e">
        <f>IF(Table1[[#This Row],[h_Item Description]]="","",INDEX([1]!db[NB PAJAK],MATCH(Table1[[#This Row],[h_Item Description]],[1]!db[kode],0)))</f>
        <v>#N/A</v>
      </c>
      <c r="P116" s="280" t="s">
        <v>291</v>
      </c>
      <c r="Q116" s="283">
        <v>10000</v>
      </c>
      <c r="R116" s="284">
        <v>0.1</v>
      </c>
      <c r="T116" s="283">
        <f>Table1[[#This Row],[h_hargasetelahdiskon]]</f>
        <v>432000</v>
      </c>
      <c r="W116" s="287">
        <f ca="1">IF(Table1[[#This Row],[Item Description]]="","",IF(Table1[[#This Row],[//]]="",INDIRECT(ADDRESS(ROW()-1,COLUMN())),Table1[[#This Row],[//]]))</f>
        <v>112</v>
      </c>
      <c r="X116" s="287">
        <f ca="1">IF(Table1[[#This Row],[h_id]]="","",COUNTIF(Table1[h_id],Table1[[#This Row],[h_id]]))</f>
        <v>15</v>
      </c>
      <c r="Y116" s="283">
        <f>IF(Table1[Item Description]="","",Table1[[#This Row],[Qty]]*Table1[[#This Row],[Unit Price]])</f>
        <v>480000</v>
      </c>
      <c r="Z116" s="283">
        <f>IF(Table1[[#This Row],[h_hargasebelumdiskon]]="","",IF(Table1[[#This Row],[Disc 1]]="",0,Table1[[#This Row],[h_hargasebelumdiskon]]*Table1[[#This Row],[Disc 1]]))</f>
        <v>48000</v>
      </c>
      <c r="AA116" s="283">
        <f>IF(Table1[[#This Row],[h_hargasebelumdiskon]]="","",IF(Table1[[#This Row],[Disc 2]]="",0,(Table1[[#This Row],[h_hargasebelumdiskon]]-Table1[[#This Row],[h_disc 1]])*Table1[[#This Row],[Disc 2]]))</f>
        <v>0</v>
      </c>
      <c r="AB116" s="283">
        <f>IF(Table1[Item Description]="","",Table1[[#This Row],[h_disc 1]]+Table1[[#This Row],[h_disc 2]])</f>
        <v>48000</v>
      </c>
      <c r="AC116" s="283">
        <f>IF(Table1[Item Description]="","",Table1[[#This Row],[h_hargasebelumdiskon]]-Table1[[#This Row],[h_diskon]])</f>
        <v>432000</v>
      </c>
      <c r="AD116" s="283" t="str">
        <f ca="1">IF(Table1[//]="","",SUMIF(Table1[h_id],Table1[h_id],Table1[h_hargasetelahdiskon]))</f>
        <v/>
      </c>
      <c r="AE116" s="283"/>
      <c r="AF116" s="283" t="str">
        <f>Table1[[#This Row],[Item Description]]&amp;Table1[[#This Row],[Unit]]&amp;Table1[[#This Row],[Unit Price]]</f>
        <v>PLAKBAND BENING 80 M KENKO 48 MM RED COREPCS10000</v>
      </c>
    </row>
    <row r="117" spans="1:32" x14ac:dyDescent="0.25">
      <c r="A117" s="287" t="str">
        <f ca="1">IF(Table1[[#This Row],[No. Invoice :]]="","",ROW())</f>
        <v/>
      </c>
      <c r="B117" s="287" t="str">
        <f ca="1">IF(Table1[h_Kode Sales :_1]="","",B$1+COUNT(INDIRECT("B$2:B"&amp;ROW()-1)))</f>
        <v/>
      </c>
      <c r="C117" s="281" t="str">
        <f>IF(Table1[[#This Row],[H_TGL]]="","",Table1[[#This Row],[H_TGL]]+C$1-1)</f>
        <v/>
      </c>
      <c r="H117" s="287" t="str">
        <f ca="1">IF(Table1[[#This Row],[h_No. Invoice :]]="","",CONCATENATE("AM"," ",Table1[[#This Row],[h_No. Invoice :]]))</f>
        <v/>
      </c>
      <c r="I117" s="288" t="str">
        <f>CONCATENATE(UPPER(Table1[[#This Row],[h_Kode Sales :_1]])," ",Table1[[#This Row],[h_Kode Sales :_2]])</f>
        <v xml:space="preserve"> </v>
      </c>
      <c r="J117" s="287" t="str">
        <f>IF(Table1[[#This Row],[h_toko]]="","",INDEX(Table2[e],IF(Table1[[#This Row],[h_toko]]="","",MATCH(Table1[[#This Row],[h_toko]],Table2[a],0)),))</f>
        <v/>
      </c>
      <c r="K117" s="280">
        <v>1</v>
      </c>
      <c r="L117" s="280" t="s">
        <v>143</v>
      </c>
      <c r="N117" s="280" t="s">
        <v>281</v>
      </c>
      <c r="O117" s="287" t="str">
        <f>IF(Table1[[#This Row],[h_Item Description]]="","",INDEX([1]!db[NB PAJAK],MATCH(Table1[[#This Row],[h_Item Description]],[1]!db[kode],0)))</f>
        <v>TAPE DISPENSER POLAR BEAR MN-305 @12pc</v>
      </c>
      <c r="P117" s="280" t="s">
        <v>294</v>
      </c>
      <c r="Q117" s="283">
        <v>120000</v>
      </c>
      <c r="R117" s="284"/>
      <c r="T117" s="283">
        <f>Table1[[#This Row],[h_hargasetelahdiskon]]</f>
        <v>120000</v>
      </c>
      <c r="W117" s="287">
        <f ca="1">IF(Table1[[#This Row],[Item Description]]="","",IF(Table1[[#This Row],[//]]="",INDIRECT(ADDRESS(ROW()-1,COLUMN())),Table1[[#This Row],[//]]))</f>
        <v>112</v>
      </c>
      <c r="X117" s="287">
        <f ca="1">IF(Table1[[#This Row],[h_id]]="","",COUNTIF(Table1[h_id],Table1[[#This Row],[h_id]]))</f>
        <v>15</v>
      </c>
      <c r="Y117" s="283">
        <f>IF(Table1[Item Description]="","",Table1[[#This Row],[Qty]]*Table1[[#This Row],[Unit Price]])</f>
        <v>120000</v>
      </c>
      <c r="Z117" s="283">
        <f>IF(Table1[[#This Row],[h_hargasebelumdiskon]]="","",IF(Table1[[#This Row],[Disc 1]]="",0,Table1[[#This Row],[h_hargasebelumdiskon]]*Table1[[#This Row],[Disc 1]]))</f>
        <v>0</v>
      </c>
      <c r="AA117" s="283">
        <f>IF(Table1[[#This Row],[h_hargasebelumdiskon]]="","",IF(Table1[[#This Row],[Disc 2]]="",0,(Table1[[#This Row],[h_hargasebelumdiskon]]-Table1[[#This Row],[h_disc 1]])*Table1[[#This Row],[Disc 2]]))</f>
        <v>0</v>
      </c>
      <c r="AB117" s="283">
        <f>IF(Table1[Item Description]="","",Table1[[#This Row],[h_disc 1]]+Table1[[#This Row],[h_disc 2]])</f>
        <v>0</v>
      </c>
      <c r="AC117" s="283">
        <f>IF(Table1[Item Description]="","",Table1[[#This Row],[h_hargasebelumdiskon]]-Table1[[#This Row],[h_diskon]])</f>
        <v>120000</v>
      </c>
      <c r="AD117" s="283" t="str">
        <f ca="1">IF(Table1[//]="","",SUMIF(Table1[h_id],Table1[h_id],Table1[h_hargasetelahdiskon]))</f>
        <v/>
      </c>
      <c r="AE117" s="283"/>
      <c r="AF117" s="283" t="str">
        <f>Table1[[#This Row],[Item Description]]&amp;Table1[[#This Row],[Unit]]&amp;Table1[[#This Row],[Unit Price]]</f>
        <v>TAPE DISPENSER POLAR BEAR MN-305LSN120000</v>
      </c>
    </row>
    <row r="118" spans="1:32" x14ac:dyDescent="0.25">
      <c r="A118" s="287" t="str">
        <f ca="1">IF(Table1[[#This Row],[No. Invoice :]]="","",ROW())</f>
        <v/>
      </c>
      <c r="B118" s="287" t="str">
        <f ca="1">IF(Table1[h_Kode Sales :_1]="","",B$1+COUNT(INDIRECT("B$2:B"&amp;ROW()-1)))</f>
        <v/>
      </c>
      <c r="C118" s="281" t="str">
        <f>IF(Table1[[#This Row],[H_TGL]]="","",Table1[[#This Row],[H_TGL]]+C$1-1)</f>
        <v/>
      </c>
      <c r="H118" s="287" t="str">
        <f ca="1">IF(Table1[[#This Row],[h_No. Invoice :]]="","",CONCATENATE("AM"," ",Table1[[#This Row],[h_No. Invoice :]]))</f>
        <v/>
      </c>
      <c r="I118" s="288" t="str">
        <f>CONCATENATE(UPPER(Table1[[#This Row],[h_Kode Sales :_1]])," ",Table1[[#This Row],[h_Kode Sales :_2]])</f>
        <v xml:space="preserve"> </v>
      </c>
      <c r="J118" s="287" t="str">
        <f>IF(Table1[[#This Row],[h_toko]]="","",INDEX(Table2[e],IF(Table1[[#This Row],[h_toko]]="","",MATCH(Table1[[#This Row],[h_toko]],Table2[a],0)),))</f>
        <v/>
      </c>
      <c r="K118" s="280">
        <v>3</v>
      </c>
      <c r="L118" s="280" t="s">
        <v>143</v>
      </c>
      <c r="N118" s="280" t="s">
        <v>282</v>
      </c>
      <c r="O118" s="287" t="str">
        <f>IF(Table1[[#This Row],[h_Item Description]]="","",INDEX([1]!db[NB PAJAK],MATCH(Table1[[#This Row],[h_Item Description]],[1]!db[kode],0)))</f>
        <v>GEL PEN JOYKO GP-243 WHIZ GEL HITAM</v>
      </c>
      <c r="P118" s="280" t="s">
        <v>292</v>
      </c>
      <c r="Q118" s="283">
        <v>24600</v>
      </c>
      <c r="R118" s="284">
        <v>0.1</v>
      </c>
      <c r="T118" s="283">
        <f>Table1[[#This Row],[h_hargasetelahdiskon]]</f>
        <v>66420</v>
      </c>
      <c r="W118" s="287">
        <f ca="1">IF(Table1[[#This Row],[Item Description]]="","",IF(Table1[[#This Row],[//]]="",INDIRECT(ADDRESS(ROW()-1,COLUMN())),Table1[[#This Row],[//]]))</f>
        <v>112</v>
      </c>
      <c r="X118" s="287">
        <f ca="1">IF(Table1[[#This Row],[h_id]]="","",COUNTIF(Table1[h_id],Table1[[#This Row],[h_id]]))</f>
        <v>15</v>
      </c>
      <c r="Y118" s="283">
        <f>IF(Table1[Item Description]="","",Table1[[#This Row],[Qty]]*Table1[[#This Row],[Unit Price]])</f>
        <v>73800</v>
      </c>
      <c r="Z118" s="283">
        <f>IF(Table1[[#This Row],[h_hargasebelumdiskon]]="","",IF(Table1[[#This Row],[Disc 1]]="",0,Table1[[#This Row],[h_hargasebelumdiskon]]*Table1[[#This Row],[Disc 1]]))</f>
        <v>7380</v>
      </c>
      <c r="AA118" s="283">
        <f>IF(Table1[[#This Row],[h_hargasebelumdiskon]]="","",IF(Table1[[#This Row],[Disc 2]]="",0,(Table1[[#This Row],[h_hargasebelumdiskon]]-Table1[[#This Row],[h_disc 1]])*Table1[[#This Row],[Disc 2]]))</f>
        <v>0</v>
      </c>
      <c r="AB118" s="283">
        <f>IF(Table1[Item Description]="","",Table1[[#This Row],[h_disc 1]]+Table1[[#This Row],[h_disc 2]])</f>
        <v>7380</v>
      </c>
      <c r="AC118" s="283">
        <f>IF(Table1[Item Description]="","",Table1[[#This Row],[h_hargasebelumdiskon]]-Table1[[#This Row],[h_diskon]])</f>
        <v>66420</v>
      </c>
      <c r="AD118" s="283" t="str">
        <f ca="1">IF(Table1[//]="","",SUMIF(Table1[h_id],Table1[h_id],Table1[h_hargasetelahdiskon]))</f>
        <v/>
      </c>
      <c r="AE118" s="283"/>
      <c r="AF118" s="283" t="str">
        <f>Table1[[#This Row],[Item Description]]&amp;Table1[[#This Row],[Unit]]&amp;Table1[[#This Row],[Unit Price]]</f>
        <v>GEL PEN JOYKO GP-243 WHIZ GEL HITAMLSN24600</v>
      </c>
    </row>
    <row r="119" spans="1:32" x14ac:dyDescent="0.25">
      <c r="A119" s="287" t="str">
        <f ca="1">IF(Table1[[#This Row],[No. Invoice :]]="","",ROW())</f>
        <v/>
      </c>
      <c r="B119" s="287" t="str">
        <f ca="1">IF(Table1[h_Kode Sales :_1]="","",B$1+COUNT(INDIRECT("B$2:B"&amp;ROW()-1)))</f>
        <v/>
      </c>
      <c r="C119" s="281" t="str">
        <f>IF(Table1[[#This Row],[H_TGL]]="","",Table1[[#This Row],[H_TGL]]+C$1-1)</f>
        <v/>
      </c>
      <c r="H119" s="287" t="str">
        <f ca="1">IF(Table1[[#This Row],[h_No. Invoice :]]="","",CONCATENATE("AM"," ",Table1[[#This Row],[h_No. Invoice :]]))</f>
        <v/>
      </c>
      <c r="I119" s="288" t="str">
        <f>CONCATENATE(UPPER(Table1[[#This Row],[h_Kode Sales :_1]])," ",Table1[[#This Row],[h_Kode Sales :_2]])</f>
        <v xml:space="preserve"> </v>
      </c>
      <c r="J119" s="287" t="str">
        <f>IF(Table1[[#This Row],[h_toko]]="","",INDEX(Table2[e],IF(Table1[[#This Row],[h_toko]]="","",MATCH(Table1[[#This Row],[h_toko]],Table2[a],0)),))</f>
        <v/>
      </c>
      <c r="K119" s="280">
        <v>1</v>
      </c>
      <c r="L119" s="280" t="s">
        <v>143</v>
      </c>
      <c r="N119" s="280" t="s">
        <v>283</v>
      </c>
      <c r="O119" s="287" t="str">
        <f>IF(Table1[[#This Row],[h_Item Description]]="","",INDEX([1]!db[NB PAJAK],MATCH(Table1[[#This Row],[h_Item Description]],[1]!db[kode],0)))</f>
        <v>BALLPEN JOYKO BP-288 QUACO 3 (4 WARNA)</v>
      </c>
      <c r="P119" s="280" t="s">
        <v>293</v>
      </c>
      <c r="Q119" s="283">
        <v>42600</v>
      </c>
      <c r="R119" s="284">
        <v>0.1</v>
      </c>
      <c r="T119" s="283">
        <f>Table1[[#This Row],[h_hargasetelahdiskon]]</f>
        <v>38340</v>
      </c>
      <c r="W119" s="287">
        <f ca="1">IF(Table1[[#This Row],[Item Description]]="","",IF(Table1[[#This Row],[//]]="",INDIRECT(ADDRESS(ROW()-1,COLUMN())),Table1[[#This Row],[//]]))</f>
        <v>112</v>
      </c>
      <c r="X119" s="287">
        <f ca="1">IF(Table1[[#This Row],[h_id]]="","",COUNTIF(Table1[h_id],Table1[[#This Row],[h_id]]))</f>
        <v>15</v>
      </c>
      <c r="Y119" s="283">
        <f>IF(Table1[Item Description]="","",Table1[[#This Row],[Qty]]*Table1[[#This Row],[Unit Price]])</f>
        <v>42600</v>
      </c>
      <c r="Z119" s="283">
        <f>IF(Table1[[#This Row],[h_hargasebelumdiskon]]="","",IF(Table1[[#This Row],[Disc 1]]="",0,Table1[[#This Row],[h_hargasebelumdiskon]]*Table1[[#This Row],[Disc 1]]))</f>
        <v>4260</v>
      </c>
      <c r="AA119" s="283">
        <f>IF(Table1[[#This Row],[h_hargasebelumdiskon]]="","",IF(Table1[[#This Row],[Disc 2]]="",0,(Table1[[#This Row],[h_hargasebelumdiskon]]-Table1[[#This Row],[h_disc 1]])*Table1[[#This Row],[Disc 2]]))</f>
        <v>0</v>
      </c>
      <c r="AB119" s="283">
        <f>IF(Table1[Item Description]="","",Table1[[#This Row],[h_disc 1]]+Table1[[#This Row],[h_disc 2]])</f>
        <v>4260</v>
      </c>
      <c r="AC119" s="283">
        <f>IF(Table1[Item Description]="","",Table1[[#This Row],[h_hargasebelumdiskon]]-Table1[[#This Row],[h_diskon]])</f>
        <v>38340</v>
      </c>
      <c r="AD119" s="283" t="str">
        <f ca="1">IF(Table1[//]="","",SUMIF(Table1[h_id],Table1[h_id],Table1[h_hargasetelahdiskon]))</f>
        <v/>
      </c>
      <c r="AE119" s="283"/>
      <c r="AF119" s="283" t="str">
        <f>Table1[[#This Row],[Item Description]]&amp;Table1[[#This Row],[Unit]]&amp;Table1[[#This Row],[Unit Price]]</f>
        <v>BALLPEN JOYKO BP-288 QUACO 3 (4 WARNA)LSN42600</v>
      </c>
    </row>
    <row r="120" spans="1:32" x14ac:dyDescent="0.25">
      <c r="A120" s="287" t="str">
        <f ca="1">IF(Table1[[#This Row],[No. Invoice :]]="","",ROW())</f>
        <v/>
      </c>
      <c r="B120" s="287" t="str">
        <f ca="1">IF(Table1[h_Kode Sales :_1]="","",B$1+COUNT(INDIRECT("B$2:B"&amp;ROW()-1)))</f>
        <v/>
      </c>
      <c r="C120" s="281" t="str">
        <f>IF(Table1[[#This Row],[H_TGL]]="","",Table1[[#This Row],[H_TGL]]+C$1-1)</f>
        <v/>
      </c>
      <c r="H120" s="287" t="str">
        <f ca="1">IF(Table1[[#This Row],[h_No. Invoice :]]="","",CONCATENATE("AM"," ",Table1[[#This Row],[h_No. Invoice :]]))</f>
        <v/>
      </c>
      <c r="I120" s="288" t="str">
        <f>CONCATENATE(UPPER(Table1[[#This Row],[h_Kode Sales :_1]])," ",Table1[[#This Row],[h_Kode Sales :_2]])</f>
        <v xml:space="preserve"> </v>
      </c>
      <c r="J120" s="287" t="str">
        <f>IF(Table1[[#This Row],[h_toko]]="","",INDEX(Table2[e],IF(Table1[[#This Row],[h_toko]]="","",MATCH(Table1[[#This Row],[h_toko]],Table2[a],0)),))</f>
        <v/>
      </c>
      <c r="K120" s="280">
        <v>1</v>
      </c>
      <c r="L120" s="280" t="s">
        <v>143</v>
      </c>
      <c r="N120" s="280" t="s">
        <v>284</v>
      </c>
      <c r="O120" s="287" t="e">
        <f>IF(Table1[[#This Row],[h_Item Description]]="","",INDEX([1]!db[NB PAJAK],MATCH(Table1[[#This Row],[h_Item Description]],[1]!db[kode],0)))</f>
        <v>#N/A</v>
      </c>
      <c r="P120" s="280" t="s">
        <v>300</v>
      </c>
      <c r="Q120" s="283">
        <v>67200</v>
      </c>
      <c r="R120" s="284">
        <v>0.1</v>
      </c>
      <c r="T120" s="283">
        <f>Table1[[#This Row],[h_hargasetelahdiskon]]</f>
        <v>60480</v>
      </c>
      <c r="W120" s="287">
        <f ca="1">IF(Table1[[#This Row],[Item Description]]="","",IF(Table1[[#This Row],[//]]="",INDIRECT(ADDRESS(ROW()-1,COLUMN())),Table1[[#This Row],[//]]))</f>
        <v>112</v>
      </c>
      <c r="X120" s="287">
        <f ca="1">IF(Table1[[#This Row],[h_id]]="","",COUNTIF(Table1[h_id],Table1[[#This Row],[h_id]]))</f>
        <v>15</v>
      </c>
      <c r="Y120" s="283">
        <f>IF(Table1[Item Description]="","",Table1[[#This Row],[Qty]]*Table1[[#This Row],[Unit Price]])</f>
        <v>67200</v>
      </c>
      <c r="Z120" s="283">
        <f>IF(Table1[[#This Row],[h_hargasebelumdiskon]]="","",IF(Table1[[#This Row],[Disc 1]]="",0,Table1[[#This Row],[h_hargasebelumdiskon]]*Table1[[#This Row],[Disc 1]]))</f>
        <v>6720</v>
      </c>
      <c r="AA120" s="283">
        <f>IF(Table1[[#This Row],[h_hargasebelumdiskon]]="","",IF(Table1[[#This Row],[Disc 2]]="",0,(Table1[[#This Row],[h_hargasebelumdiskon]]-Table1[[#This Row],[h_disc 1]])*Table1[[#This Row],[Disc 2]]))</f>
        <v>0</v>
      </c>
      <c r="AB120" s="283">
        <f>IF(Table1[Item Description]="","",Table1[[#This Row],[h_disc 1]]+Table1[[#This Row],[h_disc 2]])</f>
        <v>6720</v>
      </c>
      <c r="AC120" s="283">
        <f>IF(Table1[Item Description]="","",Table1[[#This Row],[h_hargasebelumdiskon]]-Table1[[#This Row],[h_diskon]])</f>
        <v>60480</v>
      </c>
      <c r="AD120" s="283" t="str">
        <f ca="1">IF(Table1[//]="","",SUMIF(Table1[h_id],Table1[h_id],Table1[h_hargasetelahdiskon]))</f>
        <v/>
      </c>
      <c r="AE120" s="283"/>
      <c r="AF120" s="283" t="str">
        <f>Table1[[#This Row],[Item Description]]&amp;Table1[[#This Row],[Unit]]&amp;Table1[[#This Row],[Unit Price]]</f>
        <v>STAPLER KENKO HD-10MP (MINI PLASTIK)LSN67200</v>
      </c>
    </row>
    <row r="121" spans="1:32" x14ac:dyDescent="0.25">
      <c r="A121" s="287" t="str">
        <f ca="1">IF(Table1[[#This Row],[No. Invoice :]]="","",ROW())</f>
        <v/>
      </c>
      <c r="B121" s="287" t="str">
        <f ca="1">IF(Table1[h_Kode Sales :_1]="","",B$1+COUNT(INDIRECT("B$2:B"&amp;ROW()-1)))</f>
        <v/>
      </c>
      <c r="C121" s="281" t="str">
        <f>IF(Table1[[#This Row],[H_TGL]]="","",Table1[[#This Row],[H_TGL]]+C$1-1)</f>
        <v/>
      </c>
      <c r="H121" s="287" t="str">
        <f ca="1">IF(Table1[[#This Row],[h_No. Invoice :]]="","",CONCATENATE("AM"," ",Table1[[#This Row],[h_No. Invoice :]]))</f>
        <v/>
      </c>
      <c r="I121" s="288" t="str">
        <f>CONCATENATE(UPPER(Table1[[#This Row],[h_Kode Sales :_1]])," ",Table1[[#This Row],[h_Kode Sales :_2]])</f>
        <v xml:space="preserve"> </v>
      </c>
      <c r="J121" s="287" t="str">
        <f>IF(Table1[[#This Row],[h_toko]]="","",INDEX(Table2[e],IF(Table1[[#This Row],[h_toko]]="","",MATCH(Table1[[#This Row],[h_toko]],Table2[a],0)),))</f>
        <v/>
      </c>
      <c r="K121" s="280">
        <v>10</v>
      </c>
      <c r="L121" s="280" t="s">
        <v>136</v>
      </c>
      <c r="N121" s="280" t="s">
        <v>285</v>
      </c>
      <c r="O121" s="287" t="str">
        <f>IF(Table1[[#This Row],[h_Item Description]]="","",INDEX([1]!db[NB PAJAK],MATCH(Table1[[#This Row],[h_Item Description]],[1]!db[kode],0)))</f>
        <v>BUKU KAS KWARTO</v>
      </c>
      <c r="P121" s="280" t="s">
        <v>296</v>
      </c>
      <c r="Q121" s="283">
        <v>9500</v>
      </c>
      <c r="R121" s="284"/>
      <c r="T121" s="283">
        <f>Table1[[#This Row],[h_hargasetelahdiskon]]</f>
        <v>95000</v>
      </c>
      <c r="W121" s="287">
        <f ca="1">IF(Table1[[#This Row],[Item Description]]="","",IF(Table1[[#This Row],[//]]="",INDIRECT(ADDRESS(ROW()-1,COLUMN())),Table1[[#This Row],[//]]))</f>
        <v>112</v>
      </c>
      <c r="X121" s="287">
        <f ca="1">IF(Table1[[#This Row],[h_id]]="","",COUNTIF(Table1[h_id],Table1[[#This Row],[h_id]]))</f>
        <v>15</v>
      </c>
      <c r="Y121" s="283">
        <f>IF(Table1[Item Description]="","",Table1[[#This Row],[Qty]]*Table1[[#This Row],[Unit Price]])</f>
        <v>95000</v>
      </c>
      <c r="Z121" s="283">
        <f>IF(Table1[[#This Row],[h_hargasebelumdiskon]]="","",IF(Table1[[#This Row],[Disc 1]]="",0,Table1[[#This Row],[h_hargasebelumdiskon]]*Table1[[#This Row],[Disc 1]]))</f>
        <v>0</v>
      </c>
      <c r="AA121" s="283">
        <f>IF(Table1[[#This Row],[h_hargasebelumdiskon]]="","",IF(Table1[[#This Row],[Disc 2]]="",0,(Table1[[#This Row],[h_hargasebelumdiskon]]-Table1[[#This Row],[h_disc 1]])*Table1[[#This Row],[Disc 2]]))</f>
        <v>0</v>
      </c>
      <c r="AB121" s="283">
        <f>IF(Table1[Item Description]="","",Table1[[#This Row],[h_disc 1]]+Table1[[#This Row],[h_disc 2]])</f>
        <v>0</v>
      </c>
      <c r="AC121" s="283">
        <f>IF(Table1[Item Description]="","",Table1[[#This Row],[h_hargasebelumdiskon]]-Table1[[#This Row],[h_diskon]])</f>
        <v>95000</v>
      </c>
      <c r="AD121" s="283" t="str">
        <f ca="1">IF(Table1[//]="","",SUMIF(Table1[h_id],Table1[h_id],Table1[h_hargasetelahdiskon]))</f>
        <v/>
      </c>
      <c r="AE121" s="283"/>
      <c r="AF121" s="283" t="str">
        <f>Table1[[#This Row],[Item Description]]&amp;Table1[[#This Row],[Unit]]&amp;Table1[[#This Row],[Unit Price]]</f>
        <v>BUKU KAS KWARTOPCS9500</v>
      </c>
    </row>
    <row r="122" spans="1:32" x14ac:dyDescent="0.25">
      <c r="A122" s="287" t="str">
        <f ca="1">IF(Table1[[#This Row],[No. Invoice :]]="","",ROW())</f>
        <v/>
      </c>
      <c r="B122" s="287" t="str">
        <f ca="1">IF(Table1[h_Kode Sales :_1]="","",B$1+COUNT(INDIRECT("B$2:B"&amp;ROW()-1)))</f>
        <v/>
      </c>
      <c r="C122" s="281" t="str">
        <f>IF(Table1[[#This Row],[H_TGL]]="","",Table1[[#This Row],[H_TGL]]+C$1-1)</f>
        <v/>
      </c>
      <c r="H122" s="287" t="str">
        <f ca="1">IF(Table1[[#This Row],[h_No. Invoice :]]="","",CONCATENATE("AM"," ",Table1[[#This Row],[h_No. Invoice :]]))</f>
        <v/>
      </c>
      <c r="I122" s="288" t="str">
        <f>CONCATENATE(UPPER(Table1[[#This Row],[h_Kode Sales :_1]])," ",Table1[[#This Row],[h_Kode Sales :_2]])</f>
        <v xml:space="preserve"> </v>
      </c>
      <c r="J122" s="287" t="str">
        <f>IF(Table1[[#This Row],[h_toko]]="","",INDEX(Table2[e],IF(Table1[[#This Row],[h_toko]]="","",MATCH(Table1[[#This Row],[h_toko]],Table2[a],0)),))</f>
        <v/>
      </c>
      <c r="K122" s="280">
        <v>10</v>
      </c>
      <c r="L122" s="280" t="s">
        <v>136</v>
      </c>
      <c r="N122" s="280" t="s">
        <v>286</v>
      </c>
      <c r="O122" s="287" t="str">
        <f>IF(Table1[[#This Row],[h_Item Description]]="","",INDEX([1]!db[NB PAJAK],MATCH(Table1[[#This Row],[h_Item Description]],[1]!db[kode],0)))</f>
        <v>BUKU KAS (FOLIO)</v>
      </c>
      <c r="P122" s="280" t="s">
        <v>299</v>
      </c>
      <c r="Q122" s="283">
        <v>18500</v>
      </c>
      <c r="R122" s="284"/>
      <c r="T122" s="283">
        <f>Table1[[#This Row],[h_hargasetelahdiskon]]</f>
        <v>185000</v>
      </c>
      <c r="W122" s="287">
        <f ca="1">IF(Table1[[#This Row],[Item Description]]="","",IF(Table1[[#This Row],[//]]="",INDIRECT(ADDRESS(ROW()-1,COLUMN())),Table1[[#This Row],[//]]))</f>
        <v>112</v>
      </c>
      <c r="X122" s="287">
        <f ca="1">IF(Table1[[#This Row],[h_id]]="","",COUNTIF(Table1[h_id],Table1[[#This Row],[h_id]]))</f>
        <v>15</v>
      </c>
      <c r="Y122" s="283">
        <f>IF(Table1[Item Description]="","",Table1[[#This Row],[Qty]]*Table1[[#This Row],[Unit Price]])</f>
        <v>185000</v>
      </c>
      <c r="Z122" s="283">
        <f>IF(Table1[[#This Row],[h_hargasebelumdiskon]]="","",IF(Table1[[#This Row],[Disc 1]]="",0,Table1[[#This Row],[h_hargasebelumdiskon]]*Table1[[#This Row],[Disc 1]]))</f>
        <v>0</v>
      </c>
      <c r="AA122" s="283">
        <f>IF(Table1[[#This Row],[h_hargasebelumdiskon]]="","",IF(Table1[[#This Row],[Disc 2]]="",0,(Table1[[#This Row],[h_hargasebelumdiskon]]-Table1[[#This Row],[h_disc 1]])*Table1[[#This Row],[Disc 2]]))</f>
        <v>0</v>
      </c>
      <c r="AB122" s="283">
        <f>IF(Table1[Item Description]="","",Table1[[#This Row],[h_disc 1]]+Table1[[#This Row],[h_disc 2]])</f>
        <v>0</v>
      </c>
      <c r="AC122" s="283">
        <f>IF(Table1[Item Description]="","",Table1[[#This Row],[h_hargasebelumdiskon]]-Table1[[#This Row],[h_diskon]])</f>
        <v>185000</v>
      </c>
      <c r="AD122" s="283" t="str">
        <f ca="1">IF(Table1[//]="","",SUMIF(Table1[h_id],Table1[h_id],Table1[h_hargasetelahdiskon]))</f>
        <v/>
      </c>
      <c r="AE122" s="283"/>
      <c r="AF122" s="283" t="str">
        <f>Table1[[#This Row],[Item Description]]&amp;Table1[[#This Row],[Unit]]&amp;Table1[[#This Row],[Unit Price]]</f>
        <v>BUKU KAS FOLIOPCS18500</v>
      </c>
    </row>
    <row r="123" spans="1:32" x14ac:dyDescent="0.25">
      <c r="A123" s="287" t="str">
        <f ca="1">IF(Table1[[#This Row],[No. Invoice :]]="","",ROW())</f>
        <v/>
      </c>
      <c r="B123" s="287" t="str">
        <f ca="1">IF(Table1[h_Kode Sales :_1]="","",B$1+COUNT(INDIRECT("B$2:B"&amp;ROW()-1)))</f>
        <v/>
      </c>
      <c r="C123" s="281" t="str">
        <f>IF(Table1[[#This Row],[H_TGL]]="","",Table1[[#This Row],[H_TGL]]+C$1-1)</f>
        <v/>
      </c>
      <c r="H123" s="287" t="str">
        <f ca="1">IF(Table1[[#This Row],[h_No. Invoice :]]="","",CONCATENATE("AM"," ",Table1[[#This Row],[h_No. Invoice :]]))</f>
        <v/>
      </c>
      <c r="I123" s="288" t="str">
        <f>CONCATENATE(UPPER(Table1[[#This Row],[h_Kode Sales :_1]])," ",Table1[[#This Row],[h_Kode Sales :_2]])</f>
        <v xml:space="preserve"> </v>
      </c>
      <c r="J123" s="287" t="str">
        <f>IF(Table1[[#This Row],[h_toko]]="","",INDEX(Table2[e],IF(Table1[[#This Row],[h_toko]]="","",MATCH(Table1[[#This Row],[h_toko]],Table2[a],0)),))</f>
        <v/>
      </c>
      <c r="K123" s="280">
        <v>2</v>
      </c>
      <c r="L123" s="280" t="s">
        <v>143</v>
      </c>
      <c r="N123" s="280" t="s">
        <v>246</v>
      </c>
      <c r="O123" s="287" t="str">
        <f>IF(Table1[[#This Row],[h_Item Description]]="","",INDEX([1]!db[NB PAJAK],MATCH(Table1[[#This Row],[h_Item Description]],[1]!db[kode],0)))</f>
        <v>PAPER CLIP WARNA KENKO 3100</v>
      </c>
      <c r="P123" s="280" t="s">
        <v>254</v>
      </c>
      <c r="Q123" s="283">
        <v>41400</v>
      </c>
      <c r="R123" s="284">
        <v>0.1</v>
      </c>
      <c r="T123" s="283">
        <f>Table1[[#This Row],[h_hargasetelahdiskon]]</f>
        <v>74520</v>
      </c>
      <c r="W123" s="287">
        <f ca="1">IF(Table1[[#This Row],[Item Description]]="","",IF(Table1[[#This Row],[//]]="",INDIRECT(ADDRESS(ROW()-1,COLUMN())),Table1[[#This Row],[//]]))</f>
        <v>112</v>
      </c>
      <c r="X123" s="287">
        <f ca="1">IF(Table1[[#This Row],[h_id]]="","",COUNTIF(Table1[h_id],Table1[[#This Row],[h_id]]))</f>
        <v>15</v>
      </c>
      <c r="Y123" s="283">
        <f>IF(Table1[Item Description]="","",Table1[[#This Row],[Qty]]*Table1[[#This Row],[Unit Price]])</f>
        <v>82800</v>
      </c>
      <c r="Z123" s="283">
        <f>IF(Table1[[#This Row],[h_hargasebelumdiskon]]="","",IF(Table1[[#This Row],[Disc 1]]="",0,Table1[[#This Row],[h_hargasebelumdiskon]]*Table1[[#This Row],[Disc 1]]))</f>
        <v>8280</v>
      </c>
      <c r="AA123" s="283">
        <f>IF(Table1[[#This Row],[h_hargasebelumdiskon]]="","",IF(Table1[[#This Row],[Disc 2]]="",0,(Table1[[#This Row],[h_hargasebelumdiskon]]-Table1[[#This Row],[h_disc 1]])*Table1[[#This Row],[Disc 2]]))</f>
        <v>0</v>
      </c>
      <c r="AB123" s="283">
        <f>IF(Table1[Item Description]="","",Table1[[#This Row],[h_disc 1]]+Table1[[#This Row],[h_disc 2]])</f>
        <v>8280</v>
      </c>
      <c r="AC123" s="283">
        <f>IF(Table1[Item Description]="","",Table1[[#This Row],[h_hargasebelumdiskon]]-Table1[[#This Row],[h_diskon]])</f>
        <v>74520</v>
      </c>
      <c r="AD123" s="283" t="str">
        <f ca="1">IF(Table1[//]="","",SUMIF(Table1[h_id],Table1[h_id],Table1[h_hargasetelahdiskon]))</f>
        <v/>
      </c>
      <c r="AE123" s="283"/>
      <c r="AF123" s="283" t="str">
        <f>Table1[[#This Row],[Item Description]]&amp;Table1[[#This Row],[Unit]]&amp;Table1[[#This Row],[Unit Price]]</f>
        <v>PAPER CLIP WARNA KENKO 3100LSN41400</v>
      </c>
    </row>
    <row r="124" spans="1:32" x14ac:dyDescent="0.25">
      <c r="A124" s="287" t="str">
        <f ca="1">IF(Table1[[#This Row],[No. Invoice :]]="","",ROW())</f>
        <v/>
      </c>
      <c r="B124" s="287" t="str">
        <f ca="1">IF(Table1[h_Kode Sales :_1]="","",B$1+COUNT(INDIRECT("B$2:B"&amp;ROW()-1)))</f>
        <v/>
      </c>
      <c r="C124" s="281" t="str">
        <f>IF(Table1[[#This Row],[H_TGL]]="","",Table1[[#This Row],[H_TGL]]+C$1-1)</f>
        <v/>
      </c>
      <c r="H124" s="287" t="str">
        <f ca="1">IF(Table1[[#This Row],[h_No. Invoice :]]="","",CONCATENATE("AM"," ",Table1[[#This Row],[h_No. Invoice :]]))</f>
        <v/>
      </c>
      <c r="I124" s="288" t="str">
        <f>CONCATENATE(UPPER(Table1[[#This Row],[h_Kode Sales :_1]])," ",Table1[[#This Row],[h_Kode Sales :_2]])</f>
        <v xml:space="preserve"> </v>
      </c>
      <c r="J124" s="287" t="str">
        <f>IF(Table1[[#This Row],[h_toko]]="","",INDEX(Table2[e],IF(Table1[[#This Row],[h_toko]]="","",MATCH(Table1[[#This Row],[h_toko]],Table2[a],0)),))</f>
        <v/>
      </c>
      <c r="K124" s="280">
        <v>2</v>
      </c>
      <c r="L124" s="280" t="s">
        <v>203</v>
      </c>
      <c r="N124" s="280" t="s">
        <v>248</v>
      </c>
      <c r="O124" s="287" t="str">
        <f>IF(Table1[[#This Row],[h_Item Description]]="","",INDEX([1]!db[NB PAJAK],MATCH(Table1[[#This Row],[h_Item Description]],[1]!db[kode],0)))</f>
        <v>BINDER CLIP KENKO NO. 105</v>
      </c>
      <c r="P124" s="280" t="s">
        <v>255</v>
      </c>
      <c r="Q124" s="283">
        <v>28800</v>
      </c>
      <c r="R124" s="284">
        <v>0.1</v>
      </c>
      <c r="T124" s="283">
        <f>Table1[[#This Row],[h_hargasetelahdiskon]]</f>
        <v>51840</v>
      </c>
      <c r="W124" s="287">
        <f ca="1">IF(Table1[[#This Row],[Item Description]]="","",IF(Table1[[#This Row],[//]]="",INDIRECT(ADDRESS(ROW()-1,COLUMN())),Table1[[#This Row],[//]]))</f>
        <v>112</v>
      </c>
      <c r="X124" s="287">
        <f ca="1">IF(Table1[[#This Row],[h_id]]="","",COUNTIF(Table1[h_id],Table1[[#This Row],[h_id]]))</f>
        <v>15</v>
      </c>
      <c r="Y124" s="283">
        <f>IF(Table1[Item Description]="","",Table1[[#This Row],[Qty]]*Table1[[#This Row],[Unit Price]])</f>
        <v>57600</v>
      </c>
      <c r="Z124" s="283">
        <f>IF(Table1[[#This Row],[h_hargasebelumdiskon]]="","",IF(Table1[[#This Row],[Disc 1]]="",0,Table1[[#This Row],[h_hargasebelumdiskon]]*Table1[[#This Row],[Disc 1]]))</f>
        <v>5760</v>
      </c>
      <c r="AA124" s="283">
        <f>IF(Table1[[#This Row],[h_hargasebelumdiskon]]="","",IF(Table1[[#This Row],[Disc 2]]="",0,(Table1[[#This Row],[h_hargasebelumdiskon]]-Table1[[#This Row],[h_disc 1]])*Table1[[#This Row],[Disc 2]]))</f>
        <v>0</v>
      </c>
      <c r="AB124" s="283">
        <f>IF(Table1[Item Description]="","",Table1[[#This Row],[h_disc 1]]+Table1[[#This Row],[h_disc 2]])</f>
        <v>5760</v>
      </c>
      <c r="AC124" s="283">
        <f>IF(Table1[Item Description]="","",Table1[[#This Row],[h_hargasebelumdiskon]]-Table1[[#This Row],[h_diskon]])</f>
        <v>51840</v>
      </c>
      <c r="AD124" s="283" t="str">
        <f ca="1">IF(Table1[//]="","",SUMIF(Table1[h_id],Table1[h_id],Table1[h_hargasetelahdiskon]))</f>
        <v/>
      </c>
      <c r="AE124" s="283"/>
      <c r="AF124" s="283" t="str">
        <f>Table1[[#This Row],[Item Description]]&amp;Table1[[#This Row],[Unit]]&amp;Table1[[#This Row],[Unit Price]]</f>
        <v>BINDER CLIP KENKO NO. 105GRS28800</v>
      </c>
    </row>
    <row r="125" spans="1:32" x14ac:dyDescent="0.25">
      <c r="A125" s="287" t="str">
        <f ca="1">IF(Table1[[#This Row],[No. Invoice :]]="","",ROW())</f>
        <v/>
      </c>
      <c r="B125" s="287" t="str">
        <f ca="1">IF(Table1[h_Kode Sales :_1]="","",B$1+COUNT(INDIRECT("B$2:B"&amp;ROW()-1)))</f>
        <v/>
      </c>
      <c r="C125" s="281" t="str">
        <f>IF(Table1[[#This Row],[H_TGL]]="","",Table1[[#This Row],[H_TGL]]+C$1-1)</f>
        <v/>
      </c>
      <c r="H125" s="287" t="str">
        <f ca="1">IF(Table1[[#This Row],[h_No. Invoice :]]="","",CONCATENATE("AM"," ",Table1[[#This Row],[h_No. Invoice :]]))</f>
        <v/>
      </c>
      <c r="I125" s="288" t="str">
        <f>CONCATENATE(UPPER(Table1[[#This Row],[h_Kode Sales :_1]])," ",Table1[[#This Row],[h_Kode Sales :_2]])</f>
        <v xml:space="preserve"> </v>
      </c>
      <c r="J125" s="287" t="str">
        <f>IF(Table1[[#This Row],[h_toko]]="","",INDEX(Table2[e],IF(Table1[[#This Row],[h_toko]]="","",MATCH(Table1[[#This Row],[h_toko]],Table2[a],0)),))</f>
        <v/>
      </c>
      <c r="K125" s="280">
        <v>2</v>
      </c>
      <c r="L125" s="280" t="s">
        <v>143</v>
      </c>
      <c r="N125" s="280" t="s">
        <v>287</v>
      </c>
      <c r="O125" s="287" t="str">
        <f>IF(Table1[[#This Row],[h_Item Description]]="","",INDEX([1]!db[NB PAJAK],MATCH(Table1[[#This Row],[h_Item Description]],[1]!db[kode],0)))</f>
        <v>LEM CAIR 35 ML KENKO LG-35</v>
      </c>
      <c r="P125" s="280" t="s">
        <v>297</v>
      </c>
      <c r="Q125" s="283">
        <v>19800</v>
      </c>
      <c r="R125" s="284">
        <v>0.1</v>
      </c>
      <c r="T125" s="283">
        <f>Table1[[#This Row],[h_hargasetelahdiskon]]</f>
        <v>35640</v>
      </c>
      <c r="W125" s="287">
        <f ca="1">IF(Table1[[#This Row],[Item Description]]="","",IF(Table1[[#This Row],[//]]="",INDIRECT(ADDRESS(ROW()-1,COLUMN())),Table1[[#This Row],[//]]))</f>
        <v>112</v>
      </c>
      <c r="X125" s="287">
        <f ca="1">IF(Table1[[#This Row],[h_id]]="","",COUNTIF(Table1[h_id],Table1[[#This Row],[h_id]]))</f>
        <v>15</v>
      </c>
      <c r="Y125" s="283">
        <f>IF(Table1[Item Description]="","",Table1[[#This Row],[Qty]]*Table1[[#This Row],[Unit Price]])</f>
        <v>39600</v>
      </c>
      <c r="Z125" s="283">
        <f>IF(Table1[[#This Row],[h_hargasebelumdiskon]]="","",IF(Table1[[#This Row],[Disc 1]]="",0,Table1[[#This Row],[h_hargasebelumdiskon]]*Table1[[#This Row],[Disc 1]]))</f>
        <v>3960</v>
      </c>
      <c r="AA125" s="283">
        <f>IF(Table1[[#This Row],[h_hargasebelumdiskon]]="","",IF(Table1[[#This Row],[Disc 2]]="",0,(Table1[[#This Row],[h_hargasebelumdiskon]]-Table1[[#This Row],[h_disc 1]])*Table1[[#This Row],[Disc 2]]))</f>
        <v>0</v>
      </c>
      <c r="AB125" s="283">
        <f>IF(Table1[Item Description]="","",Table1[[#This Row],[h_disc 1]]+Table1[[#This Row],[h_disc 2]])</f>
        <v>3960</v>
      </c>
      <c r="AC125" s="283">
        <f>IF(Table1[Item Description]="","",Table1[[#This Row],[h_hargasebelumdiskon]]-Table1[[#This Row],[h_diskon]])</f>
        <v>35640</v>
      </c>
      <c r="AD125" s="283" t="str">
        <f ca="1">IF(Table1[//]="","",SUMIF(Table1[h_id],Table1[h_id],Table1[h_hargasetelahdiskon]))</f>
        <v/>
      </c>
      <c r="AE125" s="283"/>
      <c r="AF125" s="283" t="str">
        <f>Table1[[#This Row],[Item Description]]&amp;Table1[[#This Row],[Unit]]&amp;Table1[[#This Row],[Unit Price]]</f>
        <v>LEM CAIR 35 ML KENKO LG-35LSN19800</v>
      </c>
    </row>
    <row r="126" spans="1:32" x14ac:dyDescent="0.25">
      <c r="A126" s="287" t="str">
        <f ca="1">IF(Table1[[#This Row],[No. Invoice :]]="","",ROW())</f>
        <v/>
      </c>
      <c r="B126" s="287" t="str">
        <f ca="1">IF(Table1[h_Kode Sales :_1]="","",B$1+COUNT(INDIRECT("B$2:B"&amp;ROW()-1)))</f>
        <v/>
      </c>
      <c r="C126" s="281" t="str">
        <f>IF(Table1[[#This Row],[H_TGL]]="","",Table1[[#This Row],[H_TGL]]+C$1-1)</f>
        <v/>
      </c>
      <c r="H126" s="287" t="str">
        <f ca="1">IF(Table1[[#This Row],[h_No. Invoice :]]="","",CONCATENATE("AM"," ",Table1[[#This Row],[h_No. Invoice :]]))</f>
        <v/>
      </c>
      <c r="I126" s="288" t="str">
        <f>CONCATENATE(UPPER(Table1[[#This Row],[h_Kode Sales :_1]])," ",Table1[[#This Row],[h_Kode Sales :_2]])</f>
        <v xml:space="preserve"> </v>
      </c>
      <c r="J126" s="287" t="str">
        <f>IF(Table1[[#This Row],[h_toko]]="","",INDEX(Table2[e],IF(Table1[[#This Row],[h_toko]]="","",MATCH(Table1[[#This Row],[h_toko]],Table2[a],0)),))</f>
        <v/>
      </c>
      <c r="K126" s="280">
        <v>25</v>
      </c>
      <c r="L126" s="280" t="s">
        <v>130</v>
      </c>
      <c r="N126" s="280" t="s">
        <v>288</v>
      </c>
      <c r="O126" s="287" t="str">
        <f>IF(Table1[[#This Row],[h_Item Description]]="","",INDEX([1]!db[NB PAJAK],MATCH(Table1[[#This Row],[h_Item Description]],[1]!db[kode],0)))</f>
        <v>LOOSE LEAF JOYART B5-2670 (50S)</v>
      </c>
      <c r="P126" s="280" t="s">
        <v>298</v>
      </c>
      <c r="Q126" s="283">
        <v>5700</v>
      </c>
      <c r="R126" s="284">
        <v>0.1</v>
      </c>
      <c r="T126" s="283">
        <f>Table1[[#This Row],[h_hargasetelahdiskon]]</f>
        <v>128250</v>
      </c>
      <c r="W126" s="287">
        <f ca="1">IF(Table1[[#This Row],[Item Description]]="","",IF(Table1[[#This Row],[//]]="",INDIRECT(ADDRESS(ROW()-1,COLUMN())),Table1[[#This Row],[//]]))</f>
        <v>112</v>
      </c>
      <c r="X126" s="287">
        <f ca="1">IF(Table1[[#This Row],[h_id]]="","",COUNTIF(Table1[h_id],Table1[[#This Row],[h_id]]))</f>
        <v>15</v>
      </c>
      <c r="Y126" s="283">
        <f>IF(Table1[Item Description]="","",Table1[[#This Row],[Qty]]*Table1[[#This Row],[Unit Price]])</f>
        <v>142500</v>
      </c>
      <c r="Z126" s="283">
        <f>IF(Table1[[#This Row],[h_hargasebelumdiskon]]="","",IF(Table1[[#This Row],[Disc 1]]="",0,Table1[[#This Row],[h_hargasebelumdiskon]]*Table1[[#This Row],[Disc 1]]))</f>
        <v>14250</v>
      </c>
      <c r="AA126" s="283">
        <f>IF(Table1[[#This Row],[h_hargasebelumdiskon]]="","",IF(Table1[[#This Row],[Disc 2]]="",0,(Table1[[#This Row],[h_hargasebelumdiskon]]-Table1[[#This Row],[h_disc 1]])*Table1[[#This Row],[Disc 2]]))</f>
        <v>0</v>
      </c>
      <c r="AB126" s="283">
        <f>IF(Table1[Item Description]="","",Table1[[#This Row],[h_disc 1]]+Table1[[#This Row],[h_disc 2]])</f>
        <v>14250</v>
      </c>
      <c r="AC126" s="283">
        <f>IF(Table1[Item Description]="","",Table1[[#This Row],[h_hargasebelumdiskon]]-Table1[[#This Row],[h_diskon]])</f>
        <v>128250</v>
      </c>
      <c r="AD126" s="283" t="str">
        <f ca="1">IF(Table1[//]="","",SUMIF(Table1[h_id],Table1[h_id],Table1[h_hargasetelahdiskon]))</f>
        <v/>
      </c>
      <c r="AE126" s="283"/>
      <c r="AF126" s="283" t="str">
        <f>Table1[[#This Row],[Item Description]]&amp;Table1[[#This Row],[Unit]]&amp;Table1[[#This Row],[Unit Price]]</f>
        <v>LOOSE LEAF JOYART B5-2670 (50S)PAK5700</v>
      </c>
    </row>
    <row r="127" spans="1:32" x14ac:dyDescent="0.25">
      <c r="A127" s="287" t="str">
        <f ca="1">IF(Table1[[#This Row],[No. Invoice :]]="","",ROW())</f>
        <v/>
      </c>
      <c r="B127" s="287" t="str">
        <f ca="1">IF(Table1[h_Kode Sales :_1]="","",B$1+COUNT(INDIRECT("B$2:B"&amp;ROW()-1)))</f>
        <v/>
      </c>
      <c r="C127" s="281" t="str">
        <f>IF(Table1[[#This Row],[H_TGL]]="","",Table1[[#This Row],[H_TGL]]+C$1-1)</f>
        <v/>
      </c>
      <c r="H127" s="287" t="str">
        <f ca="1">IF(Table1[[#This Row],[h_No. Invoice :]]="","",CONCATENATE("AM"," ",Table1[[#This Row],[h_No. Invoice :]]))</f>
        <v/>
      </c>
      <c r="I127" s="288" t="str">
        <f>CONCATENATE(UPPER(Table1[[#This Row],[h_Kode Sales :_1]])," ",Table1[[#This Row],[h_Kode Sales :_2]])</f>
        <v xml:space="preserve"> </v>
      </c>
      <c r="J127" s="287" t="str">
        <f>IF(Table1[[#This Row],[h_toko]]="","",INDEX(Table2[e],IF(Table1[[#This Row],[h_toko]]="","",MATCH(Table1[[#This Row],[h_toko]],Table2[a],0)),))</f>
        <v/>
      </c>
      <c r="O127" s="287" t="str">
        <f>IF(Table1[[#This Row],[h_Item Description]]="","",INDEX([1]!db[NB PAJAK],MATCH(Table1[[#This Row],[h_Item Description]],[1]!db[kode],0)))</f>
        <v/>
      </c>
      <c r="Q127" s="283"/>
      <c r="R127" s="284"/>
      <c r="T127" s="283" t="str">
        <f>Table1[[#This Row],[h_hargasetelahdiskon]]</f>
        <v/>
      </c>
      <c r="W127" s="287" t="str">
        <f ca="1">IF(Table1[[#This Row],[Item Description]]="","",IF(Table1[[#This Row],[//]]="",INDIRECT(ADDRESS(ROW()-1,COLUMN())),Table1[[#This Row],[//]]))</f>
        <v/>
      </c>
      <c r="X127" s="287" t="str">
        <f ca="1">IF(Table1[[#This Row],[h_id]]="","",COUNTIF(Table1[h_id],Table1[[#This Row],[h_id]]))</f>
        <v/>
      </c>
      <c r="Y127" s="283" t="str">
        <f>IF(Table1[Item Description]="","",Table1[[#This Row],[Qty]]*Table1[[#This Row],[Unit Price]])</f>
        <v/>
      </c>
      <c r="Z127" s="283" t="str">
        <f>IF(Table1[[#This Row],[h_hargasebelumdiskon]]="","",IF(Table1[[#This Row],[Disc 1]]="",0,Table1[[#This Row],[h_hargasebelumdiskon]]*Table1[[#This Row],[Disc 1]]))</f>
        <v/>
      </c>
      <c r="AA127" s="283" t="str">
        <f>IF(Table1[[#This Row],[h_hargasebelumdiskon]]="","",IF(Table1[[#This Row],[Disc 2]]="",0,(Table1[[#This Row],[h_hargasebelumdiskon]]-Table1[[#This Row],[h_disc 1]])*Table1[[#This Row],[Disc 2]]))</f>
        <v/>
      </c>
      <c r="AB127" s="283" t="str">
        <f>IF(Table1[Item Description]="","",Table1[[#This Row],[h_disc 1]]+Table1[[#This Row],[h_disc 2]])</f>
        <v/>
      </c>
      <c r="AC127" s="283" t="str">
        <f>IF(Table1[Item Description]="","",Table1[[#This Row],[h_hargasebelumdiskon]]-Table1[[#This Row],[h_diskon]])</f>
        <v/>
      </c>
      <c r="AD127" s="283" t="str">
        <f ca="1">IF(Table1[//]="","",SUMIF(Table1[h_id],Table1[h_id],Table1[h_hargasetelahdiskon]))</f>
        <v/>
      </c>
      <c r="AE127" s="283"/>
      <c r="AF127" s="283" t="str">
        <f>Table1[[#This Row],[Item Description]]&amp;Table1[[#This Row],[Unit]]&amp;Table1[[#This Row],[Unit Price]]</f>
        <v/>
      </c>
    </row>
    <row r="128" spans="1:32" x14ac:dyDescent="0.25">
      <c r="A128" s="287">
        <f ca="1">IF(Table1[[#This Row],[No. Invoice :]]="","",ROW())</f>
        <v>128</v>
      </c>
      <c r="B128" s="287">
        <f ca="1">IF(Table1[h_Kode Sales :_1]="","",B$1+COUNT(INDIRECT("B$2:B"&amp;ROW()-1)))</f>
        <v>23080032</v>
      </c>
      <c r="C128" s="281">
        <f>IF(Table1[[#This Row],[H_TGL]]="","",Table1[[#This Row],[H_TGL]]+C$1-1)</f>
        <v>45169</v>
      </c>
      <c r="D128" s="292">
        <v>31</v>
      </c>
      <c r="E128" s="280" t="s">
        <v>162</v>
      </c>
      <c r="F128" s="282" t="s">
        <v>302</v>
      </c>
      <c r="G128" s="280" t="s">
        <v>70</v>
      </c>
      <c r="H128" s="287" t="str">
        <f ca="1">IF(Table1[[#This Row],[h_No. Invoice :]]="","",CONCATENATE("AM"," ",Table1[[#This Row],[h_No. Invoice :]]))</f>
        <v>AM 23080032</v>
      </c>
      <c r="I128" s="288" t="str">
        <f>CONCATENATE(UPPER(Table1[[#This Row],[h_Kode Sales :_1]])," ",Table1[[#This Row],[h_Kode Sales :_2]])</f>
        <v>KO 3605</v>
      </c>
      <c r="J128" s="287" t="str">
        <f>IF(Table1[[#This Row],[h_toko]]="","",INDEX(Table2[e],IF(Table1[[#This Row],[h_toko]]="","",MATCH(Table1[[#This Row],[h_toko]],Table2[a],0)),))</f>
        <v>HARNOYO (BENDAN) PEKALONGAN</v>
      </c>
      <c r="K128" s="280">
        <v>20</v>
      </c>
      <c r="L128" s="280" t="s">
        <v>143</v>
      </c>
      <c r="M128" s="280">
        <v>1</v>
      </c>
      <c r="N128" s="280" t="s">
        <v>303</v>
      </c>
      <c r="O128" s="287" t="str">
        <f>IF(Table1[[#This Row],[h_Item Description]]="","",INDEX([1]!db[NB PAJAK],MATCH(Table1[[#This Row],[h_Item Description]],[1]!db[kode],0)))</f>
        <v>CUTTER 18 MM KENKO L-500 (BESAR)</v>
      </c>
      <c r="P128" s="280" t="s">
        <v>270</v>
      </c>
      <c r="Q128" s="283">
        <v>147600</v>
      </c>
      <c r="R128" s="284">
        <v>0.14000000000000001</v>
      </c>
      <c r="T128" s="283">
        <f>Table1[[#This Row],[h_hargasetelahdiskon]]</f>
        <v>2538720</v>
      </c>
      <c r="U128" s="283" t="s">
        <v>133</v>
      </c>
      <c r="W128" s="287">
        <f ca="1">IF(Table1[[#This Row],[Item Description]]="","",IF(Table1[[#This Row],[//]]="",INDIRECT(ADDRESS(ROW()-1,COLUMN())),Table1[[#This Row],[//]]))</f>
        <v>128</v>
      </c>
      <c r="X128" s="287">
        <f ca="1">IF(Table1[[#This Row],[h_id]]="","",COUNTIF(Table1[h_id],Table1[[#This Row],[h_id]]))</f>
        <v>1</v>
      </c>
      <c r="Y128" s="283">
        <f>IF(Table1[Item Description]="","",Table1[[#This Row],[Qty]]*Table1[[#This Row],[Unit Price]])</f>
        <v>2952000</v>
      </c>
      <c r="Z128" s="283">
        <f>IF(Table1[[#This Row],[h_hargasebelumdiskon]]="","",IF(Table1[[#This Row],[Disc 1]]="",0,Table1[[#This Row],[h_hargasebelumdiskon]]*Table1[[#This Row],[Disc 1]]))</f>
        <v>413280.00000000006</v>
      </c>
      <c r="AA128" s="283">
        <f>IF(Table1[[#This Row],[h_hargasebelumdiskon]]="","",IF(Table1[[#This Row],[Disc 2]]="",0,(Table1[[#This Row],[h_hargasebelumdiskon]]-Table1[[#This Row],[h_disc 1]])*Table1[[#This Row],[Disc 2]]))</f>
        <v>0</v>
      </c>
      <c r="AB128" s="283">
        <f>IF(Table1[Item Description]="","",Table1[[#This Row],[h_disc 1]]+Table1[[#This Row],[h_disc 2]])</f>
        <v>413280.00000000006</v>
      </c>
      <c r="AC128" s="283">
        <f>IF(Table1[Item Description]="","",Table1[[#This Row],[h_hargasebelumdiskon]]-Table1[[#This Row],[h_diskon]])</f>
        <v>2538720</v>
      </c>
      <c r="AD128" s="283">
        <f ca="1">IF(Table1[//]="","",SUMIF(Table1[h_id],Table1[h_id],Table1[h_hargasetelahdiskon]))</f>
        <v>2538720</v>
      </c>
      <c r="AE128" s="283"/>
      <c r="AF128" s="283" t="str">
        <f>Table1[[#This Row],[Item Description]]&amp;Table1[[#This Row],[Unit]]&amp;Table1[[#This Row],[Unit Price]]</f>
        <v>CUTTER 18 MM KENKO L-500 (BESAR)LSN147600</v>
      </c>
    </row>
    <row r="129" spans="1:32" x14ac:dyDescent="0.25">
      <c r="A129" s="287" t="str">
        <f ca="1">IF(Table1[[#This Row],[No. Invoice :]]="","",ROW())</f>
        <v/>
      </c>
      <c r="B129" s="287" t="str">
        <f ca="1">IF(Table1[h_Kode Sales :_1]="","",B$1+COUNT(INDIRECT("B$2:B"&amp;ROW()-1)))</f>
        <v/>
      </c>
      <c r="C129" s="281" t="str">
        <f>IF(Table1[[#This Row],[H_TGL]]="","",Table1[[#This Row],[H_TGL]]+C$1-1)</f>
        <v/>
      </c>
      <c r="H129" s="287" t="str">
        <f ca="1">IF(Table1[[#This Row],[h_No. Invoice :]]="","",CONCATENATE("AM"," ",Table1[[#This Row],[h_No. Invoice :]]))</f>
        <v/>
      </c>
      <c r="I129" s="288" t="str">
        <f>CONCATENATE(UPPER(Table1[[#This Row],[h_Kode Sales :_1]])," ",Table1[[#This Row],[h_Kode Sales :_2]])</f>
        <v xml:space="preserve"> </v>
      </c>
      <c r="J129" s="287" t="str">
        <f>IF(Table1[[#This Row],[h_toko]]="","",INDEX(Table2[e],IF(Table1[[#This Row],[h_toko]]="","",MATCH(Table1[[#This Row],[h_toko]],Table2[a],0)),))</f>
        <v/>
      </c>
      <c r="O129" s="287" t="str">
        <f>IF(Table1[[#This Row],[h_Item Description]]="","",INDEX([1]!db[NB PAJAK],MATCH(Table1[[#This Row],[h_Item Description]],[1]!db[kode],0)))</f>
        <v/>
      </c>
      <c r="Q129" s="283"/>
      <c r="R129" s="284"/>
      <c r="T129" s="283" t="str">
        <f>Table1[[#This Row],[h_hargasetelahdiskon]]</f>
        <v/>
      </c>
      <c r="W129" s="287" t="str">
        <f ca="1">IF(Table1[[#This Row],[Item Description]]="","",IF(Table1[[#This Row],[//]]="",INDIRECT(ADDRESS(ROW()-1,COLUMN())),Table1[[#This Row],[//]]))</f>
        <v/>
      </c>
      <c r="X129" s="287" t="str">
        <f ca="1">IF(Table1[[#This Row],[h_id]]="","",COUNTIF(Table1[h_id],Table1[[#This Row],[h_id]]))</f>
        <v/>
      </c>
      <c r="Y129" s="283" t="str">
        <f>IF(Table1[Item Description]="","",Table1[[#This Row],[Qty]]*Table1[[#This Row],[Unit Price]])</f>
        <v/>
      </c>
      <c r="Z129" s="283" t="str">
        <f>IF(Table1[[#This Row],[h_hargasebelumdiskon]]="","",IF(Table1[[#This Row],[Disc 1]]="",0,Table1[[#This Row],[h_hargasebelumdiskon]]*Table1[[#This Row],[Disc 1]]))</f>
        <v/>
      </c>
      <c r="AA129" s="283" t="str">
        <f>IF(Table1[[#This Row],[h_hargasebelumdiskon]]="","",IF(Table1[[#This Row],[Disc 2]]="",0,(Table1[[#This Row],[h_hargasebelumdiskon]]-Table1[[#This Row],[h_disc 1]])*Table1[[#This Row],[Disc 2]]))</f>
        <v/>
      </c>
      <c r="AB129" s="283" t="str">
        <f>IF(Table1[Item Description]="","",Table1[[#This Row],[h_disc 1]]+Table1[[#This Row],[h_disc 2]])</f>
        <v/>
      </c>
      <c r="AC129" s="283" t="str">
        <f>IF(Table1[Item Description]="","",Table1[[#This Row],[h_hargasebelumdiskon]]-Table1[[#This Row],[h_diskon]])</f>
        <v/>
      </c>
      <c r="AD129" s="283" t="str">
        <f ca="1">IF(Table1[//]="","",SUMIF(Table1[h_id],Table1[h_id],Table1[h_hargasetelahdiskon]))</f>
        <v/>
      </c>
      <c r="AE129" s="283"/>
      <c r="AF129" s="283" t="str">
        <f>Table1[[#This Row],[Item Description]]&amp;Table1[[#This Row],[Unit]]&amp;Table1[[#This Row],[Unit Price]]</f>
        <v/>
      </c>
    </row>
    <row r="130" spans="1:32" x14ac:dyDescent="0.25">
      <c r="A130" s="287">
        <f ca="1">IF(Table1[[#This Row],[No. Invoice :]]="","",ROW())</f>
        <v>130</v>
      </c>
      <c r="B130" s="287">
        <f ca="1">IF(Table1[h_Kode Sales :_1]="","",B$1+COUNT(INDIRECT("B$2:B"&amp;ROW()-1)))</f>
        <v>23080033</v>
      </c>
      <c r="C130" s="281">
        <f>IF(Table1[[#This Row],[H_TGL]]="","",Table1[[#This Row],[H_TGL]]+C$1-1)</f>
        <v>45169</v>
      </c>
      <c r="D130" s="292">
        <v>31</v>
      </c>
      <c r="E130" s="280" t="s">
        <v>162</v>
      </c>
      <c r="F130" s="282" t="s">
        <v>304</v>
      </c>
      <c r="G130" s="280" t="s">
        <v>84</v>
      </c>
      <c r="H130" s="287" t="str">
        <f ca="1">IF(Table1[[#This Row],[h_No. Invoice :]]="","",CONCATENATE("AM"," ",Table1[[#This Row],[h_No. Invoice :]]))</f>
        <v>AM 23080033</v>
      </c>
      <c r="I130" s="288" t="str">
        <f>CONCATENATE(UPPER(Table1[[#This Row],[h_Kode Sales :_1]])," ",Table1[[#This Row],[h_Kode Sales :_2]])</f>
        <v>KO 3615</v>
      </c>
      <c r="J130" s="287" t="str">
        <f>IF(Table1[[#This Row],[h_toko]]="","",INDEX(Table2[e],IF(Table1[[#This Row],[h_toko]]="","",MATCH(Table1[[#This Row],[h_toko]],Table2[a],0)),))</f>
        <v>CV PELITA JAYA (ANUGERAH SEJAHTERA) PURWOKERTO</v>
      </c>
      <c r="K130" s="280">
        <v>36</v>
      </c>
      <c r="L130" s="280" t="s">
        <v>305</v>
      </c>
      <c r="M130" s="280">
        <v>1</v>
      </c>
      <c r="N130" s="280" t="s">
        <v>306</v>
      </c>
      <c r="O130" s="287" t="str">
        <f>IF(Table1[[#This Row],[h_Item Description]]="","",INDEX([1]!db[NB PAJAK],MATCH(Table1[[#This Row],[h_Item Description]],[1]!db[kode],0)))</f>
        <v>LEM STICK KENKO 15 GR (TANGGUNG) isi 20 pc</v>
      </c>
      <c r="P130" s="280" t="s">
        <v>309</v>
      </c>
      <c r="Q130" s="283">
        <v>72000</v>
      </c>
      <c r="R130" s="284">
        <v>0.13500000000000001</v>
      </c>
      <c r="T130" s="283">
        <f>Table1[[#This Row],[h_hargasetelahdiskon]]</f>
        <v>2242080</v>
      </c>
      <c r="U130" s="283" t="s">
        <v>133</v>
      </c>
      <c r="W130" s="287">
        <f ca="1">IF(Table1[[#This Row],[Item Description]]="","",IF(Table1[[#This Row],[//]]="",INDIRECT(ADDRESS(ROW()-1,COLUMN())),Table1[[#This Row],[//]]))</f>
        <v>130</v>
      </c>
      <c r="X130" s="287">
        <f ca="1">IF(Table1[[#This Row],[h_id]]="","",COUNTIF(Table1[h_id],Table1[[#This Row],[h_id]]))</f>
        <v>3</v>
      </c>
      <c r="Y130" s="283">
        <f>IF(Table1[Item Description]="","",Table1[[#This Row],[Qty]]*Table1[[#This Row],[Unit Price]])</f>
        <v>2592000</v>
      </c>
      <c r="Z130" s="283">
        <f>IF(Table1[[#This Row],[h_hargasebelumdiskon]]="","",IF(Table1[[#This Row],[Disc 1]]="",0,Table1[[#This Row],[h_hargasebelumdiskon]]*Table1[[#This Row],[Disc 1]]))</f>
        <v>349920</v>
      </c>
      <c r="AA130" s="283">
        <f>IF(Table1[[#This Row],[h_hargasebelumdiskon]]="","",IF(Table1[[#This Row],[Disc 2]]="",0,(Table1[[#This Row],[h_hargasebelumdiskon]]-Table1[[#This Row],[h_disc 1]])*Table1[[#This Row],[Disc 2]]))</f>
        <v>0</v>
      </c>
      <c r="AB130" s="283">
        <f>IF(Table1[Item Description]="","",Table1[[#This Row],[h_disc 1]]+Table1[[#This Row],[h_disc 2]])</f>
        <v>349920</v>
      </c>
      <c r="AC130" s="283">
        <f>IF(Table1[Item Description]="","",Table1[[#This Row],[h_hargasebelumdiskon]]-Table1[[#This Row],[h_diskon]])</f>
        <v>2242080</v>
      </c>
      <c r="AD130" s="283">
        <f ca="1">IF(Table1[//]="","",SUMIF(Table1[h_id],Table1[h_id],Table1[h_hargasetelahdiskon]))</f>
        <v>19032768</v>
      </c>
      <c r="AE130" s="283"/>
      <c r="AF130" s="283" t="str">
        <f>Table1[[#This Row],[Item Description]]&amp;Table1[[#This Row],[Unit]]&amp;Table1[[#This Row],[Unit Price]]</f>
        <v>LEM STICK KENKO 15 GR (TANGGUNG) isi 20 pcbox72000</v>
      </c>
    </row>
    <row r="131" spans="1:32" x14ac:dyDescent="0.25">
      <c r="A131" s="287" t="str">
        <f ca="1">IF(Table1[[#This Row],[No. Invoice :]]="","",ROW())</f>
        <v/>
      </c>
      <c r="B131" s="287" t="str">
        <f ca="1">IF(Table1[h_Kode Sales :_1]="","",B$1+COUNT(INDIRECT("B$2:B"&amp;ROW()-1)))</f>
        <v/>
      </c>
      <c r="C131" s="281" t="str">
        <f>IF(Table1[[#This Row],[H_TGL]]="","",Table1[[#This Row],[H_TGL]]+C$1-1)</f>
        <v/>
      </c>
      <c r="H131" s="287" t="str">
        <f ca="1">IF(Table1[[#This Row],[h_No. Invoice :]]="","",CONCATENATE("AM"," ",Table1[[#This Row],[h_No. Invoice :]]))</f>
        <v/>
      </c>
      <c r="I131" s="288" t="str">
        <f>CONCATENATE(UPPER(Table1[[#This Row],[h_Kode Sales :_1]])," ",Table1[[#This Row],[h_Kode Sales :_2]])</f>
        <v xml:space="preserve"> </v>
      </c>
      <c r="J131" s="287" t="str">
        <f>IF(Table1[[#This Row],[h_toko]]="","",INDEX(Table2[e],IF(Table1[[#This Row],[h_toko]]="","",MATCH(Table1[[#This Row],[h_toko]],Table2[a],0)),))</f>
        <v/>
      </c>
      <c r="K131" s="280">
        <v>48</v>
      </c>
      <c r="L131" s="280" t="s">
        <v>276</v>
      </c>
      <c r="M131" s="280">
        <v>2</v>
      </c>
      <c r="N131" s="280" t="s">
        <v>307</v>
      </c>
      <c r="O131" s="287" t="str">
        <f>IF(Table1[[#This Row],[h_Item Description]]="","",INDEX([1]!db[NB PAJAK],MATCH(Table1[[#This Row],[h_Item Description]],[1]!db[kode],0)))</f>
        <v>PENSIL WARNA JOYKO CP-S12 MINI (PENDEK)</v>
      </c>
      <c r="P131" s="280" t="s">
        <v>310</v>
      </c>
      <c r="Q131" s="283">
        <v>80400</v>
      </c>
      <c r="R131" s="284">
        <v>0.13500000000000001</v>
      </c>
      <c r="T131" s="283">
        <f>Table1[[#This Row],[h_hargasetelahdiskon]]</f>
        <v>3338208</v>
      </c>
      <c r="W131" s="287">
        <f ca="1">IF(Table1[[#This Row],[Item Description]]="","",IF(Table1[[#This Row],[//]]="",INDIRECT(ADDRESS(ROW()-1,COLUMN())),Table1[[#This Row],[//]]))</f>
        <v>130</v>
      </c>
      <c r="X131" s="287">
        <f ca="1">IF(Table1[[#This Row],[h_id]]="","",COUNTIF(Table1[h_id],Table1[[#This Row],[h_id]]))</f>
        <v>3</v>
      </c>
      <c r="Y131" s="283">
        <f>IF(Table1[Item Description]="","",Table1[[#This Row],[Qty]]*Table1[[#This Row],[Unit Price]])</f>
        <v>3859200</v>
      </c>
      <c r="Z131" s="283">
        <f>IF(Table1[[#This Row],[h_hargasebelumdiskon]]="","",IF(Table1[[#This Row],[Disc 1]]="",0,Table1[[#This Row],[h_hargasebelumdiskon]]*Table1[[#This Row],[Disc 1]]))</f>
        <v>520992.00000000006</v>
      </c>
      <c r="AA131" s="283">
        <f>IF(Table1[[#This Row],[h_hargasebelumdiskon]]="","",IF(Table1[[#This Row],[Disc 2]]="",0,(Table1[[#This Row],[h_hargasebelumdiskon]]-Table1[[#This Row],[h_disc 1]])*Table1[[#This Row],[Disc 2]]))</f>
        <v>0</v>
      </c>
      <c r="AB131" s="283">
        <f>IF(Table1[Item Description]="","",Table1[[#This Row],[h_disc 1]]+Table1[[#This Row],[h_disc 2]])</f>
        <v>520992.00000000006</v>
      </c>
      <c r="AC131" s="283">
        <f>IF(Table1[Item Description]="","",Table1[[#This Row],[h_hargasebelumdiskon]]-Table1[[#This Row],[h_diskon]])</f>
        <v>3338208</v>
      </c>
      <c r="AD131" s="283" t="str">
        <f ca="1">IF(Table1[//]="","",SUMIF(Table1[h_id],Table1[h_id],Table1[h_hargasetelahdiskon]))</f>
        <v/>
      </c>
      <c r="AE131" s="283"/>
      <c r="AF131" s="283" t="str">
        <f>Table1[[#This Row],[Item Description]]&amp;Table1[[#This Row],[Unit]]&amp;Table1[[#This Row],[Unit Price]]</f>
        <v>PENSIL WARNA JOYKO CP-S12 MINI (PENDEK)lsn80400</v>
      </c>
    </row>
    <row r="132" spans="1:32" x14ac:dyDescent="0.25">
      <c r="A132" s="287" t="str">
        <f ca="1">IF(Table1[[#This Row],[No. Invoice :]]="","",ROW())</f>
        <v/>
      </c>
      <c r="B132" s="287" t="str">
        <f ca="1">IF(Table1[h_Kode Sales :_1]="","",B$1+COUNT(INDIRECT("B$2:B"&amp;ROW()-1)))</f>
        <v/>
      </c>
      <c r="C132" s="281" t="str">
        <f>IF(Table1[[#This Row],[H_TGL]]="","",Table1[[#This Row],[H_TGL]]+C$1-1)</f>
        <v/>
      </c>
      <c r="H132" s="287" t="str">
        <f ca="1">IF(Table1[[#This Row],[h_No. Invoice :]]="","",CONCATENATE("AM"," ",Table1[[#This Row],[h_No. Invoice :]]))</f>
        <v/>
      </c>
      <c r="I132" s="288" t="str">
        <f>CONCATENATE(UPPER(Table1[[#This Row],[h_Kode Sales :_1]])," ",Table1[[#This Row],[h_Kode Sales :_2]])</f>
        <v xml:space="preserve"> </v>
      </c>
      <c r="J132" s="287" t="str">
        <f>IF(Table1[[#This Row],[h_toko]]="","",INDEX(Table2[e],IF(Table1[[#This Row],[h_toko]]="","",MATCH(Table1[[#This Row],[h_toko]],Table2[a],0)),))</f>
        <v/>
      </c>
      <c r="K132" s="280">
        <v>240</v>
      </c>
      <c r="L132" s="280" t="s">
        <v>276</v>
      </c>
      <c r="M132" s="280">
        <v>4</v>
      </c>
      <c r="N132" s="280" t="s">
        <v>308</v>
      </c>
      <c r="O132" s="287" t="str">
        <f>IF(Table1[[#This Row],[h_Item Description]]="","",INDEX([1]!db[NB PAJAK],MATCH(Table1[[#This Row],[h_Item Description]],[1]!db[kode],0)))</f>
        <v>ISI CUTTER 18 MM KENKO L-150 (BESAR)</v>
      </c>
      <c r="P132" s="280" t="s">
        <v>311</v>
      </c>
      <c r="Q132" s="283">
        <v>64800</v>
      </c>
      <c r="R132" s="284">
        <v>0.13500000000000001</v>
      </c>
      <c r="T132" s="283">
        <f>Table1[[#This Row],[h_hargasetelahdiskon]]</f>
        <v>13452480</v>
      </c>
      <c r="W132" s="287">
        <f ca="1">IF(Table1[[#This Row],[Item Description]]="","",IF(Table1[[#This Row],[//]]="",INDIRECT(ADDRESS(ROW()-1,COLUMN())),Table1[[#This Row],[//]]))</f>
        <v>130</v>
      </c>
      <c r="X132" s="287">
        <f ca="1">IF(Table1[[#This Row],[h_id]]="","",COUNTIF(Table1[h_id],Table1[[#This Row],[h_id]]))</f>
        <v>3</v>
      </c>
      <c r="Y132" s="283">
        <f>IF(Table1[Item Description]="","",Table1[[#This Row],[Qty]]*Table1[[#This Row],[Unit Price]])</f>
        <v>15552000</v>
      </c>
      <c r="Z132" s="283">
        <f>IF(Table1[[#This Row],[h_hargasebelumdiskon]]="","",IF(Table1[[#This Row],[Disc 1]]="",0,Table1[[#This Row],[h_hargasebelumdiskon]]*Table1[[#This Row],[Disc 1]]))</f>
        <v>2099520</v>
      </c>
      <c r="AA132" s="283">
        <f>IF(Table1[[#This Row],[h_hargasebelumdiskon]]="","",IF(Table1[[#This Row],[Disc 2]]="",0,(Table1[[#This Row],[h_hargasebelumdiskon]]-Table1[[#This Row],[h_disc 1]])*Table1[[#This Row],[Disc 2]]))</f>
        <v>0</v>
      </c>
      <c r="AB132" s="283">
        <f>IF(Table1[Item Description]="","",Table1[[#This Row],[h_disc 1]]+Table1[[#This Row],[h_disc 2]])</f>
        <v>2099520</v>
      </c>
      <c r="AC132" s="283">
        <f>IF(Table1[Item Description]="","",Table1[[#This Row],[h_hargasebelumdiskon]]-Table1[[#This Row],[h_diskon]])</f>
        <v>13452480</v>
      </c>
      <c r="AD132" s="283" t="str">
        <f ca="1">IF(Table1[//]="","",SUMIF(Table1[h_id],Table1[h_id],Table1[h_hargasetelahdiskon]))</f>
        <v/>
      </c>
      <c r="AE132" s="283"/>
      <c r="AF132" s="283" t="str">
        <f>Table1[[#This Row],[Item Description]]&amp;Table1[[#This Row],[Unit]]&amp;Table1[[#This Row],[Unit Price]]</f>
        <v>ISI CUTTER 18 MM KENKO L-150 (BESAR)lsn64800</v>
      </c>
    </row>
    <row r="133" spans="1:32" x14ac:dyDescent="0.25">
      <c r="A133" s="287" t="str">
        <f ca="1">IF(Table1[[#This Row],[No. Invoice :]]="","",ROW())</f>
        <v/>
      </c>
      <c r="B133" s="287" t="str">
        <f ca="1">IF(Table1[h_Kode Sales :_1]="","",B$1+COUNT(INDIRECT("B$2:B"&amp;ROW()-1)))</f>
        <v/>
      </c>
      <c r="C133" s="281" t="str">
        <f>IF(Table1[[#This Row],[H_TGL]]="","",Table1[[#This Row],[H_TGL]]+C$1-1)</f>
        <v/>
      </c>
      <c r="H133" s="287" t="str">
        <f ca="1">IF(Table1[[#This Row],[h_No. Invoice :]]="","",CONCATENATE("AM"," ",Table1[[#This Row],[h_No. Invoice :]]))</f>
        <v/>
      </c>
      <c r="I133" s="288" t="str">
        <f>CONCATENATE(UPPER(Table1[[#This Row],[h_Kode Sales :_1]])," ",Table1[[#This Row],[h_Kode Sales :_2]])</f>
        <v xml:space="preserve"> </v>
      </c>
      <c r="J133" s="287" t="str">
        <f>IF(Table1[[#This Row],[h_toko]]="","",INDEX(Table2[e],IF(Table1[[#This Row],[h_toko]]="","",MATCH(Table1[[#This Row],[h_toko]],Table2[a],0)),))</f>
        <v/>
      </c>
      <c r="O133" s="287" t="str">
        <f>IF(Table1[[#This Row],[h_Item Description]]="","",INDEX([1]!db[NB PAJAK],MATCH(Table1[[#This Row],[h_Item Description]],[1]!db[kode],0)))</f>
        <v/>
      </c>
      <c r="Q133" s="283"/>
      <c r="R133" s="284"/>
      <c r="T133" s="283" t="str">
        <f>Table1[[#This Row],[h_hargasetelahdiskon]]</f>
        <v/>
      </c>
      <c r="W133" s="287" t="str">
        <f ca="1">IF(Table1[[#This Row],[Item Description]]="","",IF(Table1[[#This Row],[//]]="",INDIRECT(ADDRESS(ROW()-1,COLUMN())),Table1[[#This Row],[//]]))</f>
        <v/>
      </c>
      <c r="X133" s="287" t="str">
        <f ca="1">IF(Table1[[#This Row],[h_id]]="","",COUNTIF(Table1[h_id],Table1[[#This Row],[h_id]]))</f>
        <v/>
      </c>
      <c r="Y133" s="283" t="str">
        <f>IF(Table1[Item Description]="","",Table1[[#This Row],[Qty]]*Table1[[#This Row],[Unit Price]])</f>
        <v/>
      </c>
      <c r="Z133" s="283" t="str">
        <f>IF(Table1[[#This Row],[h_hargasebelumdiskon]]="","",IF(Table1[[#This Row],[Disc 1]]="",0,Table1[[#This Row],[h_hargasebelumdiskon]]*Table1[[#This Row],[Disc 1]]))</f>
        <v/>
      </c>
      <c r="AA133" s="283" t="str">
        <f>IF(Table1[[#This Row],[h_hargasebelumdiskon]]="","",IF(Table1[[#This Row],[Disc 2]]="",0,(Table1[[#This Row],[h_hargasebelumdiskon]]-Table1[[#This Row],[h_disc 1]])*Table1[[#This Row],[Disc 2]]))</f>
        <v/>
      </c>
      <c r="AB133" s="283" t="str">
        <f>IF(Table1[Item Description]="","",Table1[[#This Row],[h_disc 1]]+Table1[[#This Row],[h_disc 2]])</f>
        <v/>
      </c>
      <c r="AC133" s="283" t="str">
        <f>IF(Table1[Item Description]="","",Table1[[#This Row],[h_hargasebelumdiskon]]-Table1[[#This Row],[h_diskon]])</f>
        <v/>
      </c>
      <c r="AD133" s="283" t="str">
        <f ca="1">IF(Table1[//]="","",SUMIF(Table1[h_id],Table1[h_id],Table1[h_hargasetelahdiskon]))</f>
        <v/>
      </c>
      <c r="AE133" s="283"/>
      <c r="AF133" s="283" t="str">
        <f>Table1[[#This Row],[Item Description]]&amp;Table1[[#This Row],[Unit]]&amp;Table1[[#This Row],[Unit Price]]</f>
        <v/>
      </c>
    </row>
    <row r="134" spans="1:32" x14ac:dyDescent="0.25">
      <c r="A134" s="287">
        <f ca="1">IF(Table1[[#This Row],[No. Invoice :]]="","",ROW())</f>
        <v>134</v>
      </c>
      <c r="B134" s="287">
        <f ca="1">IF(Table1[h_Kode Sales :_1]="","",B$1+COUNT(INDIRECT("B$2:B"&amp;ROW()-1)))</f>
        <v>23080034</v>
      </c>
      <c r="C134" s="281">
        <f>IF(Table1[[#This Row],[H_TGL]]="","",Table1[[#This Row],[H_TGL]]+C$1-1)</f>
        <v>45169</v>
      </c>
      <c r="D134" s="292">
        <v>31</v>
      </c>
      <c r="E134" s="280" t="s">
        <v>162</v>
      </c>
      <c r="F134" s="282" t="s">
        <v>316</v>
      </c>
      <c r="G134" s="280" t="s">
        <v>94</v>
      </c>
      <c r="H134" s="287" t="str">
        <f ca="1">IF(Table1[[#This Row],[h_No. Invoice :]]="","",CONCATENATE("AM"," ",Table1[[#This Row],[h_No. Invoice :]]))</f>
        <v>AM 23080034</v>
      </c>
      <c r="I134" s="288" t="str">
        <f>CONCATENATE(UPPER(Table1[[#This Row],[h_Kode Sales :_1]])," ",Table1[[#This Row],[h_Kode Sales :_2]])</f>
        <v>KO 1591</v>
      </c>
      <c r="J134" s="287" t="str">
        <f>IF(Table1[[#This Row],[h_toko]]="","",INDEX(Table2[e],IF(Table1[[#This Row],[h_toko]]="","",MATCH(Table1[[#This Row],[h_toko]],Table2[a],0)),))</f>
        <v>CV LANCAR JAYA SENTOSA MALANG</v>
      </c>
      <c r="K134" s="280">
        <v>48</v>
      </c>
      <c r="L134" s="280" t="s">
        <v>136</v>
      </c>
      <c r="M134" s="280">
        <v>2</v>
      </c>
      <c r="N134" s="280" t="s">
        <v>317</v>
      </c>
      <c r="O134" s="287" t="str">
        <f>IF(Table1[[#This Row],[h_Item Description]]="","",INDEX([1]!db[NB PAJAK],MATCH(Table1[[#This Row],[h_Item Description]],[1]!db[kode],0)))</f>
        <v>CRAYON / OIL PASTEL JOYKO OP-48S PP CASE SEA WORLD</v>
      </c>
      <c r="P134" s="280" t="s">
        <v>320</v>
      </c>
      <c r="Q134" s="283">
        <v>58900</v>
      </c>
      <c r="R134" s="284">
        <v>0.125</v>
      </c>
      <c r="T134" s="283">
        <f>Table1[[#This Row],[h_hargasetelahdiskon]]</f>
        <v>2473800</v>
      </c>
      <c r="U134" s="283" t="s">
        <v>133</v>
      </c>
      <c r="W134" s="287">
        <f ca="1">IF(Table1[[#This Row],[Item Description]]="","",IF(Table1[[#This Row],[//]]="",INDIRECT(ADDRESS(ROW()-1,COLUMN())),Table1[[#This Row],[//]]))</f>
        <v>134</v>
      </c>
      <c r="X134" s="287">
        <f ca="1">IF(Table1[[#This Row],[h_id]]="","",COUNTIF(Table1[h_id],Table1[[#This Row],[h_id]]))</f>
        <v>3</v>
      </c>
      <c r="Y134" s="283">
        <f>IF(Table1[Item Description]="","",Table1[[#This Row],[Qty]]*Table1[[#This Row],[Unit Price]])</f>
        <v>2827200</v>
      </c>
      <c r="Z134" s="283">
        <f>IF(Table1[[#This Row],[h_hargasebelumdiskon]]="","",IF(Table1[[#This Row],[Disc 1]]="",0,Table1[[#This Row],[h_hargasebelumdiskon]]*Table1[[#This Row],[Disc 1]]))</f>
        <v>353400</v>
      </c>
      <c r="AA134" s="283">
        <f>IF(Table1[[#This Row],[h_hargasebelumdiskon]]="","",IF(Table1[[#This Row],[Disc 2]]="",0,(Table1[[#This Row],[h_hargasebelumdiskon]]-Table1[[#This Row],[h_disc 1]])*Table1[[#This Row],[Disc 2]]))</f>
        <v>0</v>
      </c>
      <c r="AB134" s="283">
        <f>IF(Table1[Item Description]="","",Table1[[#This Row],[h_disc 1]]+Table1[[#This Row],[h_disc 2]])</f>
        <v>353400</v>
      </c>
      <c r="AC134" s="283">
        <f>IF(Table1[Item Description]="","",Table1[[#This Row],[h_hargasebelumdiskon]]-Table1[[#This Row],[h_diskon]])</f>
        <v>2473800</v>
      </c>
      <c r="AD134" s="283">
        <f ca="1">IF(Table1[//]="","",SUMIF(Table1[h_id],Table1[h_id],Table1[h_hargasetelahdiskon]))</f>
        <v>10122000</v>
      </c>
      <c r="AE134" s="283"/>
      <c r="AF134" s="283" t="str">
        <f>Table1[[#This Row],[Item Description]]&amp;Table1[[#This Row],[Unit]]&amp;Table1[[#This Row],[Unit Price]]</f>
        <v>CRAYON / OIL PASTEL JOYKO OP-48S PP CASE SEA WORLDPCS58900</v>
      </c>
    </row>
    <row r="135" spans="1:32" x14ac:dyDescent="0.25">
      <c r="A135" s="287" t="str">
        <f ca="1">IF(Table1[[#This Row],[No. Invoice :]]="","",ROW())</f>
        <v/>
      </c>
      <c r="B135" s="287" t="str">
        <f ca="1">IF(Table1[h_Kode Sales :_1]="","",B$1+COUNT(INDIRECT("B$2:B"&amp;ROW()-1)))</f>
        <v/>
      </c>
      <c r="C135" s="281" t="str">
        <f>IF(Table1[[#This Row],[H_TGL]]="","",Table1[[#This Row],[H_TGL]]+C$1-1)</f>
        <v/>
      </c>
      <c r="H135" s="287" t="str">
        <f ca="1">IF(Table1[[#This Row],[h_No. Invoice :]]="","",CONCATENATE("AM"," ",Table1[[#This Row],[h_No. Invoice :]]))</f>
        <v/>
      </c>
      <c r="I135" s="288" t="str">
        <f>CONCATENATE(UPPER(Table1[[#This Row],[h_Kode Sales :_1]])," ",Table1[[#This Row],[h_Kode Sales :_2]])</f>
        <v xml:space="preserve"> </v>
      </c>
      <c r="J135" s="287" t="str">
        <f>IF(Table1[[#This Row],[h_toko]]="","",INDEX(Table2[e],IF(Table1[[#This Row],[h_toko]]="","",MATCH(Table1[[#This Row],[h_toko]],Table2[a],0)),))</f>
        <v/>
      </c>
      <c r="K135" s="280">
        <v>48</v>
      </c>
      <c r="L135" s="280" t="s">
        <v>136</v>
      </c>
      <c r="M135" s="280">
        <v>2</v>
      </c>
      <c r="N135" s="280" t="s">
        <v>318</v>
      </c>
      <c r="O135" s="287" t="str">
        <f>IF(Table1[[#This Row],[h_Item Description]]="","",INDEX([1]!db[NB PAJAK],MATCH(Table1[[#This Row],[h_Item Description]],[1]!db[kode],0)))</f>
        <v>CRAYON / OIL PASTEL JOYKO OP-55S PP CASE SEA WORLD</v>
      </c>
      <c r="P135" s="280" t="s">
        <v>321</v>
      </c>
      <c r="Q135" s="283">
        <v>66900</v>
      </c>
      <c r="R135" s="284">
        <v>0.125</v>
      </c>
      <c r="T135" s="283">
        <f>Table1[[#This Row],[h_hargasetelahdiskon]]</f>
        <v>2809800</v>
      </c>
      <c r="W135" s="287">
        <f ca="1">IF(Table1[[#This Row],[Item Description]]="","",IF(Table1[[#This Row],[//]]="",INDIRECT(ADDRESS(ROW()-1,COLUMN())),Table1[[#This Row],[//]]))</f>
        <v>134</v>
      </c>
      <c r="X135" s="287">
        <f ca="1">IF(Table1[[#This Row],[h_id]]="","",COUNTIF(Table1[h_id],Table1[[#This Row],[h_id]]))</f>
        <v>3</v>
      </c>
      <c r="Y135" s="283">
        <f>IF(Table1[Item Description]="","",Table1[[#This Row],[Qty]]*Table1[[#This Row],[Unit Price]])</f>
        <v>3211200</v>
      </c>
      <c r="Z135" s="283">
        <f>IF(Table1[[#This Row],[h_hargasebelumdiskon]]="","",IF(Table1[[#This Row],[Disc 1]]="",0,Table1[[#This Row],[h_hargasebelumdiskon]]*Table1[[#This Row],[Disc 1]]))</f>
        <v>401400</v>
      </c>
      <c r="AA135" s="283">
        <f>IF(Table1[[#This Row],[h_hargasebelumdiskon]]="","",IF(Table1[[#This Row],[Disc 2]]="",0,(Table1[[#This Row],[h_hargasebelumdiskon]]-Table1[[#This Row],[h_disc 1]])*Table1[[#This Row],[Disc 2]]))</f>
        <v>0</v>
      </c>
      <c r="AB135" s="283">
        <f>IF(Table1[Item Description]="","",Table1[[#This Row],[h_disc 1]]+Table1[[#This Row],[h_disc 2]])</f>
        <v>401400</v>
      </c>
      <c r="AC135" s="283">
        <f>IF(Table1[Item Description]="","",Table1[[#This Row],[h_hargasebelumdiskon]]-Table1[[#This Row],[h_diskon]])</f>
        <v>2809800</v>
      </c>
      <c r="AD135" s="283" t="str">
        <f ca="1">IF(Table1[//]="","",SUMIF(Table1[h_id],Table1[h_id],Table1[h_hargasetelahdiskon]))</f>
        <v/>
      </c>
      <c r="AE135" s="283"/>
      <c r="AF135" s="283" t="str">
        <f>Table1[[#This Row],[Item Description]]&amp;Table1[[#This Row],[Unit]]&amp;Table1[[#This Row],[Unit Price]]</f>
        <v>CRAYON / OIL PASTEL JOYKO OP-55S PP CASE SEA WORLDPCS66900</v>
      </c>
    </row>
    <row r="136" spans="1:32" x14ac:dyDescent="0.25">
      <c r="A136" s="287" t="str">
        <f ca="1">IF(Table1[[#This Row],[No. Invoice :]]="","",ROW())</f>
        <v/>
      </c>
      <c r="B136" s="287" t="str">
        <f ca="1">IF(Table1[h_Kode Sales :_1]="","",B$1+COUNT(INDIRECT("B$2:B"&amp;ROW()-1)))</f>
        <v/>
      </c>
      <c r="C136" s="281" t="str">
        <f>IF(Table1[[#This Row],[H_TGL]]="","",Table1[[#This Row],[H_TGL]]+C$1-1)</f>
        <v/>
      </c>
      <c r="H136" s="287" t="str">
        <f ca="1">IF(Table1[[#This Row],[h_No. Invoice :]]="","",CONCATENATE("AM"," ",Table1[[#This Row],[h_No. Invoice :]]))</f>
        <v/>
      </c>
      <c r="I136" s="288" t="str">
        <f>CONCATENATE(UPPER(Table1[[#This Row],[h_Kode Sales :_1]])," ",Table1[[#This Row],[h_Kode Sales :_2]])</f>
        <v xml:space="preserve"> </v>
      </c>
      <c r="J136" s="287" t="str">
        <f>IF(Table1[[#This Row],[h_toko]]="","",INDEX(Table2[e],IF(Table1[[#This Row],[h_toko]]="","",MATCH(Table1[[#This Row],[h_toko]],Table2[a],0)),))</f>
        <v/>
      </c>
      <c r="K136" s="280">
        <v>288</v>
      </c>
      <c r="L136" s="280" t="s">
        <v>136</v>
      </c>
      <c r="M136" s="280">
        <v>4</v>
      </c>
      <c r="N136" s="280" t="s">
        <v>319</v>
      </c>
      <c r="O136" s="287" t="str">
        <f>IF(Table1[[#This Row],[h_Item Description]]="","",INDEX([1]!db[NB PAJAK],MATCH(Table1[[#This Row],[h_Item Description]],[1]!db[kode],0)))</f>
        <v>PENSIL WARNA JOYKO CP-101 (24W PANJANG)</v>
      </c>
      <c r="P136" s="280" t="s">
        <v>322</v>
      </c>
      <c r="Q136" s="283">
        <v>19200</v>
      </c>
      <c r="R136" s="284">
        <v>0.125</v>
      </c>
      <c r="T136" s="283">
        <f>Table1[[#This Row],[h_hargasetelahdiskon]]</f>
        <v>4838400</v>
      </c>
      <c r="W136" s="287">
        <f ca="1">IF(Table1[[#This Row],[Item Description]]="","",IF(Table1[[#This Row],[//]]="",INDIRECT(ADDRESS(ROW()-1,COLUMN())),Table1[[#This Row],[//]]))</f>
        <v>134</v>
      </c>
      <c r="X136" s="287">
        <f ca="1">IF(Table1[[#This Row],[h_id]]="","",COUNTIF(Table1[h_id],Table1[[#This Row],[h_id]]))</f>
        <v>3</v>
      </c>
      <c r="Y136" s="283">
        <f>IF(Table1[Item Description]="","",Table1[[#This Row],[Qty]]*Table1[[#This Row],[Unit Price]])</f>
        <v>5529600</v>
      </c>
      <c r="Z136" s="283">
        <f>IF(Table1[[#This Row],[h_hargasebelumdiskon]]="","",IF(Table1[[#This Row],[Disc 1]]="",0,Table1[[#This Row],[h_hargasebelumdiskon]]*Table1[[#This Row],[Disc 1]]))</f>
        <v>691200</v>
      </c>
      <c r="AA136" s="283">
        <f>IF(Table1[[#This Row],[h_hargasebelumdiskon]]="","",IF(Table1[[#This Row],[Disc 2]]="",0,(Table1[[#This Row],[h_hargasebelumdiskon]]-Table1[[#This Row],[h_disc 1]])*Table1[[#This Row],[Disc 2]]))</f>
        <v>0</v>
      </c>
      <c r="AB136" s="283">
        <f>IF(Table1[Item Description]="","",Table1[[#This Row],[h_disc 1]]+Table1[[#This Row],[h_disc 2]])</f>
        <v>691200</v>
      </c>
      <c r="AC136" s="283">
        <f>IF(Table1[Item Description]="","",Table1[[#This Row],[h_hargasebelumdiskon]]-Table1[[#This Row],[h_diskon]])</f>
        <v>4838400</v>
      </c>
      <c r="AD136" s="283" t="str">
        <f ca="1">IF(Table1[//]="","",SUMIF(Table1[h_id],Table1[h_id],Table1[h_hargasetelahdiskon]))</f>
        <v/>
      </c>
      <c r="AE136" s="283"/>
      <c r="AF136" s="283" t="str">
        <f>Table1[[#This Row],[Item Description]]&amp;Table1[[#This Row],[Unit]]&amp;Table1[[#This Row],[Unit Price]]</f>
        <v>PENSIL WARNA JOYKO CP-101 (24W PANJANG)PCS19200</v>
      </c>
    </row>
    <row r="137" spans="1:32" x14ac:dyDescent="0.25">
      <c r="A137" s="287" t="str">
        <f ca="1">IF(Table1[[#This Row],[No. Invoice :]]="","",ROW())</f>
        <v/>
      </c>
      <c r="B137" s="287" t="str">
        <f ca="1">IF(Table1[h_Kode Sales :_1]="","",B$1+COUNT(INDIRECT("B$2:B"&amp;ROW()-1)))</f>
        <v/>
      </c>
      <c r="C137" s="281" t="str">
        <f>IF(Table1[[#This Row],[H_TGL]]="","",Table1[[#This Row],[H_TGL]]+C$1-1)</f>
        <v/>
      </c>
      <c r="H137" s="287" t="str">
        <f ca="1">IF(Table1[[#This Row],[h_No. Invoice :]]="","",CONCATENATE("AM"," ",Table1[[#This Row],[h_No. Invoice :]]))</f>
        <v/>
      </c>
      <c r="I137" s="288" t="str">
        <f>CONCATENATE(UPPER(Table1[[#This Row],[h_Kode Sales :_1]])," ",Table1[[#This Row],[h_Kode Sales :_2]])</f>
        <v xml:space="preserve"> </v>
      </c>
      <c r="J137" s="287" t="str">
        <f>IF(Table1[[#This Row],[h_toko]]="","",INDEX(Table2[e],IF(Table1[[#This Row],[h_toko]]="","",MATCH(Table1[[#This Row],[h_toko]],Table2[a],0)),))</f>
        <v/>
      </c>
      <c r="O137" s="287" t="str">
        <f>IF(Table1[[#This Row],[h_Item Description]]="","",INDEX([1]!db[NB PAJAK],MATCH(Table1[[#This Row],[h_Item Description]],[1]!db[kode],0)))</f>
        <v/>
      </c>
      <c r="Q137" s="283"/>
      <c r="R137" s="284"/>
      <c r="T137" s="283" t="str">
        <f>Table1[[#This Row],[h_hargasetelahdiskon]]</f>
        <v/>
      </c>
      <c r="W137" s="287" t="str">
        <f ca="1">IF(Table1[[#This Row],[Item Description]]="","",IF(Table1[[#This Row],[//]]="",INDIRECT(ADDRESS(ROW()-1,COLUMN())),Table1[[#This Row],[//]]))</f>
        <v/>
      </c>
      <c r="X137" s="287" t="str">
        <f ca="1">IF(Table1[[#This Row],[h_id]]="","",COUNTIF(Table1[h_id],Table1[[#This Row],[h_id]]))</f>
        <v/>
      </c>
      <c r="Y137" s="283" t="str">
        <f>IF(Table1[Item Description]="","",Table1[[#This Row],[Qty]]*Table1[[#This Row],[Unit Price]])</f>
        <v/>
      </c>
      <c r="Z137" s="283" t="str">
        <f>IF(Table1[[#This Row],[h_hargasebelumdiskon]]="","",IF(Table1[[#This Row],[Disc 1]]="",0,Table1[[#This Row],[h_hargasebelumdiskon]]*Table1[[#This Row],[Disc 1]]))</f>
        <v/>
      </c>
      <c r="AA137" s="283" t="str">
        <f>IF(Table1[[#This Row],[h_hargasebelumdiskon]]="","",IF(Table1[[#This Row],[Disc 2]]="",0,(Table1[[#This Row],[h_hargasebelumdiskon]]-Table1[[#This Row],[h_disc 1]])*Table1[[#This Row],[Disc 2]]))</f>
        <v/>
      </c>
      <c r="AB137" s="283" t="str">
        <f>IF(Table1[Item Description]="","",Table1[[#This Row],[h_disc 1]]+Table1[[#This Row],[h_disc 2]])</f>
        <v/>
      </c>
      <c r="AC137" s="283" t="str">
        <f>IF(Table1[Item Description]="","",Table1[[#This Row],[h_hargasebelumdiskon]]-Table1[[#This Row],[h_diskon]])</f>
        <v/>
      </c>
      <c r="AD137" s="283" t="str">
        <f ca="1">IF(Table1[//]="","",SUMIF(Table1[h_id],Table1[h_id],Table1[h_hargasetelahdiskon]))</f>
        <v/>
      </c>
      <c r="AE137" s="283"/>
      <c r="AF137" s="283" t="str">
        <f>Table1[[#This Row],[Item Description]]&amp;Table1[[#This Row],[Unit]]&amp;Table1[[#This Row],[Unit Price]]</f>
        <v/>
      </c>
    </row>
    <row r="138" spans="1:32" x14ac:dyDescent="0.25">
      <c r="A138" s="287">
        <f ca="1">IF(Table1[[#This Row],[No. Invoice :]]="","",ROW())</f>
        <v>138</v>
      </c>
      <c r="B138" s="287">
        <f ca="1">IF(Table1[h_Kode Sales :_1]="","",B$1+COUNT(INDIRECT("B$2:B"&amp;ROW()-1)))</f>
        <v>23080035</v>
      </c>
      <c r="C138" s="281">
        <f>IF(Table1[[#This Row],[H_TGL]]="","",Table1[[#This Row],[H_TGL]]+C$1-1)</f>
        <v>45169</v>
      </c>
      <c r="D138" s="292">
        <v>31</v>
      </c>
      <c r="E138" s="280" t="s">
        <v>128</v>
      </c>
      <c r="F138" s="282" t="s">
        <v>341</v>
      </c>
      <c r="G138" s="280" t="s">
        <v>84</v>
      </c>
      <c r="H138" s="287" t="str">
        <f ca="1">IF(Table1[[#This Row],[h_No. Invoice :]]="","",CONCATENATE("AM"," ",Table1[[#This Row],[h_No. Invoice :]]))</f>
        <v>AM 23080035</v>
      </c>
      <c r="I138" s="288" t="str">
        <f>CONCATENATE(UPPER(Table1[[#This Row],[h_Kode Sales :_1]])," ",Table1[[#This Row],[h_Kode Sales :_2]])</f>
        <v>KO 3626</v>
      </c>
      <c r="J138" s="287" t="str">
        <f>IF(Table1[[#This Row],[h_toko]]="","",INDEX(Table2[e],IF(Table1[[#This Row],[h_toko]]="","",MATCH(Table1[[#This Row],[h_toko]],Table2[a],0)),))</f>
        <v>CV PELITA JAYA (ANUGERAH SEJAHTERA) PURWOKERTO</v>
      </c>
      <c r="K138" s="280">
        <v>60</v>
      </c>
      <c r="L138" s="280" t="s">
        <v>143</v>
      </c>
      <c r="M138" s="280">
        <v>1</v>
      </c>
      <c r="N138" s="280" t="s">
        <v>342</v>
      </c>
      <c r="O138" s="287" t="str">
        <f>IF(Table1[[#This Row],[h_Item Description]]="","",INDEX([1]!db[NB PAJAK],MATCH(Table1[[#This Row],[h_Item Description]],[1]!db[kode],0)))</f>
        <v>ISI CUTTER 18 MM KENKO L-150 (BESAR)</v>
      </c>
      <c r="P138" s="280" t="s">
        <v>311</v>
      </c>
      <c r="Q138" s="283">
        <v>64800</v>
      </c>
      <c r="R138" s="284">
        <v>0.13500000000000001</v>
      </c>
      <c r="T138" s="283">
        <f>Table1[[#This Row],[h_hargasetelahdiskon]]</f>
        <v>3363120</v>
      </c>
      <c r="U138" s="283" t="s">
        <v>133</v>
      </c>
      <c r="W138" s="287">
        <f ca="1">IF(Table1[[#This Row],[Item Description]]="","",IF(Table1[[#This Row],[//]]="",INDIRECT(ADDRESS(ROW()-1,COLUMN())),Table1[[#This Row],[//]]))</f>
        <v>138</v>
      </c>
      <c r="X138" s="287">
        <f ca="1">IF(Table1[[#This Row],[h_id]]="","",COUNTIF(Table1[h_id],Table1[[#This Row],[h_id]]))</f>
        <v>2</v>
      </c>
      <c r="Y138" s="283">
        <f>IF(Table1[Item Description]="","",Table1[[#This Row],[Qty]]*Table1[[#This Row],[Unit Price]])</f>
        <v>3888000</v>
      </c>
      <c r="Z138" s="283">
        <f>IF(Table1[[#This Row],[h_hargasebelumdiskon]]="","",IF(Table1[[#This Row],[Disc 1]]="",0,Table1[[#This Row],[h_hargasebelumdiskon]]*Table1[[#This Row],[Disc 1]]))</f>
        <v>524880</v>
      </c>
      <c r="AA138" s="283">
        <f>IF(Table1[[#This Row],[h_hargasebelumdiskon]]="","",IF(Table1[[#This Row],[Disc 2]]="",0,(Table1[[#This Row],[h_hargasebelumdiskon]]-Table1[[#This Row],[h_disc 1]])*Table1[[#This Row],[Disc 2]]))</f>
        <v>0</v>
      </c>
      <c r="AB138" s="283">
        <f>IF(Table1[Item Description]="","",Table1[[#This Row],[h_disc 1]]+Table1[[#This Row],[h_disc 2]])</f>
        <v>524880</v>
      </c>
      <c r="AC138" s="283">
        <f>IF(Table1[Item Description]="","",Table1[[#This Row],[h_hargasebelumdiskon]]-Table1[[#This Row],[h_diskon]])</f>
        <v>3363120</v>
      </c>
      <c r="AD138" s="283">
        <f ca="1">IF(Table1[//]="","",SUMIF(Table1[h_id],Table1[h_id],Table1[h_hargasetelahdiskon]))</f>
        <v>5941512</v>
      </c>
      <c r="AE138" s="283"/>
      <c r="AF138" s="283" t="str">
        <f>Table1[[#This Row],[Item Description]]&amp;Table1[[#This Row],[Unit]]&amp;Table1[[#This Row],[Unit Price]]</f>
        <v>ISI CUTTER 18 MM KENKO L-150 (BESAR)LSN64800</v>
      </c>
    </row>
    <row r="139" spans="1:32" x14ac:dyDescent="0.25">
      <c r="A139" s="287" t="str">
        <f ca="1">IF(Table1[[#This Row],[No. Invoice :]]="","",ROW())</f>
        <v/>
      </c>
      <c r="B139" s="287" t="str">
        <f ca="1">IF(Table1[h_Kode Sales :_1]="","",B$1+COUNT(INDIRECT("B$2:B"&amp;ROW()-1)))</f>
        <v/>
      </c>
      <c r="C139" s="281" t="str">
        <f>IF(Table1[[#This Row],[H_TGL]]="","",Table1[[#This Row],[H_TGL]]+C$1-1)</f>
        <v/>
      </c>
      <c r="H139" s="287" t="str">
        <f ca="1">IF(Table1[[#This Row],[h_No. Invoice :]]="","",CONCATENATE("AM"," ",Table1[[#This Row],[h_No. Invoice :]]))</f>
        <v/>
      </c>
      <c r="I139" s="288" t="str">
        <f>CONCATENATE(UPPER(Table1[[#This Row],[h_Kode Sales :_1]])," ",Table1[[#This Row],[h_Kode Sales :_2]])</f>
        <v xml:space="preserve"> </v>
      </c>
      <c r="J139" s="287" t="str">
        <f>IF(Table1[[#This Row],[h_toko]]="","",INDEX(Table2[e],IF(Table1[[#This Row],[h_toko]]="","",MATCH(Table1[[#This Row],[h_toko]],Table2[a],0)),))</f>
        <v/>
      </c>
      <c r="K139" s="280">
        <v>24</v>
      </c>
      <c r="L139" s="280" t="s">
        <v>143</v>
      </c>
      <c r="M139" s="280">
        <v>1</v>
      </c>
      <c r="N139" s="280" t="s">
        <v>343</v>
      </c>
      <c r="O139" s="287" t="str">
        <f>IF(Table1[[#This Row],[h_Item Description]]="","",INDEX([1]!db[NB PAJAK],MATCH(Table1[[#This Row],[h_Item Description]],[1]!db[kode],0)))</f>
        <v>PENSIL WARNA KENKO CP-12F CLASSIC (PANJANG)</v>
      </c>
      <c r="P139" s="280" t="s">
        <v>272</v>
      </c>
      <c r="Q139" s="283">
        <v>124200</v>
      </c>
      <c r="R139" s="284">
        <v>0.13500000000000001</v>
      </c>
      <c r="T139" s="283">
        <f>Table1[[#This Row],[h_hargasetelahdiskon]]</f>
        <v>2578392</v>
      </c>
      <c r="W139" s="287">
        <f ca="1">IF(Table1[[#This Row],[Item Description]]="","",IF(Table1[[#This Row],[//]]="",INDIRECT(ADDRESS(ROW()-1,COLUMN())),Table1[[#This Row],[//]]))</f>
        <v>138</v>
      </c>
      <c r="X139" s="287">
        <f ca="1">IF(Table1[[#This Row],[h_id]]="","",COUNTIF(Table1[h_id],Table1[[#This Row],[h_id]]))</f>
        <v>2</v>
      </c>
      <c r="Y139" s="283">
        <f>IF(Table1[Item Description]="","",Table1[[#This Row],[Qty]]*Table1[[#This Row],[Unit Price]])</f>
        <v>2980800</v>
      </c>
      <c r="Z139" s="283">
        <f>IF(Table1[[#This Row],[h_hargasebelumdiskon]]="","",IF(Table1[[#This Row],[Disc 1]]="",0,Table1[[#This Row],[h_hargasebelumdiskon]]*Table1[[#This Row],[Disc 1]]))</f>
        <v>402408</v>
      </c>
      <c r="AA139" s="283">
        <f>IF(Table1[[#This Row],[h_hargasebelumdiskon]]="","",IF(Table1[[#This Row],[Disc 2]]="",0,(Table1[[#This Row],[h_hargasebelumdiskon]]-Table1[[#This Row],[h_disc 1]])*Table1[[#This Row],[Disc 2]]))</f>
        <v>0</v>
      </c>
      <c r="AB139" s="283">
        <f>IF(Table1[Item Description]="","",Table1[[#This Row],[h_disc 1]]+Table1[[#This Row],[h_disc 2]])</f>
        <v>402408</v>
      </c>
      <c r="AC139" s="283">
        <f>IF(Table1[Item Description]="","",Table1[[#This Row],[h_hargasebelumdiskon]]-Table1[[#This Row],[h_diskon]])</f>
        <v>2578392</v>
      </c>
      <c r="AD139" s="283" t="str">
        <f ca="1">IF(Table1[//]="","",SUMIF(Table1[h_id],Table1[h_id],Table1[h_hargasetelahdiskon]))</f>
        <v/>
      </c>
      <c r="AE139" s="283"/>
      <c r="AF139" s="283" t="str">
        <f>Table1[[#This Row],[Item Description]]&amp;Table1[[#This Row],[Unit]]&amp;Table1[[#This Row],[Unit Price]]</f>
        <v>PENSIL WARNA KENKO CP-12F CLASSIC (PANJANG)LSN124200</v>
      </c>
    </row>
    <row r="140" spans="1:32" x14ac:dyDescent="0.25">
      <c r="A140" s="287" t="str">
        <f ca="1">IF(Table1[[#This Row],[No. Invoice :]]="","",ROW())</f>
        <v/>
      </c>
      <c r="B140" s="287" t="str">
        <f ca="1">IF(Table1[h_Kode Sales :_1]="","",B$1+COUNT(INDIRECT("B$2:B"&amp;ROW()-1)))</f>
        <v/>
      </c>
      <c r="C140" s="281" t="str">
        <f>IF(Table1[[#This Row],[H_TGL]]="","",Table1[[#This Row],[H_TGL]]+C$1-1)</f>
        <v/>
      </c>
      <c r="H140" s="287" t="str">
        <f ca="1">IF(Table1[[#This Row],[h_No. Invoice :]]="","",CONCATENATE("AM"," ",Table1[[#This Row],[h_No. Invoice :]]))</f>
        <v/>
      </c>
      <c r="I140" s="288" t="str">
        <f>CONCATENATE(UPPER(Table1[[#This Row],[h_Kode Sales :_1]])," ",Table1[[#This Row],[h_Kode Sales :_2]])</f>
        <v xml:space="preserve"> </v>
      </c>
      <c r="J140" s="287" t="str">
        <f>IF(Table1[[#This Row],[h_toko]]="","",INDEX(Table2[e],IF(Table1[[#This Row],[h_toko]]="","",MATCH(Table1[[#This Row],[h_toko]],Table2[a],0)),))</f>
        <v/>
      </c>
      <c r="O140" s="287" t="str">
        <f>IF(Table1[[#This Row],[h_Item Description]]="","",INDEX([1]!db[NB PAJAK],MATCH(Table1[[#This Row],[h_Item Description]],[1]!db[kode],0)))</f>
        <v/>
      </c>
      <c r="Q140" s="283"/>
      <c r="R140" s="284"/>
      <c r="T140" s="283" t="str">
        <f>Table1[[#This Row],[h_hargasetelahdiskon]]</f>
        <v/>
      </c>
      <c r="W140" s="287" t="str">
        <f ca="1">IF(Table1[[#This Row],[Item Description]]="","",IF(Table1[[#This Row],[//]]="",INDIRECT(ADDRESS(ROW()-1,COLUMN())),Table1[[#This Row],[//]]))</f>
        <v/>
      </c>
      <c r="X140" s="287" t="str">
        <f ca="1">IF(Table1[[#This Row],[h_id]]="","",COUNTIF(Table1[h_id],Table1[[#This Row],[h_id]]))</f>
        <v/>
      </c>
      <c r="Y140" s="283" t="str">
        <f>IF(Table1[Item Description]="","",Table1[[#This Row],[Qty]]*Table1[[#This Row],[Unit Price]])</f>
        <v/>
      </c>
      <c r="Z140" s="283" t="str">
        <f>IF(Table1[[#This Row],[h_hargasebelumdiskon]]="","",IF(Table1[[#This Row],[Disc 1]]="",0,Table1[[#This Row],[h_hargasebelumdiskon]]*Table1[[#This Row],[Disc 1]]))</f>
        <v/>
      </c>
      <c r="AA140" s="283" t="str">
        <f>IF(Table1[[#This Row],[h_hargasebelumdiskon]]="","",IF(Table1[[#This Row],[Disc 2]]="",0,(Table1[[#This Row],[h_hargasebelumdiskon]]-Table1[[#This Row],[h_disc 1]])*Table1[[#This Row],[Disc 2]]))</f>
        <v/>
      </c>
      <c r="AB140" s="283" t="str">
        <f>IF(Table1[Item Description]="","",Table1[[#This Row],[h_disc 1]]+Table1[[#This Row],[h_disc 2]])</f>
        <v/>
      </c>
      <c r="AC140" s="283" t="str">
        <f>IF(Table1[Item Description]="","",Table1[[#This Row],[h_hargasebelumdiskon]]-Table1[[#This Row],[h_diskon]])</f>
        <v/>
      </c>
      <c r="AD140" s="283" t="str">
        <f ca="1">IF(Table1[//]="","",SUMIF(Table1[h_id],Table1[h_id],Table1[h_hargasetelahdiskon]))</f>
        <v/>
      </c>
      <c r="AE140" s="283"/>
      <c r="AF140" s="283" t="str">
        <f>Table1[[#This Row],[Item Description]]&amp;Table1[[#This Row],[Unit]]&amp;Table1[[#This Row],[Unit Price]]</f>
        <v/>
      </c>
    </row>
    <row r="141" spans="1:32" x14ac:dyDescent="0.25">
      <c r="A141" s="287">
        <f ca="1">IF(Table1[[#This Row],[No. Invoice :]]="","",ROW())</f>
        <v>141</v>
      </c>
      <c r="B141" s="287">
        <f ca="1">IF(Table1[h_Kode Sales :_1]="","",B$1+COUNT(INDIRECT("B$2:B"&amp;ROW()-1)))</f>
        <v>23080036</v>
      </c>
      <c r="C141" s="281">
        <f>IF(Table1[[#This Row],[H_TGL]]="","",Table1[[#This Row],[H_TGL]]+C$1-1)</f>
        <v>45169</v>
      </c>
      <c r="D141" s="292">
        <v>31</v>
      </c>
      <c r="E141" s="280" t="s">
        <v>128</v>
      </c>
      <c r="F141" s="282" t="s">
        <v>344</v>
      </c>
      <c r="G141" s="280" t="s">
        <v>80</v>
      </c>
      <c r="H141" s="287" t="str">
        <f ca="1">IF(Table1[[#This Row],[h_No. Invoice :]]="","",CONCATENATE("AM"," ",Table1[[#This Row],[h_No. Invoice :]]))</f>
        <v>AM 23080036</v>
      </c>
      <c r="I141" s="288" t="str">
        <f>CONCATENATE(UPPER(Table1[[#This Row],[h_Kode Sales :_1]])," ",Table1[[#This Row],[h_Kode Sales :_2]])</f>
        <v>KO 3606</v>
      </c>
      <c r="J141" s="287" t="str">
        <f>IF(Table1[[#This Row],[h_toko]]="","",INDEX(Table2[e],IF(Table1[[#This Row],[h_toko]]="","",MATCH(Table1[[#This Row],[h_toko]],Table2[a],0)),))</f>
        <v>CV GANESHA WONOSOBO</v>
      </c>
      <c r="K141" s="280">
        <v>2</v>
      </c>
      <c r="L141" s="280" t="s">
        <v>203</v>
      </c>
      <c r="N141" s="280" t="s">
        <v>345</v>
      </c>
      <c r="O141" s="287" t="str">
        <f>IF(Table1[[#This Row],[h_Item Description]]="","",INDEX([1]!db[NB PAJAK],MATCH(Table1[[#This Row],[h_Item Description]],[1]!db[kode],0)))</f>
        <v>BINDER CLIP KENKO NO. 200</v>
      </c>
      <c r="P141" s="280" t="s">
        <v>350</v>
      </c>
      <c r="Q141" s="283">
        <v>180000</v>
      </c>
      <c r="R141" s="284">
        <v>0.1</v>
      </c>
      <c r="T141" s="283">
        <f>Table1[[#This Row],[h_hargasetelahdiskon]]</f>
        <v>324000</v>
      </c>
      <c r="U141" s="283" t="s">
        <v>133</v>
      </c>
      <c r="W141" s="287">
        <f ca="1">IF(Table1[[#This Row],[Item Description]]="","",IF(Table1[[#This Row],[//]]="",INDIRECT(ADDRESS(ROW()-1,COLUMN())),Table1[[#This Row],[//]]))</f>
        <v>141</v>
      </c>
      <c r="X141" s="287">
        <f ca="1">IF(Table1[[#This Row],[h_id]]="","",COUNTIF(Table1[h_id],Table1[[#This Row],[h_id]]))</f>
        <v>7</v>
      </c>
      <c r="Y141" s="283">
        <f>IF(Table1[Item Description]="","",Table1[[#This Row],[Qty]]*Table1[[#This Row],[Unit Price]])</f>
        <v>360000</v>
      </c>
      <c r="Z141" s="283">
        <f>IF(Table1[[#This Row],[h_hargasebelumdiskon]]="","",IF(Table1[[#This Row],[Disc 1]]="",0,Table1[[#This Row],[h_hargasebelumdiskon]]*Table1[[#This Row],[Disc 1]]))</f>
        <v>36000</v>
      </c>
      <c r="AA141" s="283">
        <f>IF(Table1[[#This Row],[h_hargasebelumdiskon]]="","",IF(Table1[[#This Row],[Disc 2]]="",0,(Table1[[#This Row],[h_hargasebelumdiskon]]-Table1[[#This Row],[h_disc 1]])*Table1[[#This Row],[Disc 2]]))</f>
        <v>0</v>
      </c>
      <c r="AB141" s="283">
        <f>IF(Table1[Item Description]="","",Table1[[#This Row],[h_disc 1]]+Table1[[#This Row],[h_disc 2]])</f>
        <v>36000</v>
      </c>
      <c r="AC141" s="283">
        <f>IF(Table1[Item Description]="","",Table1[[#This Row],[h_hargasebelumdiskon]]-Table1[[#This Row],[h_diskon]])</f>
        <v>324000</v>
      </c>
      <c r="AD141" s="283">
        <f ca="1">IF(Table1[//]="","",SUMIF(Table1[h_id],Table1[h_id],Table1[h_hargasetelahdiskon]))</f>
        <v>1568700</v>
      </c>
      <c r="AE141" s="283"/>
      <c r="AF141" s="283" t="str">
        <f>Table1[[#This Row],[Item Description]]&amp;Table1[[#This Row],[Unit]]&amp;Table1[[#This Row],[Unit Price]]</f>
        <v>BINDER CLIP KENKO NO. 200GRS180000</v>
      </c>
    </row>
    <row r="142" spans="1:32" x14ac:dyDescent="0.25">
      <c r="A142" s="287" t="str">
        <f ca="1">IF(Table1[[#This Row],[No. Invoice :]]="","",ROW())</f>
        <v/>
      </c>
      <c r="B142" s="287" t="str">
        <f ca="1">IF(Table1[h_Kode Sales :_1]="","",B$1+COUNT(INDIRECT("B$2:B"&amp;ROW()-1)))</f>
        <v/>
      </c>
      <c r="C142" s="281" t="str">
        <f>IF(Table1[[#This Row],[H_TGL]]="","",Table1[[#This Row],[H_TGL]]+C$1-1)</f>
        <v/>
      </c>
      <c r="H142" s="287" t="str">
        <f ca="1">IF(Table1[[#This Row],[h_No. Invoice :]]="","",CONCATENATE("AM"," ",Table1[[#This Row],[h_No. Invoice :]]))</f>
        <v/>
      </c>
      <c r="I142" s="288" t="str">
        <f>CONCATENATE(UPPER(Table1[[#This Row],[h_Kode Sales :_1]])," ",Table1[[#This Row],[h_Kode Sales :_2]])</f>
        <v xml:space="preserve"> </v>
      </c>
      <c r="J142" s="287" t="str">
        <f>IF(Table1[[#This Row],[h_toko]]="","",INDEX(Table2[e],IF(Table1[[#This Row],[h_toko]]="","",MATCH(Table1[[#This Row],[h_toko]],Table2[a],0)),))</f>
        <v/>
      </c>
      <c r="K142" s="280">
        <v>2</v>
      </c>
      <c r="L142" s="280" t="s">
        <v>203</v>
      </c>
      <c r="N142" s="280" t="s">
        <v>346</v>
      </c>
      <c r="O142" s="287" t="str">
        <f>IF(Table1[[#This Row],[h_Item Description]]="","",INDEX([1]!db[NB PAJAK],MATCH(Table1[[#This Row],[h_Item Description]],[1]!db[kode],0)))</f>
        <v>BINDER CLIP KENKO NO. 111</v>
      </c>
      <c r="P142" s="280" t="s">
        <v>351</v>
      </c>
      <c r="Q142" s="283">
        <v>49200</v>
      </c>
      <c r="R142" s="284">
        <v>0.1</v>
      </c>
      <c r="T142" s="283">
        <f>Table1[[#This Row],[h_hargasetelahdiskon]]</f>
        <v>88560</v>
      </c>
      <c r="W142" s="287">
        <f ca="1">IF(Table1[[#This Row],[Item Description]]="","",IF(Table1[[#This Row],[//]]="",INDIRECT(ADDRESS(ROW()-1,COLUMN())),Table1[[#This Row],[//]]))</f>
        <v>141</v>
      </c>
      <c r="X142" s="287">
        <f ca="1">IF(Table1[[#This Row],[h_id]]="","",COUNTIF(Table1[h_id],Table1[[#This Row],[h_id]]))</f>
        <v>7</v>
      </c>
      <c r="Y142" s="283">
        <f>IF(Table1[Item Description]="","",Table1[[#This Row],[Qty]]*Table1[[#This Row],[Unit Price]])</f>
        <v>98400</v>
      </c>
      <c r="Z142" s="283">
        <f>IF(Table1[[#This Row],[h_hargasebelumdiskon]]="","",IF(Table1[[#This Row],[Disc 1]]="",0,Table1[[#This Row],[h_hargasebelumdiskon]]*Table1[[#This Row],[Disc 1]]))</f>
        <v>9840</v>
      </c>
      <c r="AA142" s="283">
        <f>IF(Table1[[#This Row],[h_hargasebelumdiskon]]="","",IF(Table1[[#This Row],[Disc 2]]="",0,(Table1[[#This Row],[h_hargasebelumdiskon]]-Table1[[#This Row],[h_disc 1]])*Table1[[#This Row],[Disc 2]]))</f>
        <v>0</v>
      </c>
      <c r="AB142" s="283">
        <f>IF(Table1[Item Description]="","",Table1[[#This Row],[h_disc 1]]+Table1[[#This Row],[h_disc 2]])</f>
        <v>9840</v>
      </c>
      <c r="AC142" s="283">
        <f>IF(Table1[Item Description]="","",Table1[[#This Row],[h_hargasebelumdiskon]]-Table1[[#This Row],[h_diskon]])</f>
        <v>88560</v>
      </c>
      <c r="AD142" s="283" t="str">
        <f ca="1">IF(Table1[//]="","",SUMIF(Table1[h_id],Table1[h_id],Table1[h_hargasetelahdiskon]))</f>
        <v/>
      </c>
      <c r="AE142" s="283"/>
      <c r="AF142" s="283" t="str">
        <f>Table1[[#This Row],[Item Description]]&amp;Table1[[#This Row],[Unit]]&amp;Table1[[#This Row],[Unit Price]]</f>
        <v>BINDER CLIP KENKO NO. 111GRS49200</v>
      </c>
    </row>
    <row r="143" spans="1:32" x14ac:dyDescent="0.25">
      <c r="A143" s="287" t="str">
        <f ca="1">IF(Table1[[#This Row],[No. Invoice :]]="","",ROW())</f>
        <v/>
      </c>
      <c r="B143" s="287" t="str">
        <f ca="1">IF(Table1[h_Kode Sales :_1]="","",B$1+COUNT(INDIRECT("B$2:B"&amp;ROW()-1)))</f>
        <v/>
      </c>
      <c r="C143" s="281" t="str">
        <f>IF(Table1[[#This Row],[H_TGL]]="","",Table1[[#This Row],[H_TGL]]+C$1-1)</f>
        <v/>
      </c>
      <c r="H143" s="287" t="str">
        <f ca="1">IF(Table1[[#This Row],[h_No. Invoice :]]="","",CONCATENATE("AM"," ",Table1[[#This Row],[h_No. Invoice :]]))</f>
        <v/>
      </c>
      <c r="I143" s="288" t="str">
        <f>CONCATENATE(UPPER(Table1[[#This Row],[h_Kode Sales :_1]])," ",Table1[[#This Row],[h_Kode Sales :_2]])</f>
        <v xml:space="preserve"> </v>
      </c>
      <c r="J143" s="287" t="str">
        <f>IF(Table1[[#This Row],[h_toko]]="","",INDEX(Table2[e],IF(Table1[[#This Row],[h_toko]]="","",MATCH(Table1[[#This Row],[h_toko]],Table2[a],0)),))</f>
        <v/>
      </c>
      <c r="K143" s="280">
        <v>3</v>
      </c>
      <c r="L143" s="280" t="s">
        <v>203</v>
      </c>
      <c r="N143" s="280" t="s">
        <v>248</v>
      </c>
      <c r="O143" s="287" t="str">
        <f>IF(Table1[[#This Row],[h_Item Description]]="","",INDEX([1]!db[NB PAJAK],MATCH(Table1[[#This Row],[h_Item Description]],[1]!db[kode],0)))</f>
        <v>BINDER CLIP KENKO NO. 105</v>
      </c>
      <c r="P143" s="280" t="s">
        <v>255</v>
      </c>
      <c r="Q143" s="283">
        <v>28800</v>
      </c>
      <c r="R143" s="284">
        <v>0.1</v>
      </c>
      <c r="T143" s="283">
        <f>Table1[[#This Row],[h_hargasetelahdiskon]]</f>
        <v>77760</v>
      </c>
      <c r="W143" s="287">
        <f ca="1">IF(Table1[[#This Row],[Item Description]]="","",IF(Table1[[#This Row],[//]]="",INDIRECT(ADDRESS(ROW()-1,COLUMN())),Table1[[#This Row],[//]]))</f>
        <v>141</v>
      </c>
      <c r="X143" s="287">
        <f ca="1">IF(Table1[[#This Row],[h_id]]="","",COUNTIF(Table1[h_id],Table1[[#This Row],[h_id]]))</f>
        <v>7</v>
      </c>
      <c r="Y143" s="283">
        <f>IF(Table1[Item Description]="","",Table1[[#This Row],[Qty]]*Table1[[#This Row],[Unit Price]])</f>
        <v>86400</v>
      </c>
      <c r="Z143" s="283">
        <f>IF(Table1[[#This Row],[h_hargasebelumdiskon]]="","",IF(Table1[[#This Row],[Disc 1]]="",0,Table1[[#This Row],[h_hargasebelumdiskon]]*Table1[[#This Row],[Disc 1]]))</f>
        <v>8640</v>
      </c>
      <c r="AA143" s="283">
        <f>IF(Table1[[#This Row],[h_hargasebelumdiskon]]="","",IF(Table1[[#This Row],[Disc 2]]="",0,(Table1[[#This Row],[h_hargasebelumdiskon]]-Table1[[#This Row],[h_disc 1]])*Table1[[#This Row],[Disc 2]]))</f>
        <v>0</v>
      </c>
      <c r="AB143" s="283">
        <f>IF(Table1[Item Description]="","",Table1[[#This Row],[h_disc 1]]+Table1[[#This Row],[h_disc 2]])</f>
        <v>8640</v>
      </c>
      <c r="AC143" s="283">
        <f>IF(Table1[Item Description]="","",Table1[[#This Row],[h_hargasebelumdiskon]]-Table1[[#This Row],[h_diskon]])</f>
        <v>77760</v>
      </c>
      <c r="AD143" s="283" t="str">
        <f ca="1">IF(Table1[//]="","",SUMIF(Table1[h_id],Table1[h_id],Table1[h_hargasetelahdiskon]))</f>
        <v/>
      </c>
      <c r="AE143" s="283"/>
      <c r="AF143" s="283" t="str">
        <f>Table1[[#This Row],[Item Description]]&amp;Table1[[#This Row],[Unit]]&amp;Table1[[#This Row],[Unit Price]]</f>
        <v>BINDER CLIP KENKO NO. 105GRS28800</v>
      </c>
    </row>
    <row r="144" spans="1:32" x14ac:dyDescent="0.25">
      <c r="A144" s="287" t="str">
        <f ca="1">IF(Table1[[#This Row],[No. Invoice :]]="","",ROW())</f>
        <v/>
      </c>
      <c r="B144" s="287" t="str">
        <f ca="1">IF(Table1[h_Kode Sales :_1]="","",B$1+COUNT(INDIRECT("B$2:B"&amp;ROW()-1)))</f>
        <v/>
      </c>
      <c r="C144" s="281" t="str">
        <f>IF(Table1[[#This Row],[H_TGL]]="","",Table1[[#This Row],[H_TGL]]+C$1-1)</f>
        <v/>
      </c>
      <c r="H144" s="287" t="str">
        <f ca="1">IF(Table1[[#This Row],[h_No. Invoice :]]="","",CONCATENATE("AM"," ",Table1[[#This Row],[h_No. Invoice :]]))</f>
        <v/>
      </c>
      <c r="I144" s="288" t="str">
        <f>CONCATENATE(UPPER(Table1[[#This Row],[h_Kode Sales :_1]])," ",Table1[[#This Row],[h_Kode Sales :_2]])</f>
        <v xml:space="preserve"> </v>
      </c>
      <c r="J144" s="287" t="str">
        <f>IF(Table1[[#This Row],[h_toko]]="","",INDEX(Table2[e],IF(Table1[[#This Row],[h_toko]]="","",MATCH(Table1[[#This Row],[h_toko]],Table2[a],0)),))</f>
        <v/>
      </c>
      <c r="K144" s="280">
        <v>3</v>
      </c>
      <c r="L144" s="280" t="s">
        <v>203</v>
      </c>
      <c r="N144" s="280" t="s">
        <v>347</v>
      </c>
      <c r="O144" s="287" t="str">
        <f>IF(Table1[[#This Row],[h_Item Description]]="","",INDEX([1]!db[NB PAJAK],MATCH(Table1[[#This Row],[h_Item Description]],[1]!db[kode],0)))</f>
        <v>BINDER CLIP KENKO NO. 280</v>
      </c>
      <c r="P144" s="280" t="s">
        <v>352</v>
      </c>
      <c r="Q144" s="283">
        <v>43000</v>
      </c>
      <c r="R144" s="284">
        <v>0.1</v>
      </c>
      <c r="T144" s="283">
        <f>Table1[[#This Row],[h_hargasetelahdiskon]]</f>
        <v>116100</v>
      </c>
      <c r="W144" s="287">
        <f ca="1">IF(Table1[[#This Row],[Item Description]]="","",IF(Table1[[#This Row],[//]]="",INDIRECT(ADDRESS(ROW()-1,COLUMN())),Table1[[#This Row],[//]]))</f>
        <v>141</v>
      </c>
      <c r="X144" s="287">
        <f ca="1">IF(Table1[[#This Row],[h_id]]="","",COUNTIF(Table1[h_id],Table1[[#This Row],[h_id]]))</f>
        <v>7</v>
      </c>
      <c r="Y144" s="283">
        <f>IF(Table1[Item Description]="","",Table1[[#This Row],[Qty]]*Table1[[#This Row],[Unit Price]])</f>
        <v>129000</v>
      </c>
      <c r="Z144" s="283">
        <f>IF(Table1[[#This Row],[h_hargasebelumdiskon]]="","",IF(Table1[[#This Row],[Disc 1]]="",0,Table1[[#This Row],[h_hargasebelumdiskon]]*Table1[[#This Row],[Disc 1]]))</f>
        <v>12900</v>
      </c>
      <c r="AA144" s="283">
        <f>IF(Table1[[#This Row],[h_hargasebelumdiskon]]="","",IF(Table1[[#This Row],[Disc 2]]="",0,(Table1[[#This Row],[h_hargasebelumdiskon]]-Table1[[#This Row],[h_disc 1]])*Table1[[#This Row],[Disc 2]]))</f>
        <v>0</v>
      </c>
      <c r="AB144" s="283">
        <f>IF(Table1[Item Description]="","",Table1[[#This Row],[h_disc 1]]+Table1[[#This Row],[h_disc 2]])</f>
        <v>12900</v>
      </c>
      <c r="AC144" s="283">
        <f>IF(Table1[Item Description]="","",Table1[[#This Row],[h_hargasebelumdiskon]]-Table1[[#This Row],[h_diskon]])</f>
        <v>116100</v>
      </c>
      <c r="AD144" s="283" t="str">
        <f ca="1">IF(Table1[//]="","",SUMIF(Table1[h_id],Table1[h_id],Table1[h_hargasetelahdiskon]))</f>
        <v/>
      </c>
      <c r="AE144" s="283"/>
      <c r="AF144" s="283" t="str">
        <f>Table1[[#This Row],[Item Description]]&amp;Table1[[#This Row],[Unit]]&amp;Table1[[#This Row],[Unit Price]]</f>
        <v>BINDER CLIP KENKO NO. 280GRS43000</v>
      </c>
    </row>
    <row r="145" spans="1:32" x14ac:dyDescent="0.25">
      <c r="A145" s="287" t="str">
        <f ca="1">IF(Table1[[#This Row],[No. Invoice :]]="","",ROW())</f>
        <v/>
      </c>
      <c r="B145" s="287" t="str">
        <f ca="1">IF(Table1[h_Kode Sales :_1]="","",B$1+COUNT(INDIRECT("B$2:B"&amp;ROW()-1)))</f>
        <v/>
      </c>
      <c r="C145" s="281" t="str">
        <f>IF(Table1[[#This Row],[H_TGL]]="","",Table1[[#This Row],[H_TGL]]+C$1-1)</f>
        <v/>
      </c>
      <c r="H145" s="287" t="str">
        <f ca="1">IF(Table1[[#This Row],[h_No. Invoice :]]="","",CONCATENATE("AM"," ",Table1[[#This Row],[h_No. Invoice :]]))</f>
        <v/>
      </c>
      <c r="I145" s="288" t="str">
        <f>CONCATENATE(UPPER(Table1[[#This Row],[h_Kode Sales :_1]])," ",Table1[[#This Row],[h_Kode Sales :_2]])</f>
        <v xml:space="preserve"> </v>
      </c>
      <c r="J145" s="287" t="str">
        <f>IF(Table1[[#This Row],[h_toko]]="","",INDEX(Table2[e],IF(Table1[[#This Row],[h_toko]]="","",MATCH(Table1[[#This Row],[h_toko]],Table2[a],0)),))</f>
        <v/>
      </c>
      <c r="K145" s="280">
        <v>10</v>
      </c>
      <c r="L145" s="280" t="s">
        <v>143</v>
      </c>
      <c r="N145" s="280" t="s">
        <v>348</v>
      </c>
      <c r="O145" s="287" t="str">
        <f>IF(Table1[[#This Row],[h_Item Description]]="","",INDEX([1]!db[NB PAJAK],MATCH(Table1[[#This Row],[h_Item Description]],[1]!db[kode],0)))</f>
        <v>ISI CUTTER 9 MM KENKO A-100 (KECIL)</v>
      </c>
      <c r="P145" s="280" t="s">
        <v>353</v>
      </c>
      <c r="Q145" s="283">
        <v>32400</v>
      </c>
      <c r="R145" s="284">
        <v>0.1</v>
      </c>
      <c r="T145" s="283">
        <f>Table1[[#This Row],[h_hargasetelahdiskon]]</f>
        <v>291600</v>
      </c>
      <c r="W145" s="287">
        <f ca="1">IF(Table1[[#This Row],[Item Description]]="","",IF(Table1[[#This Row],[//]]="",INDIRECT(ADDRESS(ROW()-1,COLUMN())),Table1[[#This Row],[//]]))</f>
        <v>141</v>
      </c>
      <c r="X145" s="287">
        <f ca="1">IF(Table1[[#This Row],[h_id]]="","",COUNTIF(Table1[h_id],Table1[[#This Row],[h_id]]))</f>
        <v>7</v>
      </c>
      <c r="Y145" s="283">
        <f>IF(Table1[Item Description]="","",Table1[[#This Row],[Qty]]*Table1[[#This Row],[Unit Price]])</f>
        <v>324000</v>
      </c>
      <c r="Z145" s="283">
        <f>IF(Table1[[#This Row],[h_hargasebelumdiskon]]="","",IF(Table1[[#This Row],[Disc 1]]="",0,Table1[[#This Row],[h_hargasebelumdiskon]]*Table1[[#This Row],[Disc 1]]))</f>
        <v>32400</v>
      </c>
      <c r="AA145" s="283">
        <f>IF(Table1[[#This Row],[h_hargasebelumdiskon]]="","",IF(Table1[[#This Row],[Disc 2]]="",0,(Table1[[#This Row],[h_hargasebelumdiskon]]-Table1[[#This Row],[h_disc 1]])*Table1[[#This Row],[Disc 2]]))</f>
        <v>0</v>
      </c>
      <c r="AB145" s="283">
        <f>IF(Table1[Item Description]="","",Table1[[#This Row],[h_disc 1]]+Table1[[#This Row],[h_disc 2]])</f>
        <v>32400</v>
      </c>
      <c r="AC145" s="283">
        <f>IF(Table1[Item Description]="","",Table1[[#This Row],[h_hargasebelumdiskon]]-Table1[[#This Row],[h_diskon]])</f>
        <v>291600</v>
      </c>
      <c r="AD145" s="283" t="str">
        <f ca="1">IF(Table1[//]="","",SUMIF(Table1[h_id],Table1[h_id],Table1[h_hargasetelahdiskon]))</f>
        <v/>
      </c>
      <c r="AE145" s="283"/>
      <c r="AF145" s="283" t="str">
        <f>Table1[[#This Row],[Item Description]]&amp;Table1[[#This Row],[Unit]]&amp;Table1[[#This Row],[Unit Price]]</f>
        <v>ISI CUTTER 9 MM KENKO A-100 (KECIL)LSN32400</v>
      </c>
    </row>
    <row r="146" spans="1:32" x14ac:dyDescent="0.25">
      <c r="A146" s="287" t="str">
        <f ca="1">IF(Table1[[#This Row],[No. Invoice :]]="","",ROW())</f>
        <v/>
      </c>
      <c r="B146" s="287" t="str">
        <f ca="1">IF(Table1[h_Kode Sales :_1]="","",B$1+COUNT(INDIRECT("B$2:B"&amp;ROW()-1)))</f>
        <v/>
      </c>
      <c r="C146" s="281" t="str">
        <f>IF(Table1[[#This Row],[H_TGL]]="","",Table1[[#This Row],[H_TGL]]+C$1-1)</f>
        <v/>
      </c>
      <c r="H146" s="287" t="str">
        <f ca="1">IF(Table1[[#This Row],[h_No. Invoice :]]="","",CONCATENATE("AM"," ",Table1[[#This Row],[h_No. Invoice :]]))</f>
        <v/>
      </c>
      <c r="I146" s="288" t="str">
        <f>CONCATENATE(UPPER(Table1[[#This Row],[h_Kode Sales :_1]])," ",Table1[[#This Row],[h_Kode Sales :_2]])</f>
        <v xml:space="preserve"> </v>
      </c>
      <c r="J146" s="287" t="str">
        <f>IF(Table1[[#This Row],[h_toko]]="","",INDEX(Table2[e],IF(Table1[[#This Row],[h_toko]]="","",MATCH(Table1[[#This Row],[h_toko]],Table2[a],0)),))</f>
        <v/>
      </c>
      <c r="K146" s="280">
        <v>3</v>
      </c>
      <c r="L146" s="280" t="s">
        <v>143</v>
      </c>
      <c r="N146" s="280" t="s">
        <v>244</v>
      </c>
      <c r="O146" s="287" t="str">
        <f>IF(Table1[[#This Row],[h_Item Description]]="","",INDEX([1]!db[NB PAJAK],MATCH(Table1[[#This Row],[h_Item Description]],[1]!db[kode],0)))</f>
        <v>GEL PEN KENKO K-1 HITAM</v>
      </c>
      <c r="P146" s="280" t="s">
        <v>252</v>
      </c>
      <c r="Q146" s="283">
        <v>39600</v>
      </c>
      <c r="R146" s="284">
        <v>0.1</v>
      </c>
      <c r="T146" s="283">
        <f>Table1[[#This Row],[h_hargasetelahdiskon]]</f>
        <v>106920</v>
      </c>
      <c r="W146" s="287">
        <f ca="1">IF(Table1[[#This Row],[Item Description]]="","",IF(Table1[[#This Row],[//]]="",INDIRECT(ADDRESS(ROW()-1,COLUMN())),Table1[[#This Row],[//]]))</f>
        <v>141</v>
      </c>
      <c r="X146" s="287">
        <f ca="1">IF(Table1[[#This Row],[h_id]]="","",COUNTIF(Table1[h_id],Table1[[#This Row],[h_id]]))</f>
        <v>7</v>
      </c>
      <c r="Y146" s="283">
        <f>IF(Table1[Item Description]="","",Table1[[#This Row],[Qty]]*Table1[[#This Row],[Unit Price]])</f>
        <v>118800</v>
      </c>
      <c r="Z146" s="283">
        <f>IF(Table1[[#This Row],[h_hargasebelumdiskon]]="","",IF(Table1[[#This Row],[Disc 1]]="",0,Table1[[#This Row],[h_hargasebelumdiskon]]*Table1[[#This Row],[Disc 1]]))</f>
        <v>11880</v>
      </c>
      <c r="AA146" s="283">
        <f>IF(Table1[[#This Row],[h_hargasebelumdiskon]]="","",IF(Table1[[#This Row],[Disc 2]]="",0,(Table1[[#This Row],[h_hargasebelumdiskon]]-Table1[[#This Row],[h_disc 1]])*Table1[[#This Row],[Disc 2]]))</f>
        <v>0</v>
      </c>
      <c r="AB146" s="283">
        <f>IF(Table1[Item Description]="","",Table1[[#This Row],[h_disc 1]]+Table1[[#This Row],[h_disc 2]])</f>
        <v>11880</v>
      </c>
      <c r="AC146" s="283">
        <f>IF(Table1[Item Description]="","",Table1[[#This Row],[h_hargasebelumdiskon]]-Table1[[#This Row],[h_diskon]])</f>
        <v>106920</v>
      </c>
      <c r="AD146" s="283" t="str">
        <f ca="1">IF(Table1[//]="","",SUMIF(Table1[h_id],Table1[h_id],Table1[h_hargasetelahdiskon]))</f>
        <v/>
      </c>
      <c r="AE146" s="283"/>
      <c r="AF146" s="283" t="str">
        <f>Table1[[#This Row],[Item Description]]&amp;Table1[[#This Row],[Unit]]&amp;Table1[[#This Row],[Unit Price]]</f>
        <v>GEL PEN KENKO K-1 HITAMLSN39600</v>
      </c>
    </row>
    <row r="147" spans="1:32" x14ac:dyDescent="0.25">
      <c r="A147" s="287" t="str">
        <f ca="1">IF(Table1[[#This Row],[No. Invoice :]]="","",ROW())</f>
        <v/>
      </c>
      <c r="B147" s="287" t="str">
        <f ca="1">IF(Table1[h_Kode Sales :_1]="","",B$1+COUNT(INDIRECT("B$2:B"&amp;ROW()-1)))</f>
        <v/>
      </c>
      <c r="C147" s="281" t="str">
        <f>IF(Table1[[#This Row],[H_TGL]]="","",Table1[[#This Row],[H_TGL]]+C$1-1)</f>
        <v/>
      </c>
      <c r="H147" s="287" t="str">
        <f ca="1">IF(Table1[[#This Row],[h_No. Invoice :]]="","",CONCATENATE("AM"," ",Table1[[#This Row],[h_No. Invoice :]]))</f>
        <v/>
      </c>
      <c r="I147" s="288" t="str">
        <f>CONCATENATE(UPPER(Table1[[#This Row],[h_Kode Sales :_1]])," ",Table1[[#This Row],[h_Kode Sales :_2]])</f>
        <v xml:space="preserve"> </v>
      </c>
      <c r="J147" s="287" t="str">
        <f>IF(Table1[[#This Row],[h_toko]]="","",INDEX(Table2[e],IF(Table1[[#This Row],[h_toko]]="","",MATCH(Table1[[#This Row],[h_toko]],Table2[a],0)),))</f>
        <v/>
      </c>
      <c r="K147" s="280">
        <v>24</v>
      </c>
      <c r="L147" s="280" t="s">
        <v>143</v>
      </c>
      <c r="N147" s="280" t="s">
        <v>349</v>
      </c>
      <c r="O147" s="287" t="str">
        <f>IF(Table1[[#This Row],[h_Item Description]]="","",INDEX([1]!db[NB PAJAK],MATCH(Table1[[#This Row],[h_Item Description]],[1]!db[kode],0)))</f>
        <v>GEL PEN KENKO EASY GEL HITAM</v>
      </c>
      <c r="P147" s="280" t="s">
        <v>354</v>
      </c>
      <c r="Q147" s="283">
        <v>26100</v>
      </c>
      <c r="R147" s="284">
        <v>0.1</v>
      </c>
      <c r="T147" s="283">
        <f>Table1[[#This Row],[h_hargasetelahdiskon]]</f>
        <v>563760</v>
      </c>
      <c r="W147" s="287">
        <f ca="1">IF(Table1[[#This Row],[Item Description]]="","",IF(Table1[[#This Row],[//]]="",INDIRECT(ADDRESS(ROW()-1,COLUMN())),Table1[[#This Row],[//]]))</f>
        <v>141</v>
      </c>
      <c r="X147" s="287">
        <f ca="1">IF(Table1[[#This Row],[h_id]]="","",COUNTIF(Table1[h_id],Table1[[#This Row],[h_id]]))</f>
        <v>7</v>
      </c>
      <c r="Y147" s="283">
        <f>IF(Table1[Item Description]="","",Table1[[#This Row],[Qty]]*Table1[[#This Row],[Unit Price]])</f>
        <v>626400</v>
      </c>
      <c r="Z147" s="283">
        <f>IF(Table1[[#This Row],[h_hargasebelumdiskon]]="","",IF(Table1[[#This Row],[Disc 1]]="",0,Table1[[#This Row],[h_hargasebelumdiskon]]*Table1[[#This Row],[Disc 1]]))</f>
        <v>62640</v>
      </c>
      <c r="AA147" s="283">
        <f>IF(Table1[[#This Row],[h_hargasebelumdiskon]]="","",IF(Table1[[#This Row],[Disc 2]]="",0,(Table1[[#This Row],[h_hargasebelumdiskon]]-Table1[[#This Row],[h_disc 1]])*Table1[[#This Row],[Disc 2]]))</f>
        <v>0</v>
      </c>
      <c r="AB147" s="283">
        <f>IF(Table1[Item Description]="","",Table1[[#This Row],[h_disc 1]]+Table1[[#This Row],[h_disc 2]])</f>
        <v>62640</v>
      </c>
      <c r="AC147" s="283">
        <f>IF(Table1[Item Description]="","",Table1[[#This Row],[h_hargasebelumdiskon]]-Table1[[#This Row],[h_diskon]])</f>
        <v>563760</v>
      </c>
      <c r="AD147" s="283" t="str">
        <f ca="1">IF(Table1[//]="","",SUMIF(Table1[h_id],Table1[h_id],Table1[h_hargasetelahdiskon]))</f>
        <v/>
      </c>
      <c r="AE147" s="283"/>
      <c r="AF147" s="283" t="str">
        <f>Table1[[#This Row],[Item Description]]&amp;Table1[[#This Row],[Unit]]&amp;Table1[[#This Row],[Unit Price]]</f>
        <v>GEL PEN KENKO EASY GEL HITAMLSN26100</v>
      </c>
    </row>
    <row r="148" spans="1:32" x14ac:dyDescent="0.25">
      <c r="A148" s="287" t="str">
        <f ca="1">IF(Table1[[#This Row],[No. Invoice :]]="","",ROW())</f>
        <v/>
      </c>
      <c r="B148" s="287" t="str">
        <f ca="1">IF(Table1[h_Kode Sales :_1]="","",B$1+COUNT(INDIRECT("B$2:B"&amp;ROW()-1)))</f>
        <v/>
      </c>
      <c r="C148" s="281" t="str">
        <f>IF(Table1[[#This Row],[H_TGL]]="","",Table1[[#This Row],[H_TGL]]+C$1-1)</f>
        <v/>
      </c>
      <c r="H148" s="287" t="str">
        <f ca="1">IF(Table1[[#This Row],[h_No. Invoice :]]="","",CONCATENATE("AM"," ",Table1[[#This Row],[h_No. Invoice :]]))</f>
        <v/>
      </c>
      <c r="I148" s="288" t="str">
        <f>CONCATENATE(UPPER(Table1[[#This Row],[h_Kode Sales :_1]])," ",Table1[[#This Row],[h_Kode Sales :_2]])</f>
        <v xml:space="preserve"> </v>
      </c>
      <c r="J148" s="287" t="str">
        <f>IF(Table1[[#This Row],[h_toko]]="","",INDEX(Table2[e],IF(Table1[[#This Row],[h_toko]]="","",MATCH(Table1[[#This Row],[h_toko]],Table2[a],0)),))</f>
        <v/>
      </c>
      <c r="O148" s="287" t="str">
        <f>IF(Table1[[#This Row],[h_Item Description]]="","",INDEX([1]!db[NB PAJAK],MATCH(Table1[[#This Row],[h_Item Description]],[1]!db[kode],0)))</f>
        <v/>
      </c>
      <c r="Q148" s="283"/>
      <c r="R148" s="284"/>
      <c r="T148" s="283" t="str">
        <f>Table1[[#This Row],[h_hargasetelahdiskon]]</f>
        <v/>
      </c>
      <c r="W148" s="287" t="str">
        <f ca="1">IF(Table1[[#This Row],[Item Description]]="","",IF(Table1[[#This Row],[//]]="",INDIRECT(ADDRESS(ROW()-1,COLUMN())),Table1[[#This Row],[//]]))</f>
        <v/>
      </c>
      <c r="X148" s="287" t="str">
        <f ca="1">IF(Table1[[#This Row],[h_id]]="","",COUNTIF(Table1[h_id],Table1[[#This Row],[h_id]]))</f>
        <v/>
      </c>
      <c r="Y148" s="283" t="str">
        <f>IF(Table1[Item Description]="","",Table1[[#This Row],[Qty]]*Table1[[#This Row],[Unit Price]])</f>
        <v/>
      </c>
      <c r="Z148" s="283" t="str">
        <f>IF(Table1[[#This Row],[h_hargasebelumdiskon]]="","",IF(Table1[[#This Row],[Disc 1]]="",0,Table1[[#This Row],[h_hargasebelumdiskon]]*Table1[[#This Row],[Disc 1]]))</f>
        <v/>
      </c>
      <c r="AA148" s="283" t="str">
        <f>IF(Table1[[#This Row],[h_hargasebelumdiskon]]="","",IF(Table1[[#This Row],[Disc 2]]="",0,(Table1[[#This Row],[h_hargasebelumdiskon]]-Table1[[#This Row],[h_disc 1]])*Table1[[#This Row],[Disc 2]]))</f>
        <v/>
      </c>
      <c r="AB148" s="283" t="str">
        <f>IF(Table1[Item Description]="","",Table1[[#This Row],[h_disc 1]]+Table1[[#This Row],[h_disc 2]])</f>
        <v/>
      </c>
      <c r="AC148" s="283" t="str">
        <f>IF(Table1[Item Description]="","",Table1[[#This Row],[h_hargasebelumdiskon]]-Table1[[#This Row],[h_diskon]])</f>
        <v/>
      </c>
      <c r="AD148" s="283" t="str">
        <f ca="1">IF(Table1[//]="","",SUMIF(Table1[h_id],Table1[h_id],Table1[h_hargasetelahdiskon]))</f>
        <v/>
      </c>
      <c r="AE148" s="283"/>
      <c r="AF148" s="283" t="str">
        <f>Table1[[#This Row],[Item Description]]&amp;Table1[[#This Row],[Unit]]&amp;Table1[[#This Row],[Unit Price]]</f>
        <v/>
      </c>
    </row>
    <row r="149" spans="1:32" x14ac:dyDescent="0.25">
      <c r="A149" s="287">
        <f ca="1">IF(Table1[[#This Row],[No. Invoice :]]="","",ROW())</f>
        <v>149</v>
      </c>
      <c r="B149" s="287">
        <f ca="1">IF(Table1[h_Kode Sales :_1]="","",B$1+COUNT(INDIRECT("B$2:B"&amp;ROW()-1)))</f>
        <v>23080037</v>
      </c>
      <c r="C149" s="281">
        <f>IF(Table1[[#This Row],[H_TGL]]="","",Table1[[#This Row],[H_TGL]]+C$1-1)</f>
        <v>45169</v>
      </c>
      <c r="D149" s="292">
        <v>31</v>
      </c>
      <c r="E149" s="280" t="s">
        <v>128</v>
      </c>
      <c r="F149" s="282" t="s">
        <v>355</v>
      </c>
      <c r="G149" s="280" t="s">
        <v>42</v>
      </c>
      <c r="H149" s="287" t="str">
        <f ca="1">IF(Table1[[#This Row],[h_No. Invoice :]]="","",CONCATENATE("AM"," ",Table1[[#This Row],[h_No. Invoice :]]))</f>
        <v>AM 23080037</v>
      </c>
      <c r="I149" s="288" t="str">
        <f>CONCATENATE(UPPER(Table1[[#This Row],[h_Kode Sales :_1]])," ",Table1[[#This Row],[h_Kode Sales :_2]])</f>
        <v>KO 3620</v>
      </c>
      <c r="J149" s="287" t="str">
        <f>IF(Table1[[#This Row],[h_toko]]="","",INDEX(Table2[e],IF(Table1[[#This Row],[h_toko]]="","",MATCH(Table1[[#This Row],[h_toko]],Table2[a],0)),))</f>
        <v>CV TRINITY CENTRAAL PURWOKERTO</v>
      </c>
      <c r="K149" s="280">
        <v>5</v>
      </c>
      <c r="L149" s="280" t="s">
        <v>203</v>
      </c>
      <c r="N149" s="280" t="s">
        <v>356</v>
      </c>
      <c r="O149" s="287" t="str">
        <f>IF(Table1[[#This Row],[h_Item Description]]="","",INDEX([1]!db[NB PAJAK],MATCH(Table1[[#This Row],[h_Item Description]],[1]!db[kode],0)))</f>
        <v>ISI PENSIL 2B 0.5 MM KENKO PL-05 HI-POLYMER</v>
      </c>
      <c r="P149" s="280" t="s">
        <v>326</v>
      </c>
      <c r="Q149" s="283">
        <v>180000</v>
      </c>
      <c r="R149" s="284">
        <v>0.125</v>
      </c>
      <c r="T149" s="283">
        <f>Table1[[#This Row],[h_hargasetelahdiskon]]</f>
        <v>787500</v>
      </c>
      <c r="U149" s="283" t="s">
        <v>133</v>
      </c>
      <c r="W149" s="287">
        <f ca="1">IF(Table1[[#This Row],[Item Description]]="","",IF(Table1[[#This Row],[//]]="",INDIRECT(ADDRESS(ROW()-1,COLUMN())),Table1[[#This Row],[//]]))</f>
        <v>149</v>
      </c>
      <c r="X149" s="287">
        <f ca="1">IF(Table1[[#This Row],[h_id]]="","",COUNTIF(Table1[h_id],Table1[[#This Row],[h_id]]))</f>
        <v>1</v>
      </c>
      <c r="Y149" s="283">
        <f>IF(Table1[Item Description]="","",Table1[[#This Row],[Qty]]*Table1[[#This Row],[Unit Price]])</f>
        <v>900000</v>
      </c>
      <c r="Z149" s="283">
        <f>IF(Table1[[#This Row],[h_hargasebelumdiskon]]="","",IF(Table1[[#This Row],[Disc 1]]="",0,Table1[[#This Row],[h_hargasebelumdiskon]]*Table1[[#This Row],[Disc 1]]))</f>
        <v>112500</v>
      </c>
      <c r="AA149" s="283">
        <f>IF(Table1[[#This Row],[h_hargasebelumdiskon]]="","",IF(Table1[[#This Row],[Disc 2]]="",0,(Table1[[#This Row],[h_hargasebelumdiskon]]-Table1[[#This Row],[h_disc 1]])*Table1[[#This Row],[Disc 2]]))</f>
        <v>0</v>
      </c>
      <c r="AB149" s="283">
        <f>IF(Table1[Item Description]="","",Table1[[#This Row],[h_disc 1]]+Table1[[#This Row],[h_disc 2]])</f>
        <v>112500</v>
      </c>
      <c r="AC149" s="283">
        <f>IF(Table1[Item Description]="","",Table1[[#This Row],[h_hargasebelumdiskon]]-Table1[[#This Row],[h_diskon]])</f>
        <v>787500</v>
      </c>
      <c r="AD149" s="283">
        <f ca="1">IF(Table1[//]="","",SUMIF(Table1[h_id],Table1[h_id],Table1[h_hargasetelahdiskon]))</f>
        <v>787500</v>
      </c>
      <c r="AE149" s="283"/>
      <c r="AF149" s="283" t="str">
        <f>Table1[[#This Row],[Item Description]]&amp;Table1[[#This Row],[Unit]]&amp;Table1[[#This Row],[Unit Price]]</f>
        <v>ISI PENSIL 2B 0.5 MM KENKO PL-05 HI-POLYMERGRS180000</v>
      </c>
    </row>
    <row r="150" spans="1:32" x14ac:dyDescent="0.25">
      <c r="A150" s="287" t="str">
        <f ca="1">IF(Table1[[#This Row],[No. Invoice :]]="","",ROW())</f>
        <v/>
      </c>
      <c r="B150" s="287" t="str">
        <f ca="1">IF(Table1[h_Kode Sales :_1]="","",B$1+COUNT(INDIRECT("B$2:B"&amp;ROW()-1)))</f>
        <v/>
      </c>
      <c r="C150" s="281" t="str">
        <f>IF(Table1[[#This Row],[H_TGL]]="","",Table1[[#This Row],[H_TGL]]+C$1-1)</f>
        <v/>
      </c>
      <c r="H150" s="287" t="str">
        <f ca="1">IF(Table1[[#This Row],[h_No. Invoice :]]="","",CONCATENATE("AM"," ",Table1[[#This Row],[h_No. Invoice :]]))</f>
        <v/>
      </c>
      <c r="I150" s="288" t="str">
        <f>CONCATENATE(UPPER(Table1[[#This Row],[h_Kode Sales :_1]])," ",Table1[[#This Row],[h_Kode Sales :_2]])</f>
        <v xml:space="preserve"> </v>
      </c>
      <c r="J150" s="287" t="str">
        <f>IF(Table1[[#This Row],[h_toko]]="","",INDEX(Table2[e],IF(Table1[[#This Row],[h_toko]]="","",MATCH(Table1[[#This Row],[h_toko]],Table2[a],0)),))</f>
        <v/>
      </c>
      <c r="O150" s="287" t="str">
        <f>IF(Table1[[#This Row],[h_Item Description]]="","",INDEX([1]!db[NB PAJAK],MATCH(Table1[[#This Row],[h_Item Description]],[1]!db[kode],0)))</f>
        <v/>
      </c>
      <c r="Q150" s="283"/>
      <c r="R150" s="284"/>
      <c r="T150" s="283" t="str">
        <f>Table1[[#This Row],[h_hargasetelahdiskon]]</f>
        <v/>
      </c>
      <c r="W150" s="287" t="str">
        <f ca="1">IF(Table1[[#This Row],[Item Description]]="","",IF(Table1[[#This Row],[//]]="",INDIRECT(ADDRESS(ROW()-1,COLUMN())),Table1[[#This Row],[//]]))</f>
        <v/>
      </c>
      <c r="X150" s="287" t="str">
        <f ca="1">IF(Table1[[#This Row],[h_id]]="","",COUNTIF(Table1[h_id],Table1[[#This Row],[h_id]]))</f>
        <v/>
      </c>
      <c r="Y150" s="283" t="str">
        <f>IF(Table1[Item Description]="","",Table1[[#This Row],[Qty]]*Table1[[#This Row],[Unit Price]])</f>
        <v/>
      </c>
      <c r="Z150" s="283" t="str">
        <f>IF(Table1[[#This Row],[h_hargasebelumdiskon]]="","",IF(Table1[[#This Row],[Disc 1]]="",0,Table1[[#This Row],[h_hargasebelumdiskon]]*Table1[[#This Row],[Disc 1]]))</f>
        <v/>
      </c>
      <c r="AA150" s="283" t="str">
        <f>IF(Table1[[#This Row],[h_hargasebelumdiskon]]="","",IF(Table1[[#This Row],[Disc 2]]="",0,(Table1[[#This Row],[h_hargasebelumdiskon]]-Table1[[#This Row],[h_disc 1]])*Table1[[#This Row],[Disc 2]]))</f>
        <v/>
      </c>
      <c r="AB150" s="283" t="str">
        <f>IF(Table1[Item Description]="","",Table1[[#This Row],[h_disc 1]]+Table1[[#This Row],[h_disc 2]])</f>
        <v/>
      </c>
      <c r="AC150" s="283" t="str">
        <f>IF(Table1[Item Description]="","",Table1[[#This Row],[h_hargasebelumdiskon]]-Table1[[#This Row],[h_diskon]])</f>
        <v/>
      </c>
      <c r="AD150" s="283" t="str">
        <f ca="1">IF(Table1[//]="","",SUMIF(Table1[h_id],Table1[h_id],Table1[h_hargasetelahdiskon]))</f>
        <v/>
      </c>
      <c r="AE150" s="283"/>
      <c r="AF150" s="283" t="str">
        <f>Table1[[#This Row],[Item Description]]&amp;Table1[[#This Row],[Unit]]&amp;Table1[[#This Row],[Unit Price]]</f>
        <v/>
      </c>
    </row>
    <row r="151" spans="1:32" x14ac:dyDescent="0.25">
      <c r="A151" s="287">
        <f ca="1">IF(Table1[[#This Row],[No. Invoice :]]="","",ROW())</f>
        <v>151</v>
      </c>
      <c r="B151" s="287">
        <f ca="1">IF(Table1[h_Kode Sales :_1]="","",B$1+COUNT(INDIRECT("B$2:B"&amp;ROW()-1)))</f>
        <v>23080038</v>
      </c>
      <c r="C151" s="281">
        <f>IF(Table1[[#This Row],[H_TGL]]="","",Table1[[#This Row],[H_TGL]]+C$1-1)</f>
        <v>45169</v>
      </c>
      <c r="D151" s="292">
        <v>31</v>
      </c>
      <c r="E151" s="280" t="s">
        <v>128</v>
      </c>
      <c r="F151" s="282" t="s">
        <v>357</v>
      </c>
      <c r="G151" s="280" t="s">
        <v>91</v>
      </c>
      <c r="H151" s="287" t="str">
        <f ca="1">IF(Table1[[#This Row],[h_No. Invoice :]]="","",CONCATENATE("AM"," ",Table1[[#This Row],[h_No. Invoice :]]))</f>
        <v>AM 23080038</v>
      </c>
      <c r="I151" s="288" t="str">
        <f>CONCATENATE(UPPER(Table1[[#This Row],[h_Kode Sales :_1]])," ",Table1[[#This Row],[h_Kode Sales :_2]])</f>
        <v>KO 3046</v>
      </c>
      <c r="J151" s="287" t="str">
        <f>IF(Table1[[#This Row],[h_toko]]="","",INDEX(Table2[e],IF(Table1[[#This Row],[h_toko]]="","",MATCH(Table1[[#This Row],[h_toko]],Table2[a],0)),))</f>
        <v>CV  WISUDA PURWOKERTO</v>
      </c>
      <c r="K151" s="280">
        <v>10</v>
      </c>
      <c r="L151" s="280" t="s">
        <v>143</v>
      </c>
      <c r="N151" s="280" t="s">
        <v>249</v>
      </c>
      <c r="O151" s="287" t="str">
        <f>IF(Table1[[#This Row],[h_Item Description]]="","",INDEX([1]!db[NB PAJAK],MATCH(Table1[[#This Row],[h_Item Description]],[1]!db[kode],0)))</f>
        <v>PUSH PIN KENKO PN-30 WARNA</v>
      </c>
      <c r="P151" s="280" t="s">
        <v>256</v>
      </c>
      <c r="Q151" s="283">
        <v>33000</v>
      </c>
      <c r="R151" s="284">
        <v>0.1</v>
      </c>
      <c r="T151" s="283">
        <f>Table1[[#This Row],[h_hargasetelahdiskon]]</f>
        <v>297000</v>
      </c>
      <c r="U151" s="283" t="s">
        <v>133</v>
      </c>
      <c r="W151" s="287">
        <f ca="1">IF(Table1[[#This Row],[Item Description]]="","",IF(Table1[[#This Row],[//]]="",INDIRECT(ADDRESS(ROW()-1,COLUMN())),Table1[[#This Row],[//]]))</f>
        <v>151</v>
      </c>
      <c r="X151" s="287">
        <f ca="1">IF(Table1[[#This Row],[h_id]]="","",COUNTIF(Table1[h_id],Table1[[#This Row],[h_id]]))</f>
        <v>1</v>
      </c>
      <c r="Y151" s="283">
        <f>IF(Table1[Item Description]="","",Table1[[#This Row],[Qty]]*Table1[[#This Row],[Unit Price]])</f>
        <v>330000</v>
      </c>
      <c r="Z151" s="283">
        <f>IF(Table1[[#This Row],[h_hargasebelumdiskon]]="","",IF(Table1[[#This Row],[Disc 1]]="",0,Table1[[#This Row],[h_hargasebelumdiskon]]*Table1[[#This Row],[Disc 1]]))</f>
        <v>33000</v>
      </c>
      <c r="AA151" s="283">
        <f>IF(Table1[[#This Row],[h_hargasebelumdiskon]]="","",IF(Table1[[#This Row],[Disc 2]]="",0,(Table1[[#This Row],[h_hargasebelumdiskon]]-Table1[[#This Row],[h_disc 1]])*Table1[[#This Row],[Disc 2]]))</f>
        <v>0</v>
      </c>
      <c r="AB151" s="283">
        <f>IF(Table1[Item Description]="","",Table1[[#This Row],[h_disc 1]]+Table1[[#This Row],[h_disc 2]])</f>
        <v>33000</v>
      </c>
      <c r="AC151" s="283">
        <f>IF(Table1[Item Description]="","",Table1[[#This Row],[h_hargasebelumdiskon]]-Table1[[#This Row],[h_diskon]])</f>
        <v>297000</v>
      </c>
      <c r="AD151" s="283">
        <f ca="1">IF(Table1[//]="","",SUMIF(Table1[h_id],Table1[h_id],Table1[h_hargasetelahdiskon]))</f>
        <v>297000</v>
      </c>
      <c r="AE151" s="283"/>
      <c r="AF151" s="283" t="str">
        <f>Table1[[#This Row],[Item Description]]&amp;Table1[[#This Row],[Unit]]&amp;Table1[[#This Row],[Unit Price]]</f>
        <v>PUSH PIN KENKO PN-30LSN33000</v>
      </c>
    </row>
    <row r="152" spans="1:32" x14ac:dyDescent="0.25">
      <c r="A152" s="287" t="str">
        <f ca="1">IF(Table1[[#This Row],[No. Invoice :]]="","",ROW())</f>
        <v/>
      </c>
      <c r="B152" s="287" t="str">
        <f ca="1">IF(Table1[h_Kode Sales :_1]="","",B$1+COUNT(INDIRECT("B$2:B"&amp;ROW()-1)))</f>
        <v/>
      </c>
      <c r="C152" s="281" t="str">
        <f>IF(Table1[[#This Row],[H_TGL]]="","",Table1[[#This Row],[H_TGL]]+C$1-1)</f>
        <v/>
      </c>
      <c r="H152" s="287" t="str">
        <f ca="1">IF(Table1[[#This Row],[h_No. Invoice :]]="","",CONCATENATE("AM"," ",Table1[[#This Row],[h_No. Invoice :]]))</f>
        <v/>
      </c>
      <c r="I152" s="288" t="str">
        <f>CONCATENATE(UPPER(Table1[[#This Row],[h_Kode Sales :_1]])," ",Table1[[#This Row],[h_Kode Sales :_2]])</f>
        <v xml:space="preserve"> </v>
      </c>
      <c r="J152" s="287" t="str">
        <f>IF(Table1[[#This Row],[h_toko]]="","",INDEX(Table2[e],IF(Table1[[#This Row],[h_toko]]="","",MATCH(Table1[[#This Row],[h_toko]],Table2[a],0)),))</f>
        <v/>
      </c>
      <c r="O152" s="287" t="str">
        <f>IF(Table1[[#This Row],[h_Item Description]]="","",INDEX([1]!db[NB PAJAK],MATCH(Table1[[#This Row],[h_Item Description]],[1]!db[kode],0)))</f>
        <v/>
      </c>
      <c r="Q152" s="283"/>
      <c r="R152" s="284"/>
      <c r="T152" s="283" t="str">
        <f>Table1[[#This Row],[h_hargasetelahdiskon]]</f>
        <v/>
      </c>
      <c r="W152" s="287" t="str">
        <f ca="1">IF(Table1[[#This Row],[Item Description]]="","",IF(Table1[[#This Row],[//]]="",INDIRECT(ADDRESS(ROW()-1,COLUMN())),Table1[[#This Row],[//]]))</f>
        <v/>
      </c>
      <c r="X152" s="287" t="str">
        <f ca="1">IF(Table1[[#This Row],[h_id]]="","",COUNTIF(Table1[h_id],Table1[[#This Row],[h_id]]))</f>
        <v/>
      </c>
      <c r="Y152" s="283" t="str">
        <f>IF(Table1[Item Description]="","",Table1[[#This Row],[Qty]]*Table1[[#This Row],[Unit Price]])</f>
        <v/>
      </c>
      <c r="Z152" s="283" t="str">
        <f>IF(Table1[[#This Row],[h_hargasebelumdiskon]]="","",IF(Table1[[#This Row],[Disc 1]]="",0,Table1[[#This Row],[h_hargasebelumdiskon]]*Table1[[#This Row],[Disc 1]]))</f>
        <v/>
      </c>
      <c r="AA152" s="283" t="str">
        <f>IF(Table1[[#This Row],[h_hargasebelumdiskon]]="","",IF(Table1[[#This Row],[Disc 2]]="",0,(Table1[[#This Row],[h_hargasebelumdiskon]]-Table1[[#This Row],[h_disc 1]])*Table1[[#This Row],[Disc 2]]))</f>
        <v/>
      </c>
      <c r="AB152" s="283" t="str">
        <f>IF(Table1[Item Description]="","",Table1[[#This Row],[h_disc 1]]+Table1[[#This Row],[h_disc 2]])</f>
        <v/>
      </c>
      <c r="AC152" s="283" t="str">
        <f>IF(Table1[Item Description]="","",Table1[[#This Row],[h_hargasebelumdiskon]]-Table1[[#This Row],[h_diskon]])</f>
        <v/>
      </c>
      <c r="AD152" s="283" t="str">
        <f ca="1">IF(Table1[//]="","",SUMIF(Table1[h_id],Table1[h_id],Table1[h_hargasetelahdiskon]))</f>
        <v/>
      </c>
      <c r="AE152" s="283"/>
      <c r="AF152" s="283" t="str">
        <f>Table1[[#This Row],[Item Description]]&amp;Table1[[#This Row],[Unit]]&amp;Table1[[#This Row],[Unit Price]]</f>
        <v/>
      </c>
    </row>
    <row r="153" spans="1:32" x14ac:dyDescent="0.25">
      <c r="A153" s="287">
        <f ca="1">IF(Table1[[#This Row],[No. Invoice :]]="","",ROW())</f>
        <v>153</v>
      </c>
      <c r="B153" s="287">
        <f ca="1">IF(Table1[h_Kode Sales :_1]="","",B$1+COUNT(INDIRECT("B$2:B"&amp;ROW()-1)))</f>
        <v>23080039</v>
      </c>
      <c r="C153" s="281">
        <f>IF(Table1[[#This Row],[H_TGL]]="","",Table1[[#This Row],[H_TGL]]+C$1-1)</f>
        <v>45169</v>
      </c>
      <c r="D153" s="292">
        <v>31</v>
      </c>
      <c r="E153" s="280" t="s">
        <v>128</v>
      </c>
      <c r="F153" s="282" t="s">
        <v>358</v>
      </c>
      <c r="G153" s="280" t="s">
        <v>87</v>
      </c>
      <c r="H153" s="287" t="str">
        <f ca="1">IF(Table1[[#This Row],[h_No. Invoice :]]="","",CONCATENATE("AM"," ",Table1[[#This Row],[h_No. Invoice :]]))</f>
        <v>AM 23080039</v>
      </c>
      <c r="I153" s="288" t="str">
        <f>CONCATENATE(UPPER(Table1[[#This Row],[h_Kode Sales :_1]])," ",Table1[[#This Row],[h_Kode Sales :_2]])</f>
        <v>KO 1990</v>
      </c>
      <c r="J153" s="287" t="str">
        <f>IF(Table1[[#This Row],[h_toko]]="","",INDEX(Table2[e],IF(Table1[[#This Row],[h_toko]]="","",MATCH(Table1[[#This Row],[h_toko]],Table2[a],0)),))</f>
        <v>SANTOSO BUDIONO (  ARMADA  ) PURWOKERTO</v>
      </c>
      <c r="K153" s="280">
        <v>56</v>
      </c>
      <c r="L153" s="280" t="s">
        <v>143</v>
      </c>
      <c r="N153" s="280" t="s">
        <v>342</v>
      </c>
      <c r="O153" s="287" t="str">
        <f>IF(Table1[[#This Row],[h_Item Description]]="","",INDEX([1]!db[NB PAJAK],MATCH(Table1[[#This Row],[h_Item Description]],[1]!db[kode],0)))</f>
        <v>ISI CUTTER 18 MM KENKO L-150 (BESAR)</v>
      </c>
      <c r="P153" s="280" t="s">
        <v>311</v>
      </c>
      <c r="Q153" s="283">
        <v>64800</v>
      </c>
      <c r="R153" s="284">
        <v>0.13</v>
      </c>
      <c r="T153" s="283">
        <f>Table1[[#This Row],[h_hargasetelahdiskon]]</f>
        <v>3157056</v>
      </c>
      <c r="U153" s="283" t="s">
        <v>133</v>
      </c>
      <c r="W153" s="287">
        <f ca="1">IF(Table1[[#This Row],[Item Description]]="","",IF(Table1[[#This Row],[//]]="",INDIRECT(ADDRESS(ROW()-1,COLUMN())),Table1[[#This Row],[//]]))</f>
        <v>153</v>
      </c>
      <c r="X153" s="287">
        <f ca="1">IF(Table1[[#This Row],[h_id]]="","",COUNTIF(Table1[h_id],Table1[[#This Row],[h_id]]))</f>
        <v>1</v>
      </c>
      <c r="Y153" s="283">
        <f>IF(Table1[Item Description]="","",Table1[[#This Row],[Qty]]*Table1[[#This Row],[Unit Price]])</f>
        <v>3628800</v>
      </c>
      <c r="Z153" s="283">
        <f>IF(Table1[[#This Row],[h_hargasebelumdiskon]]="","",IF(Table1[[#This Row],[Disc 1]]="",0,Table1[[#This Row],[h_hargasebelumdiskon]]*Table1[[#This Row],[Disc 1]]))</f>
        <v>471744</v>
      </c>
      <c r="AA153" s="283">
        <f>IF(Table1[[#This Row],[h_hargasebelumdiskon]]="","",IF(Table1[[#This Row],[Disc 2]]="",0,(Table1[[#This Row],[h_hargasebelumdiskon]]-Table1[[#This Row],[h_disc 1]])*Table1[[#This Row],[Disc 2]]))</f>
        <v>0</v>
      </c>
      <c r="AB153" s="283">
        <f>IF(Table1[Item Description]="","",Table1[[#This Row],[h_disc 1]]+Table1[[#This Row],[h_disc 2]])</f>
        <v>471744</v>
      </c>
      <c r="AC153" s="283">
        <f>IF(Table1[Item Description]="","",Table1[[#This Row],[h_hargasebelumdiskon]]-Table1[[#This Row],[h_diskon]])</f>
        <v>3157056</v>
      </c>
      <c r="AD153" s="283">
        <f ca="1">IF(Table1[//]="","",SUMIF(Table1[h_id],Table1[h_id],Table1[h_hargasetelahdiskon]))</f>
        <v>3157056</v>
      </c>
      <c r="AE153" s="283"/>
      <c r="AF153" s="283" t="str">
        <f>Table1[[#This Row],[Item Description]]&amp;Table1[[#This Row],[Unit]]&amp;Table1[[#This Row],[Unit Price]]</f>
        <v>ISI CUTTER 18 MM KENKO L-150 (BESAR)LSN64800</v>
      </c>
    </row>
    <row r="154" spans="1:32" x14ac:dyDescent="0.25">
      <c r="A154" s="287" t="str">
        <f ca="1">IF(Table1[[#This Row],[No. Invoice :]]="","",ROW())</f>
        <v/>
      </c>
      <c r="B154" s="287" t="str">
        <f ca="1">IF(Table1[h_Kode Sales :_1]="","",B$1+COUNT(INDIRECT("B$2:B"&amp;ROW()-1)))</f>
        <v/>
      </c>
      <c r="C154" s="281" t="str">
        <f>IF(Table1[[#This Row],[H_TGL]]="","",Table1[[#This Row],[H_TGL]]+C$1-1)</f>
        <v/>
      </c>
      <c r="H154" s="287" t="str">
        <f ca="1">IF(Table1[[#This Row],[h_No. Invoice :]]="","",CONCATENATE("AM"," ",Table1[[#This Row],[h_No. Invoice :]]))</f>
        <v/>
      </c>
      <c r="I154" s="288" t="str">
        <f>CONCATENATE(UPPER(Table1[[#This Row],[h_Kode Sales :_1]])," ",Table1[[#This Row],[h_Kode Sales :_2]])</f>
        <v xml:space="preserve"> </v>
      </c>
      <c r="J154" s="287" t="str">
        <f>IF(Table1[[#This Row],[h_toko]]="","",INDEX(Table2[e],IF(Table1[[#This Row],[h_toko]]="","",MATCH(Table1[[#This Row],[h_toko]],Table2[a],0)),))</f>
        <v/>
      </c>
      <c r="O154" s="287" t="str">
        <f>IF(Table1[[#This Row],[h_Item Description]]="","",INDEX([1]!db[NB PAJAK],MATCH(Table1[[#This Row],[h_Item Description]],[1]!db[kode],0)))</f>
        <v/>
      </c>
      <c r="Q154" s="283"/>
      <c r="R154" s="284"/>
      <c r="T154" s="283" t="str">
        <f>Table1[[#This Row],[h_hargasetelahdiskon]]</f>
        <v/>
      </c>
      <c r="W154" s="287" t="str">
        <f ca="1">IF(Table1[[#This Row],[Item Description]]="","",IF(Table1[[#This Row],[//]]="",INDIRECT(ADDRESS(ROW()-1,COLUMN())),Table1[[#This Row],[//]]))</f>
        <v/>
      </c>
      <c r="X154" s="287" t="str">
        <f ca="1">IF(Table1[[#This Row],[h_id]]="","",COUNTIF(Table1[h_id],Table1[[#This Row],[h_id]]))</f>
        <v/>
      </c>
      <c r="Y154" s="283" t="str">
        <f>IF(Table1[Item Description]="","",Table1[[#This Row],[Qty]]*Table1[[#This Row],[Unit Price]])</f>
        <v/>
      </c>
      <c r="Z154" s="283" t="str">
        <f>IF(Table1[[#This Row],[h_hargasebelumdiskon]]="","",IF(Table1[[#This Row],[Disc 1]]="",0,Table1[[#This Row],[h_hargasebelumdiskon]]*Table1[[#This Row],[Disc 1]]))</f>
        <v/>
      </c>
      <c r="AA154" s="283" t="str">
        <f>IF(Table1[[#This Row],[h_hargasebelumdiskon]]="","",IF(Table1[[#This Row],[Disc 2]]="",0,(Table1[[#This Row],[h_hargasebelumdiskon]]-Table1[[#This Row],[h_disc 1]])*Table1[[#This Row],[Disc 2]]))</f>
        <v/>
      </c>
      <c r="AB154" s="283" t="str">
        <f>IF(Table1[Item Description]="","",Table1[[#This Row],[h_disc 1]]+Table1[[#This Row],[h_disc 2]])</f>
        <v/>
      </c>
      <c r="AC154" s="283" t="str">
        <f>IF(Table1[Item Description]="","",Table1[[#This Row],[h_hargasebelumdiskon]]-Table1[[#This Row],[h_diskon]])</f>
        <v/>
      </c>
      <c r="AD154" s="283" t="str">
        <f ca="1">IF(Table1[//]="","",SUMIF(Table1[h_id],Table1[h_id],Table1[h_hargasetelahdiskon]))</f>
        <v/>
      </c>
      <c r="AE154" s="283"/>
      <c r="AF154" s="283" t="str">
        <f>Table1[[#This Row],[Item Description]]&amp;Table1[[#This Row],[Unit]]&amp;Table1[[#This Row],[Unit Price]]</f>
        <v/>
      </c>
    </row>
    <row r="155" spans="1:32" x14ac:dyDescent="0.25">
      <c r="A155" s="287" t="str">
        <f ca="1">IF(Table1[[#This Row],[No. Invoice :]]="","",ROW())</f>
        <v/>
      </c>
      <c r="B155" s="287" t="str">
        <f ca="1">IF(Table1[h_Kode Sales :_1]="","",B$1+COUNT(INDIRECT("B$2:B"&amp;ROW()-1)))</f>
        <v/>
      </c>
      <c r="C155" s="281" t="str">
        <f>IF(Table1[[#This Row],[H_TGL]]="","",Table1[[#This Row],[H_TGL]]+C$1-1)</f>
        <v/>
      </c>
      <c r="H155" s="287" t="str">
        <f ca="1">IF(Table1[[#This Row],[h_No. Invoice :]]="","",CONCATENATE("AM"," ",Table1[[#This Row],[h_No. Invoice :]]))</f>
        <v/>
      </c>
      <c r="I155" s="288" t="str">
        <f>CONCATENATE(UPPER(Table1[[#This Row],[h_Kode Sales :_1]])," ",Table1[[#This Row],[h_Kode Sales :_2]])</f>
        <v xml:space="preserve"> </v>
      </c>
      <c r="J155" s="287" t="str">
        <f>IF(Table1[[#This Row],[h_toko]]="","",INDEX(Table2[e],IF(Table1[[#This Row],[h_toko]]="","",MATCH(Table1[[#This Row],[h_toko]],Table2[a],0)),))</f>
        <v/>
      </c>
      <c r="O155" s="287" t="str">
        <f>IF(Table1[[#This Row],[h_Item Description]]="","",INDEX([1]!db[NB PAJAK],MATCH(Table1[[#This Row],[h_Item Description]],[1]!db[kode],0)))</f>
        <v/>
      </c>
      <c r="Q155" s="283"/>
      <c r="R155" s="284"/>
      <c r="T155" s="283" t="str">
        <f>Table1[[#This Row],[h_hargasetelahdiskon]]</f>
        <v/>
      </c>
      <c r="W155" s="287" t="str">
        <f ca="1">IF(Table1[[#This Row],[Item Description]]="","",IF(Table1[[#This Row],[//]]="",INDIRECT(ADDRESS(ROW()-1,COLUMN())),Table1[[#This Row],[//]]))</f>
        <v/>
      </c>
      <c r="X155" s="287" t="str">
        <f ca="1">IF(Table1[[#This Row],[h_id]]="","",COUNTIF(Table1[h_id],Table1[[#This Row],[h_id]]))</f>
        <v/>
      </c>
      <c r="Y155" s="283" t="str">
        <f>IF(Table1[Item Description]="","",Table1[[#This Row],[Qty]]*Table1[[#This Row],[Unit Price]])</f>
        <v/>
      </c>
      <c r="Z155" s="283" t="str">
        <f>IF(Table1[[#This Row],[h_hargasebelumdiskon]]="","",IF(Table1[[#This Row],[Disc 1]]="",0,Table1[[#This Row],[h_hargasebelumdiskon]]*Table1[[#This Row],[Disc 1]]))</f>
        <v/>
      </c>
      <c r="AA155" s="283" t="str">
        <f>IF(Table1[[#This Row],[h_hargasebelumdiskon]]="","",IF(Table1[[#This Row],[Disc 2]]="",0,(Table1[[#This Row],[h_hargasebelumdiskon]]-Table1[[#This Row],[h_disc 1]])*Table1[[#This Row],[Disc 2]]))</f>
        <v/>
      </c>
      <c r="AB155" s="283" t="str">
        <f>IF(Table1[Item Description]="","",Table1[[#This Row],[h_disc 1]]+Table1[[#This Row],[h_disc 2]])</f>
        <v/>
      </c>
      <c r="AC155" s="283" t="str">
        <f>IF(Table1[Item Description]="","",Table1[[#This Row],[h_hargasebelumdiskon]]-Table1[[#This Row],[h_diskon]])</f>
        <v/>
      </c>
      <c r="AD155" s="283" t="str">
        <f ca="1">IF(Table1[//]="","",SUMIF(Table1[h_id],Table1[h_id],Table1[h_hargasetelahdiskon]))</f>
        <v/>
      </c>
      <c r="AE155" s="283"/>
      <c r="AF155" s="283" t="str">
        <f>Table1[[#This Row],[Item Description]]&amp;Table1[[#This Row],[Unit]]&amp;Table1[[#This Row],[Unit Price]]</f>
        <v/>
      </c>
    </row>
    <row r="156" spans="1:32" x14ac:dyDescent="0.25">
      <c r="A156" s="287" t="str">
        <f ca="1">IF(Table1[[#This Row],[No. Invoice :]]="","",ROW())</f>
        <v/>
      </c>
      <c r="B156" s="287" t="str">
        <f ca="1">IF(Table1[h_Kode Sales :_1]="","",B$1+COUNT(INDIRECT("B$2:B"&amp;ROW()-1)))</f>
        <v/>
      </c>
      <c r="C156" s="281" t="str">
        <f>IF(Table1[[#This Row],[H_TGL]]="","",Table1[[#This Row],[H_TGL]]+C$1-1)</f>
        <v/>
      </c>
      <c r="H156" s="287" t="str">
        <f ca="1">IF(Table1[[#This Row],[h_No. Invoice :]]="","",CONCATENATE("AM"," ",Table1[[#This Row],[h_No. Invoice :]]))</f>
        <v/>
      </c>
      <c r="I156" s="288" t="str">
        <f>CONCATENATE(UPPER(Table1[[#This Row],[h_Kode Sales :_1]])," ",Table1[[#This Row],[h_Kode Sales :_2]])</f>
        <v xml:space="preserve"> </v>
      </c>
      <c r="J156" s="287" t="str">
        <f>IF(Table1[[#This Row],[h_toko]]="","",INDEX(Table2[e],IF(Table1[[#This Row],[h_toko]]="","",MATCH(Table1[[#This Row],[h_toko]],Table2[a],0)),))</f>
        <v/>
      </c>
      <c r="O156" s="287" t="str">
        <f>IF(Table1[[#This Row],[h_Item Description]]="","",INDEX([1]!db[NB PAJAK],MATCH(Table1[[#This Row],[h_Item Description]],[1]!db[kode],0)))</f>
        <v/>
      </c>
      <c r="Q156" s="283"/>
      <c r="R156" s="284"/>
      <c r="T156" s="283" t="str">
        <f>Table1[[#This Row],[h_hargasetelahdiskon]]</f>
        <v/>
      </c>
      <c r="W156" s="287" t="str">
        <f ca="1">IF(Table1[[#This Row],[Item Description]]="","",IF(Table1[[#This Row],[//]]="",INDIRECT(ADDRESS(ROW()-1,COLUMN())),Table1[[#This Row],[//]]))</f>
        <v/>
      </c>
      <c r="X156" s="287" t="str">
        <f ca="1">IF(Table1[[#This Row],[h_id]]="","",COUNTIF(Table1[h_id],Table1[[#This Row],[h_id]]))</f>
        <v/>
      </c>
      <c r="Y156" s="283" t="str">
        <f>IF(Table1[Item Description]="","",Table1[[#This Row],[Qty]]*Table1[[#This Row],[Unit Price]])</f>
        <v/>
      </c>
      <c r="Z156" s="283" t="str">
        <f>IF(Table1[[#This Row],[h_hargasebelumdiskon]]="","",IF(Table1[[#This Row],[Disc 1]]="",0,Table1[[#This Row],[h_hargasebelumdiskon]]*Table1[[#This Row],[Disc 1]]))</f>
        <v/>
      </c>
      <c r="AA156" s="283" t="str">
        <f>IF(Table1[[#This Row],[h_hargasebelumdiskon]]="","",IF(Table1[[#This Row],[Disc 2]]="",0,(Table1[[#This Row],[h_hargasebelumdiskon]]-Table1[[#This Row],[h_disc 1]])*Table1[[#This Row],[Disc 2]]))</f>
        <v/>
      </c>
      <c r="AB156" s="283" t="str">
        <f>IF(Table1[Item Description]="","",Table1[[#This Row],[h_disc 1]]+Table1[[#This Row],[h_disc 2]])</f>
        <v/>
      </c>
      <c r="AC156" s="283" t="str">
        <f>IF(Table1[Item Description]="","",Table1[[#This Row],[h_hargasebelumdiskon]]-Table1[[#This Row],[h_diskon]])</f>
        <v/>
      </c>
      <c r="AD156" s="283" t="str">
        <f ca="1">IF(Table1[//]="","",SUMIF(Table1[h_id],Table1[h_id],Table1[h_hargasetelahdiskon]))</f>
        <v/>
      </c>
      <c r="AE156" s="283"/>
      <c r="AF156" s="283" t="str">
        <f>Table1[[#This Row],[Item Description]]&amp;Table1[[#This Row],[Unit]]&amp;Table1[[#This Row],[Unit Price]]</f>
        <v/>
      </c>
    </row>
    <row r="157" spans="1:32" x14ac:dyDescent="0.25">
      <c r="A157" s="287" t="str">
        <f ca="1">IF(Table1[[#This Row],[No. Invoice :]]="","",ROW())</f>
        <v/>
      </c>
      <c r="B157" s="287" t="str">
        <f ca="1">IF(Table1[h_Kode Sales :_1]="","",B$1+COUNT(INDIRECT("B$2:B"&amp;ROW()-1)))</f>
        <v/>
      </c>
      <c r="C157" s="281" t="str">
        <f>IF(Table1[[#This Row],[H_TGL]]="","",Table1[[#This Row],[H_TGL]]+C$1-1)</f>
        <v/>
      </c>
      <c r="H157" s="287" t="str">
        <f ca="1">IF(Table1[[#This Row],[h_No. Invoice :]]="","",CONCATENATE("AM"," ",Table1[[#This Row],[h_No. Invoice :]]))</f>
        <v/>
      </c>
      <c r="I157" s="288" t="str">
        <f>CONCATENATE(UPPER(Table1[[#This Row],[h_Kode Sales :_1]])," ",Table1[[#This Row],[h_Kode Sales :_2]])</f>
        <v xml:space="preserve"> </v>
      </c>
      <c r="J157" s="287" t="str">
        <f>IF(Table1[[#This Row],[h_toko]]="","",INDEX(Table2[e],IF(Table1[[#This Row],[h_toko]]="","",MATCH(Table1[[#This Row],[h_toko]],Table2[a],0)),))</f>
        <v/>
      </c>
      <c r="O157" s="287" t="str">
        <f>IF(Table1[[#This Row],[h_Item Description]]="","",INDEX([1]!db[NB PAJAK],MATCH(Table1[[#This Row],[h_Item Description]],[1]!db[kode],0)))</f>
        <v/>
      </c>
      <c r="Q157" s="283"/>
      <c r="R157" s="284"/>
      <c r="T157" s="283" t="str">
        <f>Table1[[#This Row],[h_hargasetelahdiskon]]</f>
        <v/>
      </c>
      <c r="W157" s="287" t="str">
        <f ca="1">IF(Table1[[#This Row],[Item Description]]="","",IF(Table1[[#This Row],[//]]="",INDIRECT(ADDRESS(ROW()-1,COLUMN())),Table1[[#This Row],[//]]))</f>
        <v/>
      </c>
      <c r="X157" s="287" t="str">
        <f ca="1">IF(Table1[[#This Row],[h_id]]="","",COUNTIF(Table1[h_id],Table1[[#This Row],[h_id]]))</f>
        <v/>
      </c>
      <c r="Y157" s="283" t="str">
        <f>IF(Table1[Item Description]="","",Table1[[#This Row],[Qty]]*Table1[[#This Row],[Unit Price]])</f>
        <v/>
      </c>
      <c r="Z157" s="283" t="str">
        <f>IF(Table1[[#This Row],[h_hargasebelumdiskon]]="","",IF(Table1[[#This Row],[Disc 1]]="",0,Table1[[#This Row],[h_hargasebelumdiskon]]*Table1[[#This Row],[Disc 1]]))</f>
        <v/>
      </c>
      <c r="AA157" s="283" t="str">
        <f>IF(Table1[[#This Row],[h_hargasebelumdiskon]]="","",IF(Table1[[#This Row],[Disc 2]]="",0,(Table1[[#This Row],[h_hargasebelumdiskon]]-Table1[[#This Row],[h_disc 1]])*Table1[[#This Row],[Disc 2]]))</f>
        <v/>
      </c>
      <c r="AB157" s="283" t="str">
        <f>IF(Table1[Item Description]="","",Table1[[#This Row],[h_disc 1]]+Table1[[#This Row],[h_disc 2]])</f>
        <v/>
      </c>
      <c r="AC157" s="283" t="str">
        <f>IF(Table1[Item Description]="","",Table1[[#This Row],[h_hargasebelumdiskon]]-Table1[[#This Row],[h_diskon]])</f>
        <v/>
      </c>
      <c r="AD157" s="283" t="str">
        <f ca="1">IF(Table1[//]="","",SUMIF(Table1[h_id],Table1[h_id],Table1[h_hargasetelahdiskon]))</f>
        <v/>
      </c>
      <c r="AE157" s="283"/>
      <c r="AF157" s="283" t="str">
        <f>Table1[[#This Row],[Item Description]]&amp;Table1[[#This Row],[Unit]]&amp;Table1[[#This Row],[Unit Price]]</f>
        <v/>
      </c>
    </row>
    <row r="158" spans="1:32" x14ac:dyDescent="0.25">
      <c r="A158" s="287" t="str">
        <f ca="1">IF(Table1[[#This Row],[No. Invoice :]]="","",ROW())</f>
        <v/>
      </c>
      <c r="B158" s="287" t="str">
        <f ca="1">IF(Table1[h_Kode Sales :_1]="","",B$1+COUNT(INDIRECT("B$2:B"&amp;ROW()-1)))</f>
        <v/>
      </c>
      <c r="C158" s="281" t="str">
        <f>IF(Table1[[#This Row],[H_TGL]]="","",Table1[[#This Row],[H_TGL]]+C$1-1)</f>
        <v/>
      </c>
      <c r="H158" s="287" t="str">
        <f ca="1">IF(Table1[[#This Row],[h_No. Invoice :]]="","",CONCATENATE("AM"," ",Table1[[#This Row],[h_No. Invoice :]]))</f>
        <v/>
      </c>
      <c r="I158" s="288" t="str">
        <f>CONCATENATE(UPPER(Table1[[#This Row],[h_Kode Sales :_1]])," ",Table1[[#This Row],[h_Kode Sales :_2]])</f>
        <v xml:space="preserve"> </v>
      </c>
      <c r="J158" s="287" t="str">
        <f>IF(Table1[[#This Row],[h_toko]]="","",INDEX(Table2[e],IF(Table1[[#This Row],[h_toko]]="","",MATCH(Table1[[#This Row],[h_toko]],Table2[a],0)),))</f>
        <v/>
      </c>
      <c r="O158" s="287" t="str">
        <f>IF(Table1[[#This Row],[h_Item Description]]="","",INDEX([1]!db[NB PAJAK],MATCH(Table1[[#This Row],[h_Item Description]],[1]!db[kode],0)))</f>
        <v/>
      </c>
      <c r="Q158" s="283"/>
      <c r="R158" s="284"/>
      <c r="T158" s="283" t="str">
        <f>Table1[[#This Row],[h_hargasetelahdiskon]]</f>
        <v/>
      </c>
      <c r="W158" s="287" t="str">
        <f ca="1">IF(Table1[[#This Row],[Item Description]]="","",IF(Table1[[#This Row],[//]]="",INDIRECT(ADDRESS(ROW()-1,COLUMN())),Table1[[#This Row],[//]]))</f>
        <v/>
      </c>
      <c r="X158" s="287" t="str">
        <f ca="1">IF(Table1[[#This Row],[h_id]]="","",COUNTIF(Table1[h_id],Table1[[#This Row],[h_id]]))</f>
        <v/>
      </c>
      <c r="Y158" s="283" t="str">
        <f>IF(Table1[Item Description]="","",Table1[[#This Row],[Qty]]*Table1[[#This Row],[Unit Price]])</f>
        <v/>
      </c>
      <c r="Z158" s="283" t="str">
        <f>IF(Table1[[#This Row],[h_hargasebelumdiskon]]="","",IF(Table1[[#This Row],[Disc 1]]="",0,Table1[[#This Row],[h_hargasebelumdiskon]]*Table1[[#This Row],[Disc 1]]))</f>
        <v/>
      </c>
      <c r="AA158" s="283" t="str">
        <f>IF(Table1[[#This Row],[h_hargasebelumdiskon]]="","",IF(Table1[[#This Row],[Disc 2]]="",0,(Table1[[#This Row],[h_hargasebelumdiskon]]-Table1[[#This Row],[h_disc 1]])*Table1[[#This Row],[Disc 2]]))</f>
        <v/>
      </c>
      <c r="AB158" s="283" t="str">
        <f>IF(Table1[Item Description]="","",Table1[[#This Row],[h_disc 1]]+Table1[[#This Row],[h_disc 2]])</f>
        <v/>
      </c>
      <c r="AC158" s="283" t="str">
        <f>IF(Table1[Item Description]="","",Table1[[#This Row],[h_hargasebelumdiskon]]-Table1[[#This Row],[h_diskon]])</f>
        <v/>
      </c>
      <c r="AD158" s="283" t="str">
        <f ca="1">IF(Table1[//]="","",SUMIF(Table1[h_id],Table1[h_id],Table1[h_hargasetelahdiskon]))</f>
        <v/>
      </c>
      <c r="AE158" s="283"/>
      <c r="AF158" s="283" t="str">
        <f>Table1[[#This Row],[Item Description]]&amp;Table1[[#This Row],[Unit]]&amp;Table1[[#This Row],[Unit Price]]</f>
        <v/>
      </c>
    </row>
    <row r="159" spans="1:32" x14ac:dyDescent="0.25">
      <c r="A159" s="287" t="str">
        <f ca="1">IF(Table1[[#This Row],[No. Invoice :]]="","",ROW())</f>
        <v/>
      </c>
      <c r="B159" s="287" t="str">
        <f ca="1">IF(Table1[h_Kode Sales :_1]="","",B$1+COUNT(INDIRECT("B$2:B"&amp;ROW()-1)))</f>
        <v/>
      </c>
      <c r="C159" s="281" t="str">
        <f>IF(Table1[[#This Row],[H_TGL]]="","",Table1[[#This Row],[H_TGL]]+C$1-1)</f>
        <v/>
      </c>
      <c r="H159" s="287" t="str">
        <f ca="1">IF(Table1[[#This Row],[h_No. Invoice :]]="","",CONCATENATE("AM"," ",Table1[[#This Row],[h_No. Invoice :]]))</f>
        <v/>
      </c>
      <c r="I159" s="288" t="str">
        <f>CONCATENATE(UPPER(Table1[[#This Row],[h_Kode Sales :_1]])," ",Table1[[#This Row],[h_Kode Sales :_2]])</f>
        <v xml:space="preserve"> </v>
      </c>
      <c r="J159" s="287" t="str">
        <f>IF(Table1[[#This Row],[h_toko]]="","",INDEX(Table2[e],IF(Table1[[#This Row],[h_toko]]="","",MATCH(Table1[[#This Row],[h_toko]],Table2[a],0)),))</f>
        <v/>
      </c>
      <c r="O159" s="287" t="str">
        <f>IF(Table1[[#This Row],[h_Item Description]]="","",INDEX([1]!db[NB PAJAK],MATCH(Table1[[#This Row],[h_Item Description]],[1]!db[kode],0)))</f>
        <v/>
      </c>
      <c r="Q159" s="283"/>
      <c r="R159" s="284"/>
      <c r="T159" s="283" t="str">
        <f>Table1[[#This Row],[h_hargasetelahdiskon]]</f>
        <v/>
      </c>
      <c r="W159" s="287" t="str">
        <f ca="1">IF(Table1[[#This Row],[Item Description]]="","",IF(Table1[[#This Row],[//]]="",INDIRECT(ADDRESS(ROW()-1,COLUMN())),Table1[[#This Row],[//]]))</f>
        <v/>
      </c>
      <c r="X159" s="287" t="str">
        <f ca="1">IF(Table1[[#This Row],[h_id]]="","",COUNTIF(Table1[h_id],Table1[[#This Row],[h_id]]))</f>
        <v/>
      </c>
      <c r="Y159" s="283" t="str">
        <f>IF(Table1[Item Description]="","",Table1[[#This Row],[Qty]]*Table1[[#This Row],[Unit Price]])</f>
        <v/>
      </c>
      <c r="Z159" s="283" t="str">
        <f>IF(Table1[[#This Row],[h_hargasebelumdiskon]]="","",IF(Table1[[#This Row],[Disc 1]]="",0,Table1[[#This Row],[h_hargasebelumdiskon]]*Table1[[#This Row],[Disc 1]]))</f>
        <v/>
      </c>
      <c r="AA159" s="283" t="str">
        <f>IF(Table1[[#This Row],[h_hargasebelumdiskon]]="","",IF(Table1[[#This Row],[Disc 2]]="",0,(Table1[[#This Row],[h_hargasebelumdiskon]]-Table1[[#This Row],[h_disc 1]])*Table1[[#This Row],[Disc 2]]))</f>
        <v/>
      </c>
      <c r="AB159" s="283" t="str">
        <f>IF(Table1[Item Description]="","",Table1[[#This Row],[h_disc 1]]+Table1[[#This Row],[h_disc 2]])</f>
        <v/>
      </c>
      <c r="AC159" s="283" t="str">
        <f>IF(Table1[Item Description]="","",Table1[[#This Row],[h_hargasebelumdiskon]]-Table1[[#This Row],[h_diskon]])</f>
        <v/>
      </c>
      <c r="AD159" s="283" t="str">
        <f ca="1">IF(Table1[//]="","",SUMIF(Table1[h_id],Table1[h_id],Table1[h_hargasetelahdiskon]))</f>
        <v/>
      </c>
      <c r="AE159" s="283"/>
      <c r="AF159" s="283" t="str">
        <f>Table1[[#This Row],[Item Description]]&amp;Table1[[#This Row],[Unit]]&amp;Table1[[#This Row],[Unit Price]]</f>
        <v/>
      </c>
    </row>
    <row r="160" spans="1:32" x14ac:dyDescent="0.25">
      <c r="A160" s="287" t="str">
        <f ca="1">IF(Table1[[#This Row],[No. Invoice :]]="","",ROW())</f>
        <v/>
      </c>
      <c r="B160" s="287" t="str">
        <f ca="1">IF(Table1[h_Kode Sales :_1]="","",B$1+COUNT(INDIRECT("B$2:B"&amp;ROW()-1)))</f>
        <v/>
      </c>
      <c r="C160" s="281" t="str">
        <f>IF(Table1[[#This Row],[H_TGL]]="","",Table1[[#This Row],[H_TGL]]+C$1-1)</f>
        <v/>
      </c>
      <c r="H160" s="287" t="str">
        <f ca="1">IF(Table1[[#This Row],[h_No. Invoice :]]="","",CONCATENATE("AM"," ",Table1[[#This Row],[h_No. Invoice :]]))</f>
        <v/>
      </c>
      <c r="I160" s="288" t="str">
        <f>CONCATENATE(UPPER(Table1[[#This Row],[h_Kode Sales :_1]])," ",Table1[[#This Row],[h_Kode Sales :_2]])</f>
        <v xml:space="preserve"> </v>
      </c>
      <c r="J160" s="287" t="str">
        <f>IF(Table1[[#This Row],[h_toko]]="","",INDEX(Table2[e],IF(Table1[[#This Row],[h_toko]]="","",MATCH(Table1[[#This Row],[h_toko]],Table2[a],0)),))</f>
        <v/>
      </c>
      <c r="O160" s="287" t="str">
        <f>IF(Table1[[#This Row],[h_Item Description]]="","",INDEX([1]!db[NB PAJAK],MATCH(Table1[[#This Row],[h_Item Description]],[1]!db[kode],0)))</f>
        <v/>
      </c>
      <c r="Q160" s="283"/>
      <c r="R160" s="284"/>
      <c r="T160" s="283" t="str">
        <f>Table1[[#This Row],[h_hargasetelahdiskon]]</f>
        <v/>
      </c>
      <c r="W160" s="287" t="str">
        <f ca="1">IF(Table1[[#This Row],[Item Description]]="","",IF(Table1[[#This Row],[//]]="",INDIRECT(ADDRESS(ROW()-1,COLUMN())),Table1[[#This Row],[//]]))</f>
        <v/>
      </c>
      <c r="X160" s="287" t="str">
        <f ca="1">IF(Table1[[#This Row],[h_id]]="","",COUNTIF(Table1[h_id],Table1[[#This Row],[h_id]]))</f>
        <v/>
      </c>
      <c r="Y160" s="283" t="str">
        <f>IF(Table1[Item Description]="","",Table1[[#This Row],[Qty]]*Table1[[#This Row],[Unit Price]])</f>
        <v/>
      </c>
      <c r="Z160" s="283" t="str">
        <f>IF(Table1[[#This Row],[h_hargasebelumdiskon]]="","",IF(Table1[[#This Row],[Disc 1]]="",0,Table1[[#This Row],[h_hargasebelumdiskon]]*Table1[[#This Row],[Disc 1]]))</f>
        <v/>
      </c>
      <c r="AA160" s="283" t="str">
        <f>IF(Table1[[#This Row],[h_hargasebelumdiskon]]="","",IF(Table1[[#This Row],[Disc 2]]="",0,(Table1[[#This Row],[h_hargasebelumdiskon]]-Table1[[#This Row],[h_disc 1]])*Table1[[#This Row],[Disc 2]]))</f>
        <v/>
      </c>
      <c r="AB160" s="283" t="str">
        <f>IF(Table1[Item Description]="","",Table1[[#This Row],[h_disc 1]]+Table1[[#This Row],[h_disc 2]])</f>
        <v/>
      </c>
      <c r="AC160" s="283" t="str">
        <f>IF(Table1[Item Description]="","",Table1[[#This Row],[h_hargasebelumdiskon]]-Table1[[#This Row],[h_diskon]])</f>
        <v/>
      </c>
      <c r="AD160" s="283" t="str">
        <f ca="1">IF(Table1[//]="","",SUMIF(Table1[h_id],Table1[h_id],Table1[h_hargasetelahdiskon]))</f>
        <v/>
      </c>
      <c r="AE160" s="283"/>
      <c r="AF160" s="283" t="str">
        <f>Table1[[#This Row],[Item Description]]&amp;Table1[[#This Row],[Unit]]&amp;Table1[[#This Row],[Unit Price]]</f>
        <v/>
      </c>
    </row>
    <row r="161" spans="1:32" x14ac:dyDescent="0.25">
      <c r="A161" s="287" t="str">
        <f ca="1">IF(Table1[[#This Row],[No. Invoice :]]="","",ROW())</f>
        <v/>
      </c>
      <c r="B161" s="287" t="str">
        <f ca="1">IF(Table1[h_Kode Sales :_1]="","",B$1+COUNT(INDIRECT("B$2:B"&amp;ROW()-1)))</f>
        <v/>
      </c>
      <c r="C161" s="281" t="str">
        <f>IF(Table1[[#This Row],[H_TGL]]="","",Table1[[#This Row],[H_TGL]]+C$1-1)</f>
        <v/>
      </c>
      <c r="H161" s="287" t="str">
        <f ca="1">IF(Table1[[#This Row],[h_No. Invoice :]]="","",CONCATENATE("AM"," ",Table1[[#This Row],[h_No. Invoice :]]))</f>
        <v/>
      </c>
      <c r="I161" s="288" t="str">
        <f>CONCATENATE(UPPER(Table1[[#This Row],[h_Kode Sales :_1]])," ",Table1[[#This Row],[h_Kode Sales :_2]])</f>
        <v xml:space="preserve"> </v>
      </c>
      <c r="J161" s="287" t="str">
        <f>IF(Table1[[#This Row],[h_toko]]="","",INDEX(Table2[e],IF(Table1[[#This Row],[h_toko]]="","",MATCH(Table1[[#This Row],[h_toko]],Table2[a],0)),))</f>
        <v/>
      </c>
      <c r="O161" s="287" t="str">
        <f>IF(Table1[[#This Row],[h_Item Description]]="","",INDEX([1]!db[NB PAJAK],MATCH(Table1[[#This Row],[h_Item Description]],[1]!db[kode],0)))</f>
        <v/>
      </c>
      <c r="Q161" s="283"/>
      <c r="R161" s="284"/>
      <c r="T161" s="283" t="str">
        <f>Table1[[#This Row],[h_hargasetelahdiskon]]</f>
        <v/>
      </c>
      <c r="W161" s="287" t="str">
        <f ca="1">IF(Table1[[#This Row],[Item Description]]="","",IF(Table1[[#This Row],[//]]="",INDIRECT(ADDRESS(ROW()-1,COLUMN())),Table1[[#This Row],[//]]))</f>
        <v/>
      </c>
      <c r="X161" s="287" t="str">
        <f ca="1">IF(Table1[[#This Row],[h_id]]="","",COUNTIF(Table1[h_id],Table1[[#This Row],[h_id]]))</f>
        <v/>
      </c>
      <c r="Y161" s="283" t="str">
        <f>IF(Table1[Item Description]="","",Table1[[#This Row],[Qty]]*Table1[[#This Row],[Unit Price]])</f>
        <v/>
      </c>
      <c r="Z161" s="283" t="str">
        <f>IF(Table1[[#This Row],[h_hargasebelumdiskon]]="","",IF(Table1[[#This Row],[Disc 1]]="",0,Table1[[#This Row],[h_hargasebelumdiskon]]*Table1[[#This Row],[Disc 1]]))</f>
        <v/>
      </c>
      <c r="AA161" s="283" t="str">
        <f>IF(Table1[[#This Row],[h_hargasebelumdiskon]]="","",IF(Table1[[#This Row],[Disc 2]]="",0,(Table1[[#This Row],[h_hargasebelumdiskon]]-Table1[[#This Row],[h_disc 1]])*Table1[[#This Row],[Disc 2]]))</f>
        <v/>
      </c>
      <c r="AB161" s="283" t="str">
        <f>IF(Table1[Item Description]="","",Table1[[#This Row],[h_disc 1]]+Table1[[#This Row],[h_disc 2]])</f>
        <v/>
      </c>
      <c r="AC161" s="283" t="str">
        <f>IF(Table1[Item Description]="","",Table1[[#This Row],[h_hargasebelumdiskon]]-Table1[[#This Row],[h_diskon]])</f>
        <v/>
      </c>
      <c r="AD161" s="283" t="str">
        <f ca="1">IF(Table1[//]="","",SUMIF(Table1[h_id],Table1[h_id],Table1[h_hargasetelahdiskon]))</f>
        <v/>
      </c>
      <c r="AE161" s="283"/>
      <c r="AF161" s="283" t="str">
        <f>Table1[[#This Row],[Item Description]]&amp;Table1[[#This Row],[Unit]]&amp;Table1[[#This Row],[Unit Price]]</f>
        <v/>
      </c>
    </row>
    <row r="162" spans="1:32" x14ac:dyDescent="0.25">
      <c r="A162" s="287" t="str">
        <f ca="1">IF(Table1[[#This Row],[No. Invoice :]]="","",ROW())</f>
        <v/>
      </c>
      <c r="B162" s="287" t="str">
        <f ca="1">IF(Table1[h_Kode Sales :_1]="","",B$1+COUNT(INDIRECT("B$2:B"&amp;ROW()-1)))</f>
        <v/>
      </c>
      <c r="C162" s="281" t="str">
        <f>IF(Table1[[#This Row],[H_TGL]]="","",Table1[[#This Row],[H_TGL]]+C$1-1)</f>
        <v/>
      </c>
      <c r="H162" s="287" t="str">
        <f ca="1">IF(Table1[[#This Row],[h_No. Invoice :]]="","",CONCATENATE("AM"," ",Table1[[#This Row],[h_No. Invoice :]]))</f>
        <v/>
      </c>
      <c r="I162" s="288" t="str">
        <f>CONCATENATE(UPPER(Table1[[#This Row],[h_Kode Sales :_1]])," ",Table1[[#This Row],[h_Kode Sales :_2]])</f>
        <v xml:space="preserve"> </v>
      </c>
      <c r="J162" s="287" t="str">
        <f>IF(Table1[[#This Row],[h_toko]]="","",INDEX(Table2[e],IF(Table1[[#This Row],[h_toko]]="","",MATCH(Table1[[#This Row],[h_toko]],Table2[a],0)),))</f>
        <v/>
      </c>
      <c r="O162" s="287" t="str">
        <f>IF(Table1[[#This Row],[h_Item Description]]="","",INDEX([1]!db[NB PAJAK],MATCH(Table1[[#This Row],[h_Item Description]],[1]!db[kode],0)))</f>
        <v/>
      </c>
      <c r="Q162" s="283"/>
      <c r="R162" s="284"/>
      <c r="T162" s="283" t="str">
        <f>Table1[[#This Row],[h_hargasetelahdiskon]]</f>
        <v/>
      </c>
      <c r="W162" s="287" t="str">
        <f ca="1">IF(Table1[[#This Row],[Item Description]]="","",IF(Table1[[#This Row],[//]]="",INDIRECT(ADDRESS(ROW()-1,COLUMN())),Table1[[#This Row],[//]]))</f>
        <v/>
      </c>
      <c r="X162" s="287" t="str">
        <f ca="1">IF(Table1[[#This Row],[h_id]]="","",COUNTIF(Table1[h_id],Table1[[#This Row],[h_id]]))</f>
        <v/>
      </c>
      <c r="Y162" s="283" t="str">
        <f>IF(Table1[Item Description]="","",Table1[[#This Row],[Qty]]*Table1[[#This Row],[Unit Price]])</f>
        <v/>
      </c>
      <c r="Z162" s="283" t="str">
        <f>IF(Table1[[#This Row],[h_hargasebelumdiskon]]="","",IF(Table1[[#This Row],[Disc 1]]="",0,Table1[[#This Row],[h_hargasebelumdiskon]]*Table1[[#This Row],[Disc 1]]))</f>
        <v/>
      </c>
      <c r="AA162" s="283" t="str">
        <f>IF(Table1[[#This Row],[h_hargasebelumdiskon]]="","",IF(Table1[[#This Row],[Disc 2]]="",0,(Table1[[#This Row],[h_hargasebelumdiskon]]-Table1[[#This Row],[h_disc 1]])*Table1[[#This Row],[Disc 2]]))</f>
        <v/>
      </c>
      <c r="AB162" s="283" t="str">
        <f>IF(Table1[Item Description]="","",Table1[[#This Row],[h_disc 1]]+Table1[[#This Row],[h_disc 2]])</f>
        <v/>
      </c>
      <c r="AC162" s="283" t="str">
        <f>IF(Table1[Item Description]="","",Table1[[#This Row],[h_hargasebelumdiskon]]-Table1[[#This Row],[h_diskon]])</f>
        <v/>
      </c>
      <c r="AD162" s="283" t="str">
        <f ca="1">IF(Table1[//]="","",SUMIF(Table1[h_id],Table1[h_id],Table1[h_hargasetelahdiskon]))</f>
        <v/>
      </c>
      <c r="AE162" s="283"/>
      <c r="AF162" s="283" t="str">
        <f>Table1[[#This Row],[Item Description]]&amp;Table1[[#This Row],[Unit]]&amp;Table1[[#This Row],[Unit Price]]</f>
        <v/>
      </c>
    </row>
    <row r="163" spans="1:32" x14ac:dyDescent="0.25">
      <c r="A163" s="287" t="str">
        <f ca="1">IF(Table1[[#This Row],[No. Invoice :]]="","",ROW())</f>
        <v/>
      </c>
      <c r="B163" s="287" t="str">
        <f ca="1">IF(Table1[h_Kode Sales :_1]="","",B$1+COUNT(INDIRECT("B$2:B"&amp;ROW()-1)))</f>
        <v/>
      </c>
      <c r="C163" s="281" t="str">
        <f>IF(Table1[[#This Row],[H_TGL]]="","",Table1[[#This Row],[H_TGL]]+C$1-1)</f>
        <v/>
      </c>
      <c r="H163" s="287" t="str">
        <f ca="1">IF(Table1[[#This Row],[h_No. Invoice :]]="","",CONCATENATE("AM"," ",Table1[[#This Row],[h_No. Invoice :]]))</f>
        <v/>
      </c>
      <c r="I163" s="288" t="str">
        <f>CONCATENATE(UPPER(Table1[[#This Row],[h_Kode Sales :_1]])," ",Table1[[#This Row],[h_Kode Sales :_2]])</f>
        <v xml:space="preserve"> </v>
      </c>
      <c r="J163" s="287" t="str">
        <f>IF(Table1[[#This Row],[h_toko]]="","",INDEX(Table2[e],IF(Table1[[#This Row],[h_toko]]="","",MATCH(Table1[[#This Row],[h_toko]],Table2[a],0)),))</f>
        <v/>
      </c>
      <c r="O163" s="287" t="str">
        <f>IF(Table1[[#This Row],[h_Item Description]]="","",INDEX([1]!db[NB PAJAK],MATCH(Table1[[#This Row],[h_Item Description]],[1]!db[kode],0)))</f>
        <v/>
      </c>
      <c r="Q163" s="283"/>
      <c r="R163" s="284"/>
      <c r="T163" s="283" t="str">
        <f>Table1[[#This Row],[h_hargasetelahdiskon]]</f>
        <v/>
      </c>
      <c r="W163" s="287" t="str">
        <f ca="1">IF(Table1[[#This Row],[Item Description]]="","",IF(Table1[[#This Row],[//]]="",INDIRECT(ADDRESS(ROW()-1,COLUMN())),Table1[[#This Row],[//]]))</f>
        <v/>
      </c>
      <c r="X163" s="287" t="str">
        <f ca="1">IF(Table1[[#This Row],[h_id]]="","",COUNTIF(Table1[h_id],Table1[[#This Row],[h_id]]))</f>
        <v/>
      </c>
      <c r="Y163" s="283" t="str">
        <f>IF(Table1[Item Description]="","",Table1[[#This Row],[Qty]]*Table1[[#This Row],[Unit Price]])</f>
        <v/>
      </c>
      <c r="Z163" s="283" t="str">
        <f>IF(Table1[[#This Row],[h_hargasebelumdiskon]]="","",IF(Table1[[#This Row],[Disc 1]]="",0,Table1[[#This Row],[h_hargasebelumdiskon]]*Table1[[#This Row],[Disc 1]]))</f>
        <v/>
      </c>
      <c r="AA163" s="283" t="str">
        <f>IF(Table1[[#This Row],[h_hargasebelumdiskon]]="","",IF(Table1[[#This Row],[Disc 2]]="",0,(Table1[[#This Row],[h_hargasebelumdiskon]]-Table1[[#This Row],[h_disc 1]])*Table1[[#This Row],[Disc 2]]))</f>
        <v/>
      </c>
      <c r="AB163" s="283" t="str">
        <f>IF(Table1[Item Description]="","",Table1[[#This Row],[h_disc 1]]+Table1[[#This Row],[h_disc 2]])</f>
        <v/>
      </c>
      <c r="AC163" s="283" t="str">
        <f>IF(Table1[Item Description]="","",Table1[[#This Row],[h_hargasebelumdiskon]]-Table1[[#This Row],[h_diskon]])</f>
        <v/>
      </c>
      <c r="AD163" s="283" t="str">
        <f ca="1">IF(Table1[//]="","",SUMIF(Table1[h_id],Table1[h_id],Table1[h_hargasetelahdiskon]))</f>
        <v/>
      </c>
      <c r="AE163" s="283"/>
      <c r="AF163" s="283" t="str">
        <f>Table1[[#This Row],[Item Description]]&amp;Table1[[#This Row],[Unit]]&amp;Table1[[#This Row],[Unit Price]]</f>
        <v/>
      </c>
    </row>
    <row r="164" spans="1:32" x14ac:dyDescent="0.25">
      <c r="A164" s="287" t="str">
        <f ca="1">IF(Table1[[#This Row],[No. Invoice :]]="","",ROW())</f>
        <v/>
      </c>
      <c r="B164" s="287" t="str">
        <f ca="1">IF(Table1[h_Kode Sales :_1]="","",B$1+COUNT(INDIRECT("B$2:B"&amp;ROW()-1)))</f>
        <v/>
      </c>
      <c r="C164" s="281" t="str">
        <f>IF(Table1[[#This Row],[H_TGL]]="","",Table1[[#This Row],[H_TGL]]+C$1-1)</f>
        <v/>
      </c>
      <c r="H164" s="287" t="str">
        <f ca="1">IF(Table1[[#This Row],[h_No. Invoice :]]="","",CONCATENATE("AM"," ",Table1[[#This Row],[h_No. Invoice :]]))</f>
        <v/>
      </c>
      <c r="I164" s="288" t="str">
        <f>CONCATENATE(UPPER(Table1[[#This Row],[h_Kode Sales :_1]])," ",Table1[[#This Row],[h_Kode Sales :_2]])</f>
        <v xml:space="preserve"> </v>
      </c>
      <c r="J164" s="287" t="str">
        <f>IF(Table1[[#This Row],[h_toko]]="","",INDEX(Table2[e],IF(Table1[[#This Row],[h_toko]]="","",MATCH(Table1[[#This Row],[h_toko]],Table2[a],0)),))</f>
        <v/>
      </c>
      <c r="O164" s="287" t="str">
        <f>IF(Table1[[#This Row],[h_Item Description]]="","",INDEX([1]!db[NB PAJAK],MATCH(Table1[[#This Row],[h_Item Description]],[1]!db[kode],0)))</f>
        <v/>
      </c>
      <c r="Q164" s="283"/>
      <c r="R164" s="284"/>
      <c r="T164" s="283" t="str">
        <f>Table1[[#This Row],[h_hargasetelahdiskon]]</f>
        <v/>
      </c>
      <c r="W164" s="287" t="str">
        <f ca="1">IF(Table1[[#This Row],[Item Description]]="","",IF(Table1[[#This Row],[//]]="",INDIRECT(ADDRESS(ROW()-1,COLUMN())),Table1[[#This Row],[//]]))</f>
        <v/>
      </c>
      <c r="X164" s="287" t="str">
        <f ca="1">IF(Table1[[#This Row],[h_id]]="","",COUNTIF(Table1[h_id],Table1[[#This Row],[h_id]]))</f>
        <v/>
      </c>
      <c r="Y164" s="283" t="str">
        <f>IF(Table1[Item Description]="","",Table1[[#This Row],[Qty]]*Table1[[#This Row],[Unit Price]])</f>
        <v/>
      </c>
      <c r="Z164" s="283" t="str">
        <f>IF(Table1[[#This Row],[h_hargasebelumdiskon]]="","",IF(Table1[[#This Row],[Disc 1]]="",0,Table1[[#This Row],[h_hargasebelumdiskon]]*Table1[[#This Row],[Disc 1]]))</f>
        <v/>
      </c>
      <c r="AA164" s="283" t="str">
        <f>IF(Table1[[#This Row],[h_hargasebelumdiskon]]="","",IF(Table1[[#This Row],[Disc 2]]="",0,(Table1[[#This Row],[h_hargasebelumdiskon]]-Table1[[#This Row],[h_disc 1]])*Table1[[#This Row],[Disc 2]]))</f>
        <v/>
      </c>
      <c r="AB164" s="283" t="str">
        <f>IF(Table1[Item Description]="","",Table1[[#This Row],[h_disc 1]]+Table1[[#This Row],[h_disc 2]])</f>
        <v/>
      </c>
      <c r="AC164" s="283" t="str">
        <f>IF(Table1[Item Description]="","",Table1[[#This Row],[h_hargasebelumdiskon]]-Table1[[#This Row],[h_diskon]])</f>
        <v/>
      </c>
      <c r="AD164" s="283" t="str">
        <f ca="1">IF(Table1[//]="","",SUMIF(Table1[h_id],Table1[h_id],Table1[h_hargasetelahdiskon]))</f>
        <v/>
      </c>
      <c r="AE164" s="283"/>
      <c r="AF164" s="283" t="str">
        <f>Table1[[#This Row],[Item Description]]&amp;Table1[[#This Row],[Unit]]&amp;Table1[[#This Row],[Unit Price]]</f>
        <v/>
      </c>
    </row>
    <row r="165" spans="1:32" x14ac:dyDescent="0.25">
      <c r="A165" s="287" t="str">
        <f ca="1">IF(Table1[[#This Row],[No. Invoice :]]="","",ROW())</f>
        <v/>
      </c>
      <c r="B165" s="287" t="str">
        <f ca="1">IF(Table1[h_Kode Sales :_1]="","",B$1+COUNT(INDIRECT("B$2:B"&amp;ROW()-1)))</f>
        <v/>
      </c>
      <c r="C165" s="281" t="str">
        <f>IF(Table1[[#This Row],[H_TGL]]="","",Table1[[#This Row],[H_TGL]]+C$1-1)</f>
        <v/>
      </c>
      <c r="H165" s="287" t="str">
        <f ca="1">IF(Table1[[#This Row],[h_No. Invoice :]]="","",CONCATENATE("AM"," ",Table1[[#This Row],[h_No. Invoice :]]))</f>
        <v/>
      </c>
      <c r="I165" s="288" t="str">
        <f>CONCATENATE(UPPER(Table1[[#This Row],[h_Kode Sales :_1]])," ",Table1[[#This Row],[h_Kode Sales :_2]])</f>
        <v xml:space="preserve"> </v>
      </c>
      <c r="J165" s="287" t="str">
        <f>IF(Table1[[#This Row],[h_toko]]="","",INDEX(Table2[e],IF(Table1[[#This Row],[h_toko]]="","",MATCH(Table1[[#This Row],[h_toko]],Table2[a],0)),))</f>
        <v/>
      </c>
      <c r="O165" s="287" t="str">
        <f>IF(Table1[[#This Row],[h_Item Description]]="","",INDEX([1]!db[NB PAJAK],MATCH(Table1[[#This Row],[h_Item Description]],[1]!db[kode],0)))</f>
        <v/>
      </c>
      <c r="Q165" s="283"/>
      <c r="R165" s="284"/>
      <c r="T165" s="283" t="str">
        <f>Table1[[#This Row],[h_hargasetelahdiskon]]</f>
        <v/>
      </c>
      <c r="W165" s="287" t="str">
        <f ca="1">IF(Table1[[#This Row],[Item Description]]="","",IF(Table1[[#This Row],[//]]="",INDIRECT(ADDRESS(ROW()-1,COLUMN())),Table1[[#This Row],[//]]))</f>
        <v/>
      </c>
      <c r="X165" s="287" t="str">
        <f ca="1">IF(Table1[[#This Row],[h_id]]="","",COUNTIF(Table1[h_id],Table1[[#This Row],[h_id]]))</f>
        <v/>
      </c>
      <c r="Y165" s="283" t="str">
        <f>IF(Table1[Item Description]="","",Table1[[#This Row],[Qty]]*Table1[[#This Row],[Unit Price]])</f>
        <v/>
      </c>
      <c r="Z165" s="283" t="str">
        <f>IF(Table1[[#This Row],[h_hargasebelumdiskon]]="","",IF(Table1[[#This Row],[Disc 1]]="",0,Table1[[#This Row],[h_hargasebelumdiskon]]*Table1[[#This Row],[Disc 1]]))</f>
        <v/>
      </c>
      <c r="AA165" s="283" t="str">
        <f>IF(Table1[[#This Row],[h_hargasebelumdiskon]]="","",IF(Table1[[#This Row],[Disc 2]]="",0,(Table1[[#This Row],[h_hargasebelumdiskon]]-Table1[[#This Row],[h_disc 1]])*Table1[[#This Row],[Disc 2]]))</f>
        <v/>
      </c>
      <c r="AB165" s="283" t="str">
        <f>IF(Table1[Item Description]="","",Table1[[#This Row],[h_disc 1]]+Table1[[#This Row],[h_disc 2]])</f>
        <v/>
      </c>
      <c r="AC165" s="283" t="str">
        <f>IF(Table1[Item Description]="","",Table1[[#This Row],[h_hargasebelumdiskon]]-Table1[[#This Row],[h_diskon]])</f>
        <v/>
      </c>
      <c r="AD165" s="283" t="str">
        <f ca="1">IF(Table1[//]="","",SUMIF(Table1[h_id],Table1[h_id],Table1[h_hargasetelahdiskon]))</f>
        <v/>
      </c>
      <c r="AE165" s="283"/>
      <c r="AF165" s="283" t="str">
        <f>Table1[[#This Row],[Item Description]]&amp;Table1[[#This Row],[Unit]]&amp;Table1[[#This Row],[Unit Price]]</f>
        <v/>
      </c>
    </row>
    <row r="166" spans="1:32" x14ac:dyDescent="0.25">
      <c r="A166" s="287" t="str">
        <f ca="1">IF(Table1[[#This Row],[No. Invoice :]]="","",ROW())</f>
        <v/>
      </c>
      <c r="B166" s="287" t="str">
        <f ca="1">IF(Table1[h_Kode Sales :_1]="","",B$1+COUNT(INDIRECT("B$2:B"&amp;ROW()-1)))</f>
        <v/>
      </c>
      <c r="C166" s="281" t="str">
        <f>IF(Table1[[#This Row],[H_TGL]]="","",Table1[[#This Row],[H_TGL]]+C$1-1)</f>
        <v/>
      </c>
      <c r="H166" s="287" t="str">
        <f ca="1">IF(Table1[[#This Row],[h_No. Invoice :]]="","",CONCATENATE("AM"," ",Table1[[#This Row],[h_No. Invoice :]]))</f>
        <v/>
      </c>
      <c r="I166" s="288" t="str">
        <f>CONCATENATE(UPPER(Table1[[#This Row],[h_Kode Sales :_1]])," ",Table1[[#This Row],[h_Kode Sales :_2]])</f>
        <v xml:space="preserve"> </v>
      </c>
      <c r="J166" s="287" t="str">
        <f>IF(Table1[[#This Row],[h_toko]]="","",INDEX(Table2[e],IF(Table1[[#This Row],[h_toko]]="","",MATCH(Table1[[#This Row],[h_toko]],Table2[a],0)),))</f>
        <v/>
      </c>
      <c r="O166" s="287" t="str">
        <f>IF(Table1[[#This Row],[h_Item Description]]="","",INDEX([1]!db[NB PAJAK],MATCH(Table1[[#This Row],[h_Item Description]],[1]!db[kode],0)))</f>
        <v/>
      </c>
      <c r="Q166" s="283"/>
      <c r="R166" s="284"/>
      <c r="T166" s="283" t="str">
        <f>Table1[[#This Row],[h_hargasetelahdiskon]]</f>
        <v/>
      </c>
      <c r="W166" s="287" t="str">
        <f ca="1">IF(Table1[[#This Row],[Item Description]]="","",IF(Table1[[#This Row],[//]]="",INDIRECT(ADDRESS(ROW()-1,COLUMN())),Table1[[#This Row],[//]]))</f>
        <v/>
      </c>
      <c r="X166" s="287" t="str">
        <f ca="1">IF(Table1[[#This Row],[h_id]]="","",COUNTIF(Table1[h_id],Table1[[#This Row],[h_id]]))</f>
        <v/>
      </c>
      <c r="Y166" s="283" t="str">
        <f>IF(Table1[Item Description]="","",Table1[[#This Row],[Qty]]*Table1[[#This Row],[Unit Price]])</f>
        <v/>
      </c>
      <c r="Z166" s="283" t="str">
        <f>IF(Table1[[#This Row],[h_hargasebelumdiskon]]="","",IF(Table1[[#This Row],[Disc 1]]="",0,Table1[[#This Row],[h_hargasebelumdiskon]]*Table1[[#This Row],[Disc 1]]))</f>
        <v/>
      </c>
      <c r="AA166" s="283" t="str">
        <f>IF(Table1[[#This Row],[h_hargasebelumdiskon]]="","",IF(Table1[[#This Row],[Disc 2]]="",0,(Table1[[#This Row],[h_hargasebelumdiskon]]-Table1[[#This Row],[h_disc 1]])*Table1[[#This Row],[Disc 2]]))</f>
        <v/>
      </c>
      <c r="AB166" s="283" t="str">
        <f>IF(Table1[Item Description]="","",Table1[[#This Row],[h_disc 1]]+Table1[[#This Row],[h_disc 2]])</f>
        <v/>
      </c>
      <c r="AC166" s="283" t="str">
        <f>IF(Table1[Item Description]="","",Table1[[#This Row],[h_hargasebelumdiskon]]-Table1[[#This Row],[h_diskon]])</f>
        <v/>
      </c>
      <c r="AD166" s="283" t="str">
        <f ca="1">IF(Table1[//]="","",SUMIF(Table1[h_id],Table1[h_id],Table1[h_hargasetelahdiskon]))</f>
        <v/>
      </c>
      <c r="AE166" s="283"/>
      <c r="AF166" s="283" t="str">
        <f>Table1[[#This Row],[Item Description]]&amp;Table1[[#This Row],[Unit]]&amp;Table1[[#This Row],[Unit Price]]</f>
        <v/>
      </c>
    </row>
    <row r="167" spans="1:32" x14ac:dyDescent="0.25">
      <c r="A167" s="287" t="str">
        <f ca="1">IF(Table1[[#This Row],[No. Invoice :]]="","",ROW())</f>
        <v/>
      </c>
      <c r="B167" s="287" t="str">
        <f ca="1">IF(Table1[h_Kode Sales :_1]="","",B$1+COUNT(INDIRECT("B$2:B"&amp;ROW()-1)))</f>
        <v/>
      </c>
      <c r="C167" s="281" t="str">
        <f>IF(Table1[[#This Row],[H_TGL]]="","",Table1[[#This Row],[H_TGL]]+C$1-1)</f>
        <v/>
      </c>
      <c r="H167" s="287" t="str">
        <f ca="1">IF(Table1[[#This Row],[h_No. Invoice :]]="","",CONCATENATE("AM"," ",Table1[[#This Row],[h_No. Invoice :]]))</f>
        <v/>
      </c>
      <c r="I167" s="288" t="str">
        <f>CONCATENATE(UPPER(Table1[[#This Row],[h_Kode Sales :_1]])," ",Table1[[#This Row],[h_Kode Sales :_2]])</f>
        <v xml:space="preserve"> </v>
      </c>
      <c r="J167" s="287" t="str">
        <f>IF(Table1[[#This Row],[h_toko]]="","",INDEX(Table2[e],IF(Table1[[#This Row],[h_toko]]="","",MATCH(Table1[[#This Row],[h_toko]],Table2[a],0)),))</f>
        <v/>
      </c>
      <c r="O167" s="287" t="str">
        <f>IF(Table1[[#This Row],[h_Item Description]]="","",INDEX([1]!db[NB PAJAK],MATCH(Table1[[#This Row],[h_Item Description]],[1]!db[kode],0)))</f>
        <v/>
      </c>
      <c r="Q167" s="283"/>
      <c r="R167" s="284"/>
      <c r="T167" s="283" t="str">
        <f>Table1[[#This Row],[h_hargasetelahdiskon]]</f>
        <v/>
      </c>
      <c r="W167" s="287" t="str">
        <f ca="1">IF(Table1[[#This Row],[Item Description]]="","",IF(Table1[[#This Row],[//]]="",INDIRECT(ADDRESS(ROW()-1,COLUMN())),Table1[[#This Row],[//]]))</f>
        <v/>
      </c>
      <c r="X167" s="287" t="str">
        <f ca="1">IF(Table1[[#This Row],[h_id]]="","",COUNTIF(Table1[h_id],Table1[[#This Row],[h_id]]))</f>
        <v/>
      </c>
      <c r="Y167" s="283" t="str">
        <f>IF(Table1[Item Description]="","",Table1[[#This Row],[Qty]]*Table1[[#This Row],[Unit Price]])</f>
        <v/>
      </c>
      <c r="Z167" s="283" t="str">
        <f>IF(Table1[[#This Row],[h_hargasebelumdiskon]]="","",IF(Table1[[#This Row],[Disc 1]]="",0,Table1[[#This Row],[h_hargasebelumdiskon]]*Table1[[#This Row],[Disc 1]]))</f>
        <v/>
      </c>
      <c r="AA167" s="283" t="str">
        <f>IF(Table1[[#This Row],[h_hargasebelumdiskon]]="","",IF(Table1[[#This Row],[Disc 2]]="",0,(Table1[[#This Row],[h_hargasebelumdiskon]]-Table1[[#This Row],[h_disc 1]])*Table1[[#This Row],[Disc 2]]))</f>
        <v/>
      </c>
      <c r="AB167" s="283" t="str">
        <f>IF(Table1[Item Description]="","",Table1[[#This Row],[h_disc 1]]+Table1[[#This Row],[h_disc 2]])</f>
        <v/>
      </c>
      <c r="AC167" s="283" t="str">
        <f>IF(Table1[Item Description]="","",Table1[[#This Row],[h_hargasebelumdiskon]]-Table1[[#This Row],[h_diskon]])</f>
        <v/>
      </c>
      <c r="AD167" s="283" t="str">
        <f ca="1">IF(Table1[//]="","",SUMIF(Table1[h_id],Table1[h_id],Table1[h_hargasetelahdiskon]))</f>
        <v/>
      </c>
      <c r="AE167" s="283"/>
      <c r="AF167" s="283" t="str">
        <f>Table1[[#This Row],[Item Description]]&amp;Table1[[#This Row],[Unit]]&amp;Table1[[#This Row],[Unit Price]]</f>
        <v/>
      </c>
    </row>
    <row r="168" spans="1:32" x14ac:dyDescent="0.25">
      <c r="A168" s="287" t="str">
        <f ca="1">IF(Table1[[#This Row],[No. Invoice :]]="","",ROW())</f>
        <v/>
      </c>
      <c r="B168" s="287" t="str">
        <f ca="1">IF(Table1[h_Kode Sales :_1]="","",B$1+COUNT(INDIRECT("B$2:B"&amp;ROW()-1)))</f>
        <v/>
      </c>
      <c r="C168" s="281" t="str">
        <f>IF(Table1[[#This Row],[H_TGL]]="","",Table1[[#This Row],[H_TGL]]+C$1-1)</f>
        <v/>
      </c>
      <c r="H168" s="287" t="str">
        <f ca="1">IF(Table1[[#This Row],[h_No. Invoice :]]="","",CONCATENATE("AM"," ",Table1[[#This Row],[h_No. Invoice :]]))</f>
        <v/>
      </c>
      <c r="I168" s="288" t="str">
        <f>CONCATENATE(UPPER(Table1[[#This Row],[h_Kode Sales :_1]])," ",Table1[[#This Row],[h_Kode Sales :_2]])</f>
        <v xml:space="preserve"> </v>
      </c>
      <c r="J168" s="287" t="str">
        <f>IF(Table1[[#This Row],[h_toko]]="","",INDEX(Table2[e],IF(Table1[[#This Row],[h_toko]]="","",MATCH(Table1[[#This Row],[h_toko]],Table2[a],0)),))</f>
        <v/>
      </c>
      <c r="O168" s="287" t="str">
        <f>IF(Table1[[#This Row],[h_Item Description]]="","",INDEX([1]!db[NB PAJAK],MATCH(Table1[[#This Row],[h_Item Description]],[1]!db[kode],0)))</f>
        <v/>
      </c>
      <c r="Q168" s="283"/>
      <c r="R168" s="284"/>
      <c r="T168" s="283" t="str">
        <f>Table1[[#This Row],[h_hargasetelahdiskon]]</f>
        <v/>
      </c>
      <c r="W168" s="287" t="str">
        <f ca="1">IF(Table1[[#This Row],[Item Description]]="","",IF(Table1[[#This Row],[//]]="",INDIRECT(ADDRESS(ROW()-1,COLUMN())),Table1[[#This Row],[//]]))</f>
        <v/>
      </c>
      <c r="X168" s="287" t="str">
        <f ca="1">IF(Table1[[#This Row],[h_id]]="","",COUNTIF(Table1[h_id],Table1[[#This Row],[h_id]]))</f>
        <v/>
      </c>
      <c r="Y168" s="283" t="str">
        <f>IF(Table1[Item Description]="","",Table1[[#This Row],[Qty]]*Table1[[#This Row],[Unit Price]])</f>
        <v/>
      </c>
      <c r="Z168" s="283" t="str">
        <f>IF(Table1[[#This Row],[h_hargasebelumdiskon]]="","",IF(Table1[[#This Row],[Disc 1]]="",0,Table1[[#This Row],[h_hargasebelumdiskon]]*Table1[[#This Row],[Disc 1]]))</f>
        <v/>
      </c>
      <c r="AA168" s="283" t="str">
        <f>IF(Table1[[#This Row],[h_hargasebelumdiskon]]="","",IF(Table1[[#This Row],[Disc 2]]="",0,(Table1[[#This Row],[h_hargasebelumdiskon]]-Table1[[#This Row],[h_disc 1]])*Table1[[#This Row],[Disc 2]]))</f>
        <v/>
      </c>
      <c r="AB168" s="283" t="str">
        <f>IF(Table1[Item Description]="","",Table1[[#This Row],[h_disc 1]]+Table1[[#This Row],[h_disc 2]])</f>
        <v/>
      </c>
      <c r="AC168" s="283" t="str">
        <f>IF(Table1[Item Description]="","",Table1[[#This Row],[h_hargasebelumdiskon]]-Table1[[#This Row],[h_diskon]])</f>
        <v/>
      </c>
      <c r="AD168" s="283" t="str">
        <f ca="1">IF(Table1[//]="","",SUMIF(Table1[h_id],Table1[h_id],Table1[h_hargasetelahdiskon]))</f>
        <v/>
      </c>
      <c r="AE168" s="283"/>
      <c r="AF168" s="283" t="str">
        <f>Table1[[#This Row],[Item Description]]&amp;Table1[[#This Row],[Unit]]&amp;Table1[[#This Row],[Unit Price]]</f>
        <v/>
      </c>
    </row>
    <row r="169" spans="1:32" x14ac:dyDescent="0.25">
      <c r="A169" s="287" t="str">
        <f ca="1">IF(Table1[[#This Row],[No. Invoice :]]="","",ROW())</f>
        <v/>
      </c>
      <c r="B169" s="287" t="str">
        <f ca="1">IF(Table1[h_Kode Sales :_1]="","",B$1+COUNT(INDIRECT("B$2:B"&amp;ROW()-1)))</f>
        <v/>
      </c>
      <c r="C169" s="281" t="str">
        <f>IF(Table1[[#This Row],[H_TGL]]="","",Table1[[#This Row],[H_TGL]]+C$1-1)</f>
        <v/>
      </c>
      <c r="H169" s="287" t="str">
        <f ca="1">IF(Table1[[#This Row],[h_No. Invoice :]]="","",CONCATENATE("AM"," ",Table1[[#This Row],[h_No. Invoice :]]))</f>
        <v/>
      </c>
      <c r="I169" s="288" t="str">
        <f>CONCATENATE(UPPER(Table1[[#This Row],[h_Kode Sales :_1]])," ",Table1[[#This Row],[h_Kode Sales :_2]])</f>
        <v xml:space="preserve"> </v>
      </c>
      <c r="J169" s="287" t="str">
        <f>IF(Table1[[#This Row],[h_toko]]="","",INDEX(Table2[e],IF(Table1[[#This Row],[h_toko]]="","",MATCH(Table1[[#This Row],[h_toko]],Table2[a],0)),))</f>
        <v/>
      </c>
      <c r="O169" s="287" t="str">
        <f>IF(Table1[[#This Row],[h_Item Description]]="","",INDEX([1]!db[NB PAJAK],MATCH(Table1[[#This Row],[h_Item Description]],[1]!db[kode],0)))</f>
        <v/>
      </c>
      <c r="Q169" s="283"/>
      <c r="R169" s="284"/>
      <c r="T169" s="283" t="str">
        <f>Table1[[#This Row],[h_hargasetelahdiskon]]</f>
        <v/>
      </c>
      <c r="W169" s="287" t="str">
        <f ca="1">IF(Table1[[#This Row],[Item Description]]="","",IF(Table1[[#This Row],[//]]="",INDIRECT(ADDRESS(ROW()-1,COLUMN())),Table1[[#This Row],[//]]))</f>
        <v/>
      </c>
      <c r="X169" s="287" t="str">
        <f ca="1">IF(Table1[[#This Row],[h_id]]="","",COUNTIF(Table1[h_id],Table1[[#This Row],[h_id]]))</f>
        <v/>
      </c>
      <c r="Y169" s="283" t="str">
        <f>IF(Table1[Item Description]="","",Table1[[#This Row],[Qty]]*Table1[[#This Row],[Unit Price]])</f>
        <v/>
      </c>
      <c r="Z169" s="283" t="str">
        <f>IF(Table1[[#This Row],[h_hargasebelumdiskon]]="","",IF(Table1[[#This Row],[Disc 1]]="",0,Table1[[#This Row],[h_hargasebelumdiskon]]*Table1[[#This Row],[Disc 1]]))</f>
        <v/>
      </c>
      <c r="AA169" s="283" t="str">
        <f>IF(Table1[[#This Row],[h_hargasebelumdiskon]]="","",IF(Table1[[#This Row],[Disc 2]]="",0,(Table1[[#This Row],[h_hargasebelumdiskon]]-Table1[[#This Row],[h_disc 1]])*Table1[[#This Row],[Disc 2]]))</f>
        <v/>
      </c>
      <c r="AB169" s="283" t="str">
        <f>IF(Table1[Item Description]="","",Table1[[#This Row],[h_disc 1]]+Table1[[#This Row],[h_disc 2]])</f>
        <v/>
      </c>
      <c r="AC169" s="283" t="str">
        <f>IF(Table1[Item Description]="","",Table1[[#This Row],[h_hargasebelumdiskon]]-Table1[[#This Row],[h_diskon]])</f>
        <v/>
      </c>
      <c r="AD169" s="283" t="str">
        <f ca="1">IF(Table1[//]="","",SUMIF(Table1[h_id],Table1[h_id],Table1[h_hargasetelahdiskon]))</f>
        <v/>
      </c>
      <c r="AE169" s="283"/>
      <c r="AF169" s="283" t="str">
        <f>Table1[[#This Row],[Item Description]]&amp;Table1[[#This Row],[Unit]]&amp;Table1[[#This Row],[Unit Price]]</f>
        <v/>
      </c>
    </row>
    <row r="170" spans="1:32" x14ac:dyDescent="0.25">
      <c r="A170" s="287" t="str">
        <f ca="1">IF(Table1[[#This Row],[No. Invoice :]]="","",ROW())</f>
        <v/>
      </c>
      <c r="B170" s="287" t="str">
        <f ca="1">IF(Table1[h_Kode Sales :_1]="","",B$1+COUNT(INDIRECT("B$2:B"&amp;ROW()-1)))</f>
        <v/>
      </c>
      <c r="C170" s="281" t="str">
        <f>IF(Table1[[#This Row],[H_TGL]]="","",Table1[[#This Row],[H_TGL]]+C$1-1)</f>
        <v/>
      </c>
      <c r="H170" s="287" t="str">
        <f ca="1">IF(Table1[[#This Row],[h_No. Invoice :]]="","",CONCATENATE("AM"," ",Table1[[#This Row],[h_No. Invoice :]]))</f>
        <v/>
      </c>
      <c r="I170" s="288" t="str">
        <f>CONCATENATE(UPPER(Table1[[#This Row],[h_Kode Sales :_1]])," ",Table1[[#This Row],[h_Kode Sales :_2]])</f>
        <v xml:space="preserve"> </v>
      </c>
      <c r="J170" s="287" t="str">
        <f>IF(Table1[[#This Row],[h_toko]]="","",INDEX(Table2[e],IF(Table1[[#This Row],[h_toko]]="","",MATCH(Table1[[#This Row],[h_toko]],Table2[a],0)),))</f>
        <v/>
      </c>
      <c r="O170" s="287" t="str">
        <f>IF(Table1[[#This Row],[h_Item Description]]="","",INDEX([1]!db[NB PAJAK],MATCH(Table1[[#This Row],[h_Item Description]],[1]!db[kode],0)))</f>
        <v/>
      </c>
      <c r="Q170" s="283"/>
      <c r="R170" s="284"/>
      <c r="T170" s="283" t="str">
        <f>Table1[[#This Row],[h_hargasetelahdiskon]]</f>
        <v/>
      </c>
      <c r="W170" s="287" t="str">
        <f ca="1">IF(Table1[[#This Row],[Item Description]]="","",IF(Table1[[#This Row],[//]]="",INDIRECT(ADDRESS(ROW()-1,COLUMN())),Table1[[#This Row],[//]]))</f>
        <v/>
      </c>
      <c r="X170" s="287" t="str">
        <f ca="1">IF(Table1[[#This Row],[h_id]]="","",COUNTIF(Table1[h_id],Table1[[#This Row],[h_id]]))</f>
        <v/>
      </c>
      <c r="Y170" s="283" t="str">
        <f>IF(Table1[Item Description]="","",Table1[[#This Row],[Qty]]*Table1[[#This Row],[Unit Price]])</f>
        <v/>
      </c>
      <c r="Z170" s="283" t="str">
        <f>IF(Table1[[#This Row],[h_hargasebelumdiskon]]="","",IF(Table1[[#This Row],[Disc 1]]="",0,Table1[[#This Row],[h_hargasebelumdiskon]]*Table1[[#This Row],[Disc 1]]))</f>
        <v/>
      </c>
      <c r="AA170" s="283" t="str">
        <f>IF(Table1[[#This Row],[h_hargasebelumdiskon]]="","",IF(Table1[[#This Row],[Disc 2]]="",0,(Table1[[#This Row],[h_hargasebelumdiskon]]-Table1[[#This Row],[h_disc 1]])*Table1[[#This Row],[Disc 2]]))</f>
        <v/>
      </c>
      <c r="AB170" s="283" t="str">
        <f>IF(Table1[Item Description]="","",Table1[[#This Row],[h_disc 1]]+Table1[[#This Row],[h_disc 2]])</f>
        <v/>
      </c>
      <c r="AC170" s="283" t="str">
        <f>IF(Table1[Item Description]="","",Table1[[#This Row],[h_hargasebelumdiskon]]-Table1[[#This Row],[h_diskon]])</f>
        <v/>
      </c>
      <c r="AD170" s="283" t="str">
        <f ca="1">IF(Table1[//]="","",SUMIF(Table1[h_id],Table1[h_id],Table1[h_hargasetelahdiskon]))</f>
        <v/>
      </c>
      <c r="AE170" s="283"/>
      <c r="AF170" s="283" t="str">
        <f>Table1[[#This Row],[Item Description]]&amp;Table1[[#This Row],[Unit]]&amp;Table1[[#This Row],[Unit Price]]</f>
        <v/>
      </c>
    </row>
    <row r="171" spans="1:32" x14ac:dyDescent="0.25">
      <c r="A171" s="287" t="str">
        <f ca="1">IF(Table1[[#This Row],[No. Invoice :]]="","",ROW())</f>
        <v/>
      </c>
      <c r="B171" s="287" t="str">
        <f ca="1">IF(Table1[h_Kode Sales :_1]="","",B$1+COUNT(INDIRECT("B$2:B"&amp;ROW()-1)))</f>
        <v/>
      </c>
      <c r="C171" s="281" t="str">
        <f>IF(Table1[[#This Row],[H_TGL]]="","",Table1[[#This Row],[H_TGL]]+C$1-1)</f>
        <v/>
      </c>
      <c r="H171" s="287" t="str">
        <f ca="1">IF(Table1[[#This Row],[h_No. Invoice :]]="","",CONCATENATE("AM"," ",Table1[[#This Row],[h_No. Invoice :]]))</f>
        <v/>
      </c>
      <c r="I171" s="288" t="str">
        <f>CONCATENATE(UPPER(Table1[[#This Row],[h_Kode Sales :_1]])," ",Table1[[#This Row],[h_Kode Sales :_2]])</f>
        <v xml:space="preserve"> </v>
      </c>
      <c r="J171" s="287" t="str">
        <f>IF(Table1[[#This Row],[h_toko]]="","",INDEX(Table2[e],IF(Table1[[#This Row],[h_toko]]="","",MATCH(Table1[[#This Row],[h_toko]],Table2[a],0)),))</f>
        <v/>
      </c>
      <c r="O171" s="287" t="str">
        <f>IF(Table1[[#This Row],[h_Item Description]]="","",INDEX([1]!db[NB PAJAK],MATCH(Table1[[#This Row],[h_Item Description]],[1]!db[kode],0)))</f>
        <v/>
      </c>
      <c r="Q171" s="283"/>
      <c r="R171" s="284"/>
      <c r="T171" s="283" t="str">
        <f>Table1[[#This Row],[h_hargasetelahdiskon]]</f>
        <v/>
      </c>
      <c r="W171" s="287" t="str">
        <f ca="1">IF(Table1[[#This Row],[Item Description]]="","",IF(Table1[[#This Row],[//]]="",INDIRECT(ADDRESS(ROW()-1,COLUMN())),Table1[[#This Row],[//]]))</f>
        <v/>
      </c>
      <c r="X171" s="287" t="str">
        <f ca="1">IF(Table1[[#This Row],[h_id]]="","",COUNTIF(Table1[h_id],Table1[[#This Row],[h_id]]))</f>
        <v/>
      </c>
      <c r="Y171" s="283" t="str">
        <f>IF(Table1[Item Description]="","",Table1[[#This Row],[Qty]]*Table1[[#This Row],[Unit Price]])</f>
        <v/>
      </c>
      <c r="Z171" s="283" t="str">
        <f>IF(Table1[[#This Row],[h_hargasebelumdiskon]]="","",IF(Table1[[#This Row],[Disc 1]]="",0,Table1[[#This Row],[h_hargasebelumdiskon]]*Table1[[#This Row],[Disc 1]]))</f>
        <v/>
      </c>
      <c r="AA171" s="283" t="str">
        <f>IF(Table1[[#This Row],[h_hargasebelumdiskon]]="","",IF(Table1[[#This Row],[Disc 2]]="",0,(Table1[[#This Row],[h_hargasebelumdiskon]]-Table1[[#This Row],[h_disc 1]])*Table1[[#This Row],[Disc 2]]))</f>
        <v/>
      </c>
      <c r="AB171" s="283" t="str">
        <f>IF(Table1[Item Description]="","",Table1[[#This Row],[h_disc 1]]+Table1[[#This Row],[h_disc 2]])</f>
        <v/>
      </c>
      <c r="AC171" s="283" t="str">
        <f>IF(Table1[Item Description]="","",Table1[[#This Row],[h_hargasebelumdiskon]]-Table1[[#This Row],[h_diskon]])</f>
        <v/>
      </c>
      <c r="AD171" s="283" t="str">
        <f ca="1">IF(Table1[//]="","",SUMIF(Table1[h_id],Table1[h_id],Table1[h_hargasetelahdiskon]))</f>
        <v/>
      </c>
      <c r="AE171" s="283"/>
      <c r="AF171" s="283" t="str">
        <f>Table1[[#This Row],[Item Description]]&amp;Table1[[#This Row],[Unit]]&amp;Table1[[#This Row],[Unit Price]]</f>
        <v/>
      </c>
    </row>
    <row r="172" spans="1:32" x14ac:dyDescent="0.25">
      <c r="A172" s="287" t="str">
        <f ca="1">IF(Table1[[#This Row],[No. Invoice :]]="","",ROW())</f>
        <v/>
      </c>
      <c r="B172" s="287" t="str">
        <f ca="1">IF(Table1[h_Kode Sales :_1]="","",B$1+COUNT(INDIRECT("B$2:B"&amp;ROW()-1)))</f>
        <v/>
      </c>
      <c r="C172" s="281" t="str">
        <f>IF(Table1[[#This Row],[H_TGL]]="","",Table1[[#This Row],[H_TGL]]+C$1-1)</f>
        <v/>
      </c>
      <c r="H172" s="287" t="str">
        <f ca="1">IF(Table1[[#This Row],[h_No. Invoice :]]="","",CONCATENATE("AM"," ",Table1[[#This Row],[h_No. Invoice :]]))</f>
        <v/>
      </c>
      <c r="I172" s="288" t="str">
        <f>CONCATENATE(UPPER(Table1[[#This Row],[h_Kode Sales :_1]])," ",Table1[[#This Row],[h_Kode Sales :_2]])</f>
        <v xml:space="preserve"> </v>
      </c>
      <c r="J172" s="287" t="str">
        <f>IF(Table1[[#This Row],[h_toko]]="","",INDEX(Table2[e],IF(Table1[[#This Row],[h_toko]]="","",MATCH(Table1[[#This Row],[h_toko]],Table2[a],0)),))</f>
        <v/>
      </c>
      <c r="O172" s="287" t="str">
        <f>IF(Table1[[#This Row],[h_Item Description]]="","",INDEX([1]!db[NB PAJAK],MATCH(Table1[[#This Row],[h_Item Description]],[1]!db[kode],0)))</f>
        <v/>
      </c>
      <c r="Q172" s="283"/>
      <c r="R172" s="284"/>
      <c r="T172" s="283" t="str">
        <f>Table1[[#This Row],[h_hargasetelahdiskon]]</f>
        <v/>
      </c>
      <c r="W172" s="287" t="str">
        <f ca="1">IF(Table1[[#This Row],[Item Description]]="","",IF(Table1[[#This Row],[//]]="",INDIRECT(ADDRESS(ROW()-1,COLUMN())),Table1[[#This Row],[//]]))</f>
        <v/>
      </c>
      <c r="X172" s="287" t="str">
        <f ca="1">IF(Table1[[#This Row],[h_id]]="","",COUNTIF(Table1[h_id],Table1[[#This Row],[h_id]]))</f>
        <v/>
      </c>
      <c r="Y172" s="283" t="str">
        <f>IF(Table1[Item Description]="","",Table1[[#This Row],[Qty]]*Table1[[#This Row],[Unit Price]])</f>
        <v/>
      </c>
      <c r="Z172" s="283" t="str">
        <f>IF(Table1[[#This Row],[h_hargasebelumdiskon]]="","",IF(Table1[[#This Row],[Disc 1]]="",0,Table1[[#This Row],[h_hargasebelumdiskon]]*Table1[[#This Row],[Disc 1]]))</f>
        <v/>
      </c>
      <c r="AA172" s="283" t="str">
        <f>IF(Table1[[#This Row],[h_hargasebelumdiskon]]="","",IF(Table1[[#This Row],[Disc 2]]="",0,(Table1[[#This Row],[h_hargasebelumdiskon]]-Table1[[#This Row],[h_disc 1]])*Table1[[#This Row],[Disc 2]]))</f>
        <v/>
      </c>
      <c r="AB172" s="283" t="str">
        <f>IF(Table1[Item Description]="","",Table1[[#This Row],[h_disc 1]]+Table1[[#This Row],[h_disc 2]])</f>
        <v/>
      </c>
      <c r="AC172" s="283" t="str">
        <f>IF(Table1[Item Description]="","",Table1[[#This Row],[h_hargasebelumdiskon]]-Table1[[#This Row],[h_diskon]])</f>
        <v/>
      </c>
      <c r="AD172" s="283" t="str">
        <f ca="1">IF(Table1[//]="","",SUMIF(Table1[h_id],Table1[h_id],Table1[h_hargasetelahdiskon]))</f>
        <v/>
      </c>
      <c r="AE172" s="283"/>
      <c r="AF172" s="283" t="str">
        <f>Table1[[#This Row],[Item Description]]&amp;Table1[[#This Row],[Unit]]&amp;Table1[[#This Row],[Unit Price]]</f>
        <v/>
      </c>
    </row>
    <row r="173" spans="1:32" x14ac:dyDescent="0.25">
      <c r="A173" s="287" t="str">
        <f ca="1">IF(Table1[[#This Row],[No. Invoice :]]="","",ROW())</f>
        <v/>
      </c>
      <c r="B173" s="287" t="str">
        <f ca="1">IF(Table1[h_Kode Sales :_1]="","",B$1+COUNT(INDIRECT("B$2:B"&amp;ROW()-1)))</f>
        <v/>
      </c>
      <c r="C173" s="281" t="str">
        <f>IF(Table1[[#This Row],[H_TGL]]="","",Table1[[#This Row],[H_TGL]]+C$1-1)</f>
        <v/>
      </c>
      <c r="H173" s="287" t="str">
        <f ca="1">IF(Table1[[#This Row],[h_No. Invoice :]]="","",CONCATENATE("AM"," ",Table1[[#This Row],[h_No. Invoice :]]))</f>
        <v/>
      </c>
      <c r="I173" s="288" t="str">
        <f>CONCATENATE(UPPER(Table1[[#This Row],[h_Kode Sales :_1]])," ",Table1[[#This Row],[h_Kode Sales :_2]])</f>
        <v xml:space="preserve"> </v>
      </c>
      <c r="J173" s="287" t="str">
        <f>IF(Table1[[#This Row],[h_toko]]="","",INDEX(Table2[e],IF(Table1[[#This Row],[h_toko]]="","",MATCH(Table1[[#This Row],[h_toko]],Table2[a],0)),))</f>
        <v/>
      </c>
      <c r="O173" s="287" t="str">
        <f>IF(Table1[[#This Row],[h_Item Description]]="","",INDEX([1]!db[NB PAJAK],MATCH(Table1[[#This Row],[h_Item Description]],[1]!db[kode],0)))</f>
        <v/>
      </c>
      <c r="Q173" s="283"/>
      <c r="R173" s="284"/>
      <c r="T173" s="283" t="str">
        <f>Table1[[#This Row],[h_hargasetelahdiskon]]</f>
        <v/>
      </c>
      <c r="W173" s="287" t="str">
        <f ca="1">IF(Table1[[#This Row],[Item Description]]="","",IF(Table1[[#This Row],[//]]="",INDIRECT(ADDRESS(ROW()-1,COLUMN())),Table1[[#This Row],[//]]))</f>
        <v/>
      </c>
      <c r="X173" s="287" t="str">
        <f ca="1">IF(Table1[[#This Row],[h_id]]="","",COUNTIF(Table1[h_id],Table1[[#This Row],[h_id]]))</f>
        <v/>
      </c>
      <c r="Y173" s="283" t="str">
        <f>IF(Table1[Item Description]="","",Table1[[#This Row],[Qty]]*Table1[[#This Row],[Unit Price]])</f>
        <v/>
      </c>
      <c r="Z173" s="283" t="str">
        <f>IF(Table1[[#This Row],[h_hargasebelumdiskon]]="","",IF(Table1[[#This Row],[Disc 1]]="",0,Table1[[#This Row],[h_hargasebelumdiskon]]*Table1[[#This Row],[Disc 1]]))</f>
        <v/>
      </c>
      <c r="AA173" s="283" t="str">
        <f>IF(Table1[[#This Row],[h_hargasebelumdiskon]]="","",IF(Table1[[#This Row],[Disc 2]]="",0,(Table1[[#This Row],[h_hargasebelumdiskon]]-Table1[[#This Row],[h_disc 1]])*Table1[[#This Row],[Disc 2]]))</f>
        <v/>
      </c>
      <c r="AB173" s="283" t="str">
        <f>IF(Table1[Item Description]="","",Table1[[#This Row],[h_disc 1]]+Table1[[#This Row],[h_disc 2]])</f>
        <v/>
      </c>
      <c r="AC173" s="283" t="str">
        <f>IF(Table1[Item Description]="","",Table1[[#This Row],[h_hargasebelumdiskon]]-Table1[[#This Row],[h_diskon]])</f>
        <v/>
      </c>
      <c r="AD173" s="283" t="str">
        <f ca="1">IF(Table1[//]="","",SUMIF(Table1[h_id],Table1[h_id],Table1[h_hargasetelahdiskon]))</f>
        <v/>
      </c>
      <c r="AE173" s="283"/>
      <c r="AF173" s="283" t="str">
        <f>Table1[[#This Row],[Item Description]]&amp;Table1[[#This Row],[Unit]]&amp;Table1[[#This Row],[Unit Price]]</f>
        <v/>
      </c>
    </row>
    <row r="174" spans="1:32" x14ac:dyDescent="0.25">
      <c r="A174" s="287" t="str">
        <f ca="1">IF(Table1[[#This Row],[No. Invoice :]]="","",ROW())</f>
        <v/>
      </c>
      <c r="B174" s="287" t="str">
        <f ca="1">IF(Table1[h_Kode Sales :_1]="","",B$1+COUNT(INDIRECT("B$2:B"&amp;ROW()-1)))</f>
        <v/>
      </c>
      <c r="C174" s="281" t="str">
        <f>IF(Table1[[#This Row],[H_TGL]]="","",Table1[[#This Row],[H_TGL]]+C$1-1)</f>
        <v/>
      </c>
      <c r="H174" s="287" t="str">
        <f ca="1">IF(Table1[[#This Row],[h_No. Invoice :]]="","",CONCATENATE("AM"," ",Table1[[#This Row],[h_No. Invoice :]]))</f>
        <v/>
      </c>
      <c r="I174" s="288" t="str">
        <f>CONCATENATE(UPPER(Table1[[#This Row],[h_Kode Sales :_1]])," ",Table1[[#This Row],[h_Kode Sales :_2]])</f>
        <v xml:space="preserve"> </v>
      </c>
      <c r="J174" s="287" t="str">
        <f>IF(Table1[[#This Row],[h_toko]]="","",INDEX(Table2[e],IF(Table1[[#This Row],[h_toko]]="","",MATCH(Table1[[#This Row],[h_toko]],Table2[a],0)),))</f>
        <v/>
      </c>
      <c r="O174" s="287" t="str">
        <f>IF(Table1[[#This Row],[h_Item Description]]="","",INDEX([1]!db[NB PAJAK],MATCH(Table1[[#This Row],[h_Item Description]],[1]!db[kode],0)))</f>
        <v/>
      </c>
      <c r="Q174" s="283"/>
      <c r="R174" s="284"/>
      <c r="T174" s="283" t="str">
        <f>Table1[[#This Row],[h_hargasetelahdiskon]]</f>
        <v/>
      </c>
      <c r="W174" s="287" t="str">
        <f ca="1">IF(Table1[[#This Row],[Item Description]]="","",IF(Table1[[#This Row],[//]]="",INDIRECT(ADDRESS(ROW()-1,COLUMN())),Table1[[#This Row],[//]]))</f>
        <v/>
      </c>
      <c r="X174" s="287" t="str">
        <f ca="1">IF(Table1[[#This Row],[h_id]]="","",COUNTIF(Table1[h_id],Table1[[#This Row],[h_id]]))</f>
        <v/>
      </c>
      <c r="Y174" s="283" t="str">
        <f>IF(Table1[Item Description]="","",Table1[[#This Row],[Qty]]*Table1[[#This Row],[Unit Price]])</f>
        <v/>
      </c>
      <c r="Z174" s="283" t="str">
        <f>IF(Table1[[#This Row],[h_hargasebelumdiskon]]="","",IF(Table1[[#This Row],[Disc 1]]="",0,Table1[[#This Row],[h_hargasebelumdiskon]]*Table1[[#This Row],[Disc 1]]))</f>
        <v/>
      </c>
      <c r="AA174" s="283" t="str">
        <f>IF(Table1[[#This Row],[h_hargasebelumdiskon]]="","",IF(Table1[[#This Row],[Disc 2]]="",0,(Table1[[#This Row],[h_hargasebelumdiskon]]-Table1[[#This Row],[h_disc 1]])*Table1[[#This Row],[Disc 2]]))</f>
        <v/>
      </c>
      <c r="AB174" s="283" t="str">
        <f>IF(Table1[Item Description]="","",Table1[[#This Row],[h_disc 1]]+Table1[[#This Row],[h_disc 2]])</f>
        <v/>
      </c>
      <c r="AC174" s="283" t="str">
        <f>IF(Table1[Item Description]="","",Table1[[#This Row],[h_hargasebelumdiskon]]-Table1[[#This Row],[h_diskon]])</f>
        <v/>
      </c>
      <c r="AD174" s="283" t="str">
        <f ca="1">IF(Table1[//]="","",SUMIF(Table1[h_id],Table1[h_id],Table1[h_hargasetelahdiskon]))</f>
        <v/>
      </c>
      <c r="AE174" s="283"/>
      <c r="AF174" s="283" t="str">
        <f>Table1[[#This Row],[Item Description]]&amp;Table1[[#This Row],[Unit]]&amp;Table1[[#This Row],[Unit Price]]</f>
        <v/>
      </c>
    </row>
    <row r="175" spans="1:32" x14ac:dyDescent="0.25">
      <c r="A175" s="287" t="str">
        <f ca="1">IF(Table1[[#This Row],[No. Invoice :]]="","",ROW())</f>
        <v/>
      </c>
      <c r="B175" s="287" t="str">
        <f ca="1">IF(Table1[h_Kode Sales :_1]="","",B$1+COUNT(INDIRECT("B$2:B"&amp;ROW()-1)))</f>
        <v/>
      </c>
      <c r="C175" s="281" t="str">
        <f>IF(Table1[[#This Row],[H_TGL]]="","",Table1[[#This Row],[H_TGL]]+C$1-1)</f>
        <v/>
      </c>
      <c r="H175" s="287" t="str">
        <f ca="1">IF(Table1[[#This Row],[h_No. Invoice :]]="","",CONCATENATE("AM"," ",Table1[[#This Row],[h_No. Invoice :]]))</f>
        <v/>
      </c>
      <c r="I175" s="288" t="str">
        <f>CONCATENATE(UPPER(Table1[[#This Row],[h_Kode Sales :_1]])," ",Table1[[#This Row],[h_Kode Sales :_2]])</f>
        <v xml:space="preserve"> </v>
      </c>
      <c r="J175" s="287" t="str">
        <f>IF(Table1[[#This Row],[h_toko]]="","",INDEX(Table2[e],IF(Table1[[#This Row],[h_toko]]="","",MATCH(Table1[[#This Row],[h_toko]],Table2[a],0)),))</f>
        <v/>
      </c>
      <c r="O175" s="287" t="str">
        <f>IF(Table1[[#This Row],[h_Item Description]]="","",INDEX([1]!db[NB PAJAK],MATCH(Table1[[#This Row],[h_Item Description]],[1]!db[kode],0)))</f>
        <v/>
      </c>
      <c r="Q175" s="283"/>
      <c r="R175" s="284"/>
      <c r="T175" s="283" t="str">
        <f>Table1[[#This Row],[h_hargasetelahdiskon]]</f>
        <v/>
      </c>
      <c r="W175" s="287" t="str">
        <f ca="1">IF(Table1[[#This Row],[Item Description]]="","",IF(Table1[[#This Row],[//]]="",INDIRECT(ADDRESS(ROW()-1,COLUMN())),Table1[[#This Row],[//]]))</f>
        <v/>
      </c>
      <c r="X175" s="287" t="str">
        <f ca="1">IF(Table1[[#This Row],[h_id]]="","",COUNTIF(Table1[h_id],Table1[[#This Row],[h_id]]))</f>
        <v/>
      </c>
      <c r="Y175" s="283" t="str">
        <f>IF(Table1[Item Description]="","",Table1[[#This Row],[Qty]]*Table1[[#This Row],[Unit Price]])</f>
        <v/>
      </c>
      <c r="Z175" s="283" t="str">
        <f>IF(Table1[[#This Row],[h_hargasebelumdiskon]]="","",IF(Table1[[#This Row],[Disc 1]]="",0,Table1[[#This Row],[h_hargasebelumdiskon]]*Table1[[#This Row],[Disc 1]]))</f>
        <v/>
      </c>
      <c r="AA175" s="283" t="str">
        <f>IF(Table1[[#This Row],[h_hargasebelumdiskon]]="","",IF(Table1[[#This Row],[Disc 2]]="",0,(Table1[[#This Row],[h_hargasebelumdiskon]]-Table1[[#This Row],[h_disc 1]])*Table1[[#This Row],[Disc 2]]))</f>
        <v/>
      </c>
      <c r="AB175" s="283" t="str">
        <f>IF(Table1[Item Description]="","",Table1[[#This Row],[h_disc 1]]+Table1[[#This Row],[h_disc 2]])</f>
        <v/>
      </c>
      <c r="AC175" s="283" t="str">
        <f>IF(Table1[Item Description]="","",Table1[[#This Row],[h_hargasebelumdiskon]]-Table1[[#This Row],[h_diskon]])</f>
        <v/>
      </c>
      <c r="AD175" s="283" t="str">
        <f ca="1">IF(Table1[//]="","",SUMIF(Table1[h_id],Table1[h_id],Table1[h_hargasetelahdiskon]))</f>
        <v/>
      </c>
      <c r="AE175" s="283"/>
      <c r="AF175" s="283" t="str">
        <f>Table1[[#This Row],[Item Description]]&amp;Table1[[#This Row],[Unit]]&amp;Table1[[#This Row],[Unit Price]]</f>
        <v/>
      </c>
    </row>
    <row r="176" spans="1:32" ht="16.5" x14ac:dyDescent="0.25">
      <c r="A176" s="287" t="str">
        <f ca="1">IF(Table1[[#This Row],[No. Invoice :]]="","",ROW())</f>
        <v/>
      </c>
      <c r="B176" s="287" t="str">
        <f ca="1">IF(Table1[h_Kode Sales :_1]="","",B$1+COUNT(INDIRECT("B$2:B"&amp;ROW()-1)))</f>
        <v/>
      </c>
      <c r="C176" s="281" t="str">
        <f>IF(Table1[[#This Row],[H_TGL]]="","",Table1[[#This Row],[H_TGL]]+C$1-1)</f>
        <v/>
      </c>
      <c r="H176" s="287" t="str">
        <f ca="1">IF(Table1[[#This Row],[h_No. Invoice :]]="","",CONCATENATE("AM"," ",Table1[[#This Row],[h_No. Invoice :]]))</f>
        <v/>
      </c>
      <c r="I176" s="288" t="str">
        <f>CONCATENATE(UPPER(Table1[[#This Row],[h_Kode Sales :_1]])," ",Table1[[#This Row],[h_Kode Sales :_2]])</f>
        <v xml:space="preserve"> </v>
      </c>
      <c r="J176" s="287" t="str">
        <f>IF(Table1[[#This Row],[h_toko]]="","",INDEX(Table2[e],IF(Table1[[#This Row],[h_toko]]="","",MATCH(Table1[[#This Row],[h_toko]],Table2[a],0)),))</f>
        <v/>
      </c>
      <c r="O176" s="287" t="str">
        <f>IF(Table1[[#This Row],[h_Item Description]]="","",INDEX([1]!db[NB PAJAK],MATCH(Table1[[#This Row],[h_Item Description]],[1]!db[kode],0)))</f>
        <v/>
      </c>
      <c r="P176" s="290"/>
      <c r="Q176" s="283"/>
      <c r="R176" s="284"/>
      <c r="T176" s="283" t="str">
        <f>Table1[[#This Row],[h_hargasetelahdiskon]]</f>
        <v/>
      </c>
      <c r="W176" s="287" t="str">
        <f ca="1">IF(Table1[[#This Row],[Item Description]]="","",IF(Table1[[#This Row],[//]]="",INDIRECT(ADDRESS(ROW()-1,COLUMN())),Table1[[#This Row],[//]]))</f>
        <v/>
      </c>
      <c r="X176" s="287" t="str">
        <f ca="1">IF(Table1[[#This Row],[h_id]]="","",COUNTIF(Table1[h_id],Table1[[#This Row],[h_id]]))</f>
        <v/>
      </c>
      <c r="Y176" s="283" t="str">
        <f>IF(Table1[Item Description]="","",Table1[[#This Row],[Qty]]*Table1[[#This Row],[Unit Price]])</f>
        <v/>
      </c>
      <c r="Z176" s="283" t="str">
        <f>IF(Table1[[#This Row],[h_hargasebelumdiskon]]="","",IF(Table1[[#This Row],[Disc 1]]="",0,Table1[[#This Row],[h_hargasebelumdiskon]]*Table1[[#This Row],[Disc 1]]))</f>
        <v/>
      </c>
      <c r="AA176" s="283" t="str">
        <f>IF(Table1[[#This Row],[h_hargasebelumdiskon]]="","",IF(Table1[[#This Row],[Disc 2]]="",0,(Table1[[#This Row],[h_hargasebelumdiskon]]-Table1[[#This Row],[h_disc 1]])*Table1[[#This Row],[Disc 2]]))</f>
        <v/>
      </c>
      <c r="AB176" s="283" t="str">
        <f>IF(Table1[Item Description]="","",Table1[[#This Row],[h_disc 1]]+Table1[[#This Row],[h_disc 2]])</f>
        <v/>
      </c>
      <c r="AC176" s="283" t="str">
        <f>IF(Table1[Item Description]="","",Table1[[#This Row],[h_hargasebelumdiskon]]-Table1[[#This Row],[h_diskon]])</f>
        <v/>
      </c>
      <c r="AD176" s="283" t="str">
        <f ca="1">IF(Table1[//]="","",SUMIF(Table1[h_id],Table1[h_id],Table1[h_hargasetelahdiskon]))</f>
        <v/>
      </c>
      <c r="AE176" s="283"/>
      <c r="AF176" s="283" t="str">
        <f>Table1[[#This Row],[Item Description]]&amp;Table1[[#This Row],[Unit]]&amp;Table1[[#This Row],[Unit Price]]</f>
        <v/>
      </c>
    </row>
    <row r="177" spans="1:32" x14ac:dyDescent="0.25">
      <c r="A177" s="287" t="str">
        <f ca="1">IF(Table1[[#This Row],[No. Invoice :]]="","",ROW())</f>
        <v/>
      </c>
      <c r="B177" s="287" t="str">
        <f ca="1">IF(Table1[h_Kode Sales :_1]="","",B$1+COUNT(INDIRECT("B$2:B"&amp;ROW()-1)))</f>
        <v/>
      </c>
      <c r="C177" s="281" t="str">
        <f>IF(Table1[[#This Row],[H_TGL]]="","",Table1[[#This Row],[H_TGL]]+C$1-1)</f>
        <v/>
      </c>
      <c r="H177" s="287" t="str">
        <f ca="1">IF(Table1[[#This Row],[h_No. Invoice :]]="","",CONCATENATE("AM"," ",Table1[[#This Row],[h_No. Invoice :]]))</f>
        <v/>
      </c>
      <c r="I177" s="288" t="str">
        <f>CONCATENATE(UPPER(Table1[[#This Row],[h_Kode Sales :_1]])," ",Table1[[#This Row],[h_Kode Sales :_2]])</f>
        <v xml:space="preserve"> </v>
      </c>
      <c r="J177" s="287" t="str">
        <f>IF(Table1[[#This Row],[h_toko]]="","",INDEX(Table2[e],IF(Table1[[#This Row],[h_toko]]="","",MATCH(Table1[[#This Row],[h_toko]],Table2[a],0)),))</f>
        <v/>
      </c>
      <c r="O177" s="287" t="str">
        <f>IF(Table1[[#This Row],[h_Item Description]]="","",INDEX([1]!db[NB PAJAK],MATCH(Table1[[#This Row],[h_Item Description]],[1]!db[kode],0)))</f>
        <v/>
      </c>
      <c r="Q177" s="283"/>
      <c r="R177" s="284"/>
      <c r="T177" s="283" t="str">
        <f>Table1[[#This Row],[h_hargasetelahdiskon]]</f>
        <v/>
      </c>
      <c r="W177" s="287" t="str">
        <f ca="1">IF(Table1[[#This Row],[Item Description]]="","",IF(Table1[[#This Row],[//]]="",INDIRECT(ADDRESS(ROW()-1,COLUMN())),Table1[[#This Row],[//]]))</f>
        <v/>
      </c>
      <c r="X177" s="287" t="str">
        <f ca="1">IF(Table1[[#This Row],[h_id]]="","",COUNTIF(Table1[h_id],Table1[[#This Row],[h_id]]))</f>
        <v/>
      </c>
      <c r="Y177" s="283" t="str">
        <f>IF(Table1[Item Description]="","",Table1[[#This Row],[Qty]]*Table1[[#This Row],[Unit Price]])</f>
        <v/>
      </c>
      <c r="Z177" s="283" t="str">
        <f>IF(Table1[[#This Row],[h_hargasebelumdiskon]]="","",IF(Table1[[#This Row],[Disc 1]]="",0,Table1[[#This Row],[h_hargasebelumdiskon]]*Table1[[#This Row],[Disc 1]]))</f>
        <v/>
      </c>
      <c r="AA177" s="283" t="str">
        <f>IF(Table1[[#This Row],[h_hargasebelumdiskon]]="","",IF(Table1[[#This Row],[Disc 2]]="",0,(Table1[[#This Row],[h_hargasebelumdiskon]]-Table1[[#This Row],[h_disc 1]])*Table1[[#This Row],[Disc 2]]))</f>
        <v/>
      </c>
      <c r="AB177" s="283" t="str">
        <f>IF(Table1[Item Description]="","",Table1[[#This Row],[h_disc 1]]+Table1[[#This Row],[h_disc 2]])</f>
        <v/>
      </c>
      <c r="AC177" s="283" t="str">
        <f>IF(Table1[Item Description]="","",Table1[[#This Row],[h_hargasebelumdiskon]]-Table1[[#This Row],[h_diskon]])</f>
        <v/>
      </c>
      <c r="AD177" s="283" t="str">
        <f ca="1">IF(Table1[//]="","",SUMIF(Table1[h_id],Table1[h_id],Table1[h_hargasetelahdiskon]))</f>
        <v/>
      </c>
      <c r="AE177" s="283"/>
      <c r="AF177" s="283" t="str">
        <f>Table1[[#This Row],[Item Description]]&amp;Table1[[#This Row],[Unit]]&amp;Table1[[#This Row],[Unit Price]]</f>
        <v/>
      </c>
    </row>
    <row r="178" spans="1:32" x14ac:dyDescent="0.25">
      <c r="A178" s="287" t="str">
        <f ca="1">IF(Table1[[#This Row],[No. Invoice :]]="","",ROW())</f>
        <v/>
      </c>
      <c r="B178" s="287" t="str">
        <f ca="1">IF(Table1[h_Kode Sales :_1]="","",B$1+COUNT(INDIRECT("B$2:B"&amp;ROW()-1)))</f>
        <v/>
      </c>
      <c r="C178" s="281" t="str">
        <f>IF(Table1[[#This Row],[H_TGL]]="","",Table1[[#This Row],[H_TGL]]+C$1-1)</f>
        <v/>
      </c>
      <c r="H178" s="287" t="str">
        <f ca="1">IF(Table1[[#This Row],[h_No. Invoice :]]="","",CONCATENATE("AM"," ",Table1[[#This Row],[h_No. Invoice :]]))</f>
        <v/>
      </c>
      <c r="I178" s="288" t="str">
        <f>CONCATENATE(UPPER(Table1[[#This Row],[h_Kode Sales :_1]])," ",Table1[[#This Row],[h_Kode Sales :_2]])</f>
        <v xml:space="preserve"> </v>
      </c>
      <c r="J178" s="287" t="str">
        <f>IF(Table1[[#This Row],[h_toko]]="","",INDEX(Table2[e],IF(Table1[[#This Row],[h_toko]]="","",MATCH(Table1[[#This Row],[h_toko]],Table2[a],0)),))</f>
        <v/>
      </c>
      <c r="O178" s="287" t="str">
        <f>IF(Table1[[#This Row],[h_Item Description]]="","",INDEX([1]!db[NB PAJAK],MATCH(Table1[[#This Row],[h_Item Description]],[1]!db[kode],0)))</f>
        <v/>
      </c>
      <c r="Q178" s="283"/>
      <c r="R178" s="284"/>
      <c r="T178" s="283" t="str">
        <f>Table1[[#This Row],[h_hargasetelahdiskon]]</f>
        <v/>
      </c>
      <c r="W178" s="287" t="str">
        <f ca="1">IF(Table1[[#This Row],[Item Description]]="","",IF(Table1[[#This Row],[//]]="",INDIRECT(ADDRESS(ROW()-1,COLUMN())),Table1[[#This Row],[//]]))</f>
        <v/>
      </c>
      <c r="X178" s="287" t="str">
        <f ca="1">IF(Table1[[#This Row],[h_id]]="","",COUNTIF(Table1[h_id],Table1[[#This Row],[h_id]]))</f>
        <v/>
      </c>
      <c r="Y178" s="283" t="str">
        <f>IF(Table1[Item Description]="","",Table1[[#This Row],[Qty]]*Table1[[#This Row],[Unit Price]])</f>
        <v/>
      </c>
      <c r="Z178" s="283" t="str">
        <f>IF(Table1[[#This Row],[h_hargasebelumdiskon]]="","",IF(Table1[[#This Row],[Disc 1]]="",0,Table1[[#This Row],[h_hargasebelumdiskon]]*Table1[[#This Row],[Disc 1]]))</f>
        <v/>
      </c>
      <c r="AA178" s="283" t="str">
        <f>IF(Table1[[#This Row],[h_hargasebelumdiskon]]="","",IF(Table1[[#This Row],[Disc 2]]="",0,(Table1[[#This Row],[h_hargasebelumdiskon]]-Table1[[#This Row],[h_disc 1]])*Table1[[#This Row],[Disc 2]]))</f>
        <v/>
      </c>
      <c r="AB178" s="283" t="str">
        <f>IF(Table1[Item Description]="","",Table1[[#This Row],[h_disc 1]]+Table1[[#This Row],[h_disc 2]])</f>
        <v/>
      </c>
      <c r="AC178" s="283" t="str">
        <f>IF(Table1[Item Description]="","",Table1[[#This Row],[h_hargasebelumdiskon]]-Table1[[#This Row],[h_diskon]])</f>
        <v/>
      </c>
      <c r="AD178" s="283" t="str">
        <f ca="1">IF(Table1[//]="","",SUMIF(Table1[h_id],Table1[h_id],Table1[h_hargasetelahdiskon]))</f>
        <v/>
      </c>
      <c r="AE178" s="283"/>
      <c r="AF178" s="283" t="str">
        <f>Table1[[#This Row],[Item Description]]&amp;Table1[[#This Row],[Unit]]&amp;Table1[[#This Row],[Unit Price]]</f>
        <v/>
      </c>
    </row>
    <row r="179" spans="1:32" x14ac:dyDescent="0.25">
      <c r="A179" s="287" t="str">
        <f ca="1">IF(Table1[[#This Row],[No. Invoice :]]="","",ROW())</f>
        <v/>
      </c>
      <c r="B179" s="287" t="str">
        <f ca="1">IF(Table1[h_Kode Sales :_1]="","",B$1+COUNT(INDIRECT("B$2:B"&amp;ROW()-1)))</f>
        <v/>
      </c>
      <c r="C179" s="281" t="str">
        <f>IF(Table1[[#This Row],[H_TGL]]="","",Table1[[#This Row],[H_TGL]]+C$1-1)</f>
        <v/>
      </c>
      <c r="H179" s="287" t="str">
        <f ca="1">IF(Table1[[#This Row],[h_No. Invoice :]]="","",CONCATENATE("AM"," ",Table1[[#This Row],[h_No. Invoice :]]))</f>
        <v/>
      </c>
      <c r="I179" s="288" t="str">
        <f>CONCATENATE(UPPER(Table1[[#This Row],[h_Kode Sales :_1]])," ",Table1[[#This Row],[h_Kode Sales :_2]])</f>
        <v xml:space="preserve"> </v>
      </c>
      <c r="J179" s="287" t="str">
        <f>IF(Table1[[#This Row],[h_toko]]="","",INDEX(Table2[e],IF(Table1[[#This Row],[h_toko]]="","",MATCH(Table1[[#This Row],[h_toko]],Table2[a],0)),))</f>
        <v/>
      </c>
      <c r="O179" s="287" t="s">
        <v>127</v>
      </c>
      <c r="Q179" s="283"/>
      <c r="R179" s="284"/>
      <c r="T179" s="283" t="str">
        <f>Table1[[#This Row],[h_hargasetelahdiskon]]</f>
        <v/>
      </c>
      <c r="W179" s="287" t="str">
        <f ca="1">IF(Table1[[#This Row],[Item Description]]="","",IF(Table1[[#This Row],[//]]="",INDIRECT(ADDRESS(ROW()-1,COLUMN())),Table1[[#This Row],[//]]))</f>
        <v/>
      </c>
      <c r="X179" s="287" t="str">
        <f ca="1">IF(Table1[[#This Row],[h_id]]="","",COUNTIF(Table1[h_id],Table1[[#This Row],[h_id]]))</f>
        <v/>
      </c>
      <c r="Y179" s="283" t="str">
        <f>IF(Table1[Item Description]="","",Table1[[#This Row],[Qty]]*Table1[[#This Row],[Unit Price]])</f>
        <v/>
      </c>
      <c r="Z179" s="283" t="str">
        <f>IF(Table1[[#This Row],[h_hargasebelumdiskon]]="","",IF(Table1[[#This Row],[Disc 1]]="",0,Table1[[#This Row],[h_hargasebelumdiskon]]*Table1[[#This Row],[Disc 1]]))</f>
        <v/>
      </c>
      <c r="AA179" s="283" t="str">
        <f>IF(Table1[[#This Row],[h_hargasebelumdiskon]]="","",IF(Table1[[#This Row],[Disc 2]]="",0,(Table1[[#This Row],[h_hargasebelumdiskon]]-Table1[[#This Row],[h_disc 1]])*Table1[[#This Row],[Disc 2]]))</f>
        <v/>
      </c>
      <c r="AB179" s="283" t="str">
        <f>IF(Table1[Item Description]="","",Table1[[#This Row],[h_disc 1]]+Table1[[#This Row],[h_disc 2]])</f>
        <v/>
      </c>
      <c r="AC179" s="283" t="str">
        <f>IF(Table1[Item Description]="","",Table1[[#This Row],[h_hargasebelumdiskon]]-Table1[[#This Row],[h_diskon]])</f>
        <v/>
      </c>
      <c r="AD179" s="283" t="str">
        <f ca="1">IF(Table1[//]="","",SUMIF(Table1[h_id],Table1[h_id],Table1[h_hargasetelahdiskon]))</f>
        <v/>
      </c>
      <c r="AE179" s="283"/>
      <c r="AF179" s="283" t="str">
        <f>Table1[[#This Row],[Item Description]]&amp;Table1[[#This Row],[Unit]]&amp;Table1[[#This Row],[Unit Price]]</f>
        <v/>
      </c>
    </row>
    <row r="180" spans="1:32" x14ac:dyDescent="0.25">
      <c r="A180" s="287" t="str">
        <f ca="1">IF(Table1[[#This Row],[No. Invoice :]]="","",ROW())</f>
        <v/>
      </c>
      <c r="B180" s="287" t="str">
        <f ca="1">IF(Table1[h_Kode Sales :_1]="","",B$1+COUNT(INDIRECT("B$2:B"&amp;ROW()-1)))</f>
        <v/>
      </c>
      <c r="C180" s="281" t="str">
        <f>IF(Table1[[#This Row],[H_TGL]]="","",Table1[[#This Row],[H_TGL]]+C$1-1)</f>
        <v/>
      </c>
      <c r="H180" s="287" t="str">
        <f ca="1">IF(Table1[[#This Row],[h_No. Invoice :]]="","",CONCATENATE("AM"," ",Table1[[#This Row],[h_No. Invoice :]]))</f>
        <v/>
      </c>
      <c r="I180" s="288" t="str">
        <f>CONCATENATE(UPPER(Table1[[#This Row],[h_Kode Sales :_1]])," ",Table1[[#This Row],[h_Kode Sales :_2]])</f>
        <v xml:space="preserve"> </v>
      </c>
      <c r="J180" s="287" t="str">
        <f>IF(Table1[[#This Row],[h_toko]]="","",INDEX(Table2[e],IF(Table1[[#This Row],[h_toko]]="","",MATCH(Table1[[#This Row],[h_toko]],Table2[a],0)),))</f>
        <v/>
      </c>
      <c r="O180" s="287" t="str">
        <f>IF(Table1[[#This Row],[h_Item Description]]="","",INDEX([1]!db[NB PAJAK],MATCH(Table1[[#This Row],[h_Item Description]],[1]!db[kode],0)))</f>
        <v/>
      </c>
      <c r="Q180" s="283"/>
      <c r="R180" s="284"/>
      <c r="T180" s="283" t="str">
        <f>Table1[[#This Row],[h_hargasetelahdiskon]]</f>
        <v/>
      </c>
      <c r="W180" s="287" t="str">
        <f ca="1">IF(Table1[[#This Row],[Item Description]]="","",IF(Table1[[#This Row],[//]]="",INDIRECT(ADDRESS(ROW()-1,COLUMN())),Table1[[#This Row],[//]]))</f>
        <v/>
      </c>
      <c r="X180" s="287" t="str">
        <f ca="1">IF(Table1[[#This Row],[h_id]]="","",COUNTIF(Table1[h_id],Table1[[#This Row],[h_id]]))</f>
        <v/>
      </c>
      <c r="Y180" s="283" t="str">
        <f>IF(Table1[Item Description]="","",Table1[[#This Row],[Qty]]*Table1[[#This Row],[Unit Price]])</f>
        <v/>
      </c>
      <c r="Z180" s="283" t="str">
        <f>IF(Table1[[#This Row],[h_hargasebelumdiskon]]="","",IF(Table1[[#This Row],[Disc 1]]="",0,Table1[[#This Row],[h_hargasebelumdiskon]]*Table1[[#This Row],[Disc 1]]))</f>
        <v/>
      </c>
      <c r="AA180" s="283" t="str">
        <f>IF(Table1[[#This Row],[h_hargasebelumdiskon]]="","",IF(Table1[[#This Row],[Disc 2]]="",0,(Table1[[#This Row],[h_hargasebelumdiskon]]-Table1[[#This Row],[h_disc 1]])*Table1[[#This Row],[Disc 2]]))</f>
        <v/>
      </c>
      <c r="AB180" s="283" t="str">
        <f>IF(Table1[Item Description]="","",Table1[[#This Row],[h_disc 1]]+Table1[[#This Row],[h_disc 2]])</f>
        <v/>
      </c>
      <c r="AC180" s="283" t="str">
        <f>IF(Table1[Item Description]="","",Table1[[#This Row],[h_hargasebelumdiskon]]-Table1[[#This Row],[h_diskon]])</f>
        <v/>
      </c>
      <c r="AD180" s="283" t="str">
        <f ca="1">IF(Table1[//]="","",SUMIF(Table1[h_id],Table1[h_id],Table1[h_hargasetelahdiskon]))</f>
        <v/>
      </c>
      <c r="AE180" s="283"/>
      <c r="AF180" s="283" t="str">
        <f>Table1[[#This Row],[Item Description]]&amp;Table1[[#This Row],[Unit]]&amp;Table1[[#This Row],[Unit Price]]</f>
        <v/>
      </c>
    </row>
    <row r="181" spans="1:32" x14ac:dyDescent="0.25">
      <c r="A181" s="287" t="str">
        <f ca="1">IF(Table1[[#This Row],[No. Invoice :]]="","",ROW())</f>
        <v/>
      </c>
      <c r="B181" s="287" t="str">
        <f ca="1">IF(Table1[h_Kode Sales :_1]="","",B$1+COUNT(INDIRECT("B$2:B"&amp;ROW()-1)))</f>
        <v/>
      </c>
      <c r="C181" s="281" t="str">
        <f>IF(Table1[[#This Row],[H_TGL]]="","",Table1[[#This Row],[H_TGL]]+C$1-1)</f>
        <v/>
      </c>
      <c r="H181" s="287" t="str">
        <f ca="1">IF(Table1[[#This Row],[h_No. Invoice :]]="","",CONCATENATE("AM"," ",Table1[[#This Row],[h_No. Invoice :]]))</f>
        <v/>
      </c>
      <c r="I181" s="288" t="str">
        <f>CONCATENATE(UPPER(Table1[[#This Row],[h_Kode Sales :_1]])," ",Table1[[#This Row],[h_Kode Sales :_2]])</f>
        <v xml:space="preserve"> </v>
      </c>
      <c r="J181" s="287" t="str">
        <f>IF(Table1[[#This Row],[h_toko]]="","",INDEX(Table2[e],IF(Table1[[#This Row],[h_toko]]="","",MATCH(Table1[[#This Row],[h_toko]],Table2[a],0)),))</f>
        <v/>
      </c>
      <c r="O181" s="287" t="str">
        <f>IF(Table1[[#This Row],[h_Item Description]]="","",INDEX([1]!db[NB PAJAK],MATCH(Table1[[#This Row],[h_Item Description]],[1]!db[kode],0)))</f>
        <v/>
      </c>
      <c r="Q181" s="283"/>
      <c r="R181" s="284"/>
      <c r="T181" s="283" t="str">
        <f>Table1[[#This Row],[h_hargasetelahdiskon]]</f>
        <v/>
      </c>
      <c r="W181" s="287" t="str">
        <f ca="1">IF(Table1[[#This Row],[Item Description]]="","",IF(Table1[[#This Row],[//]]="",INDIRECT(ADDRESS(ROW()-1,COLUMN())),Table1[[#This Row],[//]]))</f>
        <v/>
      </c>
      <c r="X181" s="287" t="str">
        <f ca="1">IF(Table1[[#This Row],[h_id]]="","",COUNTIF(Table1[h_id],Table1[[#This Row],[h_id]]))</f>
        <v/>
      </c>
      <c r="Y181" s="283" t="str">
        <f>IF(Table1[Item Description]="","",Table1[[#This Row],[Qty]]*Table1[[#This Row],[Unit Price]])</f>
        <v/>
      </c>
      <c r="Z181" s="283" t="str">
        <f>IF(Table1[[#This Row],[h_hargasebelumdiskon]]="","",IF(Table1[[#This Row],[Disc 1]]="",0,Table1[[#This Row],[h_hargasebelumdiskon]]*Table1[[#This Row],[Disc 1]]))</f>
        <v/>
      </c>
      <c r="AA181" s="283" t="str">
        <f>IF(Table1[[#This Row],[h_hargasebelumdiskon]]="","",IF(Table1[[#This Row],[Disc 2]]="",0,(Table1[[#This Row],[h_hargasebelumdiskon]]-Table1[[#This Row],[h_disc 1]])*Table1[[#This Row],[Disc 2]]))</f>
        <v/>
      </c>
      <c r="AB181" s="283" t="str">
        <f>IF(Table1[Item Description]="","",Table1[[#This Row],[h_disc 1]]+Table1[[#This Row],[h_disc 2]])</f>
        <v/>
      </c>
      <c r="AC181" s="283" t="str">
        <f>IF(Table1[Item Description]="","",Table1[[#This Row],[h_hargasebelumdiskon]]-Table1[[#This Row],[h_diskon]])</f>
        <v/>
      </c>
      <c r="AD181" s="283" t="str">
        <f ca="1">IF(Table1[//]="","",SUMIF(Table1[h_id],Table1[h_id],Table1[h_hargasetelahdiskon]))</f>
        <v/>
      </c>
      <c r="AE181" s="283"/>
      <c r="AF181" s="283" t="str">
        <f>Table1[[#This Row],[Item Description]]&amp;Table1[[#This Row],[Unit]]&amp;Table1[[#This Row],[Unit Price]]</f>
        <v/>
      </c>
    </row>
    <row r="182" spans="1:32" x14ac:dyDescent="0.25">
      <c r="A182" s="287" t="str">
        <f ca="1">IF(Table1[[#This Row],[No. Invoice :]]="","",ROW())</f>
        <v/>
      </c>
      <c r="B182" s="287" t="str">
        <f ca="1">IF(Table1[h_Kode Sales :_1]="","",B$1+COUNT(INDIRECT("B$2:B"&amp;ROW()-1)))</f>
        <v/>
      </c>
      <c r="C182" s="281" t="str">
        <f>IF(Table1[[#This Row],[H_TGL]]="","",Table1[[#This Row],[H_TGL]]+C$1-1)</f>
        <v/>
      </c>
      <c r="H182" s="287" t="str">
        <f ca="1">IF(Table1[[#This Row],[h_No. Invoice :]]="","",CONCATENATE("AM"," ",Table1[[#This Row],[h_No. Invoice :]]))</f>
        <v/>
      </c>
      <c r="I182" s="288" t="str">
        <f>CONCATENATE(UPPER(Table1[[#This Row],[h_Kode Sales :_1]])," ",Table1[[#This Row],[h_Kode Sales :_2]])</f>
        <v xml:space="preserve"> </v>
      </c>
      <c r="J182" s="287" t="str">
        <f>IF(Table1[[#This Row],[h_toko]]="","",INDEX(Table2[e],IF(Table1[[#This Row],[h_toko]]="","",MATCH(Table1[[#This Row],[h_toko]],Table2[a],0)),))</f>
        <v/>
      </c>
      <c r="O182" s="287" t="str">
        <f>IF(Table1[[#This Row],[h_Item Description]]="","",INDEX([1]!db[NB PAJAK],MATCH(Table1[[#This Row],[h_Item Description]],[1]!db[kode],0)))</f>
        <v/>
      </c>
      <c r="Q182" s="283"/>
      <c r="R182" s="284"/>
      <c r="T182" s="283" t="str">
        <f>Table1[[#This Row],[h_hargasetelahdiskon]]</f>
        <v/>
      </c>
      <c r="W182" s="287" t="str">
        <f ca="1">IF(Table1[[#This Row],[Item Description]]="","",IF(Table1[[#This Row],[//]]="",INDIRECT(ADDRESS(ROW()-1,COLUMN())),Table1[[#This Row],[//]]))</f>
        <v/>
      </c>
      <c r="X182" s="287" t="str">
        <f ca="1">IF(Table1[[#This Row],[h_id]]="","",COUNTIF(Table1[h_id],Table1[[#This Row],[h_id]]))</f>
        <v/>
      </c>
      <c r="Y182" s="283" t="str">
        <f>IF(Table1[Item Description]="","",Table1[[#This Row],[Qty]]*Table1[[#This Row],[Unit Price]])</f>
        <v/>
      </c>
      <c r="Z182" s="283" t="str">
        <f>IF(Table1[[#This Row],[h_hargasebelumdiskon]]="","",IF(Table1[[#This Row],[Disc 1]]="",0,Table1[[#This Row],[h_hargasebelumdiskon]]*Table1[[#This Row],[Disc 1]]))</f>
        <v/>
      </c>
      <c r="AA182" s="283" t="str">
        <f>IF(Table1[[#This Row],[h_hargasebelumdiskon]]="","",IF(Table1[[#This Row],[Disc 2]]="",0,(Table1[[#This Row],[h_hargasebelumdiskon]]-Table1[[#This Row],[h_disc 1]])*Table1[[#This Row],[Disc 2]]))</f>
        <v/>
      </c>
      <c r="AB182" s="283" t="str">
        <f>IF(Table1[Item Description]="","",Table1[[#This Row],[h_disc 1]]+Table1[[#This Row],[h_disc 2]])</f>
        <v/>
      </c>
      <c r="AC182" s="283" t="str">
        <f>IF(Table1[Item Description]="","",Table1[[#This Row],[h_hargasebelumdiskon]]-Table1[[#This Row],[h_diskon]])</f>
        <v/>
      </c>
      <c r="AD182" s="283" t="str">
        <f ca="1">IF(Table1[//]="","",SUMIF(Table1[h_id],Table1[h_id],Table1[h_hargasetelahdiskon]))</f>
        <v/>
      </c>
      <c r="AE182" s="283"/>
      <c r="AF182" s="283" t="str">
        <f>Table1[[#This Row],[Item Description]]&amp;Table1[[#This Row],[Unit]]&amp;Table1[[#This Row],[Unit Price]]</f>
        <v/>
      </c>
    </row>
    <row r="183" spans="1:32" x14ac:dyDescent="0.25">
      <c r="A183" s="287" t="str">
        <f ca="1">IF(Table1[[#This Row],[No. Invoice :]]="","",ROW())</f>
        <v/>
      </c>
      <c r="B183" s="287" t="str">
        <f ca="1">IF(Table1[h_Kode Sales :_1]="","",B$1+COUNT(INDIRECT("B$2:B"&amp;ROW()-1)))</f>
        <v/>
      </c>
      <c r="C183" s="281" t="str">
        <f>IF(Table1[[#This Row],[H_TGL]]="","",Table1[[#This Row],[H_TGL]]+C$1-1)</f>
        <v/>
      </c>
      <c r="H183" s="287" t="str">
        <f ca="1">IF(Table1[[#This Row],[h_No. Invoice :]]="","",CONCATENATE("AM"," ",Table1[[#This Row],[h_No. Invoice :]]))</f>
        <v/>
      </c>
      <c r="I183" s="288" t="str">
        <f>CONCATENATE(UPPER(Table1[[#This Row],[h_Kode Sales :_1]])," ",Table1[[#This Row],[h_Kode Sales :_2]])</f>
        <v xml:space="preserve"> </v>
      </c>
      <c r="J183" s="287" t="str">
        <f>IF(Table1[[#This Row],[h_toko]]="","",INDEX(Table2[e],IF(Table1[[#This Row],[h_toko]]="","",MATCH(Table1[[#This Row],[h_toko]],Table2[a],0)),))</f>
        <v/>
      </c>
      <c r="O183" s="287" t="str">
        <f>IF(Table1[[#This Row],[h_Item Description]]="","",INDEX([1]!db[NB PAJAK],MATCH(Table1[[#This Row],[h_Item Description]],[1]!db[kode],0)))</f>
        <v/>
      </c>
      <c r="Q183" s="283"/>
      <c r="R183" s="284"/>
      <c r="T183" s="283" t="str">
        <f>Table1[[#This Row],[h_hargasetelahdiskon]]</f>
        <v/>
      </c>
      <c r="W183" s="287" t="str">
        <f ca="1">IF(Table1[[#This Row],[Item Description]]="","",IF(Table1[[#This Row],[//]]="",INDIRECT(ADDRESS(ROW()-1,COLUMN())),Table1[[#This Row],[//]]))</f>
        <v/>
      </c>
      <c r="X183" s="287" t="str">
        <f ca="1">IF(Table1[[#This Row],[h_id]]="","",COUNTIF(Table1[h_id],Table1[[#This Row],[h_id]]))</f>
        <v/>
      </c>
      <c r="Y183" s="283" t="str">
        <f>IF(Table1[Item Description]="","",Table1[[#This Row],[Qty]]*Table1[[#This Row],[Unit Price]])</f>
        <v/>
      </c>
      <c r="Z183" s="283" t="str">
        <f>IF(Table1[[#This Row],[h_hargasebelumdiskon]]="","",IF(Table1[[#This Row],[Disc 1]]="",0,Table1[[#This Row],[h_hargasebelumdiskon]]*Table1[[#This Row],[Disc 1]]))</f>
        <v/>
      </c>
      <c r="AA183" s="283" t="str">
        <f>IF(Table1[[#This Row],[h_hargasebelumdiskon]]="","",IF(Table1[[#This Row],[Disc 2]]="",0,(Table1[[#This Row],[h_hargasebelumdiskon]]-Table1[[#This Row],[h_disc 1]])*Table1[[#This Row],[Disc 2]]))</f>
        <v/>
      </c>
      <c r="AB183" s="283" t="str">
        <f>IF(Table1[Item Description]="","",Table1[[#This Row],[h_disc 1]]+Table1[[#This Row],[h_disc 2]])</f>
        <v/>
      </c>
      <c r="AC183" s="283" t="str">
        <f>IF(Table1[Item Description]="","",Table1[[#This Row],[h_hargasebelumdiskon]]-Table1[[#This Row],[h_diskon]])</f>
        <v/>
      </c>
      <c r="AD183" s="283" t="str">
        <f ca="1">IF(Table1[//]="","",SUMIF(Table1[h_id],Table1[h_id],Table1[h_hargasetelahdiskon]))</f>
        <v/>
      </c>
      <c r="AE183" s="283"/>
      <c r="AF183" s="283" t="str">
        <f>Table1[[#This Row],[Item Description]]&amp;Table1[[#This Row],[Unit]]&amp;Table1[[#This Row],[Unit Price]]</f>
        <v/>
      </c>
    </row>
    <row r="184" spans="1:32" x14ac:dyDescent="0.25">
      <c r="A184" s="287" t="str">
        <f ca="1">IF(Table1[[#This Row],[No. Invoice :]]="","",ROW())</f>
        <v/>
      </c>
      <c r="B184" s="287" t="str">
        <f ca="1">IF(Table1[h_Kode Sales :_1]="","",B$1+COUNT(INDIRECT("B$2:B"&amp;ROW()-1)))</f>
        <v/>
      </c>
      <c r="C184" s="281" t="str">
        <f>IF(Table1[[#This Row],[H_TGL]]="","",Table1[[#This Row],[H_TGL]]+C$1-1)</f>
        <v/>
      </c>
      <c r="H184" s="287" t="str">
        <f ca="1">IF(Table1[[#This Row],[h_No. Invoice :]]="","",CONCATENATE("AM"," ",Table1[[#This Row],[h_No. Invoice :]]))</f>
        <v/>
      </c>
      <c r="I184" s="288" t="str">
        <f>CONCATENATE(UPPER(Table1[[#This Row],[h_Kode Sales :_1]])," ",Table1[[#This Row],[h_Kode Sales :_2]])</f>
        <v xml:space="preserve"> </v>
      </c>
      <c r="J184" s="287" t="str">
        <f>IF(Table1[[#This Row],[h_toko]]="","",INDEX(Table2[e],IF(Table1[[#This Row],[h_toko]]="","",MATCH(Table1[[#This Row],[h_toko]],Table2[a],0)),))</f>
        <v/>
      </c>
      <c r="O184" s="287" t="str">
        <f>IF(Table1[[#This Row],[h_Item Description]]="","",INDEX([1]!db[NB PAJAK],MATCH(Table1[[#This Row],[h_Item Description]],[1]!db[kode],0)))</f>
        <v/>
      </c>
      <c r="Q184" s="283"/>
      <c r="R184" s="284"/>
      <c r="T184" s="283" t="str">
        <f>Table1[[#This Row],[h_hargasetelahdiskon]]</f>
        <v/>
      </c>
      <c r="W184" s="287" t="str">
        <f ca="1">IF(Table1[[#This Row],[Item Description]]="","",IF(Table1[[#This Row],[//]]="",INDIRECT(ADDRESS(ROW()-1,COLUMN())),Table1[[#This Row],[//]]))</f>
        <v/>
      </c>
      <c r="X184" s="287" t="str">
        <f ca="1">IF(Table1[[#This Row],[h_id]]="","",COUNTIF(Table1[h_id],Table1[[#This Row],[h_id]]))</f>
        <v/>
      </c>
      <c r="Y184" s="283" t="str">
        <f>IF(Table1[Item Description]="","",Table1[[#This Row],[Qty]]*Table1[[#This Row],[Unit Price]])</f>
        <v/>
      </c>
      <c r="Z184" s="283" t="str">
        <f>IF(Table1[[#This Row],[h_hargasebelumdiskon]]="","",IF(Table1[[#This Row],[Disc 1]]="",0,Table1[[#This Row],[h_hargasebelumdiskon]]*Table1[[#This Row],[Disc 1]]))</f>
        <v/>
      </c>
      <c r="AA184" s="283" t="str">
        <f>IF(Table1[[#This Row],[h_hargasebelumdiskon]]="","",IF(Table1[[#This Row],[Disc 2]]="",0,(Table1[[#This Row],[h_hargasebelumdiskon]]-Table1[[#This Row],[h_disc 1]])*Table1[[#This Row],[Disc 2]]))</f>
        <v/>
      </c>
      <c r="AB184" s="283" t="str">
        <f>IF(Table1[Item Description]="","",Table1[[#This Row],[h_disc 1]]+Table1[[#This Row],[h_disc 2]])</f>
        <v/>
      </c>
      <c r="AC184" s="283" t="str">
        <f>IF(Table1[Item Description]="","",Table1[[#This Row],[h_hargasebelumdiskon]]-Table1[[#This Row],[h_diskon]])</f>
        <v/>
      </c>
      <c r="AD184" s="283" t="str">
        <f ca="1">IF(Table1[//]="","",SUMIF(Table1[h_id],Table1[h_id],Table1[h_hargasetelahdiskon]))</f>
        <v/>
      </c>
      <c r="AE184" s="283"/>
      <c r="AF184" s="283" t="str">
        <f>Table1[[#This Row],[Item Description]]&amp;Table1[[#This Row],[Unit]]&amp;Table1[[#This Row],[Unit Price]]</f>
        <v/>
      </c>
    </row>
    <row r="185" spans="1:32" x14ac:dyDescent="0.25">
      <c r="A185" s="287" t="str">
        <f ca="1">IF(Table1[[#This Row],[No. Invoice :]]="","",ROW())</f>
        <v/>
      </c>
      <c r="B185" s="287" t="str">
        <f ca="1">IF(Table1[h_Kode Sales :_1]="","",B$1+COUNT(INDIRECT("B$2:B"&amp;ROW()-1)))</f>
        <v/>
      </c>
      <c r="C185" s="281" t="str">
        <f>IF(Table1[[#This Row],[H_TGL]]="","",Table1[[#This Row],[H_TGL]]+C$1-1)</f>
        <v/>
      </c>
      <c r="H185" s="287" t="str">
        <f ca="1">IF(Table1[[#This Row],[h_No. Invoice :]]="","",CONCATENATE("AM"," ",Table1[[#This Row],[h_No. Invoice :]]))</f>
        <v/>
      </c>
      <c r="I185" s="288" t="str">
        <f>CONCATENATE(UPPER(Table1[[#This Row],[h_Kode Sales :_1]])," ",Table1[[#This Row],[h_Kode Sales :_2]])</f>
        <v xml:space="preserve"> </v>
      </c>
      <c r="J185" s="287" t="str">
        <f>IF(Table1[[#This Row],[h_toko]]="","",INDEX(Table2[e],IF(Table1[[#This Row],[h_toko]]="","",MATCH(Table1[[#This Row],[h_toko]],Table2[a],0)),))</f>
        <v/>
      </c>
      <c r="O185" s="287" t="str">
        <f>IF(Table1[[#This Row],[h_Item Description]]="","",INDEX([1]!db[NB PAJAK],MATCH(Table1[[#This Row],[h_Item Description]],[1]!db[kode],0)))</f>
        <v/>
      </c>
      <c r="Q185" s="283"/>
      <c r="R185" s="284"/>
      <c r="T185" s="283" t="str">
        <f>Table1[[#This Row],[h_hargasetelahdiskon]]</f>
        <v/>
      </c>
      <c r="W185" s="287" t="str">
        <f ca="1">IF(Table1[[#This Row],[Item Description]]="","",IF(Table1[[#This Row],[//]]="",INDIRECT(ADDRESS(ROW()-1,COLUMN())),Table1[[#This Row],[//]]))</f>
        <v/>
      </c>
      <c r="X185" s="287" t="str">
        <f ca="1">IF(Table1[[#This Row],[h_id]]="","",COUNTIF(Table1[h_id],Table1[[#This Row],[h_id]]))</f>
        <v/>
      </c>
      <c r="Y185" s="283" t="str">
        <f>IF(Table1[Item Description]="","",Table1[[#This Row],[Qty]]*Table1[[#This Row],[Unit Price]])</f>
        <v/>
      </c>
      <c r="Z185" s="283" t="str">
        <f>IF(Table1[[#This Row],[h_hargasebelumdiskon]]="","",IF(Table1[[#This Row],[Disc 1]]="",0,Table1[[#This Row],[h_hargasebelumdiskon]]*Table1[[#This Row],[Disc 1]]))</f>
        <v/>
      </c>
      <c r="AA185" s="283" t="str">
        <f>IF(Table1[[#This Row],[h_hargasebelumdiskon]]="","",IF(Table1[[#This Row],[Disc 2]]="",0,(Table1[[#This Row],[h_hargasebelumdiskon]]-Table1[[#This Row],[h_disc 1]])*Table1[[#This Row],[Disc 2]]))</f>
        <v/>
      </c>
      <c r="AB185" s="283" t="str">
        <f>IF(Table1[Item Description]="","",Table1[[#This Row],[h_disc 1]]+Table1[[#This Row],[h_disc 2]])</f>
        <v/>
      </c>
      <c r="AC185" s="283" t="str">
        <f>IF(Table1[Item Description]="","",Table1[[#This Row],[h_hargasebelumdiskon]]-Table1[[#This Row],[h_diskon]])</f>
        <v/>
      </c>
      <c r="AD185" s="283" t="str">
        <f ca="1">IF(Table1[//]="","",SUMIF(Table1[h_id],Table1[h_id],Table1[h_hargasetelahdiskon]))</f>
        <v/>
      </c>
      <c r="AE185" s="283"/>
      <c r="AF185" s="283" t="str">
        <f>Table1[[#This Row],[Item Description]]&amp;Table1[[#This Row],[Unit]]&amp;Table1[[#This Row],[Unit Price]]</f>
        <v/>
      </c>
    </row>
    <row r="186" spans="1:32" x14ac:dyDescent="0.25">
      <c r="A186" s="287" t="str">
        <f ca="1">IF(Table1[[#This Row],[No. Invoice :]]="","",ROW())</f>
        <v/>
      </c>
      <c r="B186" s="287" t="str">
        <f ca="1">IF(Table1[h_Kode Sales :_1]="","",B$1+COUNT(INDIRECT("B$2:B"&amp;ROW()-1)))</f>
        <v/>
      </c>
      <c r="C186" s="281" t="str">
        <f>IF(Table1[[#This Row],[H_TGL]]="","",Table1[[#This Row],[H_TGL]]+C$1-1)</f>
        <v/>
      </c>
      <c r="H186" s="287" t="str">
        <f ca="1">IF(Table1[[#This Row],[h_No. Invoice :]]="","",CONCATENATE("AM"," ",Table1[[#This Row],[h_No. Invoice :]]))</f>
        <v/>
      </c>
      <c r="I186" s="288" t="str">
        <f>CONCATENATE(UPPER(Table1[[#This Row],[h_Kode Sales :_1]])," ",Table1[[#This Row],[h_Kode Sales :_2]])</f>
        <v xml:space="preserve"> </v>
      </c>
      <c r="J186" s="287" t="str">
        <f>IF(Table1[[#This Row],[h_toko]]="","",INDEX(Table2[e],IF(Table1[[#This Row],[h_toko]]="","",MATCH(Table1[[#This Row],[h_toko]],Table2[a],0)),))</f>
        <v/>
      </c>
      <c r="O186" s="287" t="str">
        <f>IF(Table1[[#This Row],[h_Item Description]]="","",INDEX([1]!db[NB PAJAK],MATCH(Table1[[#This Row],[h_Item Description]],[1]!db[kode],0)))</f>
        <v/>
      </c>
      <c r="Q186" s="283"/>
      <c r="R186" s="284"/>
      <c r="T186" s="283" t="str">
        <f>Table1[[#This Row],[h_hargasetelahdiskon]]</f>
        <v/>
      </c>
      <c r="W186" s="287" t="str">
        <f ca="1">IF(Table1[[#This Row],[Item Description]]="","",IF(Table1[[#This Row],[//]]="",INDIRECT(ADDRESS(ROW()-1,COLUMN())),Table1[[#This Row],[//]]))</f>
        <v/>
      </c>
      <c r="X186" s="287" t="str">
        <f ca="1">IF(Table1[[#This Row],[h_id]]="","",COUNTIF(Table1[h_id],Table1[[#This Row],[h_id]]))</f>
        <v/>
      </c>
      <c r="Y186" s="283" t="str">
        <f>IF(Table1[Item Description]="","",Table1[[#This Row],[Qty]]*Table1[[#This Row],[Unit Price]])</f>
        <v/>
      </c>
      <c r="Z186" s="283" t="str">
        <f>IF(Table1[[#This Row],[h_hargasebelumdiskon]]="","",IF(Table1[[#This Row],[Disc 1]]="",0,Table1[[#This Row],[h_hargasebelumdiskon]]*Table1[[#This Row],[Disc 1]]))</f>
        <v/>
      </c>
      <c r="AA186" s="283" t="str">
        <f>IF(Table1[[#This Row],[h_hargasebelumdiskon]]="","",IF(Table1[[#This Row],[Disc 2]]="",0,(Table1[[#This Row],[h_hargasebelumdiskon]]-Table1[[#This Row],[h_disc 1]])*Table1[[#This Row],[Disc 2]]))</f>
        <v/>
      </c>
      <c r="AB186" s="283" t="str">
        <f>IF(Table1[Item Description]="","",Table1[[#This Row],[h_disc 1]]+Table1[[#This Row],[h_disc 2]])</f>
        <v/>
      </c>
      <c r="AC186" s="283" t="str">
        <f>IF(Table1[Item Description]="","",Table1[[#This Row],[h_hargasebelumdiskon]]-Table1[[#This Row],[h_diskon]])</f>
        <v/>
      </c>
      <c r="AD186" s="283" t="str">
        <f ca="1">IF(Table1[//]="","",SUMIF(Table1[h_id],Table1[h_id],Table1[h_hargasetelahdiskon]))</f>
        <v/>
      </c>
      <c r="AE186" s="283"/>
      <c r="AF186" s="283" t="str">
        <f>Table1[[#This Row],[Item Description]]&amp;Table1[[#This Row],[Unit]]&amp;Table1[[#This Row],[Unit Price]]</f>
        <v/>
      </c>
    </row>
    <row r="187" spans="1:32" x14ac:dyDescent="0.25">
      <c r="A187" s="287" t="str">
        <f ca="1">IF(Table1[[#This Row],[No. Invoice :]]="","",ROW())</f>
        <v/>
      </c>
      <c r="B187" s="287" t="str">
        <f ca="1">IF(Table1[h_Kode Sales :_1]="","",B$1+COUNT(INDIRECT("B$2:B"&amp;ROW()-1)))</f>
        <v/>
      </c>
      <c r="C187" s="281" t="str">
        <f>IF(Table1[[#This Row],[H_TGL]]="","",Table1[[#This Row],[H_TGL]]+C$1-1)</f>
        <v/>
      </c>
      <c r="H187" s="287" t="str">
        <f ca="1">IF(Table1[[#This Row],[h_No. Invoice :]]="","",CONCATENATE("AM"," ",Table1[[#This Row],[h_No. Invoice :]]))</f>
        <v/>
      </c>
      <c r="I187" s="288" t="str">
        <f>CONCATENATE(UPPER(Table1[[#This Row],[h_Kode Sales :_1]])," ",Table1[[#This Row],[h_Kode Sales :_2]])</f>
        <v xml:space="preserve"> </v>
      </c>
      <c r="J187" s="287" t="str">
        <f>IF(Table1[[#This Row],[h_toko]]="","",INDEX(Table2[e],IF(Table1[[#This Row],[h_toko]]="","",MATCH(Table1[[#This Row],[h_toko]],Table2[a],0)),))</f>
        <v/>
      </c>
      <c r="O187" s="287" t="str">
        <f>IF(Table1[[#This Row],[h_Item Description]]="","",INDEX([1]!db[NB PAJAK],MATCH(Table1[[#This Row],[h_Item Description]],[1]!db[kode],0)))</f>
        <v/>
      </c>
      <c r="Q187" s="283"/>
      <c r="R187" s="284"/>
      <c r="T187" s="283" t="str">
        <f>Table1[[#This Row],[h_hargasetelahdiskon]]</f>
        <v/>
      </c>
      <c r="W187" s="287" t="str">
        <f ca="1">IF(Table1[[#This Row],[Item Description]]="","",IF(Table1[[#This Row],[//]]="",INDIRECT(ADDRESS(ROW()-1,COLUMN())),Table1[[#This Row],[//]]))</f>
        <v/>
      </c>
      <c r="X187" s="287" t="str">
        <f ca="1">IF(Table1[[#This Row],[h_id]]="","",COUNTIF(Table1[h_id],Table1[[#This Row],[h_id]]))</f>
        <v/>
      </c>
      <c r="Y187" s="283" t="str">
        <f>IF(Table1[Item Description]="","",Table1[[#This Row],[Qty]]*Table1[[#This Row],[Unit Price]])</f>
        <v/>
      </c>
      <c r="Z187" s="283" t="str">
        <f>IF(Table1[[#This Row],[h_hargasebelumdiskon]]="","",IF(Table1[[#This Row],[Disc 1]]="",0,Table1[[#This Row],[h_hargasebelumdiskon]]*Table1[[#This Row],[Disc 1]]))</f>
        <v/>
      </c>
      <c r="AA187" s="283" t="str">
        <f>IF(Table1[[#This Row],[h_hargasebelumdiskon]]="","",IF(Table1[[#This Row],[Disc 2]]="",0,(Table1[[#This Row],[h_hargasebelumdiskon]]-Table1[[#This Row],[h_disc 1]])*Table1[[#This Row],[Disc 2]]))</f>
        <v/>
      </c>
      <c r="AB187" s="283" t="str">
        <f>IF(Table1[Item Description]="","",Table1[[#This Row],[h_disc 1]]+Table1[[#This Row],[h_disc 2]])</f>
        <v/>
      </c>
      <c r="AC187" s="283" t="str">
        <f>IF(Table1[Item Description]="","",Table1[[#This Row],[h_hargasebelumdiskon]]-Table1[[#This Row],[h_diskon]])</f>
        <v/>
      </c>
      <c r="AD187" s="283" t="str">
        <f ca="1">IF(Table1[//]="","",SUMIF(Table1[h_id],Table1[h_id],Table1[h_hargasetelahdiskon]))</f>
        <v/>
      </c>
      <c r="AE187" s="283"/>
      <c r="AF187" s="283" t="str">
        <f>Table1[[#This Row],[Item Description]]&amp;Table1[[#This Row],[Unit]]&amp;Table1[[#This Row],[Unit Price]]</f>
        <v/>
      </c>
    </row>
    <row r="188" spans="1:32" x14ac:dyDescent="0.25">
      <c r="A188" s="287" t="str">
        <f ca="1">IF(Table1[[#This Row],[No. Invoice :]]="","",ROW())</f>
        <v/>
      </c>
      <c r="B188" s="287" t="str">
        <f ca="1">IF(Table1[h_Kode Sales :_1]="","",B$1+COUNT(INDIRECT("B$2:B"&amp;ROW()-1)))</f>
        <v/>
      </c>
      <c r="C188" s="281" t="str">
        <f>IF(Table1[[#This Row],[H_TGL]]="","",Table1[[#This Row],[H_TGL]]+C$1-1)</f>
        <v/>
      </c>
      <c r="H188" s="287" t="str">
        <f ca="1">IF(Table1[[#This Row],[h_No. Invoice :]]="","",CONCATENATE("AM"," ",Table1[[#This Row],[h_No. Invoice :]]))</f>
        <v/>
      </c>
      <c r="I188" s="288" t="str">
        <f>CONCATENATE(UPPER(Table1[[#This Row],[h_Kode Sales :_1]])," ",Table1[[#This Row],[h_Kode Sales :_2]])</f>
        <v xml:space="preserve"> </v>
      </c>
      <c r="J188" s="287" t="str">
        <f>IF(Table1[[#This Row],[h_toko]]="","",INDEX(Table2[e],IF(Table1[[#This Row],[h_toko]]="","",MATCH(Table1[[#This Row],[h_toko]],Table2[a],0)),))</f>
        <v/>
      </c>
      <c r="O188" s="287" t="str">
        <f>IF(Table1[[#This Row],[h_Item Description]]="","",INDEX([1]!db[NB PAJAK],MATCH(Table1[[#This Row],[h_Item Description]],[1]!db[kode],0)))</f>
        <v/>
      </c>
      <c r="Q188" s="283"/>
      <c r="R188" s="284"/>
      <c r="T188" s="283" t="str">
        <f>Table1[[#This Row],[h_hargasetelahdiskon]]</f>
        <v/>
      </c>
      <c r="W188" s="287" t="str">
        <f ca="1">IF(Table1[[#This Row],[Item Description]]="","",IF(Table1[[#This Row],[//]]="",INDIRECT(ADDRESS(ROW()-1,COLUMN())),Table1[[#This Row],[//]]))</f>
        <v/>
      </c>
      <c r="X188" s="287" t="str">
        <f ca="1">IF(Table1[[#This Row],[h_id]]="","",COUNTIF(Table1[h_id],Table1[[#This Row],[h_id]]))</f>
        <v/>
      </c>
      <c r="Y188" s="283" t="str">
        <f>IF(Table1[Item Description]="","",Table1[[#This Row],[Qty]]*Table1[[#This Row],[Unit Price]])</f>
        <v/>
      </c>
      <c r="Z188" s="283" t="str">
        <f>IF(Table1[[#This Row],[h_hargasebelumdiskon]]="","",IF(Table1[[#This Row],[Disc 1]]="",0,Table1[[#This Row],[h_hargasebelumdiskon]]*Table1[[#This Row],[Disc 1]]))</f>
        <v/>
      </c>
      <c r="AA188" s="283" t="str">
        <f>IF(Table1[[#This Row],[h_hargasebelumdiskon]]="","",IF(Table1[[#This Row],[Disc 2]]="",0,(Table1[[#This Row],[h_hargasebelumdiskon]]-Table1[[#This Row],[h_disc 1]])*Table1[[#This Row],[Disc 2]]))</f>
        <v/>
      </c>
      <c r="AB188" s="283" t="str">
        <f>IF(Table1[Item Description]="","",Table1[[#This Row],[h_disc 1]]+Table1[[#This Row],[h_disc 2]])</f>
        <v/>
      </c>
      <c r="AC188" s="283" t="str">
        <f>IF(Table1[Item Description]="","",Table1[[#This Row],[h_hargasebelumdiskon]]-Table1[[#This Row],[h_diskon]])</f>
        <v/>
      </c>
      <c r="AD188" s="283" t="str">
        <f ca="1">IF(Table1[//]="","",SUMIF(Table1[h_id],Table1[h_id],Table1[h_hargasetelahdiskon]))</f>
        <v/>
      </c>
      <c r="AE188" s="283"/>
      <c r="AF188" s="283" t="str">
        <f>Table1[[#This Row],[Item Description]]&amp;Table1[[#This Row],[Unit]]&amp;Table1[[#This Row],[Unit Price]]</f>
        <v/>
      </c>
    </row>
    <row r="189" spans="1:32" x14ac:dyDescent="0.25">
      <c r="A189" s="287" t="str">
        <f ca="1">IF(Table1[[#This Row],[No. Invoice :]]="","",ROW())</f>
        <v/>
      </c>
      <c r="B189" s="287" t="str">
        <f ca="1">IF(Table1[h_Kode Sales :_1]="","",B$1+COUNT(INDIRECT("B$2:B"&amp;ROW()-1)))</f>
        <v/>
      </c>
      <c r="C189" s="281" t="str">
        <f>IF(Table1[[#This Row],[H_TGL]]="","",Table1[[#This Row],[H_TGL]]+C$1-1)</f>
        <v/>
      </c>
      <c r="H189" s="287" t="str">
        <f ca="1">IF(Table1[[#This Row],[h_No. Invoice :]]="","",CONCATENATE("AM"," ",Table1[[#This Row],[h_No. Invoice :]]))</f>
        <v/>
      </c>
      <c r="I189" s="288" t="str">
        <f>CONCATENATE(UPPER(Table1[[#This Row],[h_Kode Sales :_1]])," ",Table1[[#This Row],[h_Kode Sales :_2]])</f>
        <v xml:space="preserve"> </v>
      </c>
      <c r="J189" s="287" t="str">
        <f>IF(Table1[[#This Row],[h_toko]]="","",INDEX(Table2[e],IF(Table1[[#This Row],[h_toko]]="","",MATCH(Table1[[#This Row],[h_toko]],Table2[a],0)),))</f>
        <v/>
      </c>
      <c r="O189" s="287" t="str">
        <f>IF(Table1[[#This Row],[h_Item Description]]="","",INDEX([1]!db[NB PAJAK],MATCH(Table1[[#This Row],[h_Item Description]],[1]!db[kode],0)))</f>
        <v/>
      </c>
      <c r="Q189" s="283"/>
      <c r="R189" s="284"/>
      <c r="T189" s="283" t="str">
        <f>Table1[[#This Row],[h_hargasetelahdiskon]]</f>
        <v/>
      </c>
      <c r="W189" s="287" t="str">
        <f ca="1">IF(Table1[[#This Row],[Item Description]]="","",IF(Table1[[#This Row],[//]]="",INDIRECT(ADDRESS(ROW()-1,COLUMN())),Table1[[#This Row],[//]]))</f>
        <v/>
      </c>
      <c r="X189" s="287" t="str">
        <f ca="1">IF(Table1[[#This Row],[h_id]]="","",COUNTIF(Table1[h_id],Table1[[#This Row],[h_id]]))</f>
        <v/>
      </c>
      <c r="Y189" s="283" t="str">
        <f>IF(Table1[Item Description]="","",Table1[[#This Row],[Qty]]*Table1[[#This Row],[Unit Price]])</f>
        <v/>
      </c>
      <c r="Z189" s="283" t="str">
        <f>IF(Table1[[#This Row],[h_hargasebelumdiskon]]="","",IF(Table1[[#This Row],[Disc 1]]="",0,Table1[[#This Row],[h_hargasebelumdiskon]]*Table1[[#This Row],[Disc 1]]))</f>
        <v/>
      </c>
      <c r="AA189" s="283" t="str">
        <f>IF(Table1[[#This Row],[h_hargasebelumdiskon]]="","",IF(Table1[[#This Row],[Disc 2]]="",0,(Table1[[#This Row],[h_hargasebelumdiskon]]-Table1[[#This Row],[h_disc 1]])*Table1[[#This Row],[Disc 2]]))</f>
        <v/>
      </c>
      <c r="AB189" s="283" t="str">
        <f>IF(Table1[Item Description]="","",Table1[[#This Row],[h_disc 1]]+Table1[[#This Row],[h_disc 2]])</f>
        <v/>
      </c>
      <c r="AC189" s="283" t="str">
        <f>IF(Table1[Item Description]="","",Table1[[#This Row],[h_hargasebelumdiskon]]-Table1[[#This Row],[h_diskon]])</f>
        <v/>
      </c>
      <c r="AD189" s="283" t="str">
        <f ca="1">IF(Table1[//]="","",SUMIF(Table1[h_id],Table1[h_id],Table1[h_hargasetelahdiskon]))</f>
        <v/>
      </c>
      <c r="AE189" s="283"/>
      <c r="AF189" s="283" t="str">
        <f>Table1[[#This Row],[Item Description]]&amp;Table1[[#This Row],[Unit]]&amp;Table1[[#This Row],[Unit Price]]</f>
        <v/>
      </c>
    </row>
    <row r="190" spans="1:32" x14ac:dyDescent="0.25">
      <c r="A190" s="287" t="str">
        <f ca="1">IF(Table1[[#This Row],[No. Invoice :]]="","",ROW())</f>
        <v/>
      </c>
      <c r="B190" s="287" t="str">
        <f ca="1">IF(Table1[h_Kode Sales :_1]="","",B$1+COUNT(INDIRECT("B$2:B"&amp;ROW()-1)))</f>
        <v/>
      </c>
      <c r="C190" s="281" t="str">
        <f>IF(Table1[[#This Row],[H_TGL]]="","",Table1[[#This Row],[H_TGL]]+C$1-1)</f>
        <v/>
      </c>
      <c r="H190" s="287" t="str">
        <f ca="1">IF(Table1[[#This Row],[h_No. Invoice :]]="","",CONCATENATE("AM"," ",Table1[[#This Row],[h_No. Invoice :]]))</f>
        <v/>
      </c>
      <c r="I190" s="288" t="str">
        <f>CONCATENATE(UPPER(Table1[[#This Row],[h_Kode Sales :_1]])," ",Table1[[#This Row],[h_Kode Sales :_2]])</f>
        <v xml:space="preserve"> </v>
      </c>
      <c r="J190" s="287" t="str">
        <f>IF(Table1[[#This Row],[h_toko]]="","",INDEX(Table2[e],IF(Table1[[#This Row],[h_toko]]="","",MATCH(Table1[[#This Row],[h_toko]],Table2[a],0)),))</f>
        <v/>
      </c>
      <c r="O190" s="287" t="str">
        <f>IF(Table1[[#This Row],[h_Item Description]]="","",INDEX([1]!db[NB PAJAK],MATCH(Table1[[#This Row],[h_Item Description]],[1]!db[kode],0)))</f>
        <v/>
      </c>
      <c r="Q190" s="283"/>
      <c r="R190" s="284"/>
      <c r="T190" s="283" t="str">
        <f>Table1[[#This Row],[h_hargasetelahdiskon]]</f>
        <v/>
      </c>
      <c r="W190" s="287" t="str">
        <f ca="1">IF(Table1[[#This Row],[Item Description]]="","",IF(Table1[[#This Row],[//]]="",INDIRECT(ADDRESS(ROW()-1,COLUMN())),Table1[[#This Row],[//]]))</f>
        <v/>
      </c>
      <c r="X190" s="287" t="str">
        <f ca="1">IF(Table1[[#This Row],[h_id]]="","",COUNTIF(Table1[h_id],Table1[[#This Row],[h_id]]))</f>
        <v/>
      </c>
      <c r="Y190" s="283" t="str">
        <f>IF(Table1[Item Description]="","",Table1[[#This Row],[Qty]]*Table1[[#This Row],[Unit Price]])</f>
        <v/>
      </c>
      <c r="Z190" s="283" t="str">
        <f>IF(Table1[[#This Row],[h_hargasebelumdiskon]]="","",IF(Table1[[#This Row],[Disc 1]]="",0,Table1[[#This Row],[h_hargasebelumdiskon]]*Table1[[#This Row],[Disc 1]]))</f>
        <v/>
      </c>
      <c r="AA190" s="283" t="str">
        <f>IF(Table1[[#This Row],[h_hargasebelumdiskon]]="","",IF(Table1[[#This Row],[Disc 2]]="",0,(Table1[[#This Row],[h_hargasebelumdiskon]]-Table1[[#This Row],[h_disc 1]])*Table1[[#This Row],[Disc 2]]))</f>
        <v/>
      </c>
      <c r="AB190" s="283" t="str">
        <f>IF(Table1[Item Description]="","",Table1[[#This Row],[h_disc 1]]+Table1[[#This Row],[h_disc 2]])</f>
        <v/>
      </c>
      <c r="AC190" s="283" t="str">
        <f>IF(Table1[Item Description]="","",Table1[[#This Row],[h_hargasebelumdiskon]]-Table1[[#This Row],[h_diskon]])</f>
        <v/>
      </c>
      <c r="AD190" s="283" t="str">
        <f ca="1">IF(Table1[//]="","",SUMIF(Table1[h_id],Table1[h_id],Table1[h_hargasetelahdiskon]))</f>
        <v/>
      </c>
      <c r="AE190" s="283"/>
      <c r="AF190" s="283" t="str">
        <f>Table1[[#This Row],[Item Description]]&amp;Table1[[#This Row],[Unit]]&amp;Table1[[#This Row],[Unit Price]]</f>
        <v/>
      </c>
    </row>
    <row r="191" spans="1:32" x14ac:dyDescent="0.25">
      <c r="A191" s="287" t="str">
        <f ca="1">IF(Table1[[#This Row],[No. Invoice :]]="","",ROW())</f>
        <v/>
      </c>
      <c r="B191" s="287" t="str">
        <f ca="1">IF(Table1[h_Kode Sales :_1]="","",B$1+COUNT(INDIRECT("B$2:B"&amp;ROW()-1)))</f>
        <v/>
      </c>
      <c r="C191" s="281" t="str">
        <f>IF(Table1[[#This Row],[H_TGL]]="","",Table1[[#This Row],[H_TGL]]+C$1-1)</f>
        <v/>
      </c>
      <c r="H191" s="287" t="str">
        <f ca="1">IF(Table1[[#This Row],[h_No. Invoice :]]="","",CONCATENATE("AM"," ",Table1[[#This Row],[h_No. Invoice :]]))</f>
        <v/>
      </c>
      <c r="I191" s="288" t="str">
        <f>CONCATENATE(UPPER(Table1[[#This Row],[h_Kode Sales :_1]])," ",Table1[[#This Row],[h_Kode Sales :_2]])</f>
        <v xml:space="preserve"> </v>
      </c>
      <c r="J191" s="287" t="str">
        <f>IF(Table1[[#This Row],[h_toko]]="","",INDEX(Table2[e],IF(Table1[[#This Row],[h_toko]]="","",MATCH(Table1[[#This Row],[h_toko]],Table2[a],0)),))</f>
        <v/>
      </c>
      <c r="O191" s="287" t="str">
        <f>IF(Table1[[#This Row],[h_Item Description]]="","",INDEX([1]!db[NB PAJAK],MATCH(Table1[[#This Row],[h_Item Description]],[1]!db[kode],0)))</f>
        <v/>
      </c>
      <c r="Q191" s="283"/>
      <c r="R191" s="284"/>
      <c r="T191" s="283" t="str">
        <f>Table1[[#This Row],[h_hargasetelahdiskon]]</f>
        <v/>
      </c>
      <c r="W191" s="287" t="str">
        <f ca="1">IF(Table1[[#This Row],[Item Description]]="","",IF(Table1[[#This Row],[//]]="",INDIRECT(ADDRESS(ROW()-1,COLUMN())),Table1[[#This Row],[//]]))</f>
        <v/>
      </c>
      <c r="X191" s="287" t="str">
        <f ca="1">IF(Table1[[#This Row],[h_id]]="","",COUNTIF(Table1[h_id],Table1[[#This Row],[h_id]]))</f>
        <v/>
      </c>
      <c r="Y191" s="283" t="str">
        <f>IF(Table1[Item Description]="","",Table1[[#This Row],[Qty]]*Table1[[#This Row],[Unit Price]])</f>
        <v/>
      </c>
      <c r="Z191" s="283" t="str">
        <f>IF(Table1[[#This Row],[h_hargasebelumdiskon]]="","",IF(Table1[[#This Row],[Disc 1]]="",0,Table1[[#This Row],[h_hargasebelumdiskon]]*Table1[[#This Row],[Disc 1]]))</f>
        <v/>
      </c>
      <c r="AA191" s="283" t="str">
        <f>IF(Table1[[#This Row],[h_hargasebelumdiskon]]="","",IF(Table1[[#This Row],[Disc 2]]="",0,(Table1[[#This Row],[h_hargasebelumdiskon]]-Table1[[#This Row],[h_disc 1]])*Table1[[#This Row],[Disc 2]]))</f>
        <v/>
      </c>
      <c r="AB191" s="283" t="str">
        <f>IF(Table1[Item Description]="","",Table1[[#This Row],[h_disc 1]]+Table1[[#This Row],[h_disc 2]])</f>
        <v/>
      </c>
      <c r="AC191" s="283" t="str">
        <f>IF(Table1[Item Description]="","",Table1[[#This Row],[h_hargasebelumdiskon]]-Table1[[#This Row],[h_diskon]])</f>
        <v/>
      </c>
      <c r="AD191" s="283" t="str">
        <f ca="1">IF(Table1[//]="","",SUMIF(Table1[h_id],Table1[h_id],Table1[h_hargasetelahdiskon]))</f>
        <v/>
      </c>
      <c r="AE191" s="283"/>
      <c r="AF191" s="283" t="str">
        <f>Table1[[#This Row],[Item Description]]&amp;Table1[[#This Row],[Unit]]&amp;Table1[[#This Row],[Unit Price]]</f>
        <v/>
      </c>
    </row>
    <row r="192" spans="1:32" x14ac:dyDescent="0.25">
      <c r="A192" s="287" t="str">
        <f ca="1">IF(Table1[[#This Row],[No. Invoice :]]="","",ROW())</f>
        <v/>
      </c>
      <c r="B192" s="287" t="str">
        <f ca="1">IF(Table1[h_Kode Sales :_1]="","",B$1+COUNT(INDIRECT("B$2:B"&amp;ROW()-1)))</f>
        <v/>
      </c>
      <c r="C192" s="281" t="str">
        <f>IF(Table1[[#This Row],[H_TGL]]="","",Table1[[#This Row],[H_TGL]]+C$1-1)</f>
        <v/>
      </c>
      <c r="H192" s="287" t="str">
        <f ca="1">IF(Table1[[#This Row],[h_No. Invoice :]]="","",CONCATENATE("AM"," ",Table1[[#This Row],[h_No. Invoice :]]))</f>
        <v/>
      </c>
      <c r="I192" s="288" t="str">
        <f>CONCATENATE(UPPER(Table1[[#This Row],[h_Kode Sales :_1]])," ",Table1[[#This Row],[h_Kode Sales :_2]])</f>
        <v xml:space="preserve"> </v>
      </c>
      <c r="J192" s="287" t="str">
        <f>IF(Table1[[#This Row],[h_toko]]="","",INDEX(Table2[e],IF(Table1[[#This Row],[h_toko]]="","",MATCH(Table1[[#This Row],[h_toko]],Table2[a],0)),))</f>
        <v/>
      </c>
      <c r="O192" s="287" t="str">
        <f>IF(Table1[[#This Row],[h_Item Description]]="","",INDEX([1]!db[NB PAJAK],MATCH(Table1[[#This Row],[h_Item Description]],[1]!db[kode],0)))</f>
        <v/>
      </c>
      <c r="Q192" s="283"/>
      <c r="R192" s="284"/>
      <c r="T192" s="283" t="str">
        <f>Table1[[#This Row],[h_hargasetelahdiskon]]</f>
        <v/>
      </c>
      <c r="W192" s="287" t="str">
        <f ca="1">IF(Table1[[#This Row],[Item Description]]="","",IF(Table1[[#This Row],[//]]="",INDIRECT(ADDRESS(ROW()-1,COLUMN())),Table1[[#This Row],[//]]))</f>
        <v/>
      </c>
      <c r="X192" s="287" t="str">
        <f ca="1">IF(Table1[[#This Row],[h_id]]="","",COUNTIF(Table1[h_id],Table1[[#This Row],[h_id]]))</f>
        <v/>
      </c>
      <c r="Y192" s="283" t="str">
        <f>IF(Table1[Item Description]="","",Table1[[#This Row],[Qty]]*Table1[[#This Row],[Unit Price]])</f>
        <v/>
      </c>
      <c r="Z192" s="283" t="str">
        <f>IF(Table1[[#This Row],[h_hargasebelumdiskon]]="","",IF(Table1[[#This Row],[Disc 1]]="",0,Table1[[#This Row],[h_hargasebelumdiskon]]*Table1[[#This Row],[Disc 1]]))</f>
        <v/>
      </c>
      <c r="AA192" s="283" t="str">
        <f>IF(Table1[[#This Row],[h_hargasebelumdiskon]]="","",IF(Table1[[#This Row],[Disc 2]]="",0,(Table1[[#This Row],[h_hargasebelumdiskon]]-Table1[[#This Row],[h_disc 1]])*Table1[[#This Row],[Disc 2]]))</f>
        <v/>
      </c>
      <c r="AB192" s="283" t="str">
        <f>IF(Table1[Item Description]="","",Table1[[#This Row],[h_disc 1]]+Table1[[#This Row],[h_disc 2]])</f>
        <v/>
      </c>
      <c r="AC192" s="283" t="str">
        <f>IF(Table1[Item Description]="","",Table1[[#This Row],[h_hargasebelumdiskon]]-Table1[[#This Row],[h_diskon]])</f>
        <v/>
      </c>
      <c r="AD192" s="283" t="str">
        <f ca="1">IF(Table1[//]="","",SUMIF(Table1[h_id],Table1[h_id],Table1[h_hargasetelahdiskon]))</f>
        <v/>
      </c>
      <c r="AE192" s="283"/>
      <c r="AF192" s="283" t="str">
        <f>Table1[[#This Row],[Item Description]]&amp;Table1[[#This Row],[Unit]]&amp;Table1[[#This Row],[Unit Price]]</f>
        <v/>
      </c>
    </row>
    <row r="193" spans="1:32" x14ac:dyDescent="0.25">
      <c r="A193" s="287" t="str">
        <f ca="1">IF(Table1[[#This Row],[No. Invoice :]]="","",ROW())</f>
        <v/>
      </c>
      <c r="B193" s="287" t="str">
        <f ca="1">IF(Table1[h_Kode Sales :_1]="","",B$1+COUNT(INDIRECT("B$2:B"&amp;ROW()-1)))</f>
        <v/>
      </c>
      <c r="C193" s="281" t="str">
        <f>IF(Table1[[#This Row],[H_TGL]]="","",Table1[[#This Row],[H_TGL]]+C$1-1)</f>
        <v/>
      </c>
      <c r="H193" s="287" t="str">
        <f ca="1">IF(Table1[[#This Row],[h_No. Invoice :]]="","",CONCATENATE("AM"," ",Table1[[#This Row],[h_No. Invoice :]]))</f>
        <v/>
      </c>
      <c r="I193" s="288" t="str">
        <f>CONCATENATE(UPPER(Table1[[#This Row],[h_Kode Sales :_1]])," ",Table1[[#This Row],[h_Kode Sales :_2]])</f>
        <v xml:space="preserve"> </v>
      </c>
      <c r="J193" s="287" t="str">
        <f>IF(Table1[[#This Row],[h_toko]]="","",INDEX(Table2[e],IF(Table1[[#This Row],[h_toko]]="","",MATCH(Table1[[#This Row],[h_toko]],Table2[a],0)),))</f>
        <v/>
      </c>
      <c r="O193" s="287" t="str">
        <f>IF(Table1[[#This Row],[h_Item Description]]="","",INDEX([1]!db[NB PAJAK],MATCH(Table1[[#This Row],[h_Item Description]],[1]!db[kode],0)))</f>
        <v/>
      </c>
      <c r="Q193" s="283"/>
      <c r="R193" s="284"/>
      <c r="T193" s="283" t="str">
        <f>Table1[[#This Row],[h_hargasetelahdiskon]]</f>
        <v/>
      </c>
      <c r="W193" s="287" t="str">
        <f ca="1">IF(Table1[[#This Row],[Item Description]]="","",IF(Table1[[#This Row],[//]]="",INDIRECT(ADDRESS(ROW()-1,COLUMN())),Table1[[#This Row],[//]]))</f>
        <v/>
      </c>
      <c r="X193" s="287" t="str">
        <f ca="1">IF(Table1[[#This Row],[h_id]]="","",COUNTIF(Table1[h_id],Table1[[#This Row],[h_id]]))</f>
        <v/>
      </c>
      <c r="Y193" s="283" t="str">
        <f>IF(Table1[Item Description]="","",Table1[[#This Row],[Qty]]*Table1[[#This Row],[Unit Price]])</f>
        <v/>
      </c>
      <c r="Z193" s="283" t="str">
        <f>IF(Table1[[#This Row],[h_hargasebelumdiskon]]="","",IF(Table1[[#This Row],[Disc 1]]="",0,Table1[[#This Row],[h_hargasebelumdiskon]]*Table1[[#This Row],[Disc 1]]))</f>
        <v/>
      </c>
      <c r="AA193" s="283" t="str">
        <f>IF(Table1[[#This Row],[h_hargasebelumdiskon]]="","",IF(Table1[[#This Row],[Disc 2]]="",0,(Table1[[#This Row],[h_hargasebelumdiskon]]-Table1[[#This Row],[h_disc 1]])*Table1[[#This Row],[Disc 2]]))</f>
        <v/>
      </c>
      <c r="AB193" s="283" t="str">
        <f>IF(Table1[Item Description]="","",Table1[[#This Row],[h_disc 1]]+Table1[[#This Row],[h_disc 2]])</f>
        <v/>
      </c>
      <c r="AC193" s="283" t="str">
        <f>IF(Table1[Item Description]="","",Table1[[#This Row],[h_hargasebelumdiskon]]-Table1[[#This Row],[h_diskon]])</f>
        <v/>
      </c>
      <c r="AD193" s="283" t="str">
        <f ca="1">IF(Table1[//]="","",SUMIF(Table1[h_id],Table1[h_id],Table1[h_hargasetelahdiskon]))</f>
        <v/>
      </c>
      <c r="AE193" s="283"/>
      <c r="AF193" s="283" t="str">
        <f>Table1[[#This Row],[Item Description]]&amp;Table1[[#This Row],[Unit]]&amp;Table1[[#This Row],[Unit Price]]</f>
        <v/>
      </c>
    </row>
    <row r="194" spans="1:32" x14ac:dyDescent="0.25">
      <c r="A194" s="287" t="str">
        <f ca="1">IF(Table1[[#This Row],[No. Invoice :]]="","",ROW())</f>
        <v/>
      </c>
      <c r="B194" s="287" t="str">
        <f ca="1">IF(Table1[h_Kode Sales :_1]="","",B$1+COUNT(INDIRECT("B$2:B"&amp;ROW()-1)))</f>
        <v/>
      </c>
      <c r="C194" s="281" t="str">
        <f>IF(Table1[[#This Row],[H_TGL]]="","",Table1[[#This Row],[H_TGL]]+C$1-1)</f>
        <v/>
      </c>
      <c r="H194" s="287" t="str">
        <f ca="1">IF(Table1[[#This Row],[h_No. Invoice :]]="","",CONCATENATE("AM"," ",Table1[[#This Row],[h_No. Invoice :]]))</f>
        <v/>
      </c>
      <c r="I194" s="288" t="str">
        <f>CONCATENATE(UPPER(Table1[[#This Row],[h_Kode Sales :_1]])," ",Table1[[#This Row],[h_Kode Sales :_2]])</f>
        <v xml:space="preserve"> </v>
      </c>
      <c r="J194" s="287" t="str">
        <f>IF(Table1[[#This Row],[h_toko]]="","",INDEX(Table2[e],IF(Table1[[#This Row],[h_toko]]="","",MATCH(Table1[[#This Row],[h_toko]],Table2[a],0)),))</f>
        <v/>
      </c>
      <c r="O194" s="287" t="str">
        <f>IF(Table1[[#This Row],[h_Item Description]]="","",INDEX([1]!db[NB PAJAK],MATCH(Table1[[#This Row],[h_Item Description]],[1]!db[kode],0)))</f>
        <v/>
      </c>
      <c r="Q194" s="283"/>
      <c r="R194" s="284"/>
      <c r="T194" s="283" t="str">
        <f>Table1[[#This Row],[h_hargasetelahdiskon]]</f>
        <v/>
      </c>
      <c r="W194" s="287" t="str">
        <f ca="1">IF(Table1[[#This Row],[Item Description]]="","",IF(Table1[[#This Row],[//]]="",INDIRECT(ADDRESS(ROW()-1,COLUMN())),Table1[[#This Row],[//]]))</f>
        <v/>
      </c>
      <c r="X194" s="287" t="str">
        <f ca="1">IF(Table1[[#This Row],[h_id]]="","",COUNTIF(Table1[h_id],Table1[[#This Row],[h_id]]))</f>
        <v/>
      </c>
      <c r="Y194" s="283" t="str">
        <f>IF(Table1[Item Description]="","",Table1[[#This Row],[Qty]]*Table1[[#This Row],[Unit Price]])</f>
        <v/>
      </c>
      <c r="Z194" s="283" t="str">
        <f>IF(Table1[[#This Row],[h_hargasebelumdiskon]]="","",IF(Table1[[#This Row],[Disc 1]]="",0,Table1[[#This Row],[h_hargasebelumdiskon]]*Table1[[#This Row],[Disc 1]]))</f>
        <v/>
      </c>
      <c r="AA194" s="283" t="str">
        <f>IF(Table1[[#This Row],[h_hargasebelumdiskon]]="","",IF(Table1[[#This Row],[Disc 2]]="",0,(Table1[[#This Row],[h_hargasebelumdiskon]]-Table1[[#This Row],[h_disc 1]])*Table1[[#This Row],[Disc 2]]))</f>
        <v/>
      </c>
      <c r="AB194" s="283" t="str">
        <f>IF(Table1[Item Description]="","",Table1[[#This Row],[h_disc 1]]+Table1[[#This Row],[h_disc 2]])</f>
        <v/>
      </c>
      <c r="AC194" s="283" t="str">
        <f>IF(Table1[Item Description]="","",Table1[[#This Row],[h_hargasebelumdiskon]]-Table1[[#This Row],[h_diskon]])</f>
        <v/>
      </c>
      <c r="AD194" s="283" t="str">
        <f ca="1">IF(Table1[//]="","",SUMIF(Table1[h_id],Table1[h_id],Table1[h_hargasetelahdiskon]))</f>
        <v/>
      </c>
      <c r="AE194" s="283"/>
      <c r="AF194" s="283" t="str">
        <f>Table1[[#This Row],[Item Description]]&amp;Table1[[#This Row],[Unit]]&amp;Table1[[#This Row],[Unit Price]]</f>
        <v/>
      </c>
    </row>
    <row r="195" spans="1:32" x14ac:dyDescent="0.25">
      <c r="A195" s="287" t="str">
        <f ca="1">IF(Table1[[#This Row],[No. Invoice :]]="","",ROW())</f>
        <v/>
      </c>
      <c r="B195" s="287" t="str">
        <f ca="1">IF(Table1[h_Kode Sales :_1]="","",B$1+COUNT(INDIRECT("B$2:B"&amp;ROW()-1)))</f>
        <v/>
      </c>
      <c r="C195" s="281" t="str">
        <f>IF(Table1[[#This Row],[H_TGL]]="","",Table1[[#This Row],[H_TGL]]+C$1-1)</f>
        <v/>
      </c>
      <c r="H195" s="287" t="str">
        <f ca="1">IF(Table1[[#This Row],[h_No. Invoice :]]="","",CONCATENATE("AM"," ",Table1[[#This Row],[h_No. Invoice :]]))</f>
        <v/>
      </c>
      <c r="I195" s="288" t="str">
        <f>CONCATENATE(UPPER(Table1[[#This Row],[h_Kode Sales :_1]])," ",Table1[[#This Row],[h_Kode Sales :_2]])</f>
        <v xml:space="preserve"> </v>
      </c>
      <c r="J195" s="287" t="str">
        <f>IF(Table1[[#This Row],[h_toko]]="","",INDEX(Table2[e],IF(Table1[[#This Row],[h_toko]]="","",MATCH(Table1[[#This Row],[h_toko]],Table2[a],0)),))</f>
        <v/>
      </c>
      <c r="O195" s="287" t="str">
        <f>IF(Table1[[#This Row],[h_Item Description]]="","",INDEX([1]!db[NB PAJAK],MATCH(Table1[[#This Row],[h_Item Description]],[1]!db[kode],0)))</f>
        <v/>
      </c>
      <c r="Q195" s="283"/>
      <c r="R195" s="284"/>
      <c r="T195" s="283" t="str">
        <f>Table1[[#This Row],[h_hargasetelahdiskon]]</f>
        <v/>
      </c>
      <c r="W195" s="287" t="str">
        <f ca="1">IF(Table1[[#This Row],[Item Description]]="","",IF(Table1[[#This Row],[//]]="",INDIRECT(ADDRESS(ROW()-1,COLUMN())),Table1[[#This Row],[//]]))</f>
        <v/>
      </c>
      <c r="X195" s="287" t="str">
        <f ca="1">IF(Table1[[#This Row],[h_id]]="","",COUNTIF(Table1[h_id],Table1[[#This Row],[h_id]]))</f>
        <v/>
      </c>
      <c r="Y195" s="283" t="str">
        <f>IF(Table1[Item Description]="","",Table1[[#This Row],[Qty]]*Table1[[#This Row],[Unit Price]])</f>
        <v/>
      </c>
      <c r="Z195" s="283" t="str">
        <f>IF(Table1[[#This Row],[h_hargasebelumdiskon]]="","",IF(Table1[[#This Row],[Disc 1]]="",0,Table1[[#This Row],[h_hargasebelumdiskon]]*Table1[[#This Row],[Disc 1]]))</f>
        <v/>
      </c>
      <c r="AA195" s="283" t="str">
        <f>IF(Table1[[#This Row],[h_hargasebelumdiskon]]="","",IF(Table1[[#This Row],[Disc 2]]="",0,(Table1[[#This Row],[h_hargasebelumdiskon]]-Table1[[#This Row],[h_disc 1]])*Table1[[#This Row],[Disc 2]]))</f>
        <v/>
      </c>
      <c r="AB195" s="283" t="str">
        <f>IF(Table1[Item Description]="","",Table1[[#This Row],[h_disc 1]]+Table1[[#This Row],[h_disc 2]])</f>
        <v/>
      </c>
      <c r="AC195" s="283" t="str">
        <f>IF(Table1[Item Description]="","",Table1[[#This Row],[h_hargasebelumdiskon]]-Table1[[#This Row],[h_diskon]])</f>
        <v/>
      </c>
      <c r="AD195" s="283" t="str">
        <f ca="1">IF(Table1[//]="","",SUMIF(Table1[h_id],Table1[h_id],Table1[h_hargasetelahdiskon]))</f>
        <v/>
      </c>
      <c r="AE195" s="283"/>
      <c r="AF195" s="283" t="str">
        <f>Table1[[#This Row],[Item Description]]&amp;Table1[[#This Row],[Unit]]&amp;Table1[[#This Row],[Unit Price]]</f>
        <v/>
      </c>
    </row>
    <row r="196" spans="1:32" x14ac:dyDescent="0.25">
      <c r="A196" s="287" t="str">
        <f ca="1">IF(Table1[[#This Row],[No. Invoice :]]="","",ROW())</f>
        <v/>
      </c>
      <c r="B196" s="287" t="str">
        <f ca="1">IF(Table1[h_Kode Sales :_1]="","",B$1+COUNT(INDIRECT("B$2:B"&amp;ROW()-1)))</f>
        <v/>
      </c>
      <c r="C196" s="281" t="str">
        <f>IF(Table1[[#This Row],[H_TGL]]="","",Table1[[#This Row],[H_TGL]]+C$1-1)</f>
        <v/>
      </c>
      <c r="H196" s="287" t="str">
        <f ca="1">IF(Table1[[#This Row],[h_No. Invoice :]]="","",CONCATENATE("AM"," ",Table1[[#This Row],[h_No. Invoice :]]))</f>
        <v/>
      </c>
      <c r="I196" s="288" t="str">
        <f>CONCATENATE(UPPER(Table1[[#This Row],[h_Kode Sales :_1]])," ",Table1[[#This Row],[h_Kode Sales :_2]])</f>
        <v xml:space="preserve"> </v>
      </c>
      <c r="J196" s="287" t="str">
        <f>IF(Table1[[#This Row],[h_toko]]="","",INDEX(Table2[e],IF(Table1[[#This Row],[h_toko]]="","",MATCH(Table1[[#This Row],[h_toko]],Table2[a],0)),))</f>
        <v/>
      </c>
      <c r="O196" s="287" t="str">
        <f>IF(Table1[[#This Row],[h_Item Description]]="","",INDEX([1]!db[NB PAJAK],MATCH(Table1[[#This Row],[h_Item Description]],[1]!db[kode],0)))</f>
        <v/>
      </c>
      <c r="Q196" s="283"/>
      <c r="R196" s="284"/>
      <c r="T196" s="283" t="str">
        <f>Table1[[#This Row],[h_hargasetelahdiskon]]</f>
        <v/>
      </c>
      <c r="W196" s="287" t="str">
        <f ca="1">IF(Table1[[#This Row],[Item Description]]="","",IF(Table1[[#This Row],[//]]="",INDIRECT(ADDRESS(ROW()-1,COLUMN())),Table1[[#This Row],[//]]))</f>
        <v/>
      </c>
      <c r="X196" s="287" t="str">
        <f ca="1">IF(Table1[[#This Row],[h_id]]="","",COUNTIF(Table1[h_id],Table1[[#This Row],[h_id]]))</f>
        <v/>
      </c>
      <c r="Y196" s="283" t="str">
        <f>IF(Table1[Item Description]="","",Table1[[#This Row],[Qty]]*Table1[[#This Row],[Unit Price]])</f>
        <v/>
      </c>
      <c r="Z196" s="283" t="str">
        <f>IF(Table1[[#This Row],[h_hargasebelumdiskon]]="","",IF(Table1[[#This Row],[Disc 1]]="",0,Table1[[#This Row],[h_hargasebelumdiskon]]*Table1[[#This Row],[Disc 1]]))</f>
        <v/>
      </c>
      <c r="AA196" s="283" t="str">
        <f>IF(Table1[[#This Row],[h_hargasebelumdiskon]]="","",IF(Table1[[#This Row],[Disc 2]]="",0,(Table1[[#This Row],[h_hargasebelumdiskon]]-Table1[[#This Row],[h_disc 1]])*Table1[[#This Row],[Disc 2]]))</f>
        <v/>
      </c>
      <c r="AB196" s="283" t="str">
        <f>IF(Table1[Item Description]="","",Table1[[#This Row],[h_disc 1]]+Table1[[#This Row],[h_disc 2]])</f>
        <v/>
      </c>
      <c r="AC196" s="283" t="str">
        <f>IF(Table1[Item Description]="","",Table1[[#This Row],[h_hargasebelumdiskon]]-Table1[[#This Row],[h_diskon]])</f>
        <v/>
      </c>
      <c r="AD196" s="283" t="str">
        <f ca="1">IF(Table1[//]="","",SUMIF(Table1[h_id],Table1[h_id],Table1[h_hargasetelahdiskon]))</f>
        <v/>
      </c>
      <c r="AE196" s="283"/>
      <c r="AF196" s="283" t="str">
        <f>Table1[[#This Row],[Item Description]]&amp;Table1[[#This Row],[Unit]]&amp;Table1[[#This Row],[Unit Price]]</f>
        <v/>
      </c>
    </row>
    <row r="197" spans="1:32" x14ac:dyDescent="0.25">
      <c r="A197" s="287" t="str">
        <f ca="1">IF(Table1[[#This Row],[No. Invoice :]]="","",ROW())</f>
        <v/>
      </c>
      <c r="B197" s="287" t="str">
        <f ca="1">IF(Table1[h_Kode Sales :_1]="","",B$1+COUNT(INDIRECT("B$2:B"&amp;ROW()-1)))</f>
        <v/>
      </c>
      <c r="C197" s="281" t="str">
        <f>IF(Table1[[#This Row],[H_TGL]]="","",Table1[[#This Row],[H_TGL]]+C$1-1)</f>
        <v/>
      </c>
      <c r="H197" s="287" t="str">
        <f ca="1">IF(Table1[[#This Row],[h_No. Invoice :]]="","",CONCATENATE("AM"," ",Table1[[#This Row],[h_No. Invoice :]]))</f>
        <v/>
      </c>
      <c r="I197" s="288" t="str">
        <f>CONCATENATE(UPPER(Table1[[#This Row],[h_Kode Sales :_1]])," ",Table1[[#This Row],[h_Kode Sales :_2]])</f>
        <v xml:space="preserve"> </v>
      </c>
      <c r="J197" s="287" t="str">
        <f>IF(Table1[[#This Row],[h_toko]]="","",INDEX(Table2[e],IF(Table1[[#This Row],[h_toko]]="","",MATCH(Table1[[#This Row],[h_toko]],Table2[a],0)),))</f>
        <v/>
      </c>
      <c r="O197" s="287" t="str">
        <f>IF(Table1[[#This Row],[h_Item Description]]="","",INDEX([1]!db[NB PAJAK],MATCH(Table1[[#This Row],[h_Item Description]],[1]!db[kode],0)))</f>
        <v/>
      </c>
      <c r="Q197" s="283"/>
      <c r="R197" s="284"/>
      <c r="T197" s="283" t="str">
        <f>Table1[[#This Row],[h_hargasetelahdiskon]]</f>
        <v/>
      </c>
      <c r="W197" s="287" t="str">
        <f ca="1">IF(Table1[[#This Row],[Item Description]]="","",IF(Table1[[#This Row],[//]]="",INDIRECT(ADDRESS(ROW()-1,COLUMN())),Table1[[#This Row],[//]]))</f>
        <v/>
      </c>
      <c r="X197" s="287" t="str">
        <f ca="1">IF(Table1[[#This Row],[h_id]]="","",COUNTIF(Table1[h_id],Table1[[#This Row],[h_id]]))</f>
        <v/>
      </c>
      <c r="Y197" s="283" t="str">
        <f>IF(Table1[Item Description]="","",Table1[[#This Row],[Qty]]*Table1[[#This Row],[Unit Price]])</f>
        <v/>
      </c>
      <c r="Z197" s="283" t="str">
        <f>IF(Table1[[#This Row],[h_hargasebelumdiskon]]="","",IF(Table1[[#This Row],[Disc 1]]="",0,Table1[[#This Row],[h_hargasebelumdiskon]]*Table1[[#This Row],[Disc 1]]))</f>
        <v/>
      </c>
      <c r="AA197" s="283" t="str">
        <f>IF(Table1[[#This Row],[h_hargasebelumdiskon]]="","",IF(Table1[[#This Row],[Disc 2]]="",0,(Table1[[#This Row],[h_hargasebelumdiskon]]-Table1[[#This Row],[h_disc 1]])*Table1[[#This Row],[Disc 2]]))</f>
        <v/>
      </c>
      <c r="AB197" s="283" t="str">
        <f>IF(Table1[Item Description]="","",Table1[[#This Row],[h_disc 1]]+Table1[[#This Row],[h_disc 2]])</f>
        <v/>
      </c>
      <c r="AC197" s="283" t="str">
        <f>IF(Table1[Item Description]="","",Table1[[#This Row],[h_hargasebelumdiskon]]-Table1[[#This Row],[h_diskon]])</f>
        <v/>
      </c>
      <c r="AD197" s="283" t="str">
        <f ca="1">IF(Table1[//]="","",SUMIF(Table1[h_id],Table1[h_id],Table1[h_hargasetelahdiskon]))</f>
        <v/>
      </c>
      <c r="AE197" s="283"/>
      <c r="AF197" s="283" t="str">
        <f>Table1[[#This Row],[Item Description]]&amp;Table1[[#This Row],[Unit]]&amp;Table1[[#This Row],[Unit Price]]</f>
        <v/>
      </c>
    </row>
    <row r="198" spans="1:32" x14ac:dyDescent="0.25">
      <c r="A198" s="287" t="str">
        <f ca="1">IF(Table1[[#This Row],[No. Invoice :]]="","",ROW())</f>
        <v/>
      </c>
      <c r="B198" s="287" t="str">
        <f ca="1">IF(Table1[h_Kode Sales :_1]="","",B$1+COUNT(INDIRECT("B$2:B"&amp;ROW()-1)))</f>
        <v/>
      </c>
      <c r="C198" s="281" t="str">
        <f>IF(Table1[[#This Row],[H_TGL]]="","",Table1[[#This Row],[H_TGL]]+C$1-1)</f>
        <v/>
      </c>
      <c r="H198" s="287" t="str">
        <f ca="1">IF(Table1[[#This Row],[h_No. Invoice :]]="","",CONCATENATE("AM"," ",Table1[[#This Row],[h_No. Invoice :]]))</f>
        <v/>
      </c>
      <c r="I198" s="288" t="str">
        <f>CONCATENATE(UPPER(Table1[[#This Row],[h_Kode Sales :_1]])," ",Table1[[#This Row],[h_Kode Sales :_2]])</f>
        <v xml:space="preserve"> </v>
      </c>
      <c r="J198" s="287" t="str">
        <f>IF(Table1[[#This Row],[h_toko]]="","",INDEX(Table2[e],IF(Table1[[#This Row],[h_toko]]="","",MATCH(Table1[[#This Row],[h_toko]],Table2[a],0)),))</f>
        <v/>
      </c>
      <c r="O198" s="287" t="str">
        <f>IF(Table1[[#This Row],[h_Item Description]]="","",INDEX([1]!db[NB PAJAK],MATCH(Table1[[#This Row],[h_Item Description]],[1]!db[kode],0)))</f>
        <v/>
      </c>
      <c r="Q198" s="283"/>
      <c r="R198" s="284"/>
      <c r="T198" s="283" t="str">
        <f>Table1[[#This Row],[h_hargasetelahdiskon]]</f>
        <v/>
      </c>
      <c r="W198" s="287" t="str">
        <f ca="1">IF(Table1[[#This Row],[Item Description]]="","",IF(Table1[[#This Row],[//]]="",INDIRECT(ADDRESS(ROW()-1,COLUMN())),Table1[[#This Row],[//]]))</f>
        <v/>
      </c>
      <c r="X198" s="287" t="str">
        <f ca="1">IF(Table1[[#This Row],[h_id]]="","",COUNTIF(Table1[h_id],Table1[[#This Row],[h_id]]))</f>
        <v/>
      </c>
      <c r="Y198" s="283" t="str">
        <f>IF(Table1[Item Description]="","",Table1[[#This Row],[Qty]]*Table1[[#This Row],[Unit Price]])</f>
        <v/>
      </c>
      <c r="Z198" s="283" t="str">
        <f>IF(Table1[[#This Row],[h_hargasebelumdiskon]]="","",IF(Table1[[#This Row],[Disc 1]]="",0,Table1[[#This Row],[h_hargasebelumdiskon]]*Table1[[#This Row],[Disc 1]]))</f>
        <v/>
      </c>
      <c r="AA198" s="283" t="str">
        <f>IF(Table1[[#This Row],[h_hargasebelumdiskon]]="","",IF(Table1[[#This Row],[Disc 2]]="",0,(Table1[[#This Row],[h_hargasebelumdiskon]]-Table1[[#This Row],[h_disc 1]])*Table1[[#This Row],[Disc 2]]))</f>
        <v/>
      </c>
      <c r="AB198" s="283" t="str">
        <f>IF(Table1[Item Description]="","",Table1[[#This Row],[h_disc 1]]+Table1[[#This Row],[h_disc 2]])</f>
        <v/>
      </c>
      <c r="AC198" s="283" t="str">
        <f>IF(Table1[Item Description]="","",Table1[[#This Row],[h_hargasebelumdiskon]]-Table1[[#This Row],[h_diskon]])</f>
        <v/>
      </c>
      <c r="AD198" s="283" t="str">
        <f ca="1">IF(Table1[//]="","",SUMIF(Table1[h_id],Table1[h_id],Table1[h_hargasetelahdiskon]))</f>
        <v/>
      </c>
      <c r="AE198" s="283"/>
      <c r="AF198" s="283" t="str">
        <f>Table1[[#This Row],[Item Description]]&amp;Table1[[#This Row],[Unit]]&amp;Table1[[#This Row],[Unit Price]]</f>
        <v/>
      </c>
    </row>
    <row r="199" spans="1:32" x14ac:dyDescent="0.25">
      <c r="A199" s="287" t="str">
        <f ca="1">IF(Table1[[#This Row],[No. Invoice :]]="","",ROW())</f>
        <v/>
      </c>
      <c r="B199" s="287" t="str">
        <f ca="1">IF(Table1[h_Kode Sales :_1]="","",B$1+COUNT(INDIRECT("B$2:B"&amp;ROW()-1)))</f>
        <v/>
      </c>
      <c r="C199" s="281" t="str">
        <f>IF(Table1[[#This Row],[H_TGL]]="","",Table1[[#This Row],[H_TGL]]+C$1-1)</f>
        <v/>
      </c>
      <c r="H199" s="287" t="str">
        <f ca="1">IF(Table1[[#This Row],[h_No. Invoice :]]="","",CONCATENATE("AM"," ",Table1[[#This Row],[h_No. Invoice :]]))</f>
        <v/>
      </c>
      <c r="I199" s="288" t="str">
        <f>CONCATENATE(UPPER(Table1[[#This Row],[h_Kode Sales :_1]])," ",Table1[[#This Row],[h_Kode Sales :_2]])</f>
        <v xml:space="preserve"> </v>
      </c>
      <c r="J199" s="287" t="str">
        <f>IF(Table1[[#This Row],[h_toko]]="","",INDEX(Table2[e],IF(Table1[[#This Row],[h_toko]]="","",MATCH(Table1[[#This Row],[h_toko]],Table2[a],0)),))</f>
        <v/>
      </c>
      <c r="O199" s="287" t="str">
        <f>IF(Table1[[#This Row],[h_Item Description]]="","",INDEX([1]!db[NB PAJAK],MATCH(Table1[[#This Row],[h_Item Description]],[1]!db[kode],0)))</f>
        <v/>
      </c>
      <c r="Q199" s="283"/>
      <c r="R199" s="284"/>
      <c r="T199" s="283" t="str">
        <f>Table1[[#This Row],[h_hargasetelahdiskon]]</f>
        <v/>
      </c>
      <c r="W199" s="287" t="str">
        <f ca="1">IF(Table1[[#This Row],[Item Description]]="","",IF(Table1[[#This Row],[//]]="",INDIRECT(ADDRESS(ROW()-1,COLUMN())),Table1[[#This Row],[//]]))</f>
        <v/>
      </c>
      <c r="X199" s="287" t="str">
        <f ca="1">IF(Table1[[#This Row],[h_id]]="","",COUNTIF(Table1[h_id],Table1[[#This Row],[h_id]]))</f>
        <v/>
      </c>
      <c r="Y199" s="283" t="str">
        <f>IF(Table1[Item Description]="","",Table1[[#This Row],[Qty]]*Table1[[#This Row],[Unit Price]])</f>
        <v/>
      </c>
      <c r="Z199" s="283" t="str">
        <f>IF(Table1[[#This Row],[h_hargasebelumdiskon]]="","",IF(Table1[[#This Row],[Disc 1]]="",0,Table1[[#This Row],[h_hargasebelumdiskon]]*Table1[[#This Row],[Disc 1]]))</f>
        <v/>
      </c>
      <c r="AA199" s="283" t="str">
        <f>IF(Table1[[#This Row],[h_hargasebelumdiskon]]="","",IF(Table1[[#This Row],[Disc 2]]="",0,(Table1[[#This Row],[h_hargasebelumdiskon]]-Table1[[#This Row],[h_disc 1]])*Table1[[#This Row],[Disc 2]]))</f>
        <v/>
      </c>
      <c r="AB199" s="283" t="str">
        <f>IF(Table1[Item Description]="","",Table1[[#This Row],[h_disc 1]]+Table1[[#This Row],[h_disc 2]])</f>
        <v/>
      </c>
      <c r="AC199" s="283" t="str">
        <f>IF(Table1[Item Description]="","",Table1[[#This Row],[h_hargasebelumdiskon]]-Table1[[#This Row],[h_diskon]])</f>
        <v/>
      </c>
      <c r="AD199" s="283" t="str">
        <f ca="1">IF(Table1[//]="","",SUMIF(Table1[h_id],Table1[h_id],Table1[h_hargasetelahdiskon]))</f>
        <v/>
      </c>
      <c r="AE199" s="283"/>
      <c r="AF199" s="283" t="str">
        <f>Table1[[#This Row],[Item Description]]&amp;Table1[[#This Row],[Unit]]&amp;Table1[[#This Row],[Unit Price]]</f>
        <v/>
      </c>
    </row>
    <row r="200" spans="1:32" x14ac:dyDescent="0.25">
      <c r="A200" s="287" t="str">
        <f ca="1">IF(Table1[[#This Row],[No. Invoice :]]="","",ROW())</f>
        <v/>
      </c>
      <c r="B200" s="287" t="str">
        <f ca="1">IF(Table1[h_Kode Sales :_1]="","",B$1+COUNT(INDIRECT("B$2:B"&amp;ROW()-1)))</f>
        <v/>
      </c>
      <c r="C200" s="281" t="str">
        <f>IF(Table1[[#This Row],[H_TGL]]="","",Table1[[#This Row],[H_TGL]]+C$1-1)</f>
        <v/>
      </c>
      <c r="H200" s="287" t="str">
        <f ca="1">IF(Table1[[#This Row],[h_No. Invoice :]]="","",CONCATENATE("AM"," ",Table1[[#This Row],[h_No. Invoice :]]))</f>
        <v/>
      </c>
      <c r="I200" s="288" t="str">
        <f>CONCATENATE(UPPER(Table1[[#This Row],[h_Kode Sales :_1]])," ",Table1[[#This Row],[h_Kode Sales :_2]])</f>
        <v xml:space="preserve"> </v>
      </c>
      <c r="J200" s="287" t="str">
        <f>IF(Table1[[#This Row],[h_toko]]="","",INDEX(Table2[e],IF(Table1[[#This Row],[h_toko]]="","",MATCH(Table1[[#This Row],[h_toko]],Table2[a],0)),))</f>
        <v/>
      </c>
      <c r="O200" s="287" t="str">
        <f>IF(Table1[[#This Row],[h_Item Description]]="","",INDEX([1]!db[NB PAJAK],MATCH(Table1[[#This Row],[h_Item Description]],[1]!db[kode],0)))</f>
        <v/>
      </c>
      <c r="Q200" s="283"/>
      <c r="R200" s="284"/>
      <c r="T200" s="283" t="str">
        <f>Table1[[#This Row],[h_hargasetelahdiskon]]</f>
        <v/>
      </c>
      <c r="W200" s="287" t="str">
        <f ca="1">IF(Table1[[#This Row],[Item Description]]="","",IF(Table1[[#This Row],[//]]="",INDIRECT(ADDRESS(ROW()-1,COLUMN())),Table1[[#This Row],[//]]))</f>
        <v/>
      </c>
      <c r="X200" s="287" t="str">
        <f ca="1">IF(Table1[[#This Row],[h_id]]="","",COUNTIF(Table1[h_id],Table1[[#This Row],[h_id]]))</f>
        <v/>
      </c>
      <c r="Y200" s="283" t="str">
        <f>IF(Table1[Item Description]="","",Table1[[#This Row],[Qty]]*Table1[[#This Row],[Unit Price]])</f>
        <v/>
      </c>
      <c r="Z200" s="283" t="str">
        <f>IF(Table1[[#This Row],[h_hargasebelumdiskon]]="","",IF(Table1[[#This Row],[Disc 1]]="",0,Table1[[#This Row],[h_hargasebelumdiskon]]*Table1[[#This Row],[Disc 1]]))</f>
        <v/>
      </c>
      <c r="AA200" s="283" t="str">
        <f>IF(Table1[[#This Row],[h_hargasebelumdiskon]]="","",IF(Table1[[#This Row],[Disc 2]]="",0,(Table1[[#This Row],[h_hargasebelumdiskon]]-Table1[[#This Row],[h_disc 1]])*Table1[[#This Row],[Disc 2]]))</f>
        <v/>
      </c>
      <c r="AB200" s="283" t="str">
        <f>IF(Table1[Item Description]="","",Table1[[#This Row],[h_disc 1]]+Table1[[#This Row],[h_disc 2]])</f>
        <v/>
      </c>
      <c r="AC200" s="283" t="str">
        <f>IF(Table1[Item Description]="","",Table1[[#This Row],[h_hargasebelumdiskon]]-Table1[[#This Row],[h_diskon]])</f>
        <v/>
      </c>
      <c r="AD200" s="283" t="str">
        <f ca="1">IF(Table1[//]="","",SUMIF(Table1[h_id],Table1[h_id],Table1[h_hargasetelahdiskon]))</f>
        <v/>
      </c>
      <c r="AE200" s="283"/>
      <c r="AF200" s="283" t="str">
        <f>Table1[[#This Row],[Item Description]]&amp;Table1[[#This Row],[Unit]]&amp;Table1[[#This Row],[Unit Price]]</f>
        <v/>
      </c>
    </row>
    <row r="201" spans="1:32" x14ac:dyDescent="0.25">
      <c r="A201" s="287" t="str">
        <f ca="1">IF(Table1[[#This Row],[No. Invoice :]]="","",ROW())</f>
        <v/>
      </c>
      <c r="B201" s="287" t="str">
        <f ca="1">IF(Table1[h_Kode Sales :_1]="","",B$1+COUNT(INDIRECT("B$2:B"&amp;ROW()-1)))</f>
        <v/>
      </c>
      <c r="C201" s="281" t="str">
        <f>IF(Table1[[#This Row],[H_TGL]]="","",Table1[[#This Row],[H_TGL]]+C$1-1)</f>
        <v/>
      </c>
      <c r="H201" s="287" t="str">
        <f ca="1">IF(Table1[[#This Row],[h_No. Invoice :]]="","",CONCATENATE("AM"," ",Table1[[#This Row],[h_No. Invoice :]]))</f>
        <v/>
      </c>
      <c r="I201" s="288" t="str">
        <f>CONCATENATE(UPPER(Table1[[#This Row],[h_Kode Sales :_1]])," ",Table1[[#This Row],[h_Kode Sales :_2]])</f>
        <v xml:space="preserve"> </v>
      </c>
      <c r="J201" s="287" t="str">
        <f>IF(Table1[[#This Row],[h_toko]]="","",INDEX(Table2[e],IF(Table1[[#This Row],[h_toko]]="","",MATCH(Table1[[#This Row],[h_toko]],Table2[a],0)),))</f>
        <v/>
      </c>
      <c r="O201" s="287" t="str">
        <f>IF(Table1[[#This Row],[h_Item Description]]="","",INDEX([1]!db[NB PAJAK],MATCH(Table1[[#This Row],[h_Item Description]],[1]!db[kode],0)))</f>
        <v/>
      </c>
      <c r="Q201" s="283"/>
      <c r="R201" s="284"/>
      <c r="T201" s="283" t="str">
        <f>Table1[[#This Row],[h_hargasetelahdiskon]]</f>
        <v/>
      </c>
      <c r="W201" s="287" t="str">
        <f ca="1">IF(Table1[[#This Row],[Item Description]]="","",IF(Table1[[#This Row],[//]]="",INDIRECT(ADDRESS(ROW()-1,COLUMN())),Table1[[#This Row],[//]]))</f>
        <v/>
      </c>
      <c r="X201" s="287" t="str">
        <f ca="1">IF(Table1[[#This Row],[h_id]]="","",COUNTIF(Table1[h_id],Table1[[#This Row],[h_id]]))</f>
        <v/>
      </c>
      <c r="Y201" s="283" t="str">
        <f>IF(Table1[Item Description]="","",Table1[[#This Row],[Qty]]*Table1[[#This Row],[Unit Price]])</f>
        <v/>
      </c>
      <c r="Z201" s="283" t="str">
        <f>IF(Table1[[#This Row],[h_hargasebelumdiskon]]="","",IF(Table1[[#This Row],[Disc 1]]="",0,Table1[[#This Row],[h_hargasebelumdiskon]]*Table1[[#This Row],[Disc 1]]))</f>
        <v/>
      </c>
      <c r="AA201" s="283" t="str">
        <f>IF(Table1[[#This Row],[h_hargasebelumdiskon]]="","",IF(Table1[[#This Row],[Disc 2]]="",0,(Table1[[#This Row],[h_hargasebelumdiskon]]-Table1[[#This Row],[h_disc 1]])*Table1[[#This Row],[Disc 2]]))</f>
        <v/>
      </c>
      <c r="AB201" s="283" t="str">
        <f>IF(Table1[Item Description]="","",Table1[[#This Row],[h_disc 1]]+Table1[[#This Row],[h_disc 2]])</f>
        <v/>
      </c>
      <c r="AC201" s="283" t="str">
        <f>IF(Table1[Item Description]="","",Table1[[#This Row],[h_hargasebelumdiskon]]-Table1[[#This Row],[h_diskon]])</f>
        <v/>
      </c>
      <c r="AD201" s="283" t="str">
        <f ca="1">IF(Table1[//]="","",SUMIF(Table1[h_id],Table1[h_id],Table1[h_hargasetelahdiskon]))</f>
        <v/>
      </c>
      <c r="AE201" s="283"/>
      <c r="AF201" s="283" t="str">
        <f>Table1[[#This Row],[Item Description]]&amp;Table1[[#This Row],[Unit]]&amp;Table1[[#This Row],[Unit Price]]</f>
        <v/>
      </c>
    </row>
    <row r="202" spans="1:32" x14ac:dyDescent="0.25">
      <c r="A202" s="287" t="str">
        <f ca="1">IF(Table1[[#This Row],[No. Invoice :]]="","",ROW())</f>
        <v/>
      </c>
      <c r="B202" s="287" t="str">
        <f ca="1">IF(Table1[h_Kode Sales :_1]="","",B$1+COUNT(INDIRECT("B$2:B"&amp;ROW()-1)))</f>
        <v/>
      </c>
      <c r="C202" s="281" t="str">
        <f>IF(Table1[[#This Row],[H_TGL]]="","",Table1[[#This Row],[H_TGL]]+C$1-1)</f>
        <v/>
      </c>
      <c r="H202" s="287" t="str">
        <f ca="1">IF(Table1[[#This Row],[h_No. Invoice :]]="","",CONCATENATE("AM"," ",Table1[[#This Row],[h_No. Invoice :]]))</f>
        <v/>
      </c>
      <c r="I202" s="288" t="str">
        <f>CONCATENATE(UPPER(Table1[[#This Row],[h_Kode Sales :_1]])," ",Table1[[#This Row],[h_Kode Sales :_2]])</f>
        <v xml:space="preserve"> </v>
      </c>
      <c r="J202" s="287" t="str">
        <f>IF(Table1[[#This Row],[h_toko]]="","",INDEX(Table2[e],IF(Table1[[#This Row],[h_toko]]="","",MATCH(Table1[[#This Row],[h_toko]],Table2[a],0)),))</f>
        <v/>
      </c>
      <c r="O202" s="287" t="str">
        <f>IF(Table1[[#This Row],[h_Item Description]]="","",INDEX([1]!db[NB PAJAK],MATCH(Table1[[#This Row],[h_Item Description]],[1]!db[kode],0)))</f>
        <v/>
      </c>
      <c r="Q202" s="283"/>
      <c r="R202" s="284"/>
      <c r="T202" s="283" t="str">
        <f>Table1[[#This Row],[h_hargasetelahdiskon]]</f>
        <v/>
      </c>
      <c r="W202" s="287" t="str">
        <f ca="1">IF(Table1[[#This Row],[Item Description]]="","",IF(Table1[[#This Row],[//]]="",INDIRECT(ADDRESS(ROW()-1,COLUMN())),Table1[[#This Row],[//]]))</f>
        <v/>
      </c>
      <c r="X202" s="287" t="str">
        <f ca="1">IF(Table1[[#This Row],[h_id]]="","",COUNTIF(Table1[h_id],Table1[[#This Row],[h_id]]))</f>
        <v/>
      </c>
      <c r="Y202" s="283" t="str">
        <f>IF(Table1[Item Description]="","",Table1[[#This Row],[Qty]]*Table1[[#This Row],[Unit Price]])</f>
        <v/>
      </c>
      <c r="Z202" s="283" t="str">
        <f>IF(Table1[[#This Row],[h_hargasebelumdiskon]]="","",IF(Table1[[#This Row],[Disc 1]]="",0,Table1[[#This Row],[h_hargasebelumdiskon]]*Table1[[#This Row],[Disc 1]]))</f>
        <v/>
      </c>
      <c r="AA202" s="283" t="str">
        <f>IF(Table1[[#This Row],[h_hargasebelumdiskon]]="","",IF(Table1[[#This Row],[Disc 2]]="",0,(Table1[[#This Row],[h_hargasebelumdiskon]]-Table1[[#This Row],[h_disc 1]])*Table1[[#This Row],[Disc 2]]))</f>
        <v/>
      </c>
      <c r="AB202" s="283" t="str">
        <f>IF(Table1[Item Description]="","",Table1[[#This Row],[h_disc 1]]+Table1[[#This Row],[h_disc 2]])</f>
        <v/>
      </c>
      <c r="AC202" s="283" t="str">
        <f>IF(Table1[Item Description]="","",Table1[[#This Row],[h_hargasebelumdiskon]]-Table1[[#This Row],[h_diskon]])</f>
        <v/>
      </c>
      <c r="AD202" s="283" t="str">
        <f ca="1">IF(Table1[//]="","",SUMIF(Table1[h_id],Table1[h_id],Table1[h_hargasetelahdiskon]))</f>
        <v/>
      </c>
      <c r="AE202" s="283"/>
      <c r="AF202" s="283" t="str">
        <f>Table1[[#This Row],[Item Description]]&amp;Table1[[#This Row],[Unit]]&amp;Table1[[#This Row],[Unit Price]]</f>
        <v/>
      </c>
    </row>
    <row r="203" spans="1:32" x14ac:dyDescent="0.25">
      <c r="A203" s="287" t="str">
        <f ca="1">IF(Table1[[#This Row],[No. Invoice :]]="","",ROW())</f>
        <v/>
      </c>
      <c r="B203" s="287" t="str">
        <f ca="1">IF(Table1[h_Kode Sales :_1]="","",B$1+COUNT(INDIRECT("B$2:B"&amp;ROW()-1)))</f>
        <v/>
      </c>
      <c r="C203" s="281" t="str">
        <f>IF(Table1[[#This Row],[H_TGL]]="","",Table1[[#This Row],[H_TGL]]+C$1-1)</f>
        <v/>
      </c>
      <c r="H203" s="287" t="str">
        <f ca="1">IF(Table1[[#This Row],[h_No. Invoice :]]="","",CONCATENATE("AM"," ",Table1[[#This Row],[h_No. Invoice :]]))</f>
        <v/>
      </c>
      <c r="I203" s="288" t="str">
        <f>CONCATENATE(UPPER(Table1[[#This Row],[h_Kode Sales :_1]])," ",Table1[[#This Row],[h_Kode Sales :_2]])</f>
        <v xml:space="preserve"> </v>
      </c>
      <c r="J203" s="287" t="str">
        <f>IF(Table1[[#This Row],[h_toko]]="","",INDEX(Table2[e],IF(Table1[[#This Row],[h_toko]]="","",MATCH(Table1[[#This Row],[h_toko]],Table2[a],0)),))</f>
        <v/>
      </c>
      <c r="O203" s="287" t="str">
        <f>IF(Table1[[#This Row],[h_Item Description]]="","",INDEX([1]!db[NB PAJAK],MATCH(Table1[[#This Row],[h_Item Description]],[1]!db[kode],0)))</f>
        <v/>
      </c>
      <c r="Q203" s="283"/>
      <c r="R203" s="284"/>
      <c r="T203" s="283" t="str">
        <f>Table1[[#This Row],[h_hargasetelahdiskon]]</f>
        <v/>
      </c>
      <c r="W203" s="287" t="str">
        <f ca="1">IF(Table1[[#This Row],[Item Description]]="","",IF(Table1[[#This Row],[//]]="",INDIRECT(ADDRESS(ROW()-1,COLUMN())),Table1[[#This Row],[//]]))</f>
        <v/>
      </c>
      <c r="X203" s="287" t="str">
        <f ca="1">IF(Table1[[#This Row],[h_id]]="","",COUNTIF(Table1[h_id],Table1[[#This Row],[h_id]]))</f>
        <v/>
      </c>
      <c r="Y203" s="283" t="str">
        <f>IF(Table1[Item Description]="","",Table1[[#This Row],[Qty]]*Table1[[#This Row],[Unit Price]])</f>
        <v/>
      </c>
      <c r="Z203" s="283" t="str">
        <f>IF(Table1[[#This Row],[h_hargasebelumdiskon]]="","",IF(Table1[[#This Row],[Disc 1]]="",0,Table1[[#This Row],[h_hargasebelumdiskon]]*Table1[[#This Row],[Disc 1]]))</f>
        <v/>
      </c>
      <c r="AA203" s="283" t="str">
        <f>IF(Table1[[#This Row],[h_hargasebelumdiskon]]="","",IF(Table1[[#This Row],[Disc 2]]="",0,(Table1[[#This Row],[h_hargasebelumdiskon]]-Table1[[#This Row],[h_disc 1]])*Table1[[#This Row],[Disc 2]]))</f>
        <v/>
      </c>
      <c r="AB203" s="283" t="str">
        <f>IF(Table1[Item Description]="","",Table1[[#This Row],[h_disc 1]]+Table1[[#This Row],[h_disc 2]])</f>
        <v/>
      </c>
      <c r="AC203" s="283" t="str">
        <f>IF(Table1[Item Description]="","",Table1[[#This Row],[h_hargasebelumdiskon]]-Table1[[#This Row],[h_diskon]])</f>
        <v/>
      </c>
      <c r="AD203" s="283" t="str">
        <f ca="1">IF(Table1[//]="","",SUMIF(Table1[h_id],Table1[h_id],Table1[h_hargasetelahdiskon]))</f>
        <v/>
      </c>
      <c r="AE203" s="283"/>
      <c r="AF203" s="283" t="str">
        <f>Table1[[#This Row],[Item Description]]&amp;Table1[[#This Row],[Unit]]&amp;Table1[[#This Row],[Unit Price]]</f>
        <v/>
      </c>
    </row>
    <row r="204" spans="1:32" x14ac:dyDescent="0.25">
      <c r="A204" s="287" t="str">
        <f ca="1">IF(Table1[[#This Row],[No. Invoice :]]="","",ROW())</f>
        <v/>
      </c>
      <c r="B204" s="287" t="str">
        <f ca="1">IF(Table1[h_Kode Sales :_1]="","",B$1+COUNT(INDIRECT("B$2:B"&amp;ROW()-1)))</f>
        <v/>
      </c>
      <c r="C204" s="281" t="str">
        <f>IF(Table1[[#This Row],[H_TGL]]="","",Table1[[#This Row],[H_TGL]]+C$1-1)</f>
        <v/>
      </c>
      <c r="H204" s="287" t="str">
        <f ca="1">IF(Table1[[#This Row],[h_No. Invoice :]]="","",CONCATENATE("AM"," ",Table1[[#This Row],[h_No. Invoice :]]))</f>
        <v/>
      </c>
      <c r="I204" s="288" t="str">
        <f>CONCATENATE(UPPER(Table1[[#This Row],[h_Kode Sales :_1]])," ",Table1[[#This Row],[h_Kode Sales :_2]])</f>
        <v xml:space="preserve"> </v>
      </c>
      <c r="J204" s="287" t="str">
        <f>IF(Table1[[#This Row],[h_toko]]="","",INDEX(Table2[e],IF(Table1[[#This Row],[h_toko]]="","",MATCH(Table1[[#This Row],[h_toko]],Table2[a],0)),))</f>
        <v/>
      </c>
      <c r="O204" s="287" t="str">
        <f>IF(Table1[[#This Row],[h_Item Description]]="","",INDEX([1]!db[NB PAJAK],MATCH(Table1[[#This Row],[h_Item Description]],[1]!db[kode],0)))</f>
        <v/>
      </c>
      <c r="Q204" s="283"/>
      <c r="R204" s="284"/>
      <c r="T204" s="283" t="str">
        <f>Table1[[#This Row],[h_hargasetelahdiskon]]</f>
        <v/>
      </c>
      <c r="W204" s="287" t="str">
        <f ca="1">IF(Table1[[#This Row],[Item Description]]="","",IF(Table1[[#This Row],[//]]="",INDIRECT(ADDRESS(ROW()-1,COLUMN())),Table1[[#This Row],[//]]))</f>
        <v/>
      </c>
      <c r="X204" s="287" t="str">
        <f ca="1">IF(Table1[[#This Row],[h_id]]="","",COUNTIF(Table1[h_id],Table1[[#This Row],[h_id]]))</f>
        <v/>
      </c>
      <c r="Y204" s="283" t="str">
        <f>IF(Table1[Item Description]="","",Table1[[#This Row],[Qty]]*Table1[[#This Row],[Unit Price]])</f>
        <v/>
      </c>
      <c r="Z204" s="283" t="str">
        <f>IF(Table1[[#This Row],[h_hargasebelumdiskon]]="","",IF(Table1[[#This Row],[Disc 1]]="",0,Table1[[#This Row],[h_hargasebelumdiskon]]*Table1[[#This Row],[Disc 1]]))</f>
        <v/>
      </c>
      <c r="AA204" s="283" t="str">
        <f>IF(Table1[[#This Row],[h_hargasebelumdiskon]]="","",IF(Table1[[#This Row],[Disc 2]]="",0,(Table1[[#This Row],[h_hargasebelumdiskon]]-Table1[[#This Row],[h_disc 1]])*Table1[[#This Row],[Disc 2]]))</f>
        <v/>
      </c>
      <c r="AB204" s="283" t="str">
        <f>IF(Table1[Item Description]="","",Table1[[#This Row],[h_disc 1]]+Table1[[#This Row],[h_disc 2]])</f>
        <v/>
      </c>
      <c r="AC204" s="283" t="str">
        <f>IF(Table1[Item Description]="","",Table1[[#This Row],[h_hargasebelumdiskon]]-Table1[[#This Row],[h_diskon]])</f>
        <v/>
      </c>
      <c r="AD204" s="283" t="str">
        <f ca="1">IF(Table1[//]="","",SUMIF(Table1[h_id],Table1[h_id],Table1[h_hargasetelahdiskon]))</f>
        <v/>
      </c>
      <c r="AE204" s="283"/>
      <c r="AF204" s="283" t="str">
        <f>Table1[[#This Row],[Item Description]]&amp;Table1[[#This Row],[Unit]]&amp;Table1[[#This Row],[Unit Price]]</f>
        <v/>
      </c>
    </row>
    <row r="205" spans="1:32" x14ac:dyDescent="0.25">
      <c r="A205" s="287" t="str">
        <f ca="1">IF(Table1[[#This Row],[No. Invoice :]]="","",ROW())</f>
        <v/>
      </c>
      <c r="B205" s="287" t="str">
        <f ca="1">IF(Table1[h_Kode Sales :_1]="","",B$1+COUNT(INDIRECT("B$2:B"&amp;ROW()-1)))</f>
        <v/>
      </c>
      <c r="C205" s="281" t="str">
        <f>IF(Table1[[#This Row],[H_TGL]]="","",Table1[[#This Row],[H_TGL]]+C$1-1)</f>
        <v/>
      </c>
      <c r="H205" s="287" t="str">
        <f ca="1">IF(Table1[[#This Row],[h_No. Invoice :]]="","",CONCATENATE("AM"," ",Table1[[#This Row],[h_No. Invoice :]]))</f>
        <v/>
      </c>
      <c r="I205" s="288" t="str">
        <f>CONCATENATE(UPPER(Table1[[#This Row],[h_Kode Sales :_1]])," ",Table1[[#This Row],[h_Kode Sales :_2]])</f>
        <v xml:space="preserve"> </v>
      </c>
      <c r="J205" s="287" t="str">
        <f>IF(Table1[[#This Row],[h_toko]]="","",INDEX(Table2[e],IF(Table1[[#This Row],[h_toko]]="","",MATCH(Table1[[#This Row],[h_toko]],Table2[a],0)),))</f>
        <v/>
      </c>
      <c r="O205" s="287" t="str">
        <f>IF(Table1[[#This Row],[h_Item Description]]="","",INDEX([1]!db[NB PAJAK],MATCH(Table1[[#This Row],[h_Item Description]],[1]!db[kode],0)))</f>
        <v/>
      </c>
      <c r="Q205" s="283"/>
      <c r="R205" s="284"/>
      <c r="T205" s="283" t="str">
        <f>Table1[[#This Row],[h_hargasetelahdiskon]]</f>
        <v/>
      </c>
      <c r="W205" s="287" t="str">
        <f ca="1">IF(Table1[[#This Row],[Item Description]]="","",IF(Table1[[#This Row],[//]]="",INDIRECT(ADDRESS(ROW()-1,COLUMN())),Table1[[#This Row],[//]]))</f>
        <v/>
      </c>
      <c r="X205" s="287" t="str">
        <f ca="1">IF(Table1[[#This Row],[h_id]]="","",COUNTIF(Table1[h_id],Table1[[#This Row],[h_id]]))</f>
        <v/>
      </c>
      <c r="Y205" s="283" t="str">
        <f>IF(Table1[Item Description]="","",Table1[[#This Row],[Qty]]*Table1[[#This Row],[Unit Price]])</f>
        <v/>
      </c>
      <c r="Z205" s="283" t="str">
        <f>IF(Table1[[#This Row],[h_hargasebelumdiskon]]="","",IF(Table1[[#This Row],[Disc 1]]="",0,Table1[[#This Row],[h_hargasebelumdiskon]]*Table1[[#This Row],[Disc 1]]))</f>
        <v/>
      </c>
      <c r="AA205" s="283" t="str">
        <f>IF(Table1[[#This Row],[h_hargasebelumdiskon]]="","",IF(Table1[[#This Row],[Disc 2]]="",0,(Table1[[#This Row],[h_hargasebelumdiskon]]-Table1[[#This Row],[h_disc 1]])*Table1[[#This Row],[Disc 2]]))</f>
        <v/>
      </c>
      <c r="AB205" s="283" t="str">
        <f>IF(Table1[Item Description]="","",Table1[[#This Row],[h_disc 1]]+Table1[[#This Row],[h_disc 2]])</f>
        <v/>
      </c>
      <c r="AC205" s="283" t="str">
        <f>IF(Table1[Item Description]="","",Table1[[#This Row],[h_hargasebelumdiskon]]-Table1[[#This Row],[h_diskon]])</f>
        <v/>
      </c>
      <c r="AD205" s="283" t="str">
        <f ca="1">IF(Table1[//]="","",SUMIF(Table1[h_id],Table1[h_id],Table1[h_hargasetelahdiskon]))</f>
        <v/>
      </c>
      <c r="AE205" s="283"/>
      <c r="AF205" s="283" t="str">
        <f>Table1[[#This Row],[Item Description]]&amp;Table1[[#This Row],[Unit]]&amp;Table1[[#This Row],[Unit Price]]</f>
        <v/>
      </c>
    </row>
    <row r="206" spans="1:32" x14ac:dyDescent="0.25">
      <c r="A206" s="287" t="str">
        <f ca="1">IF(Table1[[#This Row],[No. Invoice :]]="","",ROW())</f>
        <v/>
      </c>
      <c r="B206" s="287" t="str">
        <f ca="1">IF(Table1[h_Kode Sales :_1]="","",B$1+COUNT(INDIRECT("B$2:B"&amp;ROW()-1)))</f>
        <v/>
      </c>
      <c r="C206" s="281" t="str">
        <f>IF(Table1[[#This Row],[H_TGL]]="","",Table1[[#This Row],[H_TGL]]+C$1-1)</f>
        <v/>
      </c>
      <c r="H206" s="287" t="str">
        <f ca="1">IF(Table1[[#This Row],[h_No. Invoice :]]="","",CONCATENATE("AM"," ",Table1[[#This Row],[h_No. Invoice :]]))</f>
        <v/>
      </c>
      <c r="I206" s="288" t="str">
        <f>CONCATENATE(UPPER(Table1[[#This Row],[h_Kode Sales :_1]])," ",Table1[[#This Row],[h_Kode Sales :_2]])</f>
        <v xml:space="preserve"> </v>
      </c>
      <c r="J206" s="287" t="str">
        <f>IF(Table1[[#This Row],[h_toko]]="","",INDEX(Table2[e],IF(Table1[[#This Row],[h_toko]]="","",MATCH(Table1[[#This Row],[h_toko]],Table2[a],0)),))</f>
        <v/>
      </c>
      <c r="O206" s="287" t="str">
        <f>IF(Table1[[#This Row],[h_Item Description]]="","",INDEX([1]!db[NB PAJAK],MATCH(Table1[[#This Row],[h_Item Description]],[1]!db[kode],0)))</f>
        <v/>
      </c>
      <c r="Q206" s="283"/>
      <c r="R206" s="284"/>
      <c r="T206" s="283" t="str">
        <f>Table1[[#This Row],[h_hargasetelahdiskon]]</f>
        <v/>
      </c>
      <c r="W206" s="287" t="str">
        <f ca="1">IF(Table1[[#This Row],[Item Description]]="","",IF(Table1[[#This Row],[//]]="",INDIRECT(ADDRESS(ROW()-1,COLUMN())),Table1[[#This Row],[//]]))</f>
        <v/>
      </c>
      <c r="X206" s="287" t="str">
        <f ca="1">IF(Table1[[#This Row],[h_id]]="","",COUNTIF(Table1[h_id],Table1[[#This Row],[h_id]]))</f>
        <v/>
      </c>
      <c r="Y206" s="283" t="str">
        <f>IF(Table1[Item Description]="","",Table1[[#This Row],[Qty]]*Table1[[#This Row],[Unit Price]])</f>
        <v/>
      </c>
      <c r="Z206" s="283" t="str">
        <f>IF(Table1[[#This Row],[h_hargasebelumdiskon]]="","",IF(Table1[[#This Row],[Disc 1]]="",0,Table1[[#This Row],[h_hargasebelumdiskon]]*Table1[[#This Row],[Disc 1]]))</f>
        <v/>
      </c>
      <c r="AA206" s="283" t="str">
        <f>IF(Table1[[#This Row],[h_hargasebelumdiskon]]="","",IF(Table1[[#This Row],[Disc 2]]="",0,(Table1[[#This Row],[h_hargasebelumdiskon]]-Table1[[#This Row],[h_disc 1]])*Table1[[#This Row],[Disc 2]]))</f>
        <v/>
      </c>
      <c r="AB206" s="283" t="str">
        <f>IF(Table1[Item Description]="","",Table1[[#This Row],[h_disc 1]]+Table1[[#This Row],[h_disc 2]])</f>
        <v/>
      </c>
      <c r="AC206" s="283" t="str">
        <f>IF(Table1[Item Description]="","",Table1[[#This Row],[h_hargasebelumdiskon]]-Table1[[#This Row],[h_diskon]])</f>
        <v/>
      </c>
      <c r="AD206" s="283" t="str">
        <f ca="1">IF(Table1[//]="","",SUMIF(Table1[h_id],Table1[h_id],Table1[h_hargasetelahdiskon]))</f>
        <v/>
      </c>
      <c r="AE206" s="283"/>
      <c r="AF206" s="283" t="str">
        <f>Table1[[#This Row],[Item Description]]&amp;Table1[[#This Row],[Unit]]&amp;Table1[[#This Row],[Unit Price]]</f>
        <v/>
      </c>
    </row>
    <row r="207" spans="1:32" x14ac:dyDescent="0.25">
      <c r="A207" s="287" t="str">
        <f ca="1">IF(Table1[[#This Row],[No. Invoice :]]="","",ROW())</f>
        <v/>
      </c>
      <c r="B207" s="287" t="str">
        <f ca="1">IF(Table1[h_Kode Sales :_1]="","",B$1+COUNT(INDIRECT("B$2:B"&amp;ROW()-1)))</f>
        <v/>
      </c>
      <c r="C207" s="281" t="str">
        <f>IF(Table1[[#This Row],[H_TGL]]="","",Table1[[#This Row],[H_TGL]]+C$1-1)</f>
        <v/>
      </c>
      <c r="H207" s="287" t="str">
        <f ca="1">IF(Table1[[#This Row],[h_No. Invoice :]]="","",CONCATENATE("AM"," ",Table1[[#This Row],[h_No. Invoice :]]))</f>
        <v/>
      </c>
      <c r="I207" s="288" t="str">
        <f>CONCATENATE(UPPER(Table1[[#This Row],[h_Kode Sales :_1]])," ",Table1[[#This Row],[h_Kode Sales :_2]])</f>
        <v xml:space="preserve"> </v>
      </c>
      <c r="J207" s="287" t="str">
        <f>IF(Table1[[#This Row],[h_toko]]="","",INDEX(Table2[e],IF(Table1[[#This Row],[h_toko]]="","",MATCH(Table1[[#This Row],[h_toko]],Table2[a],0)),))</f>
        <v/>
      </c>
      <c r="O207" s="287" t="str">
        <f>IF(Table1[[#This Row],[h_Item Description]]="","",INDEX([1]!db[NB PAJAK],MATCH(Table1[[#This Row],[h_Item Description]],[1]!db[kode],0)))</f>
        <v/>
      </c>
      <c r="Q207" s="283"/>
      <c r="R207" s="284"/>
      <c r="T207" s="283" t="str">
        <f>Table1[[#This Row],[h_hargasetelahdiskon]]</f>
        <v/>
      </c>
      <c r="W207" s="287" t="str">
        <f ca="1">IF(Table1[[#This Row],[Item Description]]="","",IF(Table1[[#This Row],[//]]="",INDIRECT(ADDRESS(ROW()-1,COLUMN())),Table1[[#This Row],[//]]))</f>
        <v/>
      </c>
      <c r="X207" s="287" t="str">
        <f ca="1">IF(Table1[[#This Row],[h_id]]="","",COUNTIF(Table1[h_id],Table1[[#This Row],[h_id]]))</f>
        <v/>
      </c>
      <c r="Y207" s="283" t="str">
        <f>IF(Table1[Item Description]="","",Table1[[#This Row],[Qty]]*Table1[[#This Row],[Unit Price]])</f>
        <v/>
      </c>
      <c r="Z207" s="283" t="str">
        <f>IF(Table1[[#This Row],[h_hargasebelumdiskon]]="","",IF(Table1[[#This Row],[Disc 1]]="",0,Table1[[#This Row],[h_hargasebelumdiskon]]*Table1[[#This Row],[Disc 1]]))</f>
        <v/>
      </c>
      <c r="AA207" s="283" t="str">
        <f>IF(Table1[[#This Row],[h_hargasebelumdiskon]]="","",IF(Table1[[#This Row],[Disc 2]]="",0,(Table1[[#This Row],[h_hargasebelumdiskon]]-Table1[[#This Row],[h_disc 1]])*Table1[[#This Row],[Disc 2]]))</f>
        <v/>
      </c>
      <c r="AB207" s="283" t="str">
        <f>IF(Table1[Item Description]="","",Table1[[#This Row],[h_disc 1]]+Table1[[#This Row],[h_disc 2]])</f>
        <v/>
      </c>
      <c r="AC207" s="283" t="str">
        <f>IF(Table1[Item Description]="","",Table1[[#This Row],[h_hargasebelumdiskon]]-Table1[[#This Row],[h_diskon]])</f>
        <v/>
      </c>
      <c r="AD207" s="283" t="str">
        <f ca="1">IF(Table1[//]="","",SUMIF(Table1[h_id],Table1[h_id],Table1[h_hargasetelahdiskon]))</f>
        <v/>
      </c>
      <c r="AE207" s="283"/>
      <c r="AF207" s="283" t="str">
        <f>Table1[[#This Row],[Item Description]]&amp;Table1[[#This Row],[Unit]]&amp;Table1[[#This Row],[Unit Price]]</f>
        <v/>
      </c>
    </row>
    <row r="208" spans="1:32" x14ac:dyDescent="0.25">
      <c r="A208" s="287" t="str">
        <f ca="1">IF(Table1[[#This Row],[No. Invoice :]]="","",ROW())</f>
        <v/>
      </c>
      <c r="B208" s="287" t="str">
        <f ca="1">IF(Table1[h_Kode Sales :_1]="","",B$1+COUNT(INDIRECT("B$2:B"&amp;ROW()-1)))</f>
        <v/>
      </c>
      <c r="C208" s="281" t="str">
        <f>IF(Table1[[#This Row],[H_TGL]]="","",Table1[[#This Row],[H_TGL]]+C$1-1)</f>
        <v/>
      </c>
      <c r="H208" s="287" t="str">
        <f ca="1">IF(Table1[[#This Row],[h_No. Invoice :]]="","",CONCATENATE("AM"," ",Table1[[#This Row],[h_No. Invoice :]]))</f>
        <v/>
      </c>
      <c r="I208" s="288" t="str">
        <f>CONCATENATE(UPPER(Table1[[#This Row],[h_Kode Sales :_1]])," ",Table1[[#This Row],[h_Kode Sales :_2]])</f>
        <v xml:space="preserve"> </v>
      </c>
      <c r="J208" s="287" t="str">
        <f>IF(Table1[[#This Row],[h_toko]]="","",INDEX(Table2[e],IF(Table1[[#This Row],[h_toko]]="","",MATCH(Table1[[#This Row],[h_toko]],Table2[a],0)),))</f>
        <v/>
      </c>
      <c r="O208" s="287" t="str">
        <f>IF(Table1[[#This Row],[h_Item Description]]="","",INDEX([1]!db[NB PAJAK],MATCH(Table1[[#This Row],[h_Item Description]],[1]!db[kode],0)))</f>
        <v/>
      </c>
      <c r="Q208" s="283"/>
      <c r="R208" s="284"/>
      <c r="T208" s="283" t="str">
        <f>Table1[[#This Row],[h_hargasetelahdiskon]]</f>
        <v/>
      </c>
      <c r="W208" s="287" t="str">
        <f ca="1">IF(Table1[[#This Row],[Item Description]]="","",IF(Table1[[#This Row],[//]]="",INDIRECT(ADDRESS(ROW()-1,COLUMN())),Table1[[#This Row],[//]]))</f>
        <v/>
      </c>
      <c r="X208" s="287" t="str">
        <f ca="1">IF(Table1[[#This Row],[h_id]]="","",COUNTIF(Table1[h_id],Table1[[#This Row],[h_id]]))</f>
        <v/>
      </c>
      <c r="Y208" s="283" t="str">
        <f>IF(Table1[Item Description]="","",Table1[[#This Row],[Qty]]*Table1[[#This Row],[Unit Price]])</f>
        <v/>
      </c>
      <c r="Z208" s="283" t="str">
        <f>IF(Table1[[#This Row],[h_hargasebelumdiskon]]="","",IF(Table1[[#This Row],[Disc 1]]="",0,Table1[[#This Row],[h_hargasebelumdiskon]]*Table1[[#This Row],[Disc 1]]))</f>
        <v/>
      </c>
      <c r="AA208" s="283" t="str">
        <f>IF(Table1[[#This Row],[h_hargasebelumdiskon]]="","",IF(Table1[[#This Row],[Disc 2]]="",0,(Table1[[#This Row],[h_hargasebelumdiskon]]-Table1[[#This Row],[h_disc 1]])*Table1[[#This Row],[Disc 2]]))</f>
        <v/>
      </c>
      <c r="AB208" s="283" t="str">
        <f>IF(Table1[Item Description]="","",Table1[[#This Row],[h_disc 1]]+Table1[[#This Row],[h_disc 2]])</f>
        <v/>
      </c>
      <c r="AC208" s="283" t="str">
        <f>IF(Table1[Item Description]="","",Table1[[#This Row],[h_hargasebelumdiskon]]-Table1[[#This Row],[h_diskon]])</f>
        <v/>
      </c>
      <c r="AD208" s="283" t="str">
        <f ca="1">IF(Table1[//]="","",SUMIF(Table1[h_id],Table1[h_id],Table1[h_hargasetelahdiskon]))</f>
        <v/>
      </c>
      <c r="AE208" s="283"/>
      <c r="AF208" s="283" t="str">
        <f>Table1[[#This Row],[Item Description]]&amp;Table1[[#This Row],[Unit]]&amp;Table1[[#This Row],[Unit Price]]</f>
        <v/>
      </c>
    </row>
    <row r="209" spans="1:32" x14ac:dyDescent="0.25">
      <c r="A209" s="287" t="str">
        <f ca="1">IF(Table1[[#This Row],[No. Invoice :]]="","",ROW())</f>
        <v/>
      </c>
      <c r="B209" s="287" t="str">
        <f ca="1">IF(Table1[h_Kode Sales :_1]="","",B$1+COUNT(INDIRECT("B$2:B"&amp;ROW()-1)))</f>
        <v/>
      </c>
      <c r="C209" s="281" t="str">
        <f>IF(Table1[[#This Row],[H_TGL]]="","",Table1[[#This Row],[H_TGL]]+C$1-1)</f>
        <v/>
      </c>
      <c r="H209" s="287" t="str">
        <f ca="1">IF(Table1[[#This Row],[h_No. Invoice :]]="","",CONCATENATE("AM"," ",Table1[[#This Row],[h_No. Invoice :]]))</f>
        <v/>
      </c>
      <c r="I209" s="288" t="str">
        <f>CONCATENATE(UPPER(Table1[[#This Row],[h_Kode Sales :_1]])," ",Table1[[#This Row],[h_Kode Sales :_2]])</f>
        <v xml:space="preserve"> </v>
      </c>
      <c r="J209" s="287" t="str">
        <f>IF(Table1[[#This Row],[h_toko]]="","",INDEX(Table2[e],IF(Table1[[#This Row],[h_toko]]="","",MATCH(Table1[[#This Row],[h_toko]],Table2[a],0)),))</f>
        <v/>
      </c>
      <c r="O209" s="287" t="str">
        <f>IF(Table1[[#This Row],[h_Item Description]]="","",INDEX([1]!db[NB PAJAK],MATCH(Table1[[#This Row],[h_Item Description]],[1]!db[kode],0)))</f>
        <v/>
      </c>
      <c r="Q209" s="283"/>
      <c r="R209" s="284"/>
      <c r="T209" s="283" t="str">
        <f>Table1[[#This Row],[h_hargasetelahdiskon]]</f>
        <v/>
      </c>
      <c r="W209" s="287" t="str">
        <f ca="1">IF(Table1[[#This Row],[Item Description]]="","",IF(Table1[[#This Row],[//]]="",INDIRECT(ADDRESS(ROW()-1,COLUMN())),Table1[[#This Row],[//]]))</f>
        <v/>
      </c>
      <c r="X209" s="287" t="str">
        <f ca="1">IF(Table1[[#This Row],[h_id]]="","",COUNTIF(Table1[h_id],Table1[[#This Row],[h_id]]))</f>
        <v/>
      </c>
      <c r="Y209" s="283" t="str">
        <f>IF(Table1[Item Description]="","",Table1[[#This Row],[Qty]]*Table1[[#This Row],[Unit Price]])</f>
        <v/>
      </c>
      <c r="Z209" s="283" t="str">
        <f>IF(Table1[[#This Row],[h_hargasebelumdiskon]]="","",IF(Table1[[#This Row],[Disc 1]]="",0,Table1[[#This Row],[h_hargasebelumdiskon]]*Table1[[#This Row],[Disc 1]]))</f>
        <v/>
      </c>
      <c r="AA209" s="283" t="str">
        <f>IF(Table1[[#This Row],[h_hargasebelumdiskon]]="","",IF(Table1[[#This Row],[Disc 2]]="",0,(Table1[[#This Row],[h_hargasebelumdiskon]]-Table1[[#This Row],[h_disc 1]])*Table1[[#This Row],[Disc 2]]))</f>
        <v/>
      </c>
      <c r="AB209" s="283" t="str">
        <f>IF(Table1[Item Description]="","",Table1[[#This Row],[h_disc 1]]+Table1[[#This Row],[h_disc 2]])</f>
        <v/>
      </c>
      <c r="AC209" s="283" t="str">
        <f>IF(Table1[Item Description]="","",Table1[[#This Row],[h_hargasebelumdiskon]]-Table1[[#This Row],[h_diskon]])</f>
        <v/>
      </c>
      <c r="AD209" s="283" t="str">
        <f ca="1">IF(Table1[//]="","",SUMIF(Table1[h_id],Table1[h_id],Table1[h_hargasetelahdiskon]))</f>
        <v/>
      </c>
      <c r="AE209" s="283"/>
      <c r="AF209" s="283" t="str">
        <f>Table1[[#This Row],[Item Description]]&amp;Table1[[#This Row],[Unit]]&amp;Table1[[#This Row],[Unit Price]]</f>
        <v/>
      </c>
    </row>
    <row r="210" spans="1:32" x14ac:dyDescent="0.25">
      <c r="A210" s="287" t="str">
        <f ca="1">IF(Table1[[#This Row],[No. Invoice :]]="","",ROW())</f>
        <v/>
      </c>
      <c r="B210" s="287" t="str">
        <f ca="1">IF(Table1[h_Kode Sales :_1]="","",B$1+COUNT(INDIRECT("B$2:B"&amp;ROW()-1)))</f>
        <v/>
      </c>
      <c r="C210" s="281" t="str">
        <f>IF(Table1[[#This Row],[H_TGL]]="","",Table1[[#This Row],[H_TGL]]+C$1-1)</f>
        <v/>
      </c>
      <c r="H210" s="287" t="str">
        <f ca="1">IF(Table1[[#This Row],[h_No. Invoice :]]="","",CONCATENATE("AM"," ",Table1[[#This Row],[h_No. Invoice :]]))</f>
        <v/>
      </c>
      <c r="I210" s="288" t="str">
        <f>CONCATENATE(UPPER(Table1[[#This Row],[h_Kode Sales :_1]])," ",Table1[[#This Row],[h_Kode Sales :_2]])</f>
        <v xml:space="preserve"> </v>
      </c>
      <c r="J210" s="287" t="str">
        <f>IF(Table1[[#This Row],[h_toko]]="","",INDEX(Table2[e],IF(Table1[[#This Row],[h_toko]]="","",MATCH(Table1[[#This Row],[h_toko]],Table2[a],0)),))</f>
        <v/>
      </c>
      <c r="O210" s="287" t="str">
        <f>IF(Table1[[#This Row],[h_Item Description]]="","",INDEX([1]!db[NB PAJAK],MATCH(Table1[[#This Row],[h_Item Description]],[1]!db[kode],0)))</f>
        <v/>
      </c>
      <c r="Q210" s="283"/>
      <c r="R210" s="284"/>
      <c r="T210" s="283" t="str">
        <f>Table1[[#This Row],[h_hargasetelahdiskon]]</f>
        <v/>
      </c>
      <c r="W210" s="287" t="str">
        <f ca="1">IF(Table1[[#This Row],[Item Description]]="","",IF(Table1[[#This Row],[//]]="",INDIRECT(ADDRESS(ROW()-1,COLUMN())),Table1[[#This Row],[//]]))</f>
        <v/>
      </c>
      <c r="X210" s="287" t="str">
        <f ca="1">IF(Table1[[#This Row],[h_id]]="","",COUNTIF(Table1[h_id],Table1[[#This Row],[h_id]]))</f>
        <v/>
      </c>
      <c r="Y210" s="283" t="str">
        <f>IF(Table1[Item Description]="","",Table1[[#This Row],[Qty]]*Table1[[#This Row],[Unit Price]])</f>
        <v/>
      </c>
      <c r="Z210" s="283" t="str">
        <f>IF(Table1[[#This Row],[h_hargasebelumdiskon]]="","",IF(Table1[[#This Row],[Disc 1]]="",0,Table1[[#This Row],[h_hargasebelumdiskon]]*Table1[[#This Row],[Disc 1]]))</f>
        <v/>
      </c>
      <c r="AA210" s="283" t="str">
        <f>IF(Table1[[#This Row],[h_hargasebelumdiskon]]="","",IF(Table1[[#This Row],[Disc 2]]="",0,(Table1[[#This Row],[h_hargasebelumdiskon]]-Table1[[#This Row],[h_disc 1]])*Table1[[#This Row],[Disc 2]]))</f>
        <v/>
      </c>
      <c r="AB210" s="283" t="str">
        <f>IF(Table1[Item Description]="","",Table1[[#This Row],[h_disc 1]]+Table1[[#This Row],[h_disc 2]])</f>
        <v/>
      </c>
      <c r="AC210" s="283" t="str">
        <f>IF(Table1[Item Description]="","",Table1[[#This Row],[h_hargasebelumdiskon]]-Table1[[#This Row],[h_diskon]])</f>
        <v/>
      </c>
      <c r="AD210" s="283" t="str">
        <f ca="1">IF(Table1[//]="","",SUMIF(Table1[h_id],Table1[h_id],Table1[h_hargasetelahdiskon]))</f>
        <v/>
      </c>
      <c r="AE210" s="283"/>
      <c r="AF210" s="283" t="str">
        <f>Table1[[#This Row],[Item Description]]&amp;Table1[[#This Row],[Unit]]&amp;Table1[[#This Row],[Unit Price]]</f>
        <v/>
      </c>
    </row>
    <row r="211" spans="1:32" x14ac:dyDescent="0.25">
      <c r="A211" s="287" t="str">
        <f ca="1">IF(Table1[[#This Row],[No. Invoice :]]="","",ROW())</f>
        <v/>
      </c>
      <c r="B211" s="287" t="str">
        <f ca="1">IF(Table1[h_Kode Sales :_1]="","",B$1+COUNT(INDIRECT("B$2:B"&amp;ROW()-1)))</f>
        <v/>
      </c>
      <c r="C211" s="281" t="str">
        <f>IF(Table1[[#This Row],[H_TGL]]="","",Table1[[#This Row],[H_TGL]]+C$1-1)</f>
        <v/>
      </c>
      <c r="H211" s="287" t="str">
        <f ca="1">IF(Table1[[#This Row],[h_No. Invoice :]]="","",CONCATENATE("AM"," ",Table1[[#This Row],[h_No. Invoice :]]))</f>
        <v/>
      </c>
      <c r="I211" s="288" t="str">
        <f>CONCATENATE(UPPER(Table1[[#This Row],[h_Kode Sales :_1]])," ",Table1[[#This Row],[h_Kode Sales :_2]])</f>
        <v xml:space="preserve"> </v>
      </c>
      <c r="J211" s="287" t="str">
        <f>IF(Table1[[#This Row],[h_toko]]="","",INDEX(Table2[e],IF(Table1[[#This Row],[h_toko]]="","",MATCH(Table1[[#This Row],[h_toko]],Table2[a],0)),))</f>
        <v/>
      </c>
      <c r="O211" s="287" t="str">
        <f>IF(Table1[[#This Row],[h_Item Description]]="","",INDEX([1]!db[NB PAJAK],MATCH(Table1[[#This Row],[h_Item Description]],[1]!db[kode],0)))</f>
        <v/>
      </c>
      <c r="Q211" s="283"/>
      <c r="R211" s="284"/>
      <c r="T211" s="283" t="str">
        <f>Table1[[#This Row],[h_hargasetelahdiskon]]</f>
        <v/>
      </c>
      <c r="W211" s="287" t="str">
        <f ca="1">IF(Table1[[#This Row],[Item Description]]="","",IF(Table1[[#This Row],[//]]="",INDIRECT(ADDRESS(ROW()-1,COLUMN())),Table1[[#This Row],[//]]))</f>
        <v/>
      </c>
      <c r="X211" s="287" t="str">
        <f ca="1">IF(Table1[[#This Row],[h_id]]="","",COUNTIF(Table1[h_id],Table1[[#This Row],[h_id]]))</f>
        <v/>
      </c>
      <c r="Y211" s="283" t="str">
        <f>IF(Table1[Item Description]="","",Table1[[#This Row],[Qty]]*Table1[[#This Row],[Unit Price]])</f>
        <v/>
      </c>
      <c r="Z211" s="283" t="str">
        <f>IF(Table1[[#This Row],[h_hargasebelumdiskon]]="","",IF(Table1[[#This Row],[Disc 1]]="",0,Table1[[#This Row],[h_hargasebelumdiskon]]*Table1[[#This Row],[Disc 1]]))</f>
        <v/>
      </c>
      <c r="AA211" s="283" t="str">
        <f>IF(Table1[[#This Row],[h_hargasebelumdiskon]]="","",IF(Table1[[#This Row],[Disc 2]]="",0,(Table1[[#This Row],[h_hargasebelumdiskon]]-Table1[[#This Row],[h_disc 1]])*Table1[[#This Row],[Disc 2]]))</f>
        <v/>
      </c>
      <c r="AB211" s="283" t="str">
        <f>IF(Table1[Item Description]="","",Table1[[#This Row],[h_disc 1]]+Table1[[#This Row],[h_disc 2]])</f>
        <v/>
      </c>
      <c r="AC211" s="283" t="str">
        <f>IF(Table1[Item Description]="","",Table1[[#This Row],[h_hargasebelumdiskon]]-Table1[[#This Row],[h_diskon]])</f>
        <v/>
      </c>
      <c r="AD211" s="283" t="str">
        <f ca="1">IF(Table1[//]="","",SUMIF(Table1[h_id],Table1[h_id],Table1[h_hargasetelahdiskon]))</f>
        <v/>
      </c>
      <c r="AE211" s="283"/>
      <c r="AF211" s="283" t="str">
        <f>Table1[[#This Row],[Item Description]]&amp;Table1[[#This Row],[Unit]]&amp;Table1[[#This Row],[Unit Price]]</f>
        <v/>
      </c>
    </row>
    <row r="212" spans="1:32" x14ac:dyDescent="0.25">
      <c r="A212" s="287" t="str">
        <f ca="1">IF(Table1[[#This Row],[No. Invoice :]]="","",ROW())</f>
        <v/>
      </c>
      <c r="B212" s="287" t="str">
        <f ca="1">IF(Table1[h_Kode Sales :_1]="","",B$1+COUNT(INDIRECT("B$2:B"&amp;ROW()-1)))</f>
        <v/>
      </c>
      <c r="C212" s="281" t="str">
        <f>IF(Table1[[#This Row],[H_TGL]]="","",Table1[[#This Row],[H_TGL]]+C$1-1)</f>
        <v/>
      </c>
      <c r="H212" s="287" t="str">
        <f ca="1">IF(Table1[[#This Row],[h_No. Invoice :]]="","",CONCATENATE("AM"," ",Table1[[#This Row],[h_No. Invoice :]]))</f>
        <v/>
      </c>
      <c r="I212" s="288" t="str">
        <f>CONCATENATE(UPPER(Table1[[#This Row],[h_Kode Sales :_1]])," ",Table1[[#This Row],[h_Kode Sales :_2]])</f>
        <v xml:space="preserve"> </v>
      </c>
      <c r="J212" s="287" t="str">
        <f>IF(Table1[[#This Row],[h_toko]]="","",INDEX(Table2[e],IF(Table1[[#This Row],[h_toko]]="","",MATCH(Table1[[#This Row],[h_toko]],Table2[a],0)),))</f>
        <v/>
      </c>
      <c r="O212" s="287" t="str">
        <f>IF(Table1[[#This Row],[h_Item Description]]="","",INDEX([1]!db[NB PAJAK],MATCH(Table1[[#This Row],[h_Item Description]],[1]!db[kode],0)))</f>
        <v/>
      </c>
      <c r="Q212" s="283"/>
      <c r="R212" s="284"/>
      <c r="T212" s="283" t="str">
        <f>Table1[[#This Row],[h_hargasetelahdiskon]]</f>
        <v/>
      </c>
      <c r="W212" s="287" t="str">
        <f ca="1">IF(Table1[[#This Row],[Item Description]]="","",IF(Table1[[#This Row],[//]]="",INDIRECT(ADDRESS(ROW()-1,COLUMN())),Table1[[#This Row],[//]]))</f>
        <v/>
      </c>
      <c r="X212" s="287" t="str">
        <f ca="1">IF(Table1[[#This Row],[h_id]]="","",COUNTIF(Table1[h_id],Table1[[#This Row],[h_id]]))</f>
        <v/>
      </c>
      <c r="Y212" s="283" t="str">
        <f>IF(Table1[Item Description]="","",Table1[[#This Row],[Qty]]*Table1[[#This Row],[Unit Price]])</f>
        <v/>
      </c>
      <c r="Z212" s="283" t="str">
        <f>IF(Table1[[#This Row],[h_hargasebelumdiskon]]="","",IF(Table1[[#This Row],[Disc 1]]="",0,Table1[[#This Row],[h_hargasebelumdiskon]]*Table1[[#This Row],[Disc 1]]))</f>
        <v/>
      </c>
      <c r="AA212" s="283" t="str">
        <f>IF(Table1[[#This Row],[h_hargasebelumdiskon]]="","",IF(Table1[[#This Row],[Disc 2]]="",0,(Table1[[#This Row],[h_hargasebelumdiskon]]-Table1[[#This Row],[h_disc 1]])*Table1[[#This Row],[Disc 2]]))</f>
        <v/>
      </c>
      <c r="AB212" s="283" t="str">
        <f>IF(Table1[Item Description]="","",Table1[[#This Row],[h_disc 1]]+Table1[[#This Row],[h_disc 2]])</f>
        <v/>
      </c>
      <c r="AC212" s="283" t="str">
        <f>IF(Table1[Item Description]="","",Table1[[#This Row],[h_hargasebelumdiskon]]-Table1[[#This Row],[h_diskon]])</f>
        <v/>
      </c>
      <c r="AD212" s="283" t="str">
        <f ca="1">IF(Table1[//]="","",SUMIF(Table1[h_id],Table1[h_id],Table1[h_hargasetelahdiskon]))</f>
        <v/>
      </c>
      <c r="AE212" s="283"/>
      <c r="AF212" s="283" t="str">
        <f>Table1[[#This Row],[Item Description]]&amp;Table1[[#This Row],[Unit]]&amp;Table1[[#This Row],[Unit Price]]</f>
        <v/>
      </c>
    </row>
    <row r="213" spans="1:32" x14ac:dyDescent="0.25">
      <c r="A213" s="287" t="str">
        <f ca="1">IF(Table1[[#This Row],[No. Invoice :]]="","",ROW())</f>
        <v/>
      </c>
      <c r="B213" s="287" t="str">
        <f ca="1">IF(Table1[h_Kode Sales :_1]="","",B$1+COUNT(INDIRECT("B$2:B"&amp;ROW()-1)))</f>
        <v/>
      </c>
      <c r="C213" s="281" t="str">
        <f>IF(Table1[[#This Row],[H_TGL]]="","",Table1[[#This Row],[H_TGL]]+C$1-1)</f>
        <v/>
      </c>
      <c r="H213" s="287" t="str">
        <f ca="1">IF(Table1[[#This Row],[h_No. Invoice :]]="","",CONCATENATE("AM"," ",Table1[[#This Row],[h_No. Invoice :]]))</f>
        <v/>
      </c>
      <c r="I213" s="288" t="str">
        <f>CONCATENATE(UPPER(Table1[[#This Row],[h_Kode Sales :_1]])," ",Table1[[#This Row],[h_Kode Sales :_2]])</f>
        <v xml:space="preserve"> </v>
      </c>
      <c r="J213" s="287" t="str">
        <f>IF(Table1[[#This Row],[h_toko]]="","",INDEX(Table2[e],IF(Table1[[#This Row],[h_toko]]="","",MATCH(Table1[[#This Row],[h_toko]],Table2[a],0)),))</f>
        <v/>
      </c>
      <c r="O213" s="287" t="str">
        <f>IF(Table1[[#This Row],[h_Item Description]]="","",INDEX([1]!db[NB PAJAK],MATCH(Table1[[#This Row],[h_Item Description]],[1]!db[kode],0)))</f>
        <v/>
      </c>
      <c r="Q213" s="283"/>
      <c r="R213" s="284"/>
      <c r="T213" s="283" t="str">
        <f>Table1[[#This Row],[h_hargasetelahdiskon]]</f>
        <v/>
      </c>
      <c r="W213" s="287" t="str">
        <f ca="1">IF(Table1[[#This Row],[Item Description]]="","",IF(Table1[[#This Row],[//]]="",INDIRECT(ADDRESS(ROW()-1,COLUMN())),Table1[[#This Row],[//]]))</f>
        <v/>
      </c>
      <c r="X213" s="287" t="str">
        <f ca="1">IF(Table1[[#This Row],[h_id]]="","",COUNTIF(Table1[h_id],Table1[[#This Row],[h_id]]))</f>
        <v/>
      </c>
      <c r="Y213" s="283" t="str">
        <f>IF(Table1[Item Description]="","",Table1[[#This Row],[Qty]]*Table1[[#This Row],[Unit Price]])</f>
        <v/>
      </c>
      <c r="Z213" s="283" t="str">
        <f>IF(Table1[[#This Row],[h_hargasebelumdiskon]]="","",IF(Table1[[#This Row],[Disc 1]]="",0,Table1[[#This Row],[h_hargasebelumdiskon]]*Table1[[#This Row],[Disc 1]]))</f>
        <v/>
      </c>
      <c r="AA213" s="283" t="str">
        <f>IF(Table1[[#This Row],[h_hargasebelumdiskon]]="","",IF(Table1[[#This Row],[Disc 2]]="",0,(Table1[[#This Row],[h_hargasebelumdiskon]]-Table1[[#This Row],[h_disc 1]])*Table1[[#This Row],[Disc 2]]))</f>
        <v/>
      </c>
      <c r="AB213" s="283" t="str">
        <f>IF(Table1[Item Description]="","",Table1[[#This Row],[h_disc 1]]+Table1[[#This Row],[h_disc 2]])</f>
        <v/>
      </c>
      <c r="AC213" s="283" t="str">
        <f>IF(Table1[Item Description]="","",Table1[[#This Row],[h_hargasebelumdiskon]]-Table1[[#This Row],[h_diskon]])</f>
        <v/>
      </c>
      <c r="AD213" s="283" t="str">
        <f ca="1">IF(Table1[//]="","",SUMIF(Table1[h_id],Table1[h_id],Table1[h_hargasetelahdiskon]))</f>
        <v/>
      </c>
      <c r="AE213" s="283"/>
      <c r="AF213" s="283" t="str">
        <f>Table1[[#This Row],[Item Description]]&amp;Table1[[#This Row],[Unit]]&amp;Table1[[#This Row],[Unit Price]]</f>
        <v/>
      </c>
    </row>
    <row r="214" spans="1:32" x14ac:dyDescent="0.25">
      <c r="A214" s="287" t="str">
        <f ca="1">IF(Table1[[#This Row],[No. Invoice :]]="","",ROW())</f>
        <v/>
      </c>
      <c r="B214" s="287" t="str">
        <f ca="1">IF(Table1[h_Kode Sales :_1]="","",B$1+COUNT(INDIRECT("B$2:B"&amp;ROW()-1)))</f>
        <v/>
      </c>
      <c r="C214" s="281" t="str">
        <f>IF(Table1[[#This Row],[H_TGL]]="","",Table1[[#This Row],[H_TGL]]+C$1-1)</f>
        <v/>
      </c>
      <c r="H214" s="287" t="str">
        <f ca="1">IF(Table1[[#This Row],[h_No. Invoice :]]="","",CONCATENATE("AM"," ",Table1[[#This Row],[h_No. Invoice :]]))</f>
        <v/>
      </c>
      <c r="I214" s="288" t="str">
        <f>CONCATENATE(UPPER(Table1[[#This Row],[h_Kode Sales :_1]])," ",Table1[[#This Row],[h_Kode Sales :_2]])</f>
        <v xml:space="preserve"> </v>
      </c>
      <c r="J214" s="287" t="str">
        <f>IF(Table1[[#This Row],[h_toko]]="","",INDEX(Table2[e],IF(Table1[[#This Row],[h_toko]]="","",MATCH(Table1[[#This Row],[h_toko]],Table2[a],0)),))</f>
        <v/>
      </c>
      <c r="O214" s="287" t="str">
        <f>IF(Table1[[#This Row],[h_Item Description]]="","",INDEX([1]!db[NB PAJAK],MATCH(Table1[[#This Row],[h_Item Description]],[1]!db[kode],0)))</f>
        <v/>
      </c>
      <c r="Q214" s="283"/>
      <c r="R214" s="284"/>
      <c r="T214" s="283" t="str">
        <f>Table1[[#This Row],[h_hargasetelahdiskon]]</f>
        <v/>
      </c>
      <c r="W214" s="287" t="str">
        <f ca="1">IF(Table1[[#This Row],[Item Description]]="","",IF(Table1[[#This Row],[//]]="",INDIRECT(ADDRESS(ROW()-1,COLUMN())),Table1[[#This Row],[//]]))</f>
        <v/>
      </c>
      <c r="X214" s="287" t="str">
        <f ca="1">IF(Table1[[#This Row],[h_id]]="","",COUNTIF(Table1[h_id],Table1[[#This Row],[h_id]]))</f>
        <v/>
      </c>
      <c r="Y214" s="283" t="str">
        <f>IF(Table1[Item Description]="","",Table1[[#This Row],[Qty]]*Table1[[#This Row],[Unit Price]])</f>
        <v/>
      </c>
      <c r="Z214" s="283" t="str">
        <f>IF(Table1[[#This Row],[h_hargasebelumdiskon]]="","",IF(Table1[[#This Row],[Disc 1]]="",0,Table1[[#This Row],[h_hargasebelumdiskon]]*Table1[[#This Row],[Disc 1]]))</f>
        <v/>
      </c>
      <c r="AA214" s="283" t="str">
        <f>IF(Table1[[#This Row],[h_hargasebelumdiskon]]="","",IF(Table1[[#This Row],[Disc 2]]="",0,(Table1[[#This Row],[h_hargasebelumdiskon]]-Table1[[#This Row],[h_disc 1]])*Table1[[#This Row],[Disc 2]]))</f>
        <v/>
      </c>
      <c r="AB214" s="283" t="str">
        <f>IF(Table1[Item Description]="","",Table1[[#This Row],[h_disc 1]]+Table1[[#This Row],[h_disc 2]])</f>
        <v/>
      </c>
      <c r="AC214" s="283" t="str">
        <f>IF(Table1[Item Description]="","",Table1[[#This Row],[h_hargasebelumdiskon]]-Table1[[#This Row],[h_diskon]])</f>
        <v/>
      </c>
      <c r="AD214" s="283" t="str">
        <f ca="1">IF(Table1[//]="","",SUMIF(Table1[h_id],Table1[h_id],Table1[h_hargasetelahdiskon]))</f>
        <v/>
      </c>
      <c r="AE214" s="283"/>
      <c r="AF214" s="283" t="str">
        <f>Table1[[#This Row],[Item Description]]&amp;Table1[[#This Row],[Unit]]&amp;Table1[[#This Row],[Unit Price]]</f>
        <v/>
      </c>
    </row>
    <row r="215" spans="1:32" x14ac:dyDescent="0.25">
      <c r="A215" s="287" t="str">
        <f ca="1">IF(Table1[[#This Row],[No. Invoice :]]="","",ROW())</f>
        <v/>
      </c>
      <c r="B215" s="287" t="str">
        <f ca="1">IF(Table1[h_Kode Sales :_1]="","",B$1+COUNT(INDIRECT("B$2:B"&amp;ROW()-1)))</f>
        <v/>
      </c>
      <c r="C215" s="281" t="str">
        <f>IF(Table1[[#This Row],[H_TGL]]="","",Table1[[#This Row],[H_TGL]]+C$1-1)</f>
        <v/>
      </c>
      <c r="H215" s="287" t="str">
        <f ca="1">IF(Table1[[#This Row],[h_No. Invoice :]]="","",CONCATENATE("AM"," ",Table1[[#This Row],[h_No. Invoice :]]))</f>
        <v/>
      </c>
      <c r="I215" s="288" t="str">
        <f>CONCATENATE(UPPER(Table1[[#This Row],[h_Kode Sales :_1]])," ",Table1[[#This Row],[h_Kode Sales :_2]])</f>
        <v xml:space="preserve"> </v>
      </c>
      <c r="J215" s="287" t="str">
        <f>IF(Table1[[#This Row],[h_toko]]="","",INDEX(Table2[e],IF(Table1[[#This Row],[h_toko]]="","",MATCH(Table1[[#This Row],[h_toko]],Table2[a],0)),))</f>
        <v/>
      </c>
      <c r="O215" s="287" t="str">
        <f>IF(Table1[[#This Row],[h_Item Description]]="","",INDEX([1]!db[NB PAJAK],MATCH(Table1[[#This Row],[h_Item Description]],[1]!db[kode],0)))</f>
        <v/>
      </c>
      <c r="Q215" s="283"/>
      <c r="R215" s="284"/>
      <c r="T215" s="283" t="str">
        <f>Table1[[#This Row],[h_hargasetelahdiskon]]</f>
        <v/>
      </c>
      <c r="W215" s="287" t="str">
        <f ca="1">IF(Table1[[#This Row],[Item Description]]="","",IF(Table1[[#This Row],[//]]="",INDIRECT(ADDRESS(ROW()-1,COLUMN())),Table1[[#This Row],[//]]))</f>
        <v/>
      </c>
      <c r="X215" s="287" t="str">
        <f ca="1">IF(Table1[[#This Row],[h_id]]="","",COUNTIF(Table1[h_id],Table1[[#This Row],[h_id]]))</f>
        <v/>
      </c>
      <c r="Y215" s="283" t="str">
        <f>IF(Table1[Item Description]="","",Table1[[#This Row],[Qty]]*Table1[[#This Row],[Unit Price]])</f>
        <v/>
      </c>
      <c r="Z215" s="283" t="str">
        <f>IF(Table1[[#This Row],[h_hargasebelumdiskon]]="","",IF(Table1[[#This Row],[Disc 1]]="",0,Table1[[#This Row],[h_hargasebelumdiskon]]*Table1[[#This Row],[Disc 1]]))</f>
        <v/>
      </c>
      <c r="AA215" s="283" t="str">
        <f>IF(Table1[[#This Row],[h_hargasebelumdiskon]]="","",IF(Table1[[#This Row],[Disc 2]]="",0,(Table1[[#This Row],[h_hargasebelumdiskon]]-Table1[[#This Row],[h_disc 1]])*Table1[[#This Row],[Disc 2]]))</f>
        <v/>
      </c>
      <c r="AB215" s="283" t="str">
        <f>IF(Table1[Item Description]="","",Table1[[#This Row],[h_disc 1]]+Table1[[#This Row],[h_disc 2]])</f>
        <v/>
      </c>
      <c r="AC215" s="283" t="str">
        <f>IF(Table1[Item Description]="","",Table1[[#This Row],[h_hargasebelumdiskon]]-Table1[[#This Row],[h_diskon]])</f>
        <v/>
      </c>
      <c r="AD215" s="283" t="str">
        <f ca="1">IF(Table1[//]="","",SUMIF(Table1[h_id],Table1[h_id],Table1[h_hargasetelahdiskon]))</f>
        <v/>
      </c>
      <c r="AE215" s="283"/>
      <c r="AF215" s="283" t="str">
        <f>Table1[[#This Row],[Item Description]]&amp;Table1[[#This Row],[Unit]]&amp;Table1[[#This Row],[Unit Price]]</f>
        <v/>
      </c>
    </row>
    <row r="216" spans="1:32" x14ac:dyDescent="0.25">
      <c r="A216" s="287" t="str">
        <f ca="1">IF(Table1[[#This Row],[No. Invoice :]]="","",ROW())</f>
        <v/>
      </c>
      <c r="B216" s="287" t="str">
        <f ca="1">IF(Table1[h_Kode Sales :_1]="","",B$1+COUNT(INDIRECT("B$2:B"&amp;ROW()-1)))</f>
        <v/>
      </c>
      <c r="C216" s="281" t="str">
        <f>IF(Table1[[#This Row],[H_TGL]]="","",Table1[[#This Row],[H_TGL]]+C$1-1)</f>
        <v/>
      </c>
      <c r="H216" s="287" t="str">
        <f ca="1">IF(Table1[[#This Row],[h_No. Invoice :]]="","",CONCATENATE("AM"," ",Table1[[#This Row],[h_No. Invoice :]]))</f>
        <v/>
      </c>
      <c r="I216" s="288" t="str">
        <f>CONCATENATE(UPPER(Table1[[#This Row],[h_Kode Sales :_1]])," ",Table1[[#This Row],[h_Kode Sales :_2]])</f>
        <v xml:space="preserve"> </v>
      </c>
      <c r="J216" s="287" t="str">
        <f>IF(Table1[[#This Row],[h_toko]]="","",INDEX(Table2[e],IF(Table1[[#This Row],[h_toko]]="","",MATCH(Table1[[#This Row],[h_toko]],Table2[a],0)),))</f>
        <v/>
      </c>
      <c r="O216" s="287" t="str">
        <f>IF(Table1[[#This Row],[h_Item Description]]="","",INDEX([1]!db[NB PAJAK],MATCH(Table1[[#This Row],[h_Item Description]],[1]!db[kode],0)))</f>
        <v/>
      </c>
      <c r="Q216" s="283"/>
      <c r="R216" s="284"/>
      <c r="T216" s="283" t="str">
        <f>Table1[[#This Row],[h_hargasetelahdiskon]]</f>
        <v/>
      </c>
      <c r="W216" s="287" t="str">
        <f ca="1">IF(Table1[[#This Row],[Item Description]]="","",IF(Table1[[#This Row],[//]]="",INDIRECT(ADDRESS(ROW()-1,COLUMN())),Table1[[#This Row],[//]]))</f>
        <v/>
      </c>
      <c r="X216" s="287" t="str">
        <f ca="1">IF(Table1[[#This Row],[h_id]]="","",COUNTIF(Table1[h_id],Table1[[#This Row],[h_id]]))</f>
        <v/>
      </c>
      <c r="Y216" s="283" t="str">
        <f>IF(Table1[Item Description]="","",Table1[[#This Row],[Qty]]*Table1[[#This Row],[Unit Price]])</f>
        <v/>
      </c>
      <c r="Z216" s="283" t="str">
        <f>IF(Table1[[#This Row],[h_hargasebelumdiskon]]="","",IF(Table1[[#This Row],[Disc 1]]="",0,Table1[[#This Row],[h_hargasebelumdiskon]]*Table1[[#This Row],[Disc 1]]))</f>
        <v/>
      </c>
      <c r="AA216" s="283" t="str">
        <f>IF(Table1[[#This Row],[h_hargasebelumdiskon]]="","",IF(Table1[[#This Row],[Disc 2]]="",0,(Table1[[#This Row],[h_hargasebelumdiskon]]-Table1[[#This Row],[h_disc 1]])*Table1[[#This Row],[Disc 2]]))</f>
        <v/>
      </c>
      <c r="AB216" s="283" t="str">
        <f>IF(Table1[Item Description]="","",Table1[[#This Row],[h_disc 1]]+Table1[[#This Row],[h_disc 2]])</f>
        <v/>
      </c>
      <c r="AC216" s="283" t="str">
        <f>IF(Table1[Item Description]="","",Table1[[#This Row],[h_hargasebelumdiskon]]-Table1[[#This Row],[h_diskon]])</f>
        <v/>
      </c>
      <c r="AD216" s="283" t="str">
        <f ca="1">IF(Table1[//]="","",SUMIF(Table1[h_id],Table1[h_id],Table1[h_hargasetelahdiskon]))</f>
        <v/>
      </c>
      <c r="AE216" s="283"/>
      <c r="AF216" s="283" t="str">
        <f>Table1[[#This Row],[Item Description]]&amp;Table1[[#This Row],[Unit]]&amp;Table1[[#This Row],[Unit Price]]</f>
        <v/>
      </c>
    </row>
    <row r="217" spans="1:32" x14ac:dyDescent="0.25">
      <c r="A217" s="287" t="str">
        <f ca="1">IF(Table1[[#This Row],[No. Invoice :]]="","",ROW())</f>
        <v/>
      </c>
      <c r="B217" s="287" t="str">
        <f ca="1">IF(Table1[h_Kode Sales :_1]="","",B$1+COUNT(INDIRECT("B$2:B"&amp;ROW()-1)))</f>
        <v/>
      </c>
      <c r="C217" s="281" t="str">
        <f>IF(Table1[[#This Row],[H_TGL]]="","",Table1[[#This Row],[H_TGL]]+C$1-1)</f>
        <v/>
      </c>
      <c r="H217" s="287" t="str">
        <f ca="1">IF(Table1[[#This Row],[h_No. Invoice :]]="","",CONCATENATE("AM"," ",Table1[[#This Row],[h_No. Invoice :]]))</f>
        <v/>
      </c>
      <c r="I217" s="288" t="str">
        <f>CONCATENATE(UPPER(Table1[[#This Row],[h_Kode Sales :_1]])," ",Table1[[#This Row],[h_Kode Sales :_2]])</f>
        <v xml:space="preserve"> </v>
      </c>
      <c r="J217" s="287" t="str">
        <f>IF(Table1[[#This Row],[h_toko]]="","",INDEX(Table2[e],IF(Table1[[#This Row],[h_toko]]="","",MATCH(Table1[[#This Row],[h_toko]],Table2[a],0)),))</f>
        <v/>
      </c>
      <c r="O217" s="287" t="str">
        <f>IF(Table1[[#This Row],[h_Item Description]]="","",INDEX([1]!db[NB PAJAK],MATCH(Table1[[#This Row],[h_Item Description]],[1]!db[kode],0)))</f>
        <v/>
      </c>
      <c r="Q217" s="283"/>
      <c r="R217" s="284"/>
      <c r="T217" s="283" t="str">
        <f>Table1[[#This Row],[h_hargasetelahdiskon]]</f>
        <v/>
      </c>
      <c r="W217" s="287" t="str">
        <f ca="1">IF(Table1[[#This Row],[Item Description]]="","",IF(Table1[[#This Row],[//]]="",INDIRECT(ADDRESS(ROW()-1,COLUMN())),Table1[[#This Row],[//]]))</f>
        <v/>
      </c>
      <c r="X217" s="287" t="str">
        <f ca="1">IF(Table1[[#This Row],[h_id]]="","",COUNTIF(Table1[h_id],Table1[[#This Row],[h_id]]))</f>
        <v/>
      </c>
      <c r="Y217" s="283" t="str">
        <f>IF(Table1[Item Description]="","",Table1[[#This Row],[Qty]]*Table1[[#This Row],[Unit Price]])</f>
        <v/>
      </c>
      <c r="Z217" s="283" t="str">
        <f>IF(Table1[[#This Row],[h_hargasebelumdiskon]]="","",IF(Table1[[#This Row],[Disc 1]]="",0,Table1[[#This Row],[h_hargasebelumdiskon]]*Table1[[#This Row],[Disc 1]]))</f>
        <v/>
      </c>
      <c r="AA217" s="283" t="str">
        <f>IF(Table1[[#This Row],[h_hargasebelumdiskon]]="","",IF(Table1[[#This Row],[Disc 2]]="",0,(Table1[[#This Row],[h_hargasebelumdiskon]]-Table1[[#This Row],[h_disc 1]])*Table1[[#This Row],[Disc 2]]))</f>
        <v/>
      </c>
      <c r="AB217" s="283" t="str">
        <f>IF(Table1[Item Description]="","",Table1[[#This Row],[h_disc 1]]+Table1[[#This Row],[h_disc 2]])</f>
        <v/>
      </c>
      <c r="AC217" s="283" t="str">
        <f>IF(Table1[Item Description]="","",Table1[[#This Row],[h_hargasebelumdiskon]]-Table1[[#This Row],[h_diskon]])</f>
        <v/>
      </c>
      <c r="AD217" s="283" t="str">
        <f ca="1">IF(Table1[//]="","",SUMIF(Table1[h_id],Table1[h_id],Table1[h_hargasetelahdiskon]))</f>
        <v/>
      </c>
      <c r="AE217" s="283"/>
      <c r="AF217" s="283" t="str">
        <f>Table1[[#This Row],[Item Description]]&amp;Table1[[#This Row],[Unit]]&amp;Table1[[#This Row],[Unit Price]]</f>
        <v/>
      </c>
    </row>
    <row r="218" spans="1:32" x14ac:dyDescent="0.25">
      <c r="A218" s="287" t="str">
        <f ca="1">IF(Table1[[#This Row],[No. Invoice :]]="","",ROW())</f>
        <v/>
      </c>
      <c r="B218" s="287" t="str">
        <f ca="1">IF(Table1[h_Kode Sales :_1]="","",B$1+COUNT(INDIRECT("B$2:B"&amp;ROW()-1)))</f>
        <v/>
      </c>
      <c r="C218" s="281" t="str">
        <f>IF(Table1[[#This Row],[H_TGL]]="","",Table1[[#This Row],[H_TGL]]+C$1-1)</f>
        <v/>
      </c>
      <c r="H218" s="287" t="str">
        <f ca="1">IF(Table1[[#This Row],[h_No. Invoice :]]="","",CONCATENATE("AM"," ",Table1[[#This Row],[h_No. Invoice :]]))</f>
        <v/>
      </c>
      <c r="I218" s="288" t="str">
        <f>CONCATENATE(UPPER(Table1[[#This Row],[h_Kode Sales :_1]])," ",Table1[[#This Row],[h_Kode Sales :_2]])</f>
        <v xml:space="preserve"> </v>
      </c>
      <c r="J218" s="287" t="str">
        <f>IF(Table1[[#This Row],[h_toko]]="","",INDEX(Table2[e],IF(Table1[[#This Row],[h_toko]]="","",MATCH(Table1[[#This Row],[h_toko]],Table2[a],0)),))</f>
        <v/>
      </c>
      <c r="O218" s="287" t="str">
        <f>IF(Table1[[#This Row],[h_Item Description]]="","",INDEX([1]!db[NB PAJAK],MATCH(Table1[[#This Row],[h_Item Description]],[1]!db[kode],0)))</f>
        <v/>
      </c>
      <c r="Q218" s="283"/>
      <c r="R218" s="284"/>
      <c r="T218" s="283" t="str">
        <f>Table1[[#This Row],[h_hargasetelahdiskon]]</f>
        <v/>
      </c>
      <c r="W218" s="287" t="str">
        <f ca="1">IF(Table1[[#This Row],[Item Description]]="","",IF(Table1[[#This Row],[//]]="",INDIRECT(ADDRESS(ROW()-1,COLUMN())),Table1[[#This Row],[//]]))</f>
        <v/>
      </c>
      <c r="X218" s="287" t="str">
        <f ca="1">IF(Table1[[#This Row],[h_id]]="","",COUNTIF(Table1[h_id],Table1[[#This Row],[h_id]]))</f>
        <v/>
      </c>
      <c r="Y218" s="283" t="str">
        <f>IF(Table1[Item Description]="","",Table1[[#This Row],[Qty]]*Table1[[#This Row],[Unit Price]])</f>
        <v/>
      </c>
      <c r="Z218" s="283" t="str">
        <f>IF(Table1[[#This Row],[h_hargasebelumdiskon]]="","",IF(Table1[[#This Row],[Disc 1]]="",0,Table1[[#This Row],[h_hargasebelumdiskon]]*Table1[[#This Row],[Disc 1]]))</f>
        <v/>
      </c>
      <c r="AA218" s="283" t="str">
        <f>IF(Table1[[#This Row],[h_hargasebelumdiskon]]="","",IF(Table1[[#This Row],[Disc 2]]="",0,(Table1[[#This Row],[h_hargasebelumdiskon]]-Table1[[#This Row],[h_disc 1]])*Table1[[#This Row],[Disc 2]]))</f>
        <v/>
      </c>
      <c r="AB218" s="283" t="str">
        <f>IF(Table1[Item Description]="","",Table1[[#This Row],[h_disc 1]]+Table1[[#This Row],[h_disc 2]])</f>
        <v/>
      </c>
      <c r="AC218" s="283" t="str">
        <f>IF(Table1[Item Description]="","",Table1[[#This Row],[h_hargasebelumdiskon]]-Table1[[#This Row],[h_diskon]])</f>
        <v/>
      </c>
      <c r="AD218" s="283" t="str">
        <f ca="1">IF(Table1[//]="","",SUMIF(Table1[h_id],Table1[h_id],Table1[h_hargasetelahdiskon]))</f>
        <v/>
      </c>
      <c r="AE218" s="283"/>
      <c r="AF218" s="283" t="str">
        <f>Table1[[#This Row],[Item Description]]&amp;Table1[[#This Row],[Unit]]&amp;Table1[[#This Row],[Unit Price]]</f>
        <v/>
      </c>
    </row>
    <row r="219" spans="1:32" x14ac:dyDescent="0.25">
      <c r="A219" s="287" t="str">
        <f ca="1">IF(Table1[[#This Row],[No. Invoice :]]="","",ROW())</f>
        <v/>
      </c>
      <c r="B219" s="287" t="str">
        <f ca="1">IF(Table1[h_Kode Sales :_1]="","",B$1+COUNT(INDIRECT("B$2:B"&amp;ROW()-1)))</f>
        <v/>
      </c>
      <c r="C219" s="281" t="str">
        <f>IF(Table1[[#This Row],[H_TGL]]="","",Table1[[#This Row],[H_TGL]]+C$1-1)</f>
        <v/>
      </c>
      <c r="H219" s="287" t="str">
        <f ca="1">IF(Table1[[#This Row],[h_No. Invoice :]]="","",CONCATENATE("AM"," ",Table1[[#This Row],[h_No. Invoice :]]))</f>
        <v/>
      </c>
      <c r="I219" s="288" t="str">
        <f>CONCATENATE(UPPER(Table1[[#This Row],[h_Kode Sales :_1]])," ",Table1[[#This Row],[h_Kode Sales :_2]])</f>
        <v xml:space="preserve"> </v>
      </c>
      <c r="J219" s="287" t="str">
        <f>IF(Table1[[#This Row],[h_toko]]="","",INDEX(Table2[e],IF(Table1[[#This Row],[h_toko]]="","",MATCH(Table1[[#This Row],[h_toko]],Table2[a],0)),))</f>
        <v/>
      </c>
      <c r="O219" s="287" t="str">
        <f>IF(Table1[[#This Row],[h_Item Description]]="","",INDEX([1]!db[NB PAJAK],MATCH(Table1[[#This Row],[h_Item Description]],[1]!db[kode],0)))</f>
        <v/>
      </c>
      <c r="Q219" s="283"/>
      <c r="R219" s="284"/>
      <c r="T219" s="283" t="str">
        <f>Table1[[#This Row],[h_hargasetelahdiskon]]</f>
        <v/>
      </c>
      <c r="W219" s="287" t="str">
        <f ca="1">IF(Table1[[#This Row],[Item Description]]="","",IF(Table1[[#This Row],[//]]="",INDIRECT(ADDRESS(ROW()-1,COLUMN())),Table1[[#This Row],[//]]))</f>
        <v/>
      </c>
      <c r="X219" s="287" t="str">
        <f ca="1">IF(Table1[[#This Row],[h_id]]="","",COUNTIF(Table1[h_id],Table1[[#This Row],[h_id]]))</f>
        <v/>
      </c>
      <c r="Y219" s="283" t="str">
        <f>IF(Table1[Item Description]="","",Table1[[#This Row],[Qty]]*Table1[[#This Row],[Unit Price]])</f>
        <v/>
      </c>
      <c r="Z219" s="283" t="str">
        <f>IF(Table1[[#This Row],[h_hargasebelumdiskon]]="","",IF(Table1[[#This Row],[Disc 1]]="",0,Table1[[#This Row],[h_hargasebelumdiskon]]*Table1[[#This Row],[Disc 1]]))</f>
        <v/>
      </c>
      <c r="AA219" s="283" t="str">
        <f>IF(Table1[[#This Row],[h_hargasebelumdiskon]]="","",IF(Table1[[#This Row],[Disc 2]]="",0,(Table1[[#This Row],[h_hargasebelumdiskon]]-Table1[[#This Row],[h_disc 1]])*Table1[[#This Row],[Disc 2]]))</f>
        <v/>
      </c>
      <c r="AB219" s="283" t="str">
        <f>IF(Table1[Item Description]="","",Table1[[#This Row],[h_disc 1]]+Table1[[#This Row],[h_disc 2]])</f>
        <v/>
      </c>
      <c r="AC219" s="283" t="str">
        <f>IF(Table1[Item Description]="","",Table1[[#This Row],[h_hargasebelumdiskon]]-Table1[[#This Row],[h_diskon]])</f>
        <v/>
      </c>
      <c r="AD219" s="283" t="str">
        <f ca="1">IF(Table1[//]="","",SUMIF(Table1[h_id],Table1[h_id],Table1[h_hargasetelahdiskon]))</f>
        <v/>
      </c>
      <c r="AE219" s="283"/>
      <c r="AF219" s="283" t="str">
        <f>Table1[[#This Row],[Item Description]]&amp;Table1[[#This Row],[Unit]]&amp;Table1[[#This Row],[Unit Price]]</f>
        <v/>
      </c>
    </row>
    <row r="220" spans="1:32" x14ac:dyDescent="0.25">
      <c r="A220" s="287" t="str">
        <f ca="1">IF(Table1[[#This Row],[No. Invoice :]]="","",ROW())</f>
        <v/>
      </c>
      <c r="B220" s="287" t="str">
        <f ca="1">IF(Table1[h_Kode Sales :_1]="","",B$1+COUNT(INDIRECT("B$2:B"&amp;ROW()-1)))</f>
        <v/>
      </c>
      <c r="C220" s="281" t="str">
        <f>IF(Table1[[#This Row],[H_TGL]]="","",Table1[[#This Row],[H_TGL]]+C$1-1)</f>
        <v/>
      </c>
      <c r="H220" s="287" t="str">
        <f ca="1">IF(Table1[[#This Row],[h_No. Invoice :]]="","",CONCATENATE("AM"," ",Table1[[#This Row],[h_No. Invoice :]]))</f>
        <v/>
      </c>
      <c r="I220" s="288" t="str">
        <f>CONCATENATE(UPPER(Table1[[#This Row],[h_Kode Sales :_1]])," ",Table1[[#This Row],[h_Kode Sales :_2]])</f>
        <v xml:space="preserve"> </v>
      </c>
      <c r="J220" s="287" t="str">
        <f>IF(Table1[[#This Row],[h_toko]]="","",INDEX(Table2[e],IF(Table1[[#This Row],[h_toko]]="","",MATCH(Table1[[#This Row],[h_toko]],Table2[a],0)),))</f>
        <v/>
      </c>
      <c r="O220" s="287" t="str">
        <f>IF(Table1[[#This Row],[h_Item Description]]="","",INDEX([1]!db[NB PAJAK],MATCH(Table1[[#This Row],[h_Item Description]],[1]!db[kode],0)))</f>
        <v/>
      </c>
      <c r="Q220" s="283"/>
      <c r="R220" s="284"/>
      <c r="T220" s="283" t="str">
        <f>Table1[[#This Row],[h_hargasetelahdiskon]]</f>
        <v/>
      </c>
      <c r="W220" s="287" t="str">
        <f ca="1">IF(Table1[[#This Row],[Item Description]]="","",IF(Table1[[#This Row],[//]]="",INDIRECT(ADDRESS(ROW()-1,COLUMN())),Table1[[#This Row],[//]]))</f>
        <v/>
      </c>
      <c r="X220" s="287" t="str">
        <f ca="1">IF(Table1[[#This Row],[h_id]]="","",COUNTIF(Table1[h_id],Table1[[#This Row],[h_id]]))</f>
        <v/>
      </c>
      <c r="Y220" s="283" t="str">
        <f>IF(Table1[Item Description]="","",Table1[[#This Row],[Qty]]*Table1[[#This Row],[Unit Price]])</f>
        <v/>
      </c>
      <c r="Z220" s="283" t="str">
        <f>IF(Table1[[#This Row],[h_hargasebelumdiskon]]="","",IF(Table1[[#This Row],[Disc 1]]="",0,Table1[[#This Row],[h_hargasebelumdiskon]]*Table1[[#This Row],[Disc 1]]))</f>
        <v/>
      </c>
      <c r="AA220" s="283" t="str">
        <f>IF(Table1[[#This Row],[h_hargasebelumdiskon]]="","",IF(Table1[[#This Row],[Disc 2]]="",0,(Table1[[#This Row],[h_hargasebelumdiskon]]-Table1[[#This Row],[h_disc 1]])*Table1[[#This Row],[Disc 2]]))</f>
        <v/>
      </c>
      <c r="AB220" s="283" t="str">
        <f>IF(Table1[Item Description]="","",Table1[[#This Row],[h_disc 1]]+Table1[[#This Row],[h_disc 2]])</f>
        <v/>
      </c>
      <c r="AC220" s="283" t="str">
        <f>IF(Table1[Item Description]="","",Table1[[#This Row],[h_hargasebelumdiskon]]-Table1[[#This Row],[h_diskon]])</f>
        <v/>
      </c>
      <c r="AD220" s="283" t="str">
        <f ca="1">IF(Table1[//]="","",SUMIF(Table1[h_id],Table1[h_id],Table1[h_hargasetelahdiskon]))</f>
        <v/>
      </c>
      <c r="AE220" s="283"/>
      <c r="AF220" s="283" t="str">
        <f>Table1[[#This Row],[Item Description]]&amp;Table1[[#This Row],[Unit]]&amp;Table1[[#This Row],[Unit Price]]</f>
        <v/>
      </c>
    </row>
    <row r="221" spans="1:32" x14ac:dyDescent="0.25">
      <c r="A221" s="287" t="str">
        <f ca="1">IF(Table1[[#This Row],[No. Invoice :]]="","",ROW())</f>
        <v/>
      </c>
      <c r="B221" s="287" t="str">
        <f ca="1">IF(Table1[h_Kode Sales :_1]="","",B$1+COUNT(INDIRECT("B$2:B"&amp;ROW()-1)))</f>
        <v/>
      </c>
      <c r="C221" s="281" t="str">
        <f>IF(Table1[[#This Row],[H_TGL]]="","",Table1[[#This Row],[H_TGL]]+C$1-1)</f>
        <v/>
      </c>
      <c r="H221" s="287" t="str">
        <f ca="1">IF(Table1[[#This Row],[h_No. Invoice :]]="","",CONCATENATE("AM"," ",Table1[[#This Row],[h_No. Invoice :]]))</f>
        <v/>
      </c>
      <c r="I221" s="288" t="str">
        <f>CONCATENATE(UPPER(Table1[[#This Row],[h_Kode Sales :_1]])," ",Table1[[#This Row],[h_Kode Sales :_2]])</f>
        <v xml:space="preserve"> </v>
      </c>
      <c r="J221" s="287" t="str">
        <f>IF(Table1[[#This Row],[h_toko]]="","",INDEX(Table2[e],IF(Table1[[#This Row],[h_toko]]="","",MATCH(Table1[[#This Row],[h_toko]],Table2[a],0)),))</f>
        <v/>
      </c>
      <c r="O221" s="287" t="str">
        <f>IF(Table1[[#This Row],[h_Item Description]]="","",INDEX([1]!db[NB PAJAK],MATCH(Table1[[#This Row],[h_Item Description]],[1]!db[kode],0)))</f>
        <v/>
      </c>
      <c r="Q221" s="283"/>
      <c r="R221" s="284"/>
      <c r="T221" s="283" t="str">
        <f>Table1[[#This Row],[h_hargasetelahdiskon]]</f>
        <v/>
      </c>
      <c r="W221" s="287" t="str">
        <f ca="1">IF(Table1[[#This Row],[Item Description]]="","",IF(Table1[[#This Row],[//]]="",INDIRECT(ADDRESS(ROW()-1,COLUMN())),Table1[[#This Row],[//]]))</f>
        <v/>
      </c>
      <c r="X221" s="287" t="str">
        <f ca="1">IF(Table1[[#This Row],[h_id]]="","",COUNTIF(Table1[h_id],Table1[[#This Row],[h_id]]))</f>
        <v/>
      </c>
      <c r="Y221" s="283" t="str">
        <f>IF(Table1[Item Description]="","",Table1[[#This Row],[Qty]]*Table1[[#This Row],[Unit Price]])</f>
        <v/>
      </c>
      <c r="Z221" s="283" t="str">
        <f>IF(Table1[[#This Row],[h_hargasebelumdiskon]]="","",IF(Table1[[#This Row],[Disc 1]]="",0,Table1[[#This Row],[h_hargasebelumdiskon]]*Table1[[#This Row],[Disc 1]]))</f>
        <v/>
      </c>
      <c r="AA221" s="283" t="str">
        <f>IF(Table1[[#This Row],[h_hargasebelumdiskon]]="","",IF(Table1[[#This Row],[Disc 2]]="",0,(Table1[[#This Row],[h_hargasebelumdiskon]]-Table1[[#This Row],[h_disc 1]])*Table1[[#This Row],[Disc 2]]))</f>
        <v/>
      </c>
      <c r="AB221" s="283" t="str">
        <f>IF(Table1[Item Description]="","",Table1[[#This Row],[h_disc 1]]+Table1[[#This Row],[h_disc 2]])</f>
        <v/>
      </c>
      <c r="AC221" s="283" t="str">
        <f>IF(Table1[Item Description]="","",Table1[[#This Row],[h_hargasebelumdiskon]]-Table1[[#This Row],[h_diskon]])</f>
        <v/>
      </c>
      <c r="AD221" s="283" t="str">
        <f ca="1">IF(Table1[//]="","",SUMIF(Table1[h_id],Table1[h_id],Table1[h_hargasetelahdiskon]))</f>
        <v/>
      </c>
      <c r="AE221" s="283"/>
      <c r="AF221" s="283" t="str">
        <f>Table1[[#This Row],[Item Description]]&amp;Table1[[#This Row],[Unit]]&amp;Table1[[#This Row],[Unit Price]]</f>
        <v/>
      </c>
    </row>
    <row r="222" spans="1:32" x14ac:dyDescent="0.25">
      <c r="A222" s="287" t="str">
        <f ca="1">IF(Table1[[#This Row],[No. Invoice :]]="","",ROW())</f>
        <v/>
      </c>
      <c r="B222" s="287" t="str">
        <f ca="1">IF(Table1[h_Kode Sales :_1]="","",B$1+COUNT(INDIRECT("B$2:B"&amp;ROW()-1)))</f>
        <v/>
      </c>
      <c r="C222" s="281" t="str">
        <f>IF(Table1[[#This Row],[H_TGL]]="","",Table1[[#This Row],[H_TGL]]+C$1-1)</f>
        <v/>
      </c>
      <c r="H222" s="287" t="str">
        <f ca="1">IF(Table1[[#This Row],[h_No. Invoice :]]="","",CONCATENATE("AM"," ",Table1[[#This Row],[h_No. Invoice :]]))</f>
        <v/>
      </c>
      <c r="I222" s="288" t="str">
        <f>CONCATENATE(UPPER(Table1[[#This Row],[h_Kode Sales :_1]])," ",Table1[[#This Row],[h_Kode Sales :_2]])</f>
        <v xml:space="preserve"> </v>
      </c>
      <c r="J222" s="287" t="str">
        <f>IF(Table1[[#This Row],[h_toko]]="","",INDEX(Table2[e],IF(Table1[[#This Row],[h_toko]]="","",MATCH(Table1[[#This Row],[h_toko]],Table2[a],0)),))</f>
        <v/>
      </c>
      <c r="O222" s="287" t="str">
        <f>IF(Table1[[#This Row],[h_Item Description]]="","",INDEX([1]!db[NB PAJAK],MATCH(Table1[[#This Row],[h_Item Description]],[1]!db[kode],0)))</f>
        <v/>
      </c>
      <c r="Q222" s="283"/>
      <c r="R222" s="284"/>
      <c r="T222" s="283" t="str">
        <f>Table1[[#This Row],[h_hargasetelahdiskon]]</f>
        <v/>
      </c>
      <c r="W222" s="287" t="str">
        <f ca="1">IF(Table1[[#This Row],[Item Description]]="","",IF(Table1[[#This Row],[//]]="",INDIRECT(ADDRESS(ROW()-1,COLUMN())),Table1[[#This Row],[//]]))</f>
        <v/>
      </c>
      <c r="X222" s="287" t="str">
        <f ca="1">IF(Table1[[#This Row],[h_id]]="","",COUNTIF(Table1[h_id],Table1[[#This Row],[h_id]]))</f>
        <v/>
      </c>
      <c r="Y222" s="283" t="str">
        <f>IF(Table1[Item Description]="","",Table1[[#This Row],[Qty]]*Table1[[#This Row],[Unit Price]])</f>
        <v/>
      </c>
      <c r="Z222" s="283" t="str">
        <f>IF(Table1[[#This Row],[h_hargasebelumdiskon]]="","",IF(Table1[[#This Row],[Disc 1]]="",0,Table1[[#This Row],[h_hargasebelumdiskon]]*Table1[[#This Row],[Disc 1]]))</f>
        <v/>
      </c>
      <c r="AA222" s="283" t="str">
        <f>IF(Table1[[#This Row],[h_hargasebelumdiskon]]="","",IF(Table1[[#This Row],[Disc 2]]="",0,(Table1[[#This Row],[h_hargasebelumdiskon]]-Table1[[#This Row],[h_disc 1]])*Table1[[#This Row],[Disc 2]]))</f>
        <v/>
      </c>
      <c r="AB222" s="283" t="str">
        <f>IF(Table1[Item Description]="","",Table1[[#This Row],[h_disc 1]]+Table1[[#This Row],[h_disc 2]])</f>
        <v/>
      </c>
      <c r="AC222" s="283" t="str">
        <f>IF(Table1[Item Description]="","",Table1[[#This Row],[h_hargasebelumdiskon]]-Table1[[#This Row],[h_diskon]])</f>
        <v/>
      </c>
      <c r="AD222" s="283" t="str">
        <f ca="1">IF(Table1[//]="","",SUMIF(Table1[h_id],Table1[h_id],Table1[h_hargasetelahdiskon]))</f>
        <v/>
      </c>
      <c r="AE222" s="283"/>
      <c r="AF222" s="283" t="str">
        <f>Table1[[#This Row],[Item Description]]&amp;Table1[[#This Row],[Unit]]&amp;Table1[[#This Row],[Unit Price]]</f>
        <v/>
      </c>
    </row>
    <row r="223" spans="1:32" x14ac:dyDescent="0.25">
      <c r="A223" s="287" t="str">
        <f ca="1">IF(Table1[[#This Row],[No. Invoice :]]="","",ROW())</f>
        <v/>
      </c>
      <c r="B223" s="287" t="str">
        <f ca="1">IF(Table1[h_Kode Sales :_1]="","",B$1+COUNT(INDIRECT("B$2:B"&amp;ROW()-1)))</f>
        <v/>
      </c>
      <c r="C223" s="281" t="str">
        <f>IF(Table1[[#This Row],[H_TGL]]="","",Table1[[#This Row],[H_TGL]]+C$1-1)</f>
        <v/>
      </c>
      <c r="H223" s="287" t="str">
        <f ca="1">IF(Table1[[#This Row],[h_No. Invoice :]]="","",CONCATENATE("AM"," ",Table1[[#This Row],[h_No. Invoice :]]))</f>
        <v/>
      </c>
      <c r="I223" s="288" t="str">
        <f>CONCATENATE(UPPER(Table1[[#This Row],[h_Kode Sales :_1]])," ",Table1[[#This Row],[h_Kode Sales :_2]])</f>
        <v xml:space="preserve"> </v>
      </c>
      <c r="J223" s="287" t="str">
        <f>IF(Table1[[#This Row],[h_toko]]="","",INDEX(Table2[e],IF(Table1[[#This Row],[h_toko]]="","",MATCH(Table1[[#This Row],[h_toko]],Table2[a],0)),))</f>
        <v/>
      </c>
      <c r="O223" s="287" t="str">
        <f>IF(Table1[[#This Row],[h_Item Description]]="","",INDEX([1]!db[NB PAJAK],MATCH(Table1[[#This Row],[h_Item Description]],[1]!db[kode],0)))</f>
        <v/>
      </c>
      <c r="Q223" s="283"/>
      <c r="R223" s="284"/>
      <c r="T223" s="283" t="str">
        <f>Table1[[#This Row],[h_hargasetelahdiskon]]</f>
        <v/>
      </c>
      <c r="W223" s="287" t="str">
        <f ca="1">IF(Table1[[#This Row],[Item Description]]="","",IF(Table1[[#This Row],[//]]="",INDIRECT(ADDRESS(ROW()-1,COLUMN())),Table1[[#This Row],[//]]))</f>
        <v/>
      </c>
      <c r="X223" s="287" t="str">
        <f ca="1">IF(Table1[[#This Row],[h_id]]="","",COUNTIF(Table1[h_id],Table1[[#This Row],[h_id]]))</f>
        <v/>
      </c>
      <c r="Y223" s="283" t="str">
        <f>IF(Table1[Item Description]="","",Table1[[#This Row],[Qty]]*Table1[[#This Row],[Unit Price]])</f>
        <v/>
      </c>
      <c r="Z223" s="283" t="str">
        <f>IF(Table1[[#This Row],[h_hargasebelumdiskon]]="","",IF(Table1[[#This Row],[Disc 1]]="",0,Table1[[#This Row],[h_hargasebelumdiskon]]*Table1[[#This Row],[Disc 1]]))</f>
        <v/>
      </c>
      <c r="AA223" s="283" t="str">
        <f>IF(Table1[[#This Row],[h_hargasebelumdiskon]]="","",IF(Table1[[#This Row],[Disc 2]]="",0,(Table1[[#This Row],[h_hargasebelumdiskon]]-Table1[[#This Row],[h_disc 1]])*Table1[[#This Row],[Disc 2]]))</f>
        <v/>
      </c>
      <c r="AB223" s="283" t="str">
        <f>IF(Table1[Item Description]="","",Table1[[#This Row],[h_disc 1]]+Table1[[#This Row],[h_disc 2]])</f>
        <v/>
      </c>
      <c r="AC223" s="283" t="str">
        <f>IF(Table1[Item Description]="","",Table1[[#This Row],[h_hargasebelumdiskon]]-Table1[[#This Row],[h_diskon]])</f>
        <v/>
      </c>
      <c r="AD223" s="283" t="str">
        <f ca="1">IF(Table1[//]="","",SUMIF(Table1[h_id],Table1[h_id],Table1[h_hargasetelahdiskon]))</f>
        <v/>
      </c>
      <c r="AE223" s="283"/>
      <c r="AF223" s="283" t="str">
        <f>Table1[[#This Row],[Item Description]]&amp;Table1[[#This Row],[Unit]]&amp;Table1[[#This Row],[Unit Price]]</f>
        <v/>
      </c>
    </row>
    <row r="224" spans="1:32" x14ac:dyDescent="0.25">
      <c r="A224" s="287" t="str">
        <f ca="1">IF(Table1[[#This Row],[No. Invoice :]]="","",ROW())</f>
        <v/>
      </c>
      <c r="B224" s="287" t="str">
        <f ca="1">IF(Table1[h_Kode Sales :_1]="","",B$1+COUNT(INDIRECT("B$2:B"&amp;ROW()-1)))</f>
        <v/>
      </c>
      <c r="C224" s="281" t="str">
        <f>IF(Table1[[#This Row],[H_TGL]]="","",Table1[[#This Row],[H_TGL]]+C$1-1)</f>
        <v/>
      </c>
      <c r="H224" s="287" t="str">
        <f ca="1">IF(Table1[[#This Row],[h_No. Invoice :]]="","",CONCATENATE("AM"," ",Table1[[#This Row],[h_No. Invoice :]]))</f>
        <v/>
      </c>
      <c r="I224" s="288" t="str">
        <f>CONCATENATE(UPPER(Table1[[#This Row],[h_Kode Sales :_1]])," ",Table1[[#This Row],[h_Kode Sales :_2]])</f>
        <v xml:space="preserve"> </v>
      </c>
      <c r="J224" s="287" t="str">
        <f>IF(Table1[[#This Row],[h_toko]]="","",INDEX(Table2[e],IF(Table1[[#This Row],[h_toko]]="","",MATCH(Table1[[#This Row],[h_toko]],Table2[a],0)),))</f>
        <v/>
      </c>
      <c r="O224" s="287" t="str">
        <f>IF(Table1[[#This Row],[h_Item Description]]="","",INDEX([1]!db[NB PAJAK],MATCH(Table1[[#This Row],[h_Item Description]],[1]!db[kode],0)))</f>
        <v/>
      </c>
      <c r="Q224" s="283"/>
      <c r="R224" s="284"/>
      <c r="T224" s="283" t="str">
        <f>Table1[[#This Row],[h_hargasetelahdiskon]]</f>
        <v/>
      </c>
      <c r="W224" s="287" t="str">
        <f ca="1">IF(Table1[[#This Row],[Item Description]]="","",IF(Table1[[#This Row],[//]]="",INDIRECT(ADDRESS(ROW()-1,COLUMN())),Table1[[#This Row],[//]]))</f>
        <v/>
      </c>
      <c r="X224" s="287" t="str">
        <f ca="1">IF(Table1[[#This Row],[h_id]]="","",COUNTIF(Table1[h_id],Table1[[#This Row],[h_id]]))</f>
        <v/>
      </c>
      <c r="Y224" s="283" t="str">
        <f>IF(Table1[Item Description]="","",Table1[[#This Row],[Qty]]*Table1[[#This Row],[Unit Price]])</f>
        <v/>
      </c>
      <c r="Z224" s="283" t="str">
        <f>IF(Table1[[#This Row],[h_hargasebelumdiskon]]="","",IF(Table1[[#This Row],[Disc 1]]="",0,Table1[[#This Row],[h_hargasebelumdiskon]]*Table1[[#This Row],[Disc 1]]))</f>
        <v/>
      </c>
      <c r="AA224" s="283" t="str">
        <f>IF(Table1[[#This Row],[h_hargasebelumdiskon]]="","",IF(Table1[[#This Row],[Disc 2]]="",0,(Table1[[#This Row],[h_hargasebelumdiskon]]-Table1[[#This Row],[h_disc 1]])*Table1[[#This Row],[Disc 2]]))</f>
        <v/>
      </c>
      <c r="AB224" s="283" t="str">
        <f>IF(Table1[Item Description]="","",Table1[[#This Row],[h_disc 1]]+Table1[[#This Row],[h_disc 2]])</f>
        <v/>
      </c>
      <c r="AC224" s="283" t="str">
        <f>IF(Table1[Item Description]="","",Table1[[#This Row],[h_hargasebelumdiskon]]-Table1[[#This Row],[h_diskon]])</f>
        <v/>
      </c>
      <c r="AD224" s="283" t="str">
        <f ca="1">IF(Table1[//]="","",SUMIF(Table1[h_id],Table1[h_id],Table1[h_hargasetelahdiskon]))</f>
        <v/>
      </c>
      <c r="AE224" s="283"/>
      <c r="AF224" s="283" t="str">
        <f>Table1[[#This Row],[Item Description]]&amp;Table1[[#This Row],[Unit]]&amp;Table1[[#This Row],[Unit Price]]</f>
        <v/>
      </c>
    </row>
    <row r="225" spans="1:32" x14ac:dyDescent="0.25">
      <c r="A225" s="287" t="str">
        <f ca="1">IF(Table1[[#This Row],[No. Invoice :]]="","",ROW())</f>
        <v/>
      </c>
      <c r="B225" s="287" t="str">
        <f ca="1">IF(Table1[h_Kode Sales :_1]="","",B$1+COUNT(INDIRECT("B$2:B"&amp;ROW()-1)))</f>
        <v/>
      </c>
      <c r="C225" s="281" t="str">
        <f>IF(Table1[[#This Row],[H_TGL]]="","",Table1[[#This Row],[H_TGL]]+C$1-1)</f>
        <v/>
      </c>
      <c r="H225" s="287" t="str">
        <f ca="1">IF(Table1[[#This Row],[h_No. Invoice :]]="","",CONCATENATE("AM"," ",Table1[[#This Row],[h_No. Invoice :]]))</f>
        <v/>
      </c>
      <c r="I225" s="288" t="str">
        <f>CONCATENATE(UPPER(Table1[[#This Row],[h_Kode Sales :_1]])," ",Table1[[#This Row],[h_Kode Sales :_2]])</f>
        <v xml:space="preserve"> </v>
      </c>
      <c r="J225" s="287" t="str">
        <f>IF(Table1[[#This Row],[h_toko]]="","",INDEX(Table2[e],IF(Table1[[#This Row],[h_toko]]="","",MATCH(Table1[[#This Row],[h_toko]],Table2[a],0)),))</f>
        <v/>
      </c>
      <c r="O225" s="287" t="str">
        <f>IF(Table1[[#This Row],[h_Item Description]]="","",INDEX([1]!db[NB PAJAK],MATCH(Table1[[#This Row],[h_Item Description]],[1]!db[kode],0)))</f>
        <v/>
      </c>
      <c r="Q225" s="283"/>
      <c r="R225" s="284"/>
      <c r="T225" s="283" t="str">
        <f>Table1[[#This Row],[h_hargasetelahdiskon]]</f>
        <v/>
      </c>
      <c r="W225" s="287" t="str">
        <f ca="1">IF(Table1[[#This Row],[Item Description]]="","",IF(Table1[[#This Row],[//]]="",INDIRECT(ADDRESS(ROW()-1,COLUMN())),Table1[[#This Row],[//]]))</f>
        <v/>
      </c>
      <c r="X225" s="287" t="str">
        <f ca="1">IF(Table1[[#This Row],[h_id]]="","",COUNTIF(Table1[h_id],Table1[[#This Row],[h_id]]))</f>
        <v/>
      </c>
      <c r="Y225" s="283" t="str">
        <f>IF(Table1[Item Description]="","",Table1[[#This Row],[Qty]]*Table1[[#This Row],[Unit Price]])</f>
        <v/>
      </c>
      <c r="Z225" s="283" t="str">
        <f>IF(Table1[[#This Row],[h_hargasebelumdiskon]]="","",IF(Table1[[#This Row],[Disc 1]]="",0,Table1[[#This Row],[h_hargasebelumdiskon]]*Table1[[#This Row],[Disc 1]]))</f>
        <v/>
      </c>
      <c r="AA225" s="283" t="str">
        <f>IF(Table1[[#This Row],[h_hargasebelumdiskon]]="","",IF(Table1[[#This Row],[Disc 2]]="",0,(Table1[[#This Row],[h_hargasebelumdiskon]]-Table1[[#This Row],[h_disc 1]])*Table1[[#This Row],[Disc 2]]))</f>
        <v/>
      </c>
      <c r="AB225" s="283" t="str">
        <f>IF(Table1[Item Description]="","",Table1[[#This Row],[h_disc 1]]+Table1[[#This Row],[h_disc 2]])</f>
        <v/>
      </c>
      <c r="AC225" s="283" t="str">
        <f>IF(Table1[Item Description]="","",Table1[[#This Row],[h_hargasebelumdiskon]]-Table1[[#This Row],[h_diskon]])</f>
        <v/>
      </c>
      <c r="AD225" s="283" t="str">
        <f ca="1">IF(Table1[//]="","",SUMIF(Table1[h_id],Table1[h_id],Table1[h_hargasetelahdiskon]))</f>
        <v/>
      </c>
      <c r="AE225" s="283"/>
      <c r="AF225" s="283" t="str">
        <f>Table1[[#This Row],[Item Description]]&amp;Table1[[#This Row],[Unit]]&amp;Table1[[#This Row],[Unit Price]]</f>
        <v/>
      </c>
    </row>
    <row r="226" spans="1:32" x14ac:dyDescent="0.25">
      <c r="A226" s="287" t="str">
        <f ca="1">IF(Table1[[#This Row],[No. Invoice :]]="","",ROW())</f>
        <v/>
      </c>
      <c r="B226" s="287" t="str">
        <f ca="1">IF(Table1[h_Kode Sales :_1]="","",B$1+COUNT(INDIRECT("B$2:B"&amp;ROW()-1)))</f>
        <v/>
      </c>
      <c r="C226" s="281" t="str">
        <f>IF(Table1[[#This Row],[H_TGL]]="","",Table1[[#This Row],[H_TGL]]+C$1-1)</f>
        <v/>
      </c>
      <c r="H226" s="287" t="str">
        <f ca="1">IF(Table1[[#This Row],[h_No. Invoice :]]="","",CONCATENATE("AM"," ",Table1[[#This Row],[h_No. Invoice :]]))</f>
        <v/>
      </c>
      <c r="I226" s="288" t="str">
        <f>CONCATENATE(UPPER(Table1[[#This Row],[h_Kode Sales :_1]])," ",Table1[[#This Row],[h_Kode Sales :_2]])</f>
        <v xml:space="preserve"> </v>
      </c>
      <c r="J226" s="287" t="str">
        <f>IF(Table1[[#This Row],[h_toko]]="","",INDEX(Table2[e],IF(Table1[[#This Row],[h_toko]]="","",MATCH(Table1[[#This Row],[h_toko]],Table2[a],0)),))</f>
        <v/>
      </c>
      <c r="O226" s="287" t="str">
        <f>IF(Table1[[#This Row],[h_Item Description]]="","",INDEX([1]!db[NB PAJAK],MATCH(Table1[[#This Row],[h_Item Description]],[1]!db[kode],0)))</f>
        <v/>
      </c>
      <c r="Q226" s="283"/>
      <c r="R226" s="284"/>
      <c r="T226" s="283" t="str">
        <f>Table1[[#This Row],[h_hargasetelahdiskon]]</f>
        <v/>
      </c>
      <c r="W226" s="287" t="str">
        <f ca="1">IF(Table1[[#This Row],[Item Description]]="","",IF(Table1[[#This Row],[//]]="",INDIRECT(ADDRESS(ROW()-1,COLUMN())),Table1[[#This Row],[//]]))</f>
        <v/>
      </c>
      <c r="X226" s="287" t="str">
        <f ca="1">IF(Table1[[#This Row],[h_id]]="","",COUNTIF(Table1[h_id],Table1[[#This Row],[h_id]]))</f>
        <v/>
      </c>
      <c r="Y226" s="283" t="str">
        <f>IF(Table1[Item Description]="","",Table1[[#This Row],[Qty]]*Table1[[#This Row],[Unit Price]])</f>
        <v/>
      </c>
      <c r="Z226" s="283" t="str">
        <f>IF(Table1[[#This Row],[h_hargasebelumdiskon]]="","",IF(Table1[[#This Row],[Disc 1]]="",0,Table1[[#This Row],[h_hargasebelumdiskon]]*Table1[[#This Row],[Disc 1]]))</f>
        <v/>
      </c>
      <c r="AA226" s="283" t="str">
        <f>IF(Table1[[#This Row],[h_hargasebelumdiskon]]="","",IF(Table1[[#This Row],[Disc 2]]="",0,(Table1[[#This Row],[h_hargasebelumdiskon]]-Table1[[#This Row],[h_disc 1]])*Table1[[#This Row],[Disc 2]]))</f>
        <v/>
      </c>
      <c r="AB226" s="283" t="str">
        <f>IF(Table1[Item Description]="","",Table1[[#This Row],[h_disc 1]]+Table1[[#This Row],[h_disc 2]])</f>
        <v/>
      </c>
      <c r="AC226" s="283" t="str">
        <f>IF(Table1[Item Description]="","",Table1[[#This Row],[h_hargasebelumdiskon]]-Table1[[#This Row],[h_diskon]])</f>
        <v/>
      </c>
      <c r="AD226" s="283" t="str">
        <f ca="1">IF(Table1[//]="","",SUMIF(Table1[h_id],Table1[h_id],Table1[h_hargasetelahdiskon]))</f>
        <v/>
      </c>
      <c r="AE226" s="283"/>
      <c r="AF226" s="283" t="str">
        <f>Table1[[#This Row],[Item Description]]&amp;Table1[[#This Row],[Unit]]&amp;Table1[[#This Row],[Unit Price]]</f>
        <v/>
      </c>
    </row>
    <row r="227" spans="1:32" x14ac:dyDescent="0.25">
      <c r="A227" s="287" t="str">
        <f ca="1">IF(Table1[[#This Row],[No. Invoice :]]="","",ROW())</f>
        <v/>
      </c>
      <c r="B227" s="287" t="str">
        <f ca="1">IF(Table1[h_Kode Sales :_1]="","",B$1+COUNT(INDIRECT("B$2:B"&amp;ROW()-1)))</f>
        <v/>
      </c>
      <c r="C227" s="281" t="str">
        <f>IF(Table1[[#This Row],[H_TGL]]="","",Table1[[#This Row],[H_TGL]]+C$1-1)</f>
        <v/>
      </c>
      <c r="H227" s="287" t="str">
        <f ca="1">IF(Table1[[#This Row],[h_No. Invoice :]]="","",CONCATENATE("AM"," ",Table1[[#This Row],[h_No. Invoice :]]))</f>
        <v/>
      </c>
      <c r="I227" s="288" t="str">
        <f>CONCATENATE(UPPER(Table1[[#This Row],[h_Kode Sales :_1]])," ",Table1[[#This Row],[h_Kode Sales :_2]])</f>
        <v xml:space="preserve"> </v>
      </c>
      <c r="J227" s="287" t="str">
        <f>IF(Table1[[#This Row],[h_toko]]="","",INDEX(Table2[e],IF(Table1[[#This Row],[h_toko]]="","",MATCH(Table1[[#This Row],[h_toko]],Table2[a],0)),))</f>
        <v/>
      </c>
      <c r="O227" s="287" t="str">
        <f>IF(Table1[[#This Row],[h_Item Description]]="","",INDEX([1]!db[NB PAJAK],MATCH(Table1[[#This Row],[h_Item Description]],[1]!db[kode],0)))</f>
        <v/>
      </c>
      <c r="Q227" s="283"/>
      <c r="R227" s="284"/>
      <c r="T227" s="283" t="str">
        <f>Table1[[#This Row],[h_hargasetelahdiskon]]</f>
        <v/>
      </c>
      <c r="W227" s="287" t="str">
        <f ca="1">IF(Table1[[#This Row],[Item Description]]="","",IF(Table1[[#This Row],[//]]="",INDIRECT(ADDRESS(ROW()-1,COLUMN())),Table1[[#This Row],[//]]))</f>
        <v/>
      </c>
      <c r="X227" s="287" t="str">
        <f ca="1">IF(Table1[[#This Row],[h_id]]="","",COUNTIF(Table1[h_id],Table1[[#This Row],[h_id]]))</f>
        <v/>
      </c>
      <c r="Y227" s="283" t="str">
        <f>IF(Table1[Item Description]="","",Table1[[#This Row],[Qty]]*Table1[[#This Row],[Unit Price]])</f>
        <v/>
      </c>
      <c r="Z227" s="283" t="str">
        <f>IF(Table1[[#This Row],[h_hargasebelumdiskon]]="","",IF(Table1[[#This Row],[Disc 1]]="",0,Table1[[#This Row],[h_hargasebelumdiskon]]*Table1[[#This Row],[Disc 1]]))</f>
        <v/>
      </c>
      <c r="AA227" s="283" t="str">
        <f>IF(Table1[[#This Row],[h_hargasebelumdiskon]]="","",IF(Table1[[#This Row],[Disc 2]]="",0,(Table1[[#This Row],[h_hargasebelumdiskon]]-Table1[[#This Row],[h_disc 1]])*Table1[[#This Row],[Disc 2]]))</f>
        <v/>
      </c>
      <c r="AB227" s="283" t="str">
        <f>IF(Table1[Item Description]="","",Table1[[#This Row],[h_disc 1]]+Table1[[#This Row],[h_disc 2]])</f>
        <v/>
      </c>
      <c r="AC227" s="283" t="str">
        <f>IF(Table1[Item Description]="","",Table1[[#This Row],[h_hargasebelumdiskon]]-Table1[[#This Row],[h_diskon]])</f>
        <v/>
      </c>
      <c r="AD227" s="283" t="str">
        <f ca="1">IF(Table1[//]="","",SUMIF(Table1[h_id],Table1[h_id],Table1[h_hargasetelahdiskon]))</f>
        <v/>
      </c>
      <c r="AE227" s="283"/>
      <c r="AF227" s="283" t="str">
        <f>Table1[[#This Row],[Item Description]]&amp;Table1[[#This Row],[Unit]]&amp;Table1[[#This Row],[Unit Price]]</f>
        <v/>
      </c>
    </row>
    <row r="228" spans="1:32" x14ac:dyDescent="0.25">
      <c r="A228" s="287" t="str">
        <f ca="1">IF(Table1[[#This Row],[No. Invoice :]]="","",ROW())</f>
        <v/>
      </c>
      <c r="B228" s="287" t="str">
        <f ca="1">IF(Table1[h_Kode Sales :_1]="","",B$1+COUNT(INDIRECT("B$2:B"&amp;ROW()-1)))</f>
        <v/>
      </c>
      <c r="C228" s="281" t="str">
        <f>IF(Table1[[#This Row],[H_TGL]]="","",Table1[[#This Row],[H_TGL]]+C$1-1)</f>
        <v/>
      </c>
      <c r="H228" s="287" t="str">
        <f ca="1">IF(Table1[[#This Row],[h_No. Invoice :]]="","",CONCATENATE("AM"," ",Table1[[#This Row],[h_No. Invoice :]]))</f>
        <v/>
      </c>
      <c r="I228" s="288" t="str">
        <f>CONCATENATE(UPPER(Table1[[#This Row],[h_Kode Sales :_1]])," ",Table1[[#This Row],[h_Kode Sales :_2]])</f>
        <v xml:space="preserve"> </v>
      </c>
      <c r="J228" s="287" t="str">
        <f>IF(Table1[[#This Row],[h_toko]]="","",INDEX(Table2[e],IF(Table1[[#This Row],[h_toko]]="","",MATCH(Table1[[#This Row],[h_toko]],Table2[a],0)),))</f>
        <v/>
      </c>
      <c r="O228" s="287" t="str">
        <f>IF(Table1[[#This Row],[h_Item Description]]="","",INDEX([1]!db[NB PAJAK],MATCH(Table1[[#This Row],[h_Item Description]],[1]!db[kode],0)))</f>
        <v/>
      </c>
      <c r="Q228" s="283"/>
      <c r="R228" s="284"/>
      <c r="T228" s="283" t="str">
        <f>Table1[[#This Row],[h_hargasetelahdiskon]]</f>
        <v/>
      </c>
      <c r="W228" s="287" t="str">
        <f ca="1">IF(Table1[[#This Row],[Item Description]]="","",IF(Table1[[#This Row],[//]]="",INDIRECT(ADDRESS(ROW()-1,COLUMN())),Table1[[#This Row],[//]]))</f>
        <v/>
      </c>
      <c r="X228" s="287" t="str">
        <f ca="1">IF(Table1[[#This Row],[h_id]]="","",COUNTIF(Table1[h_id],Table1[[#This Row],[h_id]]))</f>
        <v/>
      </c>
      <c r="Y228" s="283" t="str">
        <f>IF(Table1[Item Description]="","",Table1[[#This Row],[Qty]]*Table1[[#This Row],[Unit Price]])</f>
        <v/>
      </c>
      <c r="Z228" s="283" t="str">
        <f>IF(Table1[[#This Row],[h_hargasebelumdiskon]]="","",IF(Table1[[#This Row],[Disc 1]]="",0,Table1[[#This Row],[h_hargasebelumdiskon]]*Table1[[#This Row],[Disc 1]]))</f>
        <v/>
      </c>
      <c r="AA228" s="283" t="str">
        <f>IF(Table1[[#This Row],[h_hargasebelumdiskon]]="","",IF(Table1[[#This Row],[Disc 2]]="",0,(Table1[[#This Row],[h_hargasebelumdiskon]]-Table1[[#This Row],[h_disc 1]])*Table1[[#This Row],[Disc 2]]))</f>
        <v/>
      </c>
      <c r="AB228" s="283" t="str">
        <f>IF(Table1[Item Description]="","",Table1[[#This Row],[h_disc 1]]+Table1[[#This Row],[h_disc 2]])</f>
        <v/>
      </c>
      <c r="AC228" s="283" t="str">
        <f>IF(Table1[Item Description]="","",Table1[[#This Row],[h_hargasebelumdiskon]]-Table1[[#This Row],[h_diskon]])</f>
        <v/>
      </c>
      <c r="AD228" s="283" t="str">
        <f ca="1">IF(Table1[//]="","",SUMIF(Table1[h_id],Table1[h_id],Table1[h_hargasetelahdiskon]))</f>
        <v/>
      </c>
      <c r="AE228" s="283"/>
      <c r="AF228" s="283" t="str">
        <f>Table1[[#This Row],[Item Description]]&amp;Table1[[#This Row],[Unit]]&amp;Table1[[#This Row],[Unit Price]]</f>
        <v/>
      </c>
    </row>
    <row r="229" spans="1:32" x14ac:dyDescent="0.25">
      <c r="A229" s="287" t="str">
        <f ca="1">IF(Table1[[#This Row],[No. Invoice :]]="","",ROW())</f>
        <v/>
      </c>
      <c r="B229" s="287" t="str">
        <f ca="1">IF(Table1[h_Kode Sales :_1]="","",B$1+COUNT(INDIRECT("B$2:B"&amp;ROW()-1)))</f>
        <v/>
      </c>
      <c r="C229" s="281" t="str">
        <f>IF(Table1[[#This Row],[H_TGL]]="","",Table1[[#This Row],[H_TGL]]+C$1-1)</f>
        <v/>
      </c>
      <c r="H229" s="287" t="str">
        <f ca="1">IF(Table1[[#This Row],[h_No. Invoice :]]="","",CONCATENATE("AM"," ",Table1[[#This Row],[h_No. Invoice :]]))</f>
        <v/>
      </c>
      <c r="I229" s="288" t="str">
        <f>CONCATENATE(UPPER(Table1[[#This Row],[h_Kode Sales :_1]])," ",Table1[[#This Row],[h_Kode Sales :_2]])</f>
        <v xml:space="preserve"> </v>
      </c>
      <c r="J229" s="287" t="str">
        <f>IF(Table1[[#This Row],[h_toko]]="","",INDEX(Table2[e],IF(Table1[[#This Row],[h_toko]]="","",MATCH(Table1[[#This Row],[h_toko]],Table2[a],0)),))</f>
        <v/>
      </c>
      <c r="O229" s="287" t="str">
        <f>IF(Table1[[#This Row],[h_Item Description]]="","",INDEX([1]!db[NB PAJAK],MATCH(Table1[[#This Row],[h_Item Description]],[1]!db[kode],0)))</f>
        <v/>
      </c>
      <c r="Q229" s="283"/>
      <c r="R229" s="284"/>
      <c r="T229" s="283" t="str">
        <f>Table1[[#This Row],[h_hargasetelahdiskon]]</f>
        <v/>
      </c>
      <c r="W229" s="287" t="str">
        <f ca="1">IF(Table1[[#This Row],[Item Description]]="","",IF(Table1[[#This Row],[//]]="",INDIRECT(ADDRESS(ROW()-1,COLUMN())),Table1[[#This Row],[//]]))</f>
        <v/>
      </c>
      <c r="X229" s="287" t="str">
        <f ca="1">IF(Table1[[#This Row],[h_id]]="","",COUNTIF(Table1[h_id],Table1[[#This Row],[h_id]]))</f>
        <v/>
      </c>
      <c r="Y229" s="283" t="str">
        <f>IF(Table1[Item Description]="","",Table1[[#This Row],[Qty]]*Table1[[#This Row],[Unit Price]])</f>
        <v/>
      </c>
      <c r="Z229" s="283" t="str">
        <f>IF(Table1[[#This Row],[h_hargasebelumdiskon]]="","",IF(Table1[[#This Row],[Disc 1]]="",0,Table1[[#This Row],[h_hargasebelumdiskon]]*Table1[[#This Row],[Disc 1]]))</f>
        <v/>
      </c>
      <c r="AA229" s="283" t="str">
        <f>IF(Table1[[#This Row],[h_hargasebelumdiskon]]="","",IF(Table1[[#This Row],[Disc 2]]="",0,(Table1[[#This Row],[h_hargasebelumdiskon]]-Table1[[#This Row],[h_disc 1]])*Table1[[#This Row],[Disc 2]]))</f>
        <v/>
      </c>
      <c r="AB229" s="283" t="str">
        <f>IF(Table1[Item Description]="","",Table1[[#This Row],[h_disc 1]]+Table1[[#This Row],[h_disc 2]])</f>
        <v/>
      </c>
      <c r="AC229" s="283" t="str">
        <f>IF(Table1[Item Description]="","",Table1[[#This Row],[h_hargasebelumdiskon]]-Table1[[#This Row],[h_diskon]])</f>
        <v/>
      </c>
      <c r="AD229" s="283" t="str">
        <f ca="1">IF(Table1[//]="","",SUMIF(Table1[h_id],Table1[h_id],Table1[h_hargasetelahdiskon]))</f>
        <v/>
      </c>
      <c r="AE229" s="283"/>
      <c r="AF229" s="283" t="str">
        <f>Table1[[#This Row],[Item Description]]&amp;Table1[[#This Row],[Unit]]&amp;Table1[[#This Row],[Unit Price]]</f>
        <v/>
      </c>
    </row>
    <row r="230" spans="1:32" x14ac:dyDescent="0.25">
      <c r="A230" s="287" t="str">
        <f ca="1">IF(Table1[[#This Row],[No. Invoice :]]="","",ROW())</f>
        <v/>
      </c>
      <c r="B230" s="287" t="str">
        <f ca="1">IF(Table1[h_Kode Sales :_1]="","",B$1+COUNT(INDIRECT("B$2:B"&amp;ROW()-1)))</f>
        <v/>
      </c>
      <c r="C230" s="281" t="str">
        <f>IF(Table1[[#This Row],[H_TGL]]="","",Table1[[#This Row],[H_TGL]]+C$1-1)</f>
        <v/>
      </c>
      <c r="H230" s="287" t="str">
        <f ca="1">IF(Table1[[#This Row],[h_No. Invoice :]]="","",CONCATENATE("AM"," ",Table1[[#This Row],[h_No. Invoice :]]))</f>
        <v/>
      </c>
      <c r="I230" s="288" t="str">
        <f>CONCATENATE(UPPER(Table1[[#This Row],[h_Kode Sales :_1]])," ",Table1[[#This Row],[h_Kode Sales :_2]])</f>
        <v xml:space="preserve"> </v>
      </c>
      <c r="J230" s="287" t="str">
        <f>IF(Table1[[#This Row],[h_toko]]="","",INDEX(Table2[e],IF(Table1[[#This Row],[h_toko]]="","",MATCH(Table1[[#This Row],[h_toko]],Table2[a],0)),))</f>
        <v/>
      </c>
      <c r="O230" s="287" t="s">
        <v>118</v>
      </c>
      <c r="Q230" s="283"/>
      <c r="R230" s="284"/>
      <c r="T230" s="283" t="str">
        <f>Table1[[#This Row],[h_hargasetelahdiskon]]</f>
        <v/>
      </c>
      <c r="W230" s="287" t="str">
        <f ca="1">IF(Table1[[#This Row],[Item Description]]="","",IF(Table1[[#This Row],[//]]="",INDIRECT(ADDRESS(ROW()-1,COLUMN())),Table1[[#This Row],[//]]))</f>
        <v/>
      </c>
      <c r="X230" s="287" t="str">
        <f ca="1">IF(Table1[[#This Row],[h_id]]="","",COUNTIF(Table1[h_id],Table1[[#This Row],[h_id]]))</f>
        <v/>
      </c>
      <c r="Y230" s="283" t="str">
        <f>IF(Table1[Item Description]="","",Table1[[#This Row],[Qty]]*Table1[[#This Row],[Unit Price]])</f>
        <v/>
      </c>
      <c r="Z230" s="283" t="str">
        <f>IF(Table1[[#This Row],[h_hargasebelumdiskon]]="","",IF(Table1[[#This Row],[Disc 1]]="",0,Table1[[#This Row],[h_hargasebelumdiskon]]*Table1[[#This Row],[Disc 1]]))</f>
        <v/>
      </c>
      <c r="AA230" s="283" t="str">
        <f>IF(Table1[[#This Row],[h_hargasebelumdiskon]]="","",IF(Table1[[#This Row],[Disc 2]]="",0,(Table1[[#This Row],[h_hargasebelumdiskon]]-Table1[[#This Row],[h_disc 1]])*Table1[[#This Row],[Disc 2]]))</f>
        <v/>
      </c>
      <c r="AB230" s="283" t="str">
        <f>IF(Table1[Item Description]="","",Table1[[#This Row],[h_disc 1]]+Table1[[#This Row],[h_disc 2]])</f>
        <v/>
      </c>
      <c r="AC230" s="283" t="str">
        <f>IF(Table1[Item Description]="","",Table1[[#This Row],[h_hargasebelumdiskon]]-Table1[[#This Row],[h_diskon]])</f>
        <v/>
      </c>
      <c r="AD230" s="283" t="str">
        <f ca="1">IF(Table1[//]="","",SUMIF(Table1[h_id],Table1[h_id],Table1[h_hargasetelahdiskon]))</f>
        <v/>
      </c>
      <c r="AE230" s="283"/>
      <c r="AF230" s="283" t="str">
        <f>Table1[[#This Row],[Item Description]]&amp;Table1[[#This Row],[Unit]]&amp;Table1[[#This Row],[Unit Price]]</f>
        <v/>
      </c>
    </row>
    <row r="231" spans="1:32" x14ac:dyDescent="0.25">
      <c r="A231" s="287" t="str">
        <f ca="1">IF(Table1[[#This Row],[No. Invoice :]]="","",ROW())</f>
        <v/>
      </c>
      <c r="B231" s="287" t="str">
        <f ca="1">IF(Table1[h_Kode Sales :_1]="","",B$1+COUNT(INDIRECT("B$2:B"&amp;ROW()-1)))</f>
        <v/>
      </c>
      <c r="C231" s="281" t="str">
        <f>IF(Table1[[#This Row],[H_TGL]]="","",Table1[[#This Row],[H_TGL]]+C$1-1)</f>
        <v/>
      </c>
      <c r="H231" s="287" t="str">
        <f ca="1">IF(Table1[[#This Row],[h_No. Invoice :]]="","",CONCATENATE("AM"," ",Table1[[#This Row],[h_No. Invoice :]]))</f>
        <v/>
      </c>
      <c r="I231" s="288" t="str">
        <f>CONCATENATE(UPPER(Table1[[#This Row],[h_Kode Sales :_1]])," ",Table1[[#This Row],[h_Kode Sales :_2]])</f>
        <v xml:space="preserve"> </v>
      </c>
      <c r="J231" s="287" t="str">
        <f>IF(Table1[[#This Row],[h_toko]]="","",INDEX(Table2[e],IF(Table1[[#This Row],[h_toko]]="","",MATCH(Table1[[#This Row],[h_toko]],Table2[a],0)),))</f>
        <v/>
      </c>
      <c r="O231" s="287" t="str">
        <f>IF(Table1[[#This Row],[h_Item Description]]="","",INDEX([1]!db[NB PAJAK],MATCH(Table1[[#This Row],[h_Item Description]],[1]!db[kode],0)))</f>
        <v/>
      </c>
      <c r="Q231" s="283"/>
      <c r="R231" s="284"/>
      <c r="T231" s="283" t="str">
        <f>Table1[[#This Row],[h_hargasetelahdiskon]]</f>
        <v/>
      </c>
      <c r="W231" s="287" t="str">
        <f ca="1">IF(Table1[[#This Row],[Item Description]]="","",IF(Table1[[#This Row],[//]]="",INDIRECT(ADDRESS(ROW()-1,COLUMN())),Table1[[#This Row],[//]]))</f>
        <v/>
      </c>
      <c r="X231" s="287" t="str">
        <f ca="1">IF(Table1[[#This Row],[h_id]]="","",COUNTIF(Table1[h_id],Table1[[#This Row],[h_id]]))</f>
        <v/>
      </c>
      <c r="Y231" s="283" t="str">
        <f>IF(Table1[Item Description]="","",Table1[[#This Row],[Qty]]*Table1[[#This Row],[Unit Price]])</f>
        <v/>
      </c>
      <c r="Z231" s="283" t="str">
        <f>IF(Table1[[#This Row],[h_hargasebelumdiskon]]="","",IF(Table1[[#This Row],[Disc 1]]="",0,Table1[[#This Row],[h_hargasebelumdiskon]]*Table1[[#This Row],[Disc 1]]))</f>
        <v/>
      </c>
      <c r="AA231" s="283" t="str">
        <f>IF(Table1[[#This Row],[h_hargasebelumdiskon]]="","",IF(Table1[[#This Row],[Disc 2]]="",0,(Table1[[#This Row],[h_hargasebelumdiskon]]-Table1[[#This Row],[h_disc 1]])*Table1[[#This Row],[Disc 2]]))</f>
        <v/>
      </c>
      <c r="AB231" s="283" t="str">
        <f>IF(Table1[Item Description]="","",Table1[[#This Row],[h_disc 1]]+Table1[[#This Row],[h_disc 2]])</f>
        <v/>
      </c>
      <c r="AC231" s="283" t="str">
        <f>IF(Table1[Item Description]="","",Table1[[#This Row],[h_hargasebelumdiskon]]-Table1[[#This Row],[h_diskon]])</f>
        <v/>
      </c>
      <c r="AD231" s="283" t="str">
        <f ca="1">IF(Table1[//]="","",SUMIF(Table1[h_id],Table1[h_id],Table1[h_hargasetelahdiskon]))</f>
        <v/>
      </c>
      <c r="AE231" s="283"/>
      <c r="AF231" s="283" t="str">
        <f>Table1[[#This Row],[Item Description]]&amp;Table1[[#This Row],[Unit]]&amp;Table1[[#This Row],[Unit Price]]</f>
        <v/>
      </c>
    </row>
    <row r="232" spans="1:32" x14ac:dyDescent="0.25">
      <c r="A232" s="287" t="str">
        <f ca="1">IF(Table1[[#This Row],[No. Invoice :]]="","",ROW())</f>
        <v/>
      </c>
      <c r="B232" s="287" t="str">
        <f ca="1">IF(Table1[h_Kode Sales :_1]="","",B$1+COUNT(INDIRECT("B$2:B"&amp;ROW()-1)))</f>
        <v/>
      </c>
      <c r="C232" s="281" t="str">
        <f>IF(Table1[[#This Row],[H_TGL]]="","",Table1[[#This Row],[H_TGL]]+C$1-1)</f>
        <v/>
      </c>
      <c r="H232" s="287" t="str">
        <f ca="1">IF(Table1[[#This Row],[h_No. Invoice :]]="","",CONCATENATE("AM"," ",Table1[[#This Row],[h_No. Invoice :]]))</f>
        <v/>
      </c>
      <c r="I232" s="288" t="str">
        <f>CONCATENATE(UPPER(Table1[[#This Row],[h_Kode Sales :_1]])," ",Table1[[#This Row],[h_Kode Sales :_2]])</f>
        <v xml:space="preserve"> </v>
      </c>
      <c r="J232" s="287" t="str">
        <f>IF(Table1[[#This Row],[h_toko]]="","",INDEX(Table2[e],IF(Table1[[#This Row],[h_toko]]="","",MATCH(Table1[[#This Row],[h_toko]],Table2[a],0)),))</f>
        <v/>
      </c>
      <c r="O232" s="287" t="s">
        <v>119</v>
      </c>
      <c r="Q232" s="283"/>
      <c r="R232" s="284"/>
      <c r="T232" s="283" t="str">
        <f>Table1[[#This Row],[h_hargasetelahdiskon]]</f>
        <v/>
      </c>
      <c r="W232" s="287" t="str">
        <f ca="1">IF(Table1[[#This Row],[Item Description]]="","",IF(Table1[[#This Row],[//]]="",INDIRECT(ADDRESS(ROW()-1,COLUMN())),Table1[[#This Row],[//]]))</f>
        <v/>
      </c>
      <c r="X232" s="287" t="str">
        <f ca="1">IF(Table1[[#This Row],[h_id]]="","",COUNTIF(Table1[h_id],Table1[[#This Row],[h_id]]))</f>
        <v/>
      </c>
      <c r="Y232" s="283" t="str">
        <f>IF(Table1[Item Description]="","",Table1[[#This Row],[Qty]]*Table1[[#This Row],[Unit Price]])</f>
        <v/>
      </c>
      <c r="Z232" s="283" t="str">
        <f>IF(Table1[[#This Row],[h_hargasebelumdiskon]]="","",IF(Table1[[#This Row],[Disc 1]]="",0,Table1[[#This Row],[h_hargasebelumdiskon]]*Table1[[#This Row],[Disc 1]]))</f>
        <v/>
      </c>
      <c r="AA232" s="283" t="str">
        <f>IF(Table1[[#This Row],[h_hargasebelumdiskon]]="","",IF(Table1[[#This Row],[Disc 2]]="",0,(Table1[[#This Row],[h_hargasebelumdiskon]]-Table1[[#This Row],[h_disc 1]])*Table1[[#This Row],[Disc 2]]))</f>
        <v/>
      </c>
      <c r="AB232" s="283" t="str">
        <f>IF(Table1[Item Description]="","",Table1[[#This Row],[h_disc 1]]+Table1[[#This Row],[h_disc 2]])</f>
        <v/>
      </c>
      <c r="AC232" s="283" t="str">
        <f>IF(Table1[Item Description]="","",Table1[[#This Row],[h_hargasebelumdiskon]]-Table1[[#This Row],[h_diskon]])</f>
        <v/>
      </c>
      <c r="AD232" s="283" t="str">
        <f ca="1">IF(Table1[//]="","",SUMIF(Table1[h_id],Table1[h_id],Table1[h_hargasetelahdiskon]))</f>
        <v/>
      </c>
      <c r="AE232" s="283"/>
      <c r="AF232" s="283" t="str">
        <f>Table1[[#This Row],[Item Description]]&amp;Table1[[#This Row],[Unit]]&amp;Table1[[#This Row],[Unit Price]]</f>
        <v/>
      </c>
    </row>
    <row r="233" spans="1:32" x14ac:dyDescent="0.25">
      <c r="A233" s="287" t="str">
        <f ca="1">IF(Table1[[#This Row],[No. Invoice :]]="","",ROW())</f>
        <v/>
      </c>
      <c r="B233" s="287" t="str">
        <f ca="1">IF(Table1[h_Kode Sales :_1]="","",B$1+COUNT(INDIRECT("B$2:B"&amp;ROW()-1)))</f>
        <v/>
      </c>
      <c r="C233" s="281" t="str">
        <f>IF(Table1[[#This Row],[H_TGL]]="","",Table1[[#This Row],[H_TGL]]+C$1-1)</f>
        <v/>
      </c>
      <c r="H233" s="287" t="str">
        <f ca="1">IF(Table1[[#This Row],[h_No. Invoice :]]="","",CONCATENATE("AM"," ",Table1[[#This Row],[h_No. Invoice :]]))</f>
        <v/>
      </c>
      <c r="I233" s="288" t="str">
        <f>CONCATENATE(UPPER(Table1[[#This Row],[h_Kode Sales :_1]])," ",Table1[[#This Row],[h_Kode Sales :_2]])</f>
        <v xml:space="preserve"> </v>
      </c>
      <c r="J233" s="287" t="str">
        <f>IF(Table1[[#This Row],[h_toko]]="","",INDEX(Table2[e],IF(Table1[[#This Row],[h_toko]]="","",MATCH(Table1[[#This Row],[h_toko]],Table2[a],0)),))</f>
        <v/>
      </c>
      <c r="O233" s="287" t="str">
        <f>IF(Table1[[#This Row],[h_Item Description]]="","",INDEX([1]!db[NB PAJAK],MATCH(Table1[[#This Row],[h_Item Description]],[1]!db[kode],0)))</f>
        <v/>
      </c>
      <c r="Q233" s="283"/>
      <c r="R233" s="284"/>
      <c r="T233" s="283" t="str">
        <f>Table1[[#This Row],[h_hargasetelahdiskon]]</f>
        <v/>
      </c>
      <c r="W233" s="287" t="str">
        <f ca="1">IF(Table1[[#This Row],[Item Description]]="","",IF(Table1[[#This Row],[//]]="",INDIRECT(ADDRESS(ROW()-1,COLUMN())),Table1[[#This Row],[//]]))</f>
        <v/>
      </c>
      <c r="X233" s="287" t="str">
        <f ca="1">IF(Table1[[#This Row],[h_id]]="","",COUNTIF(Table1[h_id],Table1[[#This Row],[h_id]]))</f>
        <v/>
      </c>
      <c r="Y233" s="283" t="str">
        <f>IF(Table1[Item Description]="","",Table1[[#This Row],[Qty]]*Table1[[#This Row],[Unit Price]])</f>
        <v/>
      </c>
      <c r="Z233" s="283" t="str">
        <f>IF(Table1[[#This Row],[h_hargasebelumdiskon]]="","",IF(Table1[[#This Row],[Disc 1]]="",0,Table1[[#This Row],[h_hargasebelumdiskon]]*Table1[[#This Row],[Disc 1]]))</f>
        <v/>
      </c>
      <c r="AA233" s="283" t="str">
        <f>IF(Table1[[#This Row],[h_hargasebelumdiskon]]="","",IF(Table1[[#This Row],[Disc 2]]="",0,(Table1[[#This Row],[h_hargasebelumdiskon]]-Table1[[#This Row],[h_disc 1]])*Table1[[#This Row],[Disc 2]]))</f>
        <v/>
      </c>
      <c r="AB233" s="283" t="str">
        <f>IF(Table1[Item Description]="","",Table1[[#This Row],[h_disc 1]]+Table1[[#This Row],[h_disc 2]])</f>
        <v/>
      </c>
      <c r="AC233" s="283" t="str">
        <f>IF(Table1[Item Description]="","",Table1[[#This Row],[h_hargasebelumdiskon]]-Table1[[#This Row],[h_diskon]])</f>
        <v/>
      </c>
      <c r="AD233" s="283" t="str">
        <f ca="1">IF(Table1[//]="","",SUMIF(Table1[h_id],Table1[h_id],Table1[h_hargasetelahdiskon]))</f>
        <v/>
      </c>
      <c r="AE233" s="283"/>
      <c r="AF233" s="283" t="str">
        <f>Table1[[#This Row],[Item Description]]&amp;Table1[[#This Row],[Unit]]&amp;Table1[[#This Row],[Unit Price]]</f>
        <v/>
      </c>
    </row>
    <row r="234" spans="1:32" x14ac:dyDescent="0.25">
      <c r="A234" s="287" t="str">
        <f ca="1">IF(Table1[[#This Row],[No. Invoice :]]="","",ROW())</f>
        <v/>
      </c>
      <c r="B234" s="287" t="str">
        <f ca="1">IF(Table1[h_Kode Sales :_1]="","",B$1+COUNT(INDIRECT("B$2:B"&amp;ROW()-1)))</f>
        <v/>
      </c>
      <c r="C234" s="281" t="str">
        <f>IF(Table1[[#This Row],[H_TGL]]="","",Table1[[#This Row],[H_TGL]]+C$1-1)</f>
        <v/>
      </c>
      <c r="H234" s="287" t="str">
        <f ca="1">IF(Table1[[#This Row],[h_No. Invoice :]]="","",CONCATENATE("AM"," ",Table1[[#This Row],[h_No. Invoice :]]))</f>
        <v/>
      </c>
      <c r="I234" s="288" t="str">
        <f>CONCATENATE(UPPER(Table1[[#This Row],[h_Kode Sales :_1]])," ",Table1[[#This Row],[h_Kode Sales :_2]])</f>
        <v xml:space="preserve"> </v>
      </c>
      <c r="J234" s="287" t="str">
        <f>IF(Table1[[#This Row],[h_toko]]="","",INDEX(Table2[e],IF(Table1[[#This Row],[h_toko]]="","",MATCH(Table1[[#This Row],[h_toko]],Table2[a],0)),))</f>
        <v/>
      </c>
      <c r="O234" s="287" t="str">
        <f>IF(Table1[[#This Row],[h_Item Description]]="","",INDEX([1]!db[NB PAJAK],MATCH(Table1[[#This Row],[h_Item Description]],[1]!db[kode],0)))</f>
        <v/>
      </c>
      <c r="Q234" s="283"/>
      <c r="R234" s="284"/>
      <c r="T234" s="283" t="str">
        <f>Table1[[#This Row],[h_hargasetelahdiskon]]</f>
        <v/>
      </c>
      <c r="W234" s="287" t="str">
        <f ca="1">IF(Table1[[#This Row],[Item Description]]="","",IF(Table1[[#This Row],[//]]="",INDIRECT(ADDRESS(ROW()-1,COLUMN())),Table1[[#This Row],[//]]))</f>
        <v/>
      </c>
      <c r="X234" s="287" t="str">
        <f ca="1">IF(Table1[[#This Row],[h_id]]="","",COUNTIF(Table1[h_id],Table1[[#This Row],[h_id]]))</f>
        <v/>
      </c>
      <c r="Y234" s="283" t="str">
        <f>IF(Table1[Item Description]="","",Table1[[#This Row],[Qty]]*Table1[[#This Row],[Unit Price]])</f>
        <v/>
      </c>
      <c r="Z234" s="283" t="str">
        <f>IF(Table1[[#This Row],[h_hargasebelumdiskon]]="","",IF(Table1[[#This Row],[Disc 1]]="",0,Table1[[#This Row],[h_hargasebelumdiskon]]*Table1[[#This Row],[Disc 1]]))</f>
        <v/>
      </c>
      <c r="AA234" s="283" t="str">
        <f>IF(Table1[[#This Row],[h_hargasebelumdiskon]]="","",IF(Table1[[#This Row],[Disc 2]]="",0,(Table1[[#This Row],[h_hargasebelumdiskon]]-Table1[[#This Row],[h_disc 1]])*Table1[[#This Row],[Disc 2]]))</f>
        <v/>
      </c>
      <c r="AB234" s="283" t="str">
        <f>IF(Table1[Item Description]="","",Table1[[#This Row],[h_disc 1]]+Table1[[#This Row],[h_disc 2]])</f>
        <v/>
      </c>
      <c r="AC234" s="283" t="str">
        <f>IF(Table1[Item Description]="","",Table1[[#This Row],[h_hargasebelumdiskon]]-Table1[[#This Row],[h_diskon]])</f>
        <v/>
      </c>
      <c r="AD234" s="283" t="str">
        <f ca="1">IF(Table1[//]="","",SUMIF(Table1[h_id],Table1[h_id],Table1[h_hargasetelahdiskon]))</f>
        <v/>
      </c>
      <c r="AE234" s="283"/>
      <c r="AF234" s="283" t="str">
        <f>Table1[[#This Row],[Item Description]]&amp;Table1[[#This Row],[Unit]]&amp;Table1[[#This Row],[Unit Price]]</f>
        <v/>
      </c>
    </row>
    <row r="235" spans="1:32" x14ac:dyDescent="0.25">
      <c r="A235" s="287" t="str">
        <f ca="1">IF(Table1[[#This Row],[No. Invoice :]]="","",ROW())</f>
        <v/>
      </c>
      <c r="B235" s="287" t="str">
        <f ca="1">IF(Table1[h_Kode Sales :_1]="","",B$1+COUNT(INDIRECT("B$2:B"&amp;ROW()-1)))</f>
        <v/>
      </c>
      <c r="C235" s="281" t="str">
        <f>IF(Table1[[#This Row],[H_TGL]]="","",Table1[[#This Row],[H_TGL]]+C$1-1)</f>
        <v/>
      </c>
      <c r="H235" s="287" t="str">
        <f ca="1">IF(Table1[[#This Row],[h_No. Invoice :]]="","",CONCATENATE("AM"," ",Table1[[#This Row],[h_No. Invoice :]]))</f>
        <v/>
      </c>
      <c r="I235" s="288" t="str">
        <f>CONCATENATE(UPPER(Table1[[#This Row],[h_Kode Sales :_1]])," ",Table1[[#This Row],[h_Kode Sales :_2]])</f>
        <v xml:space="preserve"> </v>
      </c>
      <c r="J235" s="287" t="str">
        <f>IF(Table1[[#This Row],[h_toko]]="","",INDEX(Table2[e],IF(Table1[[#This Row],[h_toko]]="","",MATCH(Table1[[#This Row],[h_toko]],Table2[a],0)),))</f>
        <v/>
      </c>
      <c r="O235" s="287" t="str">
        <f>IF(Table1[[#This Row],[h_Item Description]]="","",INDEX([1]!db[NB PAJAK],MATCH(Table1[[#This Row],[h_Item Description]],[1]!db[kode],0)))</f>
        <v/>
      </c>
      <c r="Q235" s="283"/>
      <c r="R235" s="284"/>
      <c r="T235" s="283" t="str">
        <f>Table1[[#This Row],[h_hargasetelahdiskon]]</f>
        <v/>
      </c>
      <c r="W235" s="287" t="str">
        <f ca="1">IF(Table1[[#This Row],[Item Description]]="","",IF(Table1[[#This Row],[//]]="",INDIRECT(ADDRESS(ROW()-1,COLUMN())),Table1[[#This Row],[//]]))</f>
        <v/>
      </c>
      <c r="X235" s="287" t="str">
        <f ca="1">IF(Table1[[#This Row],[h_id]]="","",COUNTIF(Table1[h_id],Table1[[#This Row],[h_id]]))</f>
        <v/>
      </c>
      <c r="Y235" s="283" t="str">
        <f>IF(Table1[Item Description]="","",Table1[[#This Row],[Qty]]*Table1[[#This Row],[Unit Price]])</f>
        <v/>
      </c>
      <c r="Z235" s="283" t="str">
        <f>IF(Table1[[#This Row],[h_hargasebelumdiskon]]="","",IF(Table1[[#This Row],[Disc 1]]="",0,Table1[[#This Row],[h_hargasebelumdiskon]]*Table1[[#This Row],[Disc 1]]))</f>
        <v/>
      </c>
      <c r="AA235" s="283" t="str">
        <f>IF(Table1[[#This Row],[h_hargasebelumdiskon]]="","",IF(Table1[[#This Row],[Disc 2]]="",0,(Table1[[#This Row],[h_hargasebelumdiskon]]-Table1[[#This Row],[h_disc 1]])*Table1[[#This Row],[Disc 2]]))</f>
        <v/>
      </c>
      <c r="AB235" s="283" t="str">
        <f>IF(Table1[Item Description]="","",Table1[[#This Row],[h_disc 1]]+Table1[[#This Row],[h_disc 2]])</f>
        <v/>
      </c>
      <c r="AC235" s="283" t="str">
        <f>IF(Table1[Item Description]="","",Table1[[#This Row],[h_hargasebelumdiskon]]-Table1[[#This Row],[h_diskon]])</f>
        <v/>
      </c>
      <c r="AD235" s="283" t="str">
        <f ca="1">IF(Table1[//]="","",SUMIF(Table1[h_id],Table1[h_id],Table1[h_hargasetelahdiskon]))</f>
        <v/>
      </c>
      <c r="AE235" s="283"/>
      <c r="AF235" s="283" t="str">
        <f>Table1[[#This Row],[Item Description]]&amp;Table1[[#This Row],[Unit]]&amp;Table1[[#This Row],[Unit Price]]</f>
        <v/>
      </c>
    </row>
    <row r="236" spans="1:32" x14ac:dyDescent="0.25">
      <c r="A236" s="287" t="str">
        <f ca="1">IF(Table1[[#This Row],[No. Invoice :]]="","",ROW())</f>
        <v/>
      </c>
      <c r="B236" s="287" t="str">
        <f ca="1">IF(Table1[h_Kode Sales :_1]="","",B$1+COUNT(INDIRECT("B$2:B"&amp;ROW()-1)))</f>
        <v/>
      </c>
      <c r="C236" s="281" t="str">
        <f>IF(Table1[[#This Row],[H_TGL]]="","",Table1[[#This Row],[H_TGL]]+C$1-1)</f>
        <v/>
      </c>
      <c r="H236" s="287" t="str">
        <f ca="1">IF(Table1[[#This Row],[h_No. Invoice :]]="","",CONCATENATE("AM"," ",Table1[[#This Row],[h_No. Invoice :]]))</f>
        <v/>
      </c>
      <c r="I236" s="288" t="str">
        <f>CONCATENATE(UPPER(Table1[[#This Row],[h_Kode Sales :_1]])," ",Table1[[#This Row],[h_Kode Sales :_2]])</f>
        <v xml:space="preserve"> </v>
      </c>
      <c r="J236" s="287" t="str">
        <f>IF(Table1[[#This Row],[h_toko]]="","",INDEX(Table2[e],IF(Table1[[#This Row],[h_toko]]="","",MATCH(Table1[[#This Row],[h_toko]],Table2[a],0)),))</f>
        <v/>
      </c>
      <c r="O236" s="287" t="str">
        <f>IF(Table1[[#This Row],[h_Item Description]]="","",INDEX([1]!db[NB PAJAK],MATCH(Table1[[#This Row],[h_Item Description]],[1]!db[kode],0)))</f>
        <v/>
      </c>
      <c r="Q236" s="283"/>
      <c r="R236" s="284"/>
      <c r="T236" s="283" t="str">
        <f>Table1[[#This Row],[h_hargasetelahdiskon]]</f>
        <v/>
      </c>
      <c r="W236" s="287" t="str">
        <f ca="1">IF(Table1[[#This Row],[Item Description]]="","",IF(Table1[[#This Row],[//]]="",INDIRECT(ADDRESS(ROW()-1,COLUMN())),Table1[[#This Row],[//]]))</f>
        <v/>
      </c>
      <c r="X236" s="287" t="str">
        <f ca="1">IF(Table1[[#This Row],[h_id]]="","",COUNTIF(Table1[h_id],Table1[[#This Row],[h_id]]))</f>
        <v/>
      </c>
      <c r="Y236" s="283" t="str">
        <f>IF(Table1[Item Description]="","",Table1[[#This Row],[Qty]]*Table1[[#This Row],[Unit Price]])</f>
        <v/>
      </c>
      <c r="Z236" s="283" t="str">
        <f>IF(Table1[[#This Row],[h_hargasebelumdiskon]]="","",IF(Table1[[#This Row],[Disc 1]]="",0,Table1[[#This Row],[h_hargasebelumdiskon]]*Table1[[#This Row],[Disc 1]]))</f>
        <v/>
      </c>
      <c r="AA236" s="283" t="str">
        <f>IF(Table1[[#This Row],[h_hargasebelumdiskon]]="","",IF(Table1[[#This Row],[Disc 2]]="",0,(Table1[[#This Row],[h_hargasebelumdiskon]]-Table1[[#This Row],[h_disc 1]])*Table1[[#This Row],[Disc 2]]))</f>
        <v/>
      </c>
      <c r="AB236" s="283" t="str">
        <f>IF(Table1[Item Description]="","",Table1[[#This Row],[h_disc 1]]+Table1[[#This Row],[h_disc 2]])</f>
        <v/>
      </c>
      <c r="AC236" s="283" t="str">
        <f>IF(Table1[Item Description]="","",Table1[[#This Row],[h_hargasebelumdiskon]]-Table1[[#This Row],[h_diskon]])</f>
        <v/>
      </c>
      <c r="AD236" s="283" t="str">
        <f ca="1">IF(Table1[//]="","",SUMIF(Table1[h_id],Table1[h_id],Table1[h_hargasetelahdiskon]))</f>
        <v/>
      </c>
      <c r="AE236" s="283"/>
      <c r="AF236" s="283" t="str">
        <f>Table1[[#This Row],[Item Description]]&amp;Table1[[#This Row],[Unit]]&amp;Table1[[#This Row],[Unit Price]]</f>
        <v/>
      </c>
    </row>
    <row r="237" spans="1:32" x14ac:dyDescent="0.25">
      <c r="A237" s="287" t="str">
        <f ca="1">IF(Table1[[#This Row],[No. Invoice :]]="","",ROW())</f>
        <v/>
      </c>
      <c r="B237" s="287" t="str">
        <f ca="1">IF(Table1[h_Kode Sales :_1]="","",B$1+COUNT(INDIRECT("B$2:B"&amp;ROW()-1)))</f>
        <v/>
      </c>
      <c r="C237" s="281" t="str">
        <f>IF(Table1[[#This Row],[H_TGL]]="","",Table1[[#This Row],[H_TGL]]+C$1-1)</f>
        <v/>
      </c>
      <c r="H237" s="287" t="str">
        <f ca="1">IF(Table1[[#This Row],[h_No. Invoice :]]="","",CONCATENATE("AM"," ",Table1[[#This Row],[h_No. Invoice :]]))</f>
        <v/>
      </c>
      <c r="I237" s="288" t="str">
        <f>CONCATENATE(UPPER(Table1[[#This Row],[h_Kode Sales :_1]])," ",Table1[[#This Row],[h_Kode Sales :_2]])</f>
        <v xml:space="preserve"> </v>
      </c>
      <c r="J237" s="287" t="str">
        <f>IF(Table1[[#This Row],[h_toko]]="","",INDEX(Table2[e],IF(Table1[[#This Row],[h_toko]]="","",MATCH(Table1[[#This Row],[h_toko]],Table2[a],0)),))</f>
        <v/>
      </c>
      <c r="O237" s="287" t="str">
        <f>IF(Table1[[#This Row],[h_Item Description]]="","",INDEX([1]!db[NB PAJAK],MATCH(Table1[[#This Row],[h_Item Description]],[1]!db[kode],0)))</f>
        <v/>
      </c>
      <c r="Q237" s="283"/>
      <c r="R237" s="284"/>
      <c r="T237" s="283" t="str">
        <f>Table1[[#This Row],[h_hargasetelahdiskon]]</f>
        <v/>
      </c>
      <c r="W237" s="287" t="str">
        <f ca="1">IF(Table1[[#This Row],[Item Description]]="","",IF(Table1[[#This Row],[//]]="",INDIRECT(ADDRESS(ROW()-1,COLUMN())),Table1[[#This Row],[//]]))</f>
        <v/>
      </c>
      <c r="X237" s="287" t="str">
        <f ca="1">IF(Table1[[#This Row],[h_id]]="","",COUNTIF(Table1[h_id],Table1[[#This Row],[h_id]]))</f>
        <v/>
      </c>
      <c r="Y237" s="283" t="str">
        <f>IF(Table1[Item Description]="","",Table1[[#This Row],[Qty]]*Table1[[#This Row],[Unit Price]])</f>
        <v/>
      </c>
      <c r="Z237" s="283" t="str">
        <f>IF(Table1[[#This Row],[h_hargasebelumdiskon]]="","",IF(Table1[[#This Row],[Disc 1]]="",0,Table1[[#This Row],[h_hargasebelumdiskon]]*Table1[[#This Row],[Disc 1]]))</f>
        <v/>
      </c>
      <c r="AA237" s="283" t="str">
        <f>IF(Table1[[#This Row],[h_hargasebelumdiskon]]="","",IF(Table1[[#This Row],[Disc 2]]="",0,(Table1[[#This Row],[h_hargasebelumdiskon]]-Table1[[#This Row],[h_disc 1]])*Table1[[#This Row],[Disc 2]]))</f>
        <v/>
      </c>
      <c r="AB237" s="283" t="str">
        <f>IF(Table1[Item Description]="","",Table1[[#This Row],[h_disc 1]]+Table1[[#This Row],[h_disc 2]])</f>
        <v/>
      </c>
      <c r="AC237" s="283" t="str">
        <f>IF(Table1[Item Description]="","",Table1[[#This Row],[h_hargasebelumdiskon]]-Table1[[#This Row],[h_diskon]])</f>
        <v/>
      </c>
      <c r="AD237" s="283" t="str">
        <f ca="1">IF(Table1[//]="","",SUMIF(Table1[h_id],Table1[h_id],Table1[h_hargasetelahdiskon]))</f>
        <v/>
      </c>
      <c r="AE237" s="283"/>
      <c r="AF237" s="283" t="str">
        <f>Table1[[#This Row],[Item Description]]&amp;Table1[[#This Row],[Unit]]&amp;Table1[[#This Row],[Unit Price]]</f>
        <v/>
      </c>
    </row>
    <row r="238" spans="1:32" x14ac:dyDescent="0.25">
      <c r="A238" s="287" t="str">
        <f ca="1">IF(Table1[[#This Row],[No. Invoice :]]="","",ROW())</f>
        <v/>
      </c>
      <c r="B238" s="287" t="str">
        <f ca="1">IF(Table1[h_Kode Sales :_1]="","",B$1+COUNT(INDIRECT("B$2:B"&amp;ROW()-1)))</f>
        <v/>
      </c>
      <c r="C238" s="281" t="str">
        <f>IF(Table1[[#This Row],[H_TGL]]="","",Table1[[#This Row],[H_TGL]]+C$1-1)</f>
        <v/>
      </c>
      <c r="H238" s="287" t="str">
        <f ca="1">IF(Table1[[#This Row],[h_No. Invoice :]]="","",CONCATENATE("AM"," ",Table1[[#This Row],[h_No. Invoice :]]))</f>
        <v/>
      </c>
      <c r="I238" s="288" t="str">
        <f>CONCATENATE(UPPER(Table1[[#This Row],[h_Kode Sales :_1]])," ",Table1[[#This Row],[h_Kode Sales :_2]])</f>
        <v xml:space="preserve"> </v>
      </c>
      <c r="J238" s="287" t="str">
        <f>IF(Table1[[#This Row],[h_toko]]="","",INDEX(Table2[e],IF(Table1[[#This Row],[h_toko]]="","",MATCH(Table1[[#This Row],[h_toko]],Table2[a],0)),))</f>
        <v/>
      </c>
      <c r="O238" s="287" t="str">
        <f>IF(Table1[[#This Row],[h_Item Description]]="","",INDEX([1]!db[NB PAJAK],MATCH(Table1[[#This Row],[h_Item Description]],[1]!db[kode],0)))</f>
        <v/>
      </c>
      <c r="Q238" s="283"/>
      <c r="R238" s="284"/>
      <c r="T238" s="283" t="str">
        <f>Table1[[#This Row],[h_hargasetelahdiskon]]</f>
        <v/>
      </c>
      <c r="W238" s="287" t="str">
        <f ca="1">IF(Table1[[#This Row],[Item Description]]="","",IF(Table1[[#This Row],[//]]="",INDIRECT(ADDRESS(ROW()-1,COLUMN())),Table1[[#This Row],[//]]))</f>
        <v/>
      </c>
      <c r="X238" s="287" t="str">
        <f ca="1">IF(Table1[[#This Row],[h_id]]="","",COUNTIF(Table1[h_id],Table1[[#This Row],[h_id]]))</f>
        <v/>
      </c>
      <c r="Y238" s="283" t="str">
        <f>IF(Table1[Item Description]="","",Table1[[#This Row],[Qty]]*Table1[[#This Row],[Unit Price]])</f>
        <v/>
      </c>
      <c r="Z238" s="283" t="str">
        <f>IF(Table1[[#This Row],[h_hargasebelumdiskon]]="","",IF(Table1[[#This Row],[Disc 1]]="",0,Table1[[#This Row],[h_hargasebelumdiskon]]*Table1[[#This Row],[Disc 1]]))</f>
        <v/>
      </c>
      <c r="AA238" s="283" t="str">
        <f>IF(Table1[[#This Row],[h_hargasebelumdiskon]]="","",IF(Table1[[#This Row],[Disc 2]]="",0,(Table1[[#This Row],[h_hargasebelumdiskon]]-Table1[[#This Row],[h_disc 1]])*Table1[[#This Row],[Disc 2]]))</f>
        <v/>
      </c>
      <c r="AB238" s="283" t="str">
        <f>IF(Table1[Item Description]="","",Table1[[#This Row],[h_disc 1]]+Table1[[#This Row],[h_disc 2]])</f>
        <v/>
      </c>
      <c r="AC238" s="283" t="str">
        <f>IF(Table1[Item Description]="","",Table1[[#This Row],[h_hargasebelumdiskon]]-Table1[[#This Row],[h_diskon]])</f>
        <v/>
      </c>
      <c r="AD238" s="283" t="str">
        <f ca="1">IF(Table1[//]="","",SUMIF(Table1[h_id],Table1[h_id],Table1[h_hargasetelahdiskon]))</f>
        <v/>
      </c>
      <c r="AE238" s="283"/>
      <c r="AF238" s="283" t="str">
        <f>Table1[[#This Row],[Item Description]]&amp;Table1[[#This Row],[Unit]]&amp;Table1[[#This Row],[Unit Price]]</f>
        <v/>
      </c>
    </row>
    <row r="239" spans="1:32" x14ac:dyDescent="0.25">
      <c r="A239" s="287" t="str">
        <f ca="1">IF(Table1[[#This Row],[No. Invoice :]]="","",ROW())</f>
        <v/>
      </c>
      <c r="B239" s="287" t="str">
        <f ca="1">IF(Table1[h_Kode Sales :_1]="","",B$1+COUNT(INDIRECT("B$2:B"&amp;ROW()-1)))</f>
        <v/>
      </c>
      <c r="C239" s="281" t="str">
        <f>IF(Table1[[#This Row],[H_TGL]]="","",Table1[[#This Row],[H_TGL]]+C$1-1)</f>
        <v/>
      </c>
      <c r="H239" s="287" t="str">
        <f ca="1">IF(Table1[[#This Row],[h_No. Invoice :]]="","",CONCATENATE("AM"," ",Table1[[#This Row],[h_No. Invoice :]]))</f>
        <v/>
      </c>
      <c r="I239" s="288" t="str">
        <f>CONCATENATE(UPPER(Table1[[#This Row],[h_Kode Sales :_1]])," ",Table1[[#This Row],[h_Kode Sales :_2]])</f>
        <v xml:space="preserve"> </v>
      </c>
      <c r="J239" s="287" t="str">
        <f>IF(Table1[[#This Row],[h_toko]]="","",INDEX(Table2[e],IF(Table1[[#This Row],[h_toko]]="","",MATCH(Table1[[#This Row],[h_toko]],Table2[a],0)),))</f>
        <v/>
      </c>
      <c r="O239" s="287" t="str">
        <f>IF(Table1[[#This Row],[h_Item Description]]="","",INDEX([1]!db[NB PAJAK],MATCH(Table1[[#This Row],[h_Item Description]],[1]!db[kode],0)))</f>
        <v/>
      </c>
      <c r="Q239" s="283"/>
      <c r="R239" s="284"/>
      <c r="T239" s="283" t="str">
        <f>Table1[[#This Row],[h_hargasetelahdiskon]]</f>
        <v/>
      </c>
      <c r="W239" s="287" t="str">
        <f ca="1">IF(Table1[[#This Row],[Item Description]]="","",IF(Table1[[#This Row],[//]]="",INDIRECT(ADDRESS(ROW()-1,COLUMN())),Table1[[#This Row],[//]]))</f>
        <v/>
      </c>
      <c r="X239" s="287" t="str">
        <f ca="1">IF(Table1[[#This Row],[h_id]]="","",COUNTIF(Table1[h_id],Table1[[#This Row],[h_id]]))</f>
        <v/>
      </c>
      <c r="Y239" s="283" t="str">
        <f>IF(Table1[Item Description]="","",Table1[[#This Row],[Qty]]*Table1[[#This Row],[Unit Price]])</f>
        <v/>
      </c>
      <c r="Z239" s="283" t="str">
        <f>IF(Table1[[#This Row],[h_hargasebelumdiskon]]="","",IF(Table1[[#This Row],[Disc 1]]="",0,Table1[[#This Row],[h_hargasebelumdiskon]]*Table1[[#This Row],[Disc 1]]))</f>
        <v/>
      </c>
      <c r="AA239" s="283" t="str">
        <f>IF(Table1[[#This Row],[h_hargasebelumdiskon]]="","",IF(Table1[[#This Row],[Disc 2]]="",0,(Table1[[#This Row],[h_hargasebelumdiskon]]-Table1[[#This Row],[h_disc 1]])*Table1[[#This Row],[Disc 2]]))</f>
        <v/>
      </c>
      <c r="AB239" s="283" t="str">
        <f>IF(Table1[Item Description]="","",Table1[[#This Row],[h_disc 1]]+Table1[[#This Row],[h_disc 2]])</f>
        <v/>
      </c>
      <c r="AC239" s="283" t="str">
        <f>IF(Table1[Item Description]="","",Table1[[#This Row],[h_hargasebelumdiskon]]-Table1[[#This Row],[h_diskon]])</f>
        <v/>
      </c>
      <c r="AD239" s="283" t="str">
        <f ca="1">IF(Table1[//]="","",SUMIF(Table1[h_id],Table1[h_id],Table1[h_hargasetelahdiskon]))</f>
        <v/>
      </c>
      <c r="AE239" s="283"/>
      <c r="AF239" s="283" t="str">
        <f>Table1[[#This Row],[Item Description]]&amp;Table1[[#This Row],[Unit]]&amp;Table1[[#This Row],[Unit Price]]</f>
        <v/>
      </c>
    </row>
    <row r="240" spans="1:32" x14ac:dyDescent="0.25">
      <c r="A240" s="287" t="str">
        <f ca="1">IF(Table1[[#This Row],[No. Invoice :]]="","",ROW())</f>
        <v/>
      </c>
      <c r="B240" s="287" t="str">
        <f ca="1">IF(Table1[h_Kode Sales :_1]="","",B$1+COUNT(INDIRECT("B$2:B"&amp;ROW()-1)))</f>
        <v/>
      </c>
      <c r="C240" s="281" t="str">
        <f>IF(Table1[[#This Row],[H_TGL]]="","",Table1[[#This Row],[H_TGL]]+C$1-1)</f>
        <v/>
      </c>
      <c r="H240" s="287" t="str">
        <f ca="1">IF(Table1[[#This Row],[h_No. Invoice :]]="","",CONCATENATE("AM"," ",Table1[[#This Row],[h_No. Invoice :]]))</f>
        <v/>
      </c>
      <c r="I240" s="288" t="str">
        <f>CONCATENATE(UPPER(Table1[[#This Row],[h_Kode Sales :_1]])," ",Table1[[#This Row],[h_Kode Sales :_2]])</f>
        <v xml:space="preserve"> </v>
      </c>
      <c r="J240" s="287" t="str">
        <f>IF(Table1[[#This Row],[h_toko]]="","",INDEX(Table2[e],IF(Table1[[#This Row],[h_toko]]="","",MATCH(Table1[[#This Row],[h_toko]],Table2[a],0)),))</f>
        <v/>
      </c>
      <c r="O240" s="287" t="str">
        <f>IF(Table1[[#This Row],[h_Item Description]]="","",INDEX([1]!db[NB PAJAK],MATCH(Table1[[#This Row],[h_Item Description]],[1]!db[kode],0)))</f>
        <v/>
      </c>
      <c r="Q240" s="283"/>
      <c r="R240" s="284"/>
      <c r="T240" s="283" t="str">
        <f>Table1[[#This Row],[h_hargasetelahdiskon]]</f>
        <v/>
      </c>
      <c r="W240" s="287" t="str">
        <f ca="1">IF(Table1[[#This Row],[Item Description]]="","",IF(Table1[[#This Row],[//]]="",INDIRECT(ADDRESS(ROW()-1,COLUMN())),Table1[[#This Row],[//]]))</f>
        <v/>
      </c>
      <c r="X240" s="287" t="str">
        <f ca="1">IF(Table1[[#This Row],[h_id]]="","",COUNTIF(Table1[h_id],Table1[[#This Row],[h_id]]))</f>
        <v/>
      </c>
      <c r="Y240" s="283" t="str">
        <f>IF(Table1[Item Description]="","",Table1[[#This Row],[Qty]]*Table1[[#This Row],[Unit Price]])</f>
        <v/>
      </c>
      <c r="Z240" s="283" t="str">
        <f>IF(Table1[[#This Row],[h_hargasebelumdiskon]]="","",IF(Table1[[#This Row],[Disc 1]]="",0,Table1[[#This Row],[h_hargasebelumdiskon]]*Table1[[#This Row],[Disc 1]]))</f>
        <v/>
      </c>
      <c r="AA240" s="283" t="str">
        <f>IF(Table1[[#This Row],[h_hargasebelumdiskon]]="","",IF(Table1[[#This Row],[Disc 2]]="",0,(Table1[[#This Row],[h_hargasebelumdiskon]]-Table1[[#This Row],[h_disc 1]])*Table1[[#This Row],[Disc 2]]))</f>
        <v/>
      </c>
      <c r="AB240" s="283" t="str">
        <f>IF(Table1[Item Description]="","",Table1[[#This Row],[h_disc 1]]+Table1[[#This Row],[h_disc 2]])</f>
        <v/>
      </c>
      <c r="AC240" s="283" t="str">
        <f>IF(Table1[Item Description]="","",Table1[[#This Row],[h_hargasebelumdiskon]]-Table1[[#This Row],[h_diskon]])</f>
        <v/>
      </c>
      <c r="AD240" s="283" t="str">
        <f ca="1">IF(Table1[//]="","",SUMIF(Table1[h_id],Table1[h_id],Table1[h_hargasetelahdiskon]))</f>
        <v/>
      </c>
      <c r="AE240" s="283"/>
      <c r="AF240" s="283" t="str">
        <f>Table1[[#This Row],[Item Description]]&amp;Table1[[#This Row],[Unit]]&amp;Table1[[#This Row],[Unit Price]]</f>
        <v/>
      </c>
    </row>
    <row r="241" spans="1:32" x14ac:dyDescent="0.25">
      <c r="A241" s="287" t="str">
        <f ca="1">IF(Table1[[#This Row],[No. Invoice :]]="","",ROW())</f>
        <v/>
      </c>
      <c r="B241" s="287" t="str">
        <f ca="1">IF(Table1[h_Kode Sales :_1]="","",B$1+COUNT(INDIRECT("B$2:B"&amp;ROW()-1)))</f>
        <v/>
      </c>
      <c r="C241" s="281" t="str">
        <f>IF(Table1[[#This Row],[H_TGL]]="","",Table1[[#This Row],[H_TGL]]+C$1-1)</f>
        <v/>
      </c>
      <c r="H241" s="287" t="str">
        <f ca="1">IF(Table1[[#This Row],[h_No. Invoice :]]="","",CONCATENATE("AM"," ",Table1[[#This Row],[h_No. Invoice :]]))</f>
        <v/>
      </c>
      <c r="I241" s="288" t="str">
        <f>CONCATENATE(UPPER(Table1[[#This Row],[h_Kode Sales :_1]])," ",Table1[[#This Row],[h_Kode Sales :_2]])</f>
        <v xml:space="preserve"> </v>
      </c>
      <c r="J241" s="287" t="str">
        <f>IF(Table1[[#This Row],[h_toko]]="","",INDEX(Table2[e],IF(Table1[[#This Row],[h_toko]]="","",MATCH(Table1[[#This Row],[h_toko]],Table2[a],0)),))</f>
        <v/>
      </c>
      <c r="O241" s="287" t="str">
        <f>IF(Table1[[#This Row],[h_Item Description]]="","",INDEX([1]!db[NB PAJAK],MATCH(Table1[[#This Row],[h_Item Description]],[1]!db[kode],0)))</f>
        <v/>
      </c>
      <c r="Q241" s="283"/>
      <c r="R241" s="284"/>
      <c r="T241" s="283" t="str">
        <f>Table1[[#This Row],[h_hargasetelahdiskon]]</f>
        <v/>
      </c>
      <c r="W241" s="287" t="str">
        <f ca="1">IF(Table1[[#This Row],[Item Description]]="","",IF(Table1[[#This Row],[//]]="",INDIRECT(ADDRESS(ROW()-1,COLUMN())),Table1[[#This Row],[//]]))</f>
        <v/>
      </c>
      <c r="X241" s="287" t="str">
        <f ca="1">IF(Table1[[#This Row],[h_id]]="","",COUNTIF(Table1[h_id],Table1[[#This Row],[h_id]]))</f>
        <v/>
      </c>
      <c r="Y241" s="283" t="str">
        <f>IF(Table1[Item Description]="","",Table1[[#This Row],[Qty]]*Table1[[#This Row],[Unit Price]])</f>
        <v/>
      </c>
      <c r="Z241" s="283" t="str">
        <f>IF(Table1[[#This Row],[h_hargasebelumdiskon]]="","",IF(Table1[[#This Row],[Disc 1]]="",0,Table1[[#This Row],[h_hargasebelumdiskon]]*Table1[[#This Row],[Disc 1]]))</f>
        <v/>
      </c>
      <c r="AA241" s="283" t="str">
        <f>IF(Table1[[#This Row],[h_hargasebelumdiskon]]="","",IF(Table1[[#This Row],[Disc 2]]="",0,(Table1[[#This Row],[h_hargasebelumdiskon]]-Table1[[#This Row],[h_disc 1]])*Table1[[#This Row],[Disc 2]]))</f>
        <v/>
      </c>
      <c r="AB241" s="283" t="str">
        <f>IF(Table1[Item Description]="","",Table1[[#This Row],[h_disc 1]]+Table1[[#This Row],[h_disc 2]])</f>
        <v/>
      </c>
      <c r="AC241" s="283" t="str">
        <f>IF(Table1[Item Description]="","",Table1[[#This Row],[h_hargasebelumdiskon]]-Table1[[#This Row],[h_diskon]])</f>
        <v/>
      </c>
      <c r="AD241" s="283" t="str">
        <f ca="1">IF(Table1[//]="","",SUMIF(Table1[h_id],Table1[h_id],Table1[h_hargasetelahdiskon]))</f>
        <v/>
      </c>
      <c r="AE241" s="283"/>
      <c r="AF241" s="283" t="str">
        <f>Table1[[#This Row],[Item Description]]&amp;Table1[[#This Row],[Unit]]&amp;Table1[[#This Row],[Unit Price]]</f>
        <v/>
      </c>
    </row>
    <row r="242" spans="1:32" x14ac:dyDescent="0.25">
      <c r="A242" s="287" t="str">
        <f ca="1">IF(Table1[[#This Row],[No. Invoice :]]="","",ROW())</f>
        <v/>
      </c>
      <c r="B242" s="287" t="str">
        <f ca="1">IF(Table1[h_Kode Sales :_1]="","",B$1+COUNT(INDIRECT("B$2:B"&amp;ROW()-1)))</f>
        <v/>
      </c>
      <c r="C242" s="281" t="str">
        <f>IF(Table1[[#This Row],[H_TGL]]="","",Table1[[#This Row],[H_TGL]]+C$1-1)</f>
        <v/>
      </c>
      <c r="H242" s="287" t="str">
        <f ca="1">IF(Table1[[#This Row],[h_No. Invoice :]]="","",CONCATENATE("AM"," ",Table1[[#This Row],[h_No. Invoice :]]))</f>
        <v/>
      </c>
      <c r="I242" s="288" t="str">
        <f>CONCATENATE(UPPER(Table1[[#This Row],[h_Kode Sales :_1]])," ",Table1[[#This Row],[h_Kode Sales :_2]])</f>
        <v xml:space="preserve"> </v>
      </c>
      <c r="J242" s="287" t="str">
        <f>IF(Table1[[#This Row],[h_toko]]="","",INDEX(Table2[e],IF(Table1[[#This Row],[h_toko]]="","",MATCH(Table1[[#This Row],[h_toko]],Table2[a],0)),))</f>
        <v/>
      </c>
      <c r="O242" s="287" t="str">
        <f>IF(Table1[[#This Row],[h_Item Description]]="","",INDEX([1]!db[NB PAJAK],MATCH(Table1[[#This Row],[h_Item Description]],[1]!db[kode],0)))</f>
        <v/>
      </c>
      <c r="P242" s="287"/>
      <c r="Q242" s="283"/>
      <c r="R242" s="284"/>
      <c r="T242" s="283" t="str">
        <f>Table1[[#This Row],[h_hargasetelahdiskon]]</f>
        <v/>
      </c>
      <c r="W242" s="287" t="str">
        <f ca="1">IF(Table1[[#This Row],[Item Description]]="","",IF(Table1[[#This Row],[//]]="",INDIRECT(ADDRESS(ROW()-1,COLUMN())),Table1[[#This Row],[//]]))</f>
        <v/>
      </c>
      <c r="X242" s="287" t="str">
        <f ca="1">IF(Table1[[#This Row],[h_id]]="","",COUNTIF(Table1[h_id],Table1[[#This Row],[h_id]]))</f>
        <v/>
      </c>
      <c r="Y242" s="283" t="str">
        <f>IF(Table1[Item Description]="","",Table1[[#This Row],[Qty]]*Table1[[#This Row],[Unit Price]])</f>
        <v/>
      </c>
      <c r="Z242" s="283" t="str">
        <f>IF(Table1[[#This Row],[h_hargasebelumdiskon]]="","",IF(Table1[[#This Row],[Disc 1]]="",0,Table1[[#This Row],[h_hargasebelumdiskon]]*Table1[[#This Row],[Disc 1]]))</f>
        <v/>
      </c>
      <c r="AA242" s="283" t="str">
        <f>IF(Table1[[#This Row],[h_hargasebelumdiskon]]="","",IF(Table1[[#This Row],[Disc 2]]="",0,(Table1[[#This Row],[h_hargasebelumdiskon]]-Table1[[#This Row],[h_disc 1]])*Table1[[#This Row],[Disc 2]]))</f>
        <v/>
      </c>
      <c r="AB242" s="283" t="str">
        <f>IF(Table1[Item Description]="","",Table1[[#This Row],[h_disc 1]]+Table1[[#This Row],[h_disc 2]])</f>
        <v/>
      </c>
      <c r="AC242" s="283" t="str">
        <f>IF(Table1[Item Description]="","",Table1[[#This Row],[h_hargasebelumdiskon]]-Table1[[#This Row],[h_diskon]])</f>
        <v/>
      </c>
      <c r="AD242" s="283" t="str">
        <f ca="1">IF(Table1[//]="","",SUMIF(Table1[h_id],Table1[h_id],Table1[h_hargasetelahdiskon]))</f>
        <v/>
      </c>
      <c r="AE242" s="283"/>
      <c r="AF242" s="283" t="str">
        <f>Table1[[#This Row],[Item Description]]&amp;Table1[[#This Row],[Unit]]&amp;Table1[[#This Row],[Unit Price]]</f>
        <v/>
      </c>
    </row>
    <row r="243" spans="1:32" x14ac:dyDescent="0.25">
      <c r="A243" s="287" t="str">
        <f ca="1">IF(Table1[[#This Row],[No. Invoice :]]="","",ROW())</f>
        <v/>
      </c>
      <c r="B243" s="287" t="str">
        <f ca="1">IF(Table1[h_Kode Sales :_1]="","",B$1+COUNT(INDIRECT("B$2:B"&amp;ROW()-1)))</f>
        <v/>
      </c>
      <c r="C243" s="281" t="str">
        <f>IF(Table1[[#This Row],[H_TGL]]="","",Table1[[#This Row],[H_TGL]]+C$1-1)</f>
        <v/>
      </c>
      <c r="H243" s="287" t="str">
        <f ca="1">IF(Table1[[#This Row],[h_No. Invoice :]]="","",CONCATENATE("AM"," ",Table1[[#This Row],[h_No. Invoice :]]))</f>
        <v/>
      </c>
      <c r="I243" s="288" t="str">
        <f>CONCATENATE(UPPER(Table1[[#This Row],[h_Kode Sales :_1]])," ",Table1[[#This Row],[h_Kode Sales :_2]])</f>
        <v xml:space="preserve"> </v>
      </c>
      <c r="J243" s="287" t="str">
        <f>IF(Table1[[#This Row],[h_toko]]="","",INDEX(Table2[e],IF(Table1[[#This Row],[h_toko]]="","",MATCH(Table1[[#This Row],[h_toko]],Table2[a],0)),))</f>
        <v/>
      </c>
      <c r="O243" s="287" t="str">
        <f>IF(Table1[[#This Row],[h_Item Description]]="","",INDEX([1]!db[NB PAJAK],MATCH(Table1[[#This Row],[h_Item Description]],[1]!db[kode],0)))</f>
        <v/>
      </c>
      <c r="Q243" s="283"/>
      <c r="R243" s="284"/>
      <c r="T243" s="283" t="str">
        <f>Table1[[#This Row],[h_hargasetelahdiskon]]</f>
        <v/>
      </c>
      <c r="W243" s="287" t="str">
        <f ca="1">IF(Table1[[#This Row],[Item Description]]="","",IF(Table1[[#This Row],[//]]="",INDIRECT(ADDRESS(ROW()-1,COLUMN())),Table1[[#This Row],[//]]))</f>
        <v/>
      </c>
      <c r="X243" s="287" t="str">
        <f ca="1">IF(Table1[[#This Row],[h_id]]="","",COUNTIF(Table1[h_id],Table1[[#This Row],[h_id]]))</f>
        <v/>
      </c>
      <c r="Y243" s="283" t="str">
        <f>IF(Table1[Item Description]="","",Table1[[#This Row],[Qty]]*Table1[[#This Row],[Unit Price]])</f>
        <v/>
      </c>
      <c r="Z243" s="283" t="str">
        <f>IF(Table1[[#This Row],[h_hargasebelumdiskon]]="","",IF(Table1[[#This Row],[Disc 1]]="",0,Table1[[#This Row],[h_hargasebelumdiskon]]*Table1[[#This Row],[Disc 1]]))</f>
        <v/>
      </c>
      <c r="AA243" s="283" t="str">
        <f>IF(Table1[[#This Row],[h_hargasebelumdiskon]]="","",IF(Table1[[#This Row],[Disc 2]]="",0,(Table1[[#This Row],[h_hargasebelumdiskon]]-Table1[[#This Row],[h_disc 1]])*Table1[[#This Row],[Disc 2]]))</f>
        <v/>
      </c>
      <c r="AB243" s="283" t="str">
        <f>IF(Table1[Item Description]="","",Table1[[#This Row],[h_disc 1]]+Table1[[#This Row],[h_disc 2]])</f>
        <v/>
      </c>
      <c r="AC243" s="283" t="str">
        <f>IF(Table1[Item Description]="","",Table1[[#This Row],[h_hargasebelumdiskon]]-Table1[[#This Row],[h_diskon]])</f>
        <v/>
      </c>
      <c r="AD243" s="283" t="str">
        <f ca="1">IF(Table1[//]="","",SUMIF(Table1[h_id],Table1[h_id],Table1[h_hargasetelahdiskon]))</f>
        <v/>
      </c>
      <c r="AE243" s="283"/>
      <c r="AF243" s="283" t="str">
        <f>Table1[[#This Row],[Item Description]]&amp;Table1[[#This Row],[Unit]]&amp;Table1[[#This Row],[Unit Price]]</f>
        <v/>
      </c>
    </row>
    <row r="244" spans="1:32" x14ac:dyDescent="0.25">
      <c r="A244" s="287" t="str">
        <f ca="1">IF(Table1[[#This Row],[No. Invoice :]]="","",ROW())</f>
        <v/>
      </c>
      <c r="B244" s="287" t="str">
        <f ca="1">IF(Table1[h_Kode Sales :_1]="","",B$1+COUNT(INDIRECT("B$2:B"&amp;ROW()-1)))</f>
        <v/>
      </c>
      <c r="C244" s="281" t="str">
        <f>IF(Table1[[#This Row],[H_TGL]]="","",Table1[[#This Row],[H_TGL]]+C$1-1)</f>
        <v/>
      </c>
      <c r="H244" s="287" t="str">
        <f ca="1">IF(Table1[[#This Row],[h_No. Invoice :]]="","",CONCATENATE("AM"," ",Table1[[#This Row],[h_No. Invoice :]]))</f>
        <v/>
      </c>
      <c r="I244" s="288" t="str">
        <f>CONCATENATE(UPPER(Table1[[#This Row],[h_Kode Sales :_1]])," ",Table1[[#This Row],[h_Kode Sales :_2]])</f>
        <v xml:space="preserve"> </v>
      </c>
      <c r="J244" s="287" t="str">
        <f>IF(Table1[[#This Row],[h_toko]]="","",INDEX(Table2[e],IF(Table1[[#This Row],[h_toko]]="","",MATCH(Table1[[#This Row],[h_toko]],Table2[a],0)),))</f>
        <v/>
      </c>
      <c r="O244" s="287" t="str">
        <f>IF(Table1[[#This Row],[h_Item Description]]="","",INDEX([1]!db[NB PAJAK],MATCH(Table1[[#This Row],[h_Item Description]],[1]!db[kode],0)))</f>
        <v/>
      </c>
      <c r="Q244" s="283"/>
      <c r="R244" s="284"/>
      <c r="T244" s="283" t="str">
        <f>Table1[[#This Row],[h_hargasetelahdiskon]]</f>
        <v/>
      </c>
      <c r="W244" s="287" t="str">
        <f ca="1">IF(Table1[[#This Row],[Item Description]]="","",IF(Table1[[#This Row],[//]]="",INDIRECT(ADDRESS(ROW()-1,COLUMN())),Table1[[#This Row],[//]]))</f>
        <v/>
      </c>
      <c r="X244" s="287" t="str">
        <f ca="1">IF(Table1[[#This Row],[h_id]]="","",COUNTIF(Table1[h_id],Table1[[#This Row],[h_id]]))</f>
        <v/>
      </c>
      <c r="Y244" s="283" t="str">
        <f>IF(Table1[Item Description]="","",Table1[[#This Row],[Qty]]*Table1[[#This Row],[Unit Price]])</f>
        <v/>
      </c>
      <c r="Z244" s="283" t="str">
        <f>IF(Table1[[#This Row],[h_hargasebelumdiskon]]="","",IF(Table1[[#This Row],[Disc 1]]="",0,Table1[[#This Row],[h_hargasebelumdiskon]]*Table1[[#This Row],[Disc 1]]))</f>
        <v/>
      </c>
      <c r="AA244" s="283" t="str">
        <f>IF(Table1[[#This Row],[h_hargasebelumdiskon]]="","",IF(Table1[[#This Row],[Disc 2]]="",0,(Table1[[#This Row],[h_hargasebelumdiskon]]-Table1[[#This Row],[h_disc 1]])*Table1[[#This Row],[Disc 2]]))</f>
        <v/>
      </c>
      <c r="AB244" s="283" t="str">
        <f>IF(Table1[Item Description]="","",Table1[[#This Row],[h_disc 1]]+Table1[[#This Row],[h_disc 2]])</f>
        <v/>
      </c>
      <c r="AC244" s="283" t="str">
        <f>IF(Table1[Item Description]="","",Table1[[#This Row],[h_hargasebelumdiskon]]-Table1[[#This Row],[h_diskon]])</f>
        <v/>
      </c>
      <c r="AD244" s="283" t="str">
        <f ca="1">IF(Table1[//]="","",SUMIF(Table1[h_id],Table1[h_id],Table1[h_hargasetelahdiskon]))</f>
        <v/>
      </c>
      <c r="AE244" s="283"/>
      <c r="AF244" s="283" t="str">
        <f>Table1[[#This Row],[Item Description]]&amp;Table1[[#This Row],[Unit]]&amp;Table1[[#This Row],[Unit Price]]</f>
        <v/>
      </c>
    </row>
    <row r="245" spans="1:32" x14ac:dyDescent="0.25">
      <c r="A245" s="287" t="str">
        <f ca="1">IF(Table1[[#This Row],[No. Invoice :]]="","",ROW())</f>
        <v/>
      </c>
      <c r="B245" s="287" t="str">
        <f ca="1">IF(Table1[h_Kode Sales :_1]="","",B$1+COUNT(INDIRECT("B$2:B"&amp;ROW()-1)))</f>
        <v/>
      </c>
      <c r="C245" s="281" t="str">
        <f>IF(Table1[[#This Row],[H_TGL]]="","",Table1[[#This Row],[H_TGL]]+C$1-1)</f>
        <v/>
      </c>
      <c r="H245" s="287" t="str">
        <f ca="1">IF(Table1[[#This Row],[h_No. Invoice :]]="","",CONCATENATE("AM"," ",Table1[[#This Row],[h_No. Invoice :]]))</f>
        <v/>
      </c>
      <c r="I245" s="288" t="str">
        <f>CONCATENATE(UPPER(Table1[[#This Row],[h_Kode Sales :_1]])," ",Table1[[#This Row],[h_Kode Sales :_2]])</f>
        <v xml:space="preserve"> </v>
      </c>
      <c r="J245" s="287" t="str">
        <f>IF(Table1[[#This Row],[h_toko]]="","",INDEX(Table2[e],IF(Table1[[#This Row],[h_toko]]="","",MATCH(Table1[[#This Row],[h_toko]],Table2[a],0)),))</f>
        <v/>
      </c>
      <c r="O245" s="287" t="str">
        <f>IF(Table1[[#This Row],[h_Item Description]]="","",INDEX([1]!db[NB PAJAK],MATCH(Table1[[#This Row],[h_Item Description]],[1]!db[kode],0)))</f>
        <v/>
      </c>
      <c r="Q245" s="283"/>
      <c r="R245" s="284"/>
      <c r="T245" s="283" t="str">
        <f>Table1[[#This Row],[h_hargasetelahdiskon]]</f>
        <v/>
      </c>
      <c r="W245" s="287" t="str">
        <f ca="1">IF(Table1[[#This Row],[Item Description]]="","",IF(Table1[[#This Row],[//]]="",INDIRECT(ADDRESS(ROW()-1,COLUMN())),Table1[[#This Row],[//]]))</f>
        <v/>
      </c>
      <c r="X245" s="287" t="str">
        <f ca="1">IF(Table1[[#This Row],[h_id]]="","",COUNTIF(Table1[h_id],Table1[[#This Row],[h_id]]))</f>
        <v/>
      </c>
      <c r="Y245" s="283" t="str">
        <f>IF(Table1[Item Description]="","",Table1[[#This Row],[Qty]]*Table1[[#This Row],[Unit Price]])</f>
        <v/>
      </c>
      <c r="Z245" s="283" t="str">
        <f>IF(Table1[[#This Row],[h_hargasebelumdiskon]]="","",IF(Table1[[#This Row],[Disc 1]]="",0,Table1[[#This Row],[h_hargasebelumdiskon]]*Table1[[#This Row],[Disc 1]]))</f>
        <v/>
      </c>
      <c r="AA245" s="283" t="str">
        <f>IF(Table1[[#This Row],[h_hargasebelumdiskon]]="","",IF(Table1[[#This Row],[Disc 2]]="",0,(Table1[[#This Row],[h_hargasebelumdiskon]]-Table1[[#This Row],[h_disc 1]])*Table1[[#This Row],[Disc 2]]))</f>
        <v/>
      </c>
      <c r="AB245" s="283" t="str">
        <f>IF(Table1[Item Description]="","",Table1[[#This Row],[h_disc 1]]+Table1[[#This Row],[h_disc 2]])</f>
        <v/>
      </c>
      <c r="AC245" s="283" t="str">
        <f>IF(Table1[Item Description]="","",Table1[[#This Row],[h_hargasebelumdiskon]]-Table1[[#This Row],[h_diskon]])</f>
        <v/>
      </c>
      <c r="AD245" s="283" t="str">
        <f ca="1">IF(Table1[//]="","",SUMIF(Table1[h_id],Table1[h_id],Table1[h_hargasetelahdiskon]))</f>
        <v/>
      </c>
      <c r="AE245" s="283"/>
      <c r="AF245" s="283" t="str">
        <f>Table1[[#This Row],[Item Description]]&amp;Table1[[#This Row],[Unit]]&amp;Table1[[#This Row],[Unit Price]]</f>
        <v/>
      </c>
    </row>
    <row r="246" spans="1:32" x14ac:dyDescent="0.25">
      <c r="A246" s="287" t="str">
        <f ca="1">IF(Table1[[#This Row],[No. Invoice :]]="","",ROW())</f>
        <v/>
      </c>
      <c r="B246" s="287" t="str">
        <f ca="1">IF(Table1[h_Kode Sales :_1]="","",B$1+COUNT(INDIRECT("B$2:B"&amp;ROW()-1)))</f>
        <v/>
      </c>
      <c r="C246" s="281" t="str">
        <f>IF(Table1[[#This Row],[H_TGL]]="","",Table1[[#This Row],[H_TGL]]+C$1-1)</f>
        <v/>
      </c>
      <c r="H246" s="287" t="str">
        <f ca="1">IF(Table1[[#This Row],[h_No. Invoice :]]="","",CONCATENATE("AM"," ",Table1[[#This Row],[h_No. Invoice :]]))</f>
        <v/>
      </c>
      <c r="I246" s="288" t="str">
        <f>CONCATENATE(UPPER(Table1[[#This Row],[h_Kode Sales :_1]])," ",Table1[[#This Row],[h_Kode Sales :_2]])</f>
        <v xml:space="preserve"> </v>
      </c>
      <c r="J246" s="287" t="str">
        <f>IF(Table1[[#This Row],[h_toko]]="","",INDEX(Table2[e],IF(Table1[[#This Row],[h_toko]]="","",MATCH(Table1[[#This Row],[h_toko]],Table2[a],0)),))</f>
        <v/>
      </c>
      <c r="O246" s="287" t="str">
        <f>IF(Table1[[#This Row],[h_Item Description]]="","",INDEX([1]!db[NB PAJAK],MATCH(Table1[[#This Row],[h_Item Description]],[1]!db[kode],0)))</f>
        <v/>
      </c>
      <c r="Q246" s="283"/>
      <c r="R246" s="284"/>
      <c r="T246" s="283" t="str">
        <f>Table1[[#This Row],[h_hargasetelahdiskon]]</f>
        <v/>
      </c>
      <c r="W246" s="287" t="str">
        <f ca="1">IF(Table1[[#This Row],[Item Description]]="","",IF(Table1[[#This Row],[//]]="",INDIRECT(ADDRESS(ROW()-1,COLUMN())),Table1[[#This Row],[//]]))</f>
        <v/>
      </c>
      <c r="X246" s="287" t="str">
        <f ca="1">IF(Table1[[#This Row],[h_id]]="","",COUNTIF(Table1[h_id],Table1[[#This Row],[h_id]]))</f>
        <v/>
      </c>
      <c r="Y246" s="283" t="str">
        <f>IF(Table1[Item Description]="","",Table1[[#This Row],[Qty]]*Table1[[#This Row],[Unit Price]])</f>
        <v/>
      </c>
      <c r="Z246" s="283" t="str">
        <f>IF(Table1[[#This Row],[h_hargasebelumdiskon]]="","",IF(Table1[[#This Row],[Disc 1]]="",0,Table1[[#This Row],[h_hargasebelumdiskon]]*Table1[[#This Row],[Disc 1]]))</f>
        <v/>
      </c>
      <c r="AA246" s="283" t="str">
        <f>IF(Table1[[#This Row],[h_hargasebelumdiskon]]="","",IF(Table1[[#This Row],[Disc 2]]="",0,(Table1[[#This Row],[h_hargasebelumdiskon]]-Table1[[#This Row],[h_disc 1]])*Table1[[#This Row],[Disc 2]]))</f>
        <v/>
      </c>
      <c r="AB246" s="283" t="str">
        <f>IF(Table1[Item Description]="","",Table1[[#This Row],[h_disc 1]]+Table1[[#This Row],[h_disc 2]])</f>
        <v/>
      </c>
      <c r="AC246" s="283" t="str">
        <f>IF(Table1[Item Description]="","",Table1[[#This Row],[h_hargasebelumdiskon]]-Table1[[#This Row],[h_diskon]])</f>
        <v/>
      </c>
      <c r="AD246" s="283" t="str">
        <f ca="1">IF(Table1[//]="","",SUMIF(Table1[h_id],Table1[h_id],Table1[h_hargasetelahdiskon]))</f>
        <v/>
      </c>
      <c r="AE246" s="283"/>
      <c r="AF246" s="283" t="str">
        <f>Table1[[#This Row],[Item Description]]&amp;Table1[[#This Row],[Unit]]&amp;Table1[[#This Row],[Unit Price]]</f>
        <v/>
      </c>
    </row>
    <row r="247" spans="1:32" x14ac:dyDescent="0.25">
      <c r="A247" s="287" t="str">
        <f ca="1">IF(Table1[[#This Row],[No. Invoice :]]="","",ROW())</f>
        <v/>
      </c>
      <c r="B247" s="287" t="str">
        <f ca="1">IF(Table1[h_Kode Sales :_1]="","",B$1+COUNT(INDIRECT("B$2:B"&amp;ROW()-1)))</f>
        <v/>
      </c>
      <c r="C247" s="281" t="str">
        <f>IF(Table1[[#This Row],[H_TGL]]="","",Table1[[#This Row],[H_TGL]]+C$1-1)</f>
        <v/>
      </c>
      <c r="H247" s="287" t="str">
        <f ca="1">IF(Table1[[#This Row],[h_No. Invoice :]]="","",CONCATENATE("AM"," ",Table1[[#This Row],[h_No. Invoice :]]))</f>
        <v/>
      </c>
      <c r="I247" s="288" t="str">
        <f>CONCATENATE(UPPER(Table1[[#This Row],[h_Kode Sales :_1]])," ",Table1[[#This Row],[h_Kode Sales :_2]])</f>
        <v xml:space="preserve"> </v>
      </c>
      <c r="J247" s="287" t="str">
        <f>IF(Table1[[#This Row],[h_toko]]="","",INDEX(Table2[e],IF(Table1[[#This Row],[h_toko]]="","",MATCH(Table1[[#This Row],[h_toko]],Table2[a],0)),))</f>
        <v/>
      </c>
      <c r="O247" s="287" t="str">
        <f>IF(Table1[[#This Row],[h_Item Description]]="","",INDEX([1]!db[NB PAJAK],MATCH(Table1[[#This Row],[h_Item Description]],[1]!db[kode],0)))</f>
        <v/>
      </c>
      <c r="Q247" s="283"/>
      <c r="R247" s="284"/>
      <c r="T247" s="283" t="str">
        <f>Table1[[#This Row],[h_hargasetelahdiskon]]</f>
        <v/>
      </c>
      <c r="W247" s="287" t="str">
        <f ca="1">IF(Table1[[#This Row],[Item Description]]="","",IF(Table1[[#This Row],[//]]="",INDIRECT(ADDRESS(ROW()-1,COLUMN())),Table1[[#This Row],[//]]))</f>
        <v/>
      </c>
      <c r="X247" s="287" t="str">
        <f ca="1">IF(Table1[[#This Row],[h_id]]="","",COUNTIF(Table1[h_id],Table1[[#This Row],[h_id]]))</f>
        <v/>
      </c>
      <c r="Y247" s="283" t="str">
        <f>IF(Table1[Item Description]="","",Table1[[#This Row],[Qty]]*Table1[[#This Row],[Unit Price]])</f>
        <v/>
      </c>
      <c r="Z247" s="283" t="str">
        <f>IF(Table1[[#This Row],[h_hargasebelumdiskon]]="","",IF(Table1[[#This Row],[Disc 1]]="",0,Table1[[#This Row],[h_hargasebelumdiskon]]*Table1[[#This Row],[Disc 1]]))</f>
        <v/>
      </c>
      <c r="AA247" s="283" t="str">
        <f>IF(Table1[[#This Row],[h_hargasebelumdiskon]]="","",IF(Table1[[#This Row],[Disc 2]]="",0,(Table1[[#This Row],[h_hargasebelumdiskon]]-Table1[[#This Row],[h_disc 1]])*Table1[[#This Row],[Disc 2]]))</f>
        <v/>
      </c>
      <c r="AB247" s="283" t="str">
        <f>IF(Table1[Item Description]="","",Table1[[#This Row],[h_disc 1]]+Table1[[#This Row],[h_disc 2]])</f>
        <v/>
      </c>
      <c r="AC247" s="283" t="str">
        <f>IF(Table1[Item Description]="","",Table1[[#This Row],[h_hargasebelumdiskon]]-Table1[[#This Row],[h_diskon]])</f>
        <v/>
      </c>
      <c r="AD247" s="283" t="str">
        <f ca="1">IF(Table1[//]="","",SUMIF(Table1[h_id],Table1[h_id],Table1[h_hargasetelahdiskon]))</f>
        <v/>
      </c>
      <c r="AE247" s="283"/>
      <c r="AF247" s="283" t="str">
        <f>Table1[[#This Row],[Item Description]]&amp;Table1[[#This Row],[Unit]]&amp;Table1[[#This Row],[Unit Price]]</f>
        <v/>
      </c>
    </row>
    <row r="248" spans="1:32" x14ac:dyDescent="0.25">
      <c r="A248" s="287" t="str">
        <f ca="1">IF(Table1[[#This Row],[No. Invoice :]]="","",ROW())</f>
        <v/>
      </c>
      <c r="B248" s="287" t="str">
        <f ca="1">IF(Table1[h_Kode Sales :_1]="","",B$1+COUNT(INDIRECT("B$2:B"&amp;ROW()-1)))</f>
        <v/>
      </c>
      <c r="C248" s="281" t="str">
        <f>IF(Table1[[#This Row],[H_TGL]]="","",Table1[[#This Row],[H_TGL]]+C$1-1)</f>
        <v/>
      </c>
      <c r="H248" s="287" t="str">
        <f ca="1">IF(Table1[[#This Row],[h_No. Invoice :]]="","",CONCATENATE("AM"," ",Table1[[#This Row],[h_No. Invoice :]]))</f>
        <v/>
      </c>
      <c r="I248" s="288" t="str">
        <f>CONCATENATE(UPPER(Table1[[#This Row],[h_Kode Sales :_1]])," ",Table1[[#This Row],[h_Kode Sales :_2]])</f>
        <v xml:space="preserve"> </v>
      </c>
      <c r="J248" s="287" t="str">
        <f>IF(Table1[[#This Row],[h_toko]]="","",INDEX(Table2[e],IF(Table1[[#This Row],[h_toko]]="","",MATCH(Table1[[#This Row],[h_toko]],Table2[a],0)),))</f>
        <v/>
      </c>
      <c r="O248" s="287" t="str">
        <f>IF(Table1[[#This Row],[h_Item Description]]="","",INDEX([1]!db[NB PAJAK],MATCH(Table1[[#This Row],[h_Item Description]],[1]!db[kode],0)))</f>
        <v/>
      </c>
      <c r="Q248" s="283"/>
      <c r="R248" s="284"/>
      <c r="T248" s="283" t="str">
        <f>Table1[[#This Row],[h_hargasetelahdiskon]]</f>
        <v/>
      </c>
      <c r="W248" s="287" t="str">
        <f ca="1">IF(Table1[[#This Row],[Item Description]]="","",IF(Table1[[#This Row],[//]]="",INDIRECT(ADDRESS(ROW()-1,COLUMN())),Table1[[#This Row],[//]]))</f>
        <v/>
      </c>
      <c r="X248" s="287" t="str">
        <f ca="1">IF(Table1[[#This Row],[h_id]]="","",COUNTIF(Table1[h_id],Table1[[#This Row],[h_id]]))</f>
        <v/>
      </c>
      <c r="Y248" s="283" t="str">
        <f>IF(Table1[Item Description]="","",Table1[[#This Row],[Qty]]*Table1[[#This Row],[Unit Price]])</f>
        <v/>
      </c>
      <c r="Z248" s="283" t="str">
        <f>IF(Table1[[#This Row],[h_hargasebelumdiskon]]="","",IF(Table1[[#This Row],[Disc 1]]="",0,Table1[[#This Row],[h_hargasebelumdiskon]]*Table1[[#This Row],[Disc 1]]))</f>
        <v/>
      </c>
      <c r="AA248" s="283" t="str">
        <f>IF(Table1[[#This Row],[h_hargasebelumdiskon]]="","",IF(Table1[[#This Row],[Disc 2]]="",0,(Table1[[#This Row],[h_hargasebelumdiskon]]-Table1[[#This Row],[h_disc 1]])*Table1[[#This Row],[Disc 2]]))</f>
        <v/>
      </c>
      <c r="AB248" s="283" t="str">
        <f>IF(Table1[Item Description]="","",Table1[[#This Row],[h_disc 1]]+Table1[[#This Row],[h_disc 2]])</f>
        <v/>
      </c>
      <c r="AC248" s="283" t="str">
        <f>IF(Table1[Item Description]="","",Table1[[#This Row],[h_hargasebelumdiskon]]-Table1[[#This Row],[h_diskon]])</f>
        <v/>
      </c>
      <c r="AD248" s="283" t="str">
        <f ca="1">IF(Table1[//]="","",SUMIF(Table1[h_id],Table1[h_id],Table1[h_hargasetelahdiskon]))</f>
        <v/>
      </c>
      <c r="AE248" s="283"/>
      <c r="AF248" s="283" t="str">
        <f>Table1[[#This Row],[Item Description]]&amp;Table1[[#This Row],[Unit]]&amp;Table1[[#This Row],[Unit Price]]</f>
        <v/>
      </c>
    </row>
    <row r="249" spans="1:32" x14ac:dyDescent="0.25">
      <c r="A249" s="287" t="str">
        <f ca="1">IF(Table1[[#This Row],[No. Invoice :]]="","",ROW())</f>
        <v/>
      </c>
      <c r="B249" s="287" t="str">
        <f ca="1">IF(Table1[h_Kode Sales :_1]="","",B$1+COUNT(INDIRECT("B$2:B"&amp;ROW()-1)))</f>
        <v/>
      </c>
      <c r="C249" s="281" t="str">
        <f>IF(Table1[[#This Row],[H_TGL]]="","",Table1[[#This Row],[H_TGL]]+C$1-1)</f>
        <v/>
      </c>
      <c r="H249" s="287" t="str">
        <f ca="1">IF(Table1[[#This Row],[h_No. Invoice :]]="","",CONCATENATE("AM"," ",Table1[[#This Row],[h_No. Invoice :]]))</f>
        <v/>
      </c>
      <c r="I249" s="288" t="str">
        <f>CONCATENATE(UPPER(Table1[[#This Row],[h_Kode Sales :_1]])," ",Table1[[#This Row],[h_Kode Sales :_2]])</f>
        <v xml:space="preserve"> </v>
      </c>
      <c r="J249" s="287" t="str">
        <f>IF(Table1[[#This Row],[h_toko]]="","",INDEX(Table2[e],IF(Table1[[#This Row],[h_toko]]="","",MATCH(Table1[[#This Row],[h_toko]],Table2[a],0)),))</f>
        <v/>
      </c>
      <c r="O249" s="287" t="str">
        <f>IF(Table1[[#This Row],[h_Item Description]]="","",INDEX([1]!db[NB PAJAK],MATCH(Table1[[#This Row],[h_Item Description]],[1]!db[kode],0)))</f>
        <v/>
      </c>
      <c r="Q249" s="283"/>
      <c r="R249" s="284"/>
      <c r="T249" s="283" t="str">
        <f>Table1[[#This Row],[h_hargasetelahdiskon]]</f>
        <v/>
      </c>
      <c r="W249" s="287" t="str">
        <f ca="1">IF(Table1[[#This Row],[Item Description]]="","",IF(Table1[[#This Row],[//]]="",INDIRECT(ADDRESS(ROW()-1,COLUMN())),Table1[[#This Row],[//]]))</f>
        <v/>
      </c>
      <c r="X249" s="287" t="str">
        <f ca="1">IF(Table1[[#This Row],[h_id]]="","",COUNTIF(Table1[h_id],Table1[[#This Row],[h_id]]))</f>
        <v/>
      </c>
      <c r="Y249" s="283" t="str">
        <f>IF(Table1[Item Description]="","",Table1[[#This Row],[Qty]]*Table1[[#This Row],[Unit Price]])</f>
        <v/>
      </c>
      <c r="Z249" s="283" t="str">
        <f>IF(Table1[[#This Row],[h_hargasebelumdiskon]]="","",IF(Table1[[#This Row],[Disc 1]]="",0,Table1[[#This Row],[h_hargasebelumdiskon]]*Table1[[#This Row],[Disc 1]]))</f>
        <v/>
      </c>
      <c r="AA249" s="283" t="str">
        <f>IF(Table1[[#This Row],[h_hargasebelumdiskon]]="","",IF(Table1[[#This Row],[Disc 2]]="",0,(Table1[[#This Row],[h_hargasebelumdiskon]]-Table1[[#This Row],[h_disc 1]])*Table1[[#This Row],[Disc 2]]))</f>
        <v/>
      </c>
      <c r="AB249" s="283" t="str">
        <f>IF(Table1[Item Description]="","",Table1[[#This Row],[h_disc 1]]+Table1[[#This Row],[h_disc 2]])</f>
        <v/>
      </c>
      <c r="AC249" s="283" t="str">
        <f>IF(Table1[Item Description]="","",Table1[[#This Row],[h_hargasebelumdiskon]]-Table1[[#This Row],[h_diskon]])</f>
        <v/>
      </c>
      <c r="AD249" s="283" t="str">
        <f ca="1">IF(Table1[//]="","",SUMIF(Table1[h_id],Table1[h_id],Table1[h_hargasetelahdiskon]))</f>
        <v/>
      </c>
      <c r="AE249" s="283"/>
      <c r="AF249" s="283" t="str">
        <f>Table1[[#This Row],[Item Description]]&amp;Table1[[#This Row],[Unit]]&amp;Table1[[#This Row],[Unit Price]]</f>
        <v/>
      </c>
    </row>
    <row r="250" spans="1:32" x14ac:dyDescent="0.25">
      <c r="A250" s="287" t="str">
        <f ca="1">IF(Table1[[#This Row],[No. Invoice :]]="","",ROW())</f>
        <v/>
      </c>
      <c r="B250" s="287" t="str">
        <f ca="1">IF(Table1[h_Kode Sales :_1]="","",B$1+COUNT(INDIRECT("B$2:B"&amp;ROW()-1)))</f>
        <v/>
      </c>
      <c r="C250" s="281" t="str">
        <f>IF(Table1[[#This Row],[H_TGL]]="","",Table1[[#This Row],[H_TGL]]+C$1-1)</f>
        <v/>
      </c>
      <c r="H250" s="287" t="str">
        <f ca="1">IF(Table1[[#This Row],[h_No. Invoice :]]="","",CONCATENATE("AM"," ",Table1[[#This Row],[h_No. Invoice :]]))</f>
        <v/>
      </c>
      <c r="I250" s="288" t="str">
        <f>CONCATENATE(UPPER(Table1[[#This Row],[h_Kode Sales :_1]])," ",Table1[[#This Row],[h_Kode Sales :_2]])</f>
        <v xml:space="preserve"> </v>
      </c>
      <c r="J250" s="287" t="str">
        <f>IF(Table1[[#This Row],[h_toko]]="","",INDEX(Table2[e],IF(Table1[[#This Row],[h_toko]]="","",MATCH(Table1[[#This Row],[h_toko]],Table2[a],0)),))</f>
        <v/>
      </c>
      <c r="O250" s="287" t="str">
        <f>IF(Table1[[#This Row],[h_Item Description]]="","",INDEX([1]!db[NB PAJAK],MATCH(Table1[[#This Row],[h_Item Description]],[1]!db[kode],0)))</f>
        <v/>
      </c>
      <c r="Q250" s="283"/>
      <c r="R250" s="284"/>
      <c r="T250" s="283" t="str">
        <f>Table1[[#This Row],[h_hargasetelahdiskon]]</f>
        <v/>
      </c>
      <c r="W250" s="287" t="str">
        <f ca="1">IF(Table1[[#This Row],[Item Description]]="","",IF(Table1[[#This Row],[//]]="",INDIRECT(ADDRESS(ROW()-1,COLUMN())),Table1[[#This Row],[//]]))</f>
        <v/>
      </c>
      <c r="X250" s="287" t="str">
        <f ca="1">IF(Table1[[#This Row],[h_id]]="","",COUNTIF(Table1[h_id],Table1[[#This Row],[h_id]]))</f>
        <v/>
      </c>
      <c r="Y250" s="283" t="str">
        <f>IF(Table1[Item Description]="","",Table1[[#This Row],[Qty]]*Table1[[#This Row],[Unit Price]])</f>
        <v/>
      </c>
      <c r="Z250" s="283" t="str">
        <f>IF(Table1[[#This Row],[h_hargasebelumdiskon]]="","",IF(Table1[[#This Row],[Disc 1]]="",0,Table1[[#This Row],[h_hargasebelumdiskon]]*Table1[[#This Row],[Disc 1]]))</f>
        <v/>
      </c>
      <c r="AA250" s="283" t="str">
        <f>IF(Table1[[#This Row],[h_hargasebelumdiskon]]="","",IF(Table1[[#This Row],[Disc 2]]="",0,(Table1[[#This Row],[h_hargasebelumdiskon]]-Table1[[#This Row],[h_disc 1]])*Table1[[#This Row],[Disc 2]]))</f>
        <v/>
      </c>
      <c r="AB250" s="283" t="str">
        <f>IF(Table1[Item Description]="","",Table1[[#This Row],[h_disc 1]]+Table1[[#This Row],[h_disc 2]])</f>
        <v/>
      </c>
      <c r="AC250" s="283" t="str">
        <f>IF(Table1[Item Description]="","",Table1[[#This Row],[h_hargasebelumdiskon]]-Table1[[#This Row],[h_diskon]])</f>
        <v/>
      </c>
      <c r="AD250" s="283" t="str">
        <f ca="1">IF(Table1[//]="","",SUMIF(Table1[h_id],Table1[h_id],Table1[h_hargasetelahdiskon]))</f>
        <v/>
      </c>
      <c r="AE250" s="283"/>
      <c r="AF250" s="283" t="str">
        <f>Table1[[#This Row],[Item Description]]&amp;Table1[[#This Row],[Unit]]&amp;Table1[[#This Row],[Unit Price]]</f>
        <v/>
      </c>
    </row>
    <row r="251" spans="1:32" x14ac:dyDescent="0.25">
      <c r="A251" s="287" t="str">
        <f ca="1">IF(Table1[[#This Row],[No. Invoice :]]="","",ROW())</f>
        <v/>
      </c>
      <c r="B251" s="287" t="str">
        <f ca="1">IF(Table1[h_Kode Sales :_1]="","",B$1+COUNT(INDIRECT("B$2:B"&amp;ROW()-1)))</f>
        <v/>
      </c>
      <c r="C251" s="281" t="str">
        <f>IF(Table1[[#This Row],[H_TGL]]="","",Table1[[#This Row],[H_TGL]]+C$1-1)</f>
        <v/>
      </c>
      <c r="H251" s="287" t="str">
        <f ca="1">IF(Table1[[#This Row],[h_No. Invoice :]]="","",CONCATENATE("AM"," ",Table1[[#This Row],[h_No. Invoice :]]))</f>
        <v/>
      </c>
      <c r="I251" s="288" t="str">
        <f>CONCATENATE(UPPER(Table1[[#This Row],[h_Kode Sales :_1]])," ",Table1[[#This Row],[h_Kode Sales :_2]])</f>
        <v xml:space="preserve"> </v>
      </c>
      <c r="J251" s="287" t="str">
        <f>IF(Table1[[#This Row],[h_toko]]="","",INDEX(Table2[e],IF(Table1[[#This Row],[h_toko]]="","",MATCH(Table1[[#This Row],[h_toko]],Table2[a],0)),))</f>
        <v/>
      </c>
      <c r="O251" s="287" t="str">
        <f>IF(Table1[[#This Row],[h_Item Description]]="","",INDEX([1]!db[NB PAJAK],MATCH(Table1[[#This Row],[h_Item Description]],[1]!db[kode],0)))</f>
        <v/>
      </c>
      <c r="Q251" s="283"/>
      <c r="R251" s="284"/>
      <c r="T251" s="283" t="str">
        <f>Table1[[#This Row],[h_hargasetelahdiskon]]</f>
        <v/>
      </c>
      <c r="W251" s="287" t="str">
        <f ca="1">IF(Table1[[#This Row],[Item Description]]="","",IF(Table1[[#This Row],[//]]="",INDIRECT(ADDRESS(ROW()-1,COLUMN())),Table1[[#This Row],[//]]))</f>
        <v/>
      </c>
      <c r="X251" s="287" t="str">
        <f ca="1">IF(Table1[[#This Row],[h_id]]="","",COUNTIF(Table1[h_id],Table1[[#This Row],[h_id]]))</f>
        <v/>
      </c>
      <c r="Y251" s="283" t="str">
        <f>IF(Table1[Item Description]="","",Table1[[#This Row],[Qty]]*Table1[[#This Row],[Unit Price]])</f>
        <v/>
      </c>
      <c r="Z251" s="283" t="str">
        <f>IF(Table1[[#This Row],[h_hargasebelumdiskon]]="","",IF(Table1[[#This Row],[Disc 1]]="",0,Table1[[#This Row],[h_hargasebelumdiskon]]*Table1[[#This Row],[Disc 1]]))</f>
        <v/>
      </c>
      <c r="AA251" s="283" t="str">
        <f>IF(Table1[[#This Row],[h_hargasebelumdiskon]]="","",IF(Table1[[#This Row],[Disc 2]]="",0,(Table1[[#This Row],[h_hargasebelumdiskon]]-Table1[[#This Row],[h_disc 1]])*Table1[[#This Row],[Disc 2]]))</f>
        <v/>
      </c>
      <c r="AB251" s="283" t="str">
        <f>IF(Table1[Item Description]="","",Table1[[#This Row],[h_disc 1]]+Table1[[#This Row],[h_disc 2]])</f>
        <v/>
      </c>
      <c r="AC251" s="283" t="str">
        <f>IF(Table1[Item Description]="","",Table1[[#This Row],[h_hargasebelumdiskon]]-Table1[[#This Row],[h_diskon]])</f>
        <v/>
      </c>
      <c r="AD251" s="283" t="str">
        <f ca="1">IF(Table1[//]="","",SUMIF(Table1[h_id],Table1[h_id],Table1[h_hargasetelahdiskon]))</f>
        <v/>
      </c>
      <c r="AE251" s="283"/>
      <c r="AF251" s="283" t="str">
        <f>Table1[[#This Row],[Item Description]]&amp;Table1[[#This Row],[Unit]]&amp;Table1[[#This Row],[Unit Price]]</f>
        <v/>
      </c>
    </row>
    <row r="252" spans="1:32" x14ac:dyDescent="0.25">
      <c r="A252" s="287" t="str">
        <f ca="1">IF(Table1[[#This Row],[No. Invoice :]]="","",ROW())</f>
        <v/>
      </c>
      <c r="B252" s="287" t="str">
        <f ca="1">IF(Table1[h_Kode Sales :_1]="","",B$1+COUNT(INDIRECT("B$2:B"&amp;ROW()-1)))</f>
        <v/>
      </c>
      <c r="C252" s="281" t="str">
        <f>IF(Table1[[#This Row],[H_TGL]]="","",Table1[[#This Row],[H_TGL]]+C$1-1)</f>
        <v/>
      </c>
      <c r="H252" s="287" t="str">
        <f ca="1">IF(Table1[[#This Row],[h_No. Invoice :]]="","",CONCATENATE("AM"," ",Table1[[#This Row],[h_No. Invoice :]]))</f>
        <v/>
      </c>
      <c r="I252" s="288" t="str">
        <f>CONCATENATE(UPPER(Table1[[#This Row],[h_Kode Sales :_1]])," ",Table1[[#This Row],[h_Kode Sales :_2]])</f>
        <v xml:space="preserve"> </v>
      </c>
      <c r="J252" s="287" t="str">
        <f>IF(Table1[[#This Row],[h_toko]]="","",INDEX(Table2[e],IF(Table1[[#This Row],[h_toko]]="","",MATCH(Table1[[#This Row],[h_toko]],Table2[a],0)),))</f>
        <v/>
      </c>
      <c r="O252" s="287" t="str">
        <f>IF(Table1[[#This Row],[h_Item Description]]="","",INDEX([1]!db[NB PAJAK],MATCH(Table1[[#This Row],[h_Item Description]],[1]!db[kode],0)))</f>
        <v/>
      </c>
      <c r="Q252" s="283"/>
      <c r="R252" s="284"/>
      <c r="T252" s="283" t="str">
        <f>Table1[[#This Row],[h_hargasetelahdiskon]]</f>
        <v/>
      </c>
      <c r="W252" s="287" t="str">
        <f ca="1">IF(Table1[[#This Row],[Item Description]]="","",IF(Table1[[#This Row],[//]]="",INDIRECT(ADDRESS(ROW()-1,COLUMN())),Table1[[#This Row],[//]]))</f>
        <v/>
      </c>
      <c r="X252" s="287" t="str">
        <f ca="1">IF(Table1[[#This Row],[h_id]]="","",COUNTIF(Table1[h_id],Table1[[#This Row],[h_id]]))</f>
        <v/>
      </c>
      <c r="Y252" s="283" t="str">
        <f>IF(Table1[Item Description]="","",Table1[[#This Row],[Qty]]*Table1[[#This Row],[Unit Price]])</f>
        <v/>
      </c>
      <c r="Z252" s="283" t="str">
        <f>IF(Table1[[#This Row],[h_hargasebelumdiskon]]="","",IF(Table1[[#This Row],[Disc 1]]="",0,Table1[[#This Row],[h_hargasebelumdiskon]]*Table1[[#This Row],[Disc 1]]))</f>
        <v/>
      </c>
      <c r="AA252" s="283" t="str">
        <f>IF(Table1[[#This Row],[h_hargasebelumdiskon]]="","",IF(Table1[[#This Row],[Disc 2]]="",0,(Table1[[#This Row],[h_hargasebelumdiskon]]-Table1[[#This Row],[h_disc 1]])*Table1[[#This Row],[Disc 2]]))</f>
        <v/>
      </c>
      <c r="AB252" s="283" t="str">
        <f>IF(Table1[Item Description]="","",Table1[[#This Row],[h_disc 1]]+Table1[[#This Row],[h_disc 2]])</f>
        <v/>
      </c>
      <c r="AC252" s="283" t="str">
        <f>IF(Table1[Item Description]="","",Table1[[#This Row],[h_hargasebelumdiskon]]-Table1[[#This Row],[h_diskon]])</f>
        <v/>
      </c>
      <c r="AD252" s="283" t="str">
        <f ca="1">IF(Table1[//]="","",SUMIF(Table1[h_id],Table1[h_id],Table1[h_hargasetelahdiskon]))</f>
        <v/>
      </c>
      <c r="AE252" s="283"/>
      <c r="AF252" s="283" t="str">
        <f>Table1[[#This Row],[Item Description]]&amp;Table1[[#This Row],[Unit]]&amp;Table1[[#This Row],[Unit Price]]</f>
        <v/>
      </c>
    </row>
    <row r="253" spans="1:32" x14ac:dyDescent="0.25">
      <c r="A253" s="287" t="str">
        <f ca="1">IF(Table1[[#This Row],[No. Invoice :]]="","",ROW())</f>
        <v/>
      </c>
      <c r="B253" s="287" t="str">
        <f ca="1">IF(Table1[h_Kode Sales :_1]="","",B$1+COUNT(INDIRECT("B$2:B"&amp;ROW()-1)))</f>
        <v/>
      </c>
      <c r="C253" s="281" t="str">
        <f>IF(Table1[[#This Row],[H_TGL]]="","",Table1[[#This Row],[H_TGL]]+C$1-1)</f>
        <v/>
      </c>
      <c r="H253" s="287" t="str">
        <f ca="1">IF(Table1[[#This Row],[h_No. Invoice :]]="","",CONCATENATE("AM"," ",Table1[[#This Row],[h_No. Invoice :]]))</f>
        <v/>
      </c>
      <c r="I253" s="288" t="str">
        <f>CONCATENATE(UPPER(Table1[[#This Row],[h_Kode Sales :_1]])," ",Table1[[#This Row],[h_Kode Sales :_2]])</f>
        <v xml:space="preserve"> </v>
      </c>
      <c r="J253" s="287" t="str">
        <f>IF(Table1[[#This Row],[h_toko]]="","",INDEX(Table2[e],IF(Table1[[#This Row],[h_toko]]="","",MATCH(Table1[[#This Row],[h_toko]],Table2[a],0)),))</f>
        <v/>
      </c>
      <c r="O253" s="287" t="str">
        <f>IF(Table1[[#This Row],[h_Item Description]]="","",INDEX([1]!db[NB PAJAK],MATCH(Table1[[#This Row],[h_Item Description]],[1]!db[kode],0)))</f>
        <v/>
      </c>
      <c r="Q253" s="283"/>
      <c r="R253" s="284"/>
      <c r="T253" s="283" t="str">
        <f>Table1[[#This Row],[h_hargasetelahdiskon]]</f>
        <v/>
      </c>
      <c r="W253" s="287" t="str">
        <f ca="1">IF(Table1[[#This Row],[Item Description]]="","",IF(Table1[[#This Row],[//]]="",INDIRECT(ADDRESS(ROW()-1,COLUMN())),Table1[[#This Row],[//]]))</f>
        <v/>
      </c>
      <c r="X253" s="287" t="str">
        <f ca="1">IF(Table1[[#This Row],[h_id]]="","",COUNTIF(Table1[h_id],Table1[[#This Row],[h_id]]))</f>
        <v/>
      </c>
      <c r="Y253" s="283" t="str">
        <f>IF(Table1[Item Description]="","",Table1[[#This Row],[Qty]]*Table1[[#This Row],[Unit Price]])</f>
        <v/>
      </c>
      <c r="Z253" s="283" t="str">
        <f>IF(Table1[[#This Row],[h_hargasebelumdiskon]]="","",IF(Table1[[#This Row],[Disc 1]]="",0,Table1[[#This Row],[h_hargasebelumdiskon]]*Table1[[#This Row],[Disc 1]]))</f>
        <v/>
      </c>
      <c r="AA253" s="283" t="str">
        <f>IF(Table1[[#This Row],[h_hargasebelumdiskon]]="","",IF(Table1[[#This Row],[Disc 2]]="",0,(Table1[[#This Row],[h_hargasebelumdiskon]]-Table1[[#This Row],[h_disc 1]])*Table1[[#This Row],[Disc 2]]))</f>
        <v/>
      </c>
      <c r="AB253" s="283" t="str">
        <f>IF(Table1[Item Description]="","",Table1[[#This Row],[h_disc 1]]+Table1[[#This Row],[h_disc 2]])</f>
        <v/>
      </c>
      <c r="AC253" s="283" t="str">
        <f>IF(Table1[Item Description]="","",Table1[[#This Row],[h_hargasebelumdiskon]]-Table1[[#This Row],[h_diskon]])</f>
        <v/>
      </c>
      <c r="AD253" s="283" t="str">
        <f ca="1">IF(Table1[//]="","",SUMIF(Table1[h_id],Table1[h_id],Table1[h_hargasetelahdiskon]))</f>
        <v/>
      </c>
      <c r="AE253" s="283"/>
      <c r="AF253" s="283" t="str">
        <f>Table1[[#This Row],[Item Description]]&amp;Table1[[#This Row],[Unit]]&amp;Table1[[#This Row],[Unit Price]]</f>
        <v/>
      </c>
    </row>
    <row r="254" spans="1:32" x14ac:dyDescent="0.25">
      <c r="A254" s="287" t="str">
        <f ca="1">IF(Table1[[#This Row],[No. Invoice :]]="","",ROW())</f>
        <v/>
      </c>
      <c r="B254" s="287" t="str">
        <f ca="1">IF(Table1[h_Kode Sales :_1]="","",B$1+COUNT(INDIRECT("B$2:B"&amp;ROW()-1)))</f>
        <v/>
      </c>
      <c r="C254" s="281" t="str">
        <f>IF(Table1[[#This Row],[H_TGL]]="","",Table1[[#This Row],[H_TGL]]+C$1-1)</f>
        <v/>
      </c>
      <c r="H254" s="287" t="str">
        <f ca="1">IF(Table1[[#This Row],[h_No. Invoice :]]="","",CONCATENATE("AM"," ",Table1[[#This Row],[h_No. Invoice :]]))</f>
        <v/>
      </c>
      <c r="I254" s="288" t="str">
        <f>CONCATENATE(UPPER(Table1[[#This Row],[h_Kode Sales :_1]])," ",Table1[[#This Row],[h_Kode Sales :_2]])</f>
        <v xml:space="preserve"> </v>
      </c>
      <c r="J254" s="287" t="str">
        <f>IF(Table1[[#This Row],[h_toko]]="","",INDEX(Table2[e],IF(Table1[[#This Row],[h_toko]]="","",MATCH(Table1[[#This Row],[h_toko]],Table2[a],0)),))</f>
        <v/>
      </c>
      <c r="O254" s="287" t="str">
        <f>IF(Table1[[#This Row],[h_Item Description]]="","",INDEX([1]!db[NB PAJAK],MATCH(Table1[[#This Row],[h_Item Description]],[1]!db[kode],0)))</f>
        <v/>
      </c>
      <c r="Q254" s="283"/>
      <c r="R254" s="284"/>
      <c r="T254" s="283" t="str">
        <f>Table1[[#This Row],[h_hargasetelahdiskon]]</f>
        <v/>
      </c>
      <c r="W254" s="287" t="str">
        <f ca="1">IF(Table1[[#This Row],[Item Description]]="","",IF(Table1[[#This Row],[//]]="",INDIRECT(ADDRESS(ROW()-1,COLUMN())),Table1[[#This Row],[//]]))</f>
        <v/>
      </c>
      <c r="X254" s="287" t="str">
        <f ca="1">IF(Table1[[#This Row],[h_id]]="","",COUNTIF(Table1[h_id],Table1[[#This Row],[h_id]]))</f>
        <v/>
      </c>
      <c r="Y254" s="283" t="str">
        <f>IF(Table1[Item Description]="","",Table1[[#This Row],[Qty]]*Table1[[#This Row],[Unit Price]])</f>
        <v/>
      </c>
      <c r="Z254" s="283" t="str">
        <f>IF(Table1[[#This Row],[h_hargasebelumdiskon]]="","",IF(Table1[[#This Row],[Disc 1]]="",0,Table1[[#This Row],[h_hargasebelumdiskon]]*Table1[[#This Row],[Disc 1]]))</f>
        <v/>
      </c>
      <c r="AA254" s="283" t="str">
        <f>IF(Table1[[#This Row],[h_hargasebelumdiskon]]="","",IF(Table1[[#This Row],[Disc 2]]="",0,(Table1[[#This Row],[h_hargasebelumdiskon]]-Table1[[#This Row],[h_disc 1]])*Table1[[#This Row],[Disc 2]]))</f>
        <v/>
      </c>
      <c r="AB254" s="283" t="str">
        <f>IF(Table1[Item Description]="","",Table1[[#This Row],[h_disc 1]]+Table1[[#This Row],[h_disc 2]])</f>
        <v/>
      </c>
      <c r="AC254" s="283" t="str">
        <f>IF(Table1[Item Description]="","",Table1[[#This Row],[h_hargasebelumdiskon]]-Table1[[#This Row],[h_diskon]])</f>
        <v/>
      </c>
      <c r="AD254" s="283" t="str">
        <f ca="1">IF(Table1[//]="","",SUMIF(Table1[h_id],Table1[h_id],Table1[h_hargasetelahdiskon]))</f>
        <v/>
      </c>
      <c r="AE254" s="283"/>
      <c r="AF254" s="283" t="str">
        <f>Table1[[#This Row],[Item Description]]&amp;Table1[[#This Row],[Unit]]&amp;Table1[[#This Row],[Unit Price]]</f>
        <v/>
      </c>
    </row>
    <row r="255" spans="1:32" x14ac:dyDescent="0.25">
      <c r="A255" s="287" t="str">
        <f ca="1">IF(Table1[[#This Row],[No. Invoice :]]="","",ROW())</f>
        <v/>
      </c>
      <c r="B255" s="287" t="str">
        <f ca="1">IF(Table1[h_Kode Sales :_1]="","",B$1+COUNT(INDIRECT("B$2:B"&amp;ROW()-1)))</f>
        <v/>
      </c>
      <c r="C255" s="281" t="str">
        <f>IF(Table1[[#This Row],[H_TGL]]="","",Table1[[#This Row],[H_TGL]]+C$1-1)</f>
        <v/>
      </c>
      <c r="H255" s="287" t="str">
        <f ca="1">IF(Table1[[#This Row],[h_No. Invoice :]]="","",CONCATENATE("AM"," ",Table1[[#This Row],[h_No. Invoice :]]))</f>
        <v/>
      </c>
      <c r="I255" s="288" t="str">
        <f>CONCATENATE(UPPER(Table1[[#This Row],[h_Kode Sales :_1]])," ",Table1[[#This Row],[h_Kode Sales :_2]])</f>
        <v xml:space="preserve"> </v>
      </c>
      <c r="J255" s="287" t="str">
        <f>IF(Table1[[#This Row],[h_toko]]="","",INDEX(Table2[e],IF(Table1[[#This Row],[h_toko]]="","",MATCH(Table1[[#This Row],[h_toko]],Table2[a],0)),))</f>
        <v/>
      </c>
      <c r="O255" s="287" t="str">
        <f>IF(Table1[[#This Row],[h_Item Description]]="","",INDEX([1]!db[NB PAJAK],MATCH(Table1[[#This Row],[h_Item Description]],[1]!db[kode],0)))</f>
        <v/>
      </c>
      <c r="Q255" s="283"/>
      <c r="R255" s="284"/>
      <c r="T255" s="283" t="str">
        <f>Table1[[#This Row],[h_hargasetelahdiskon]]</f>
        <v/>
      </c>
      <c r="W255" s="287" t="str">
        <f ca="1">IF(Table1[[#This Row],[Item Description]]="","",IF(Table1[[#This Row],[//]]="",INDIRECT(ADDRESS(ROW()-1,COLUMN())),Table1[[#This Row],[//]]))</f>
        <v/>
      </c>
      <c r="X255" s="287" t="str">
        <f ca="1">IF(Table1[[#This Row],[h_id]]="","",COUNTIF(Table1[h_id],Table1[[#This Row],[h_id]]))</f>
        <v/>
      </c>
      <c r="Y255" s="283" t="str">
        <f>IF(Table1[Item Description]="","",Table1[[#This Row],[Qty]]*Table1[[#This Row],[Unit Price]])</f>
        <v/>
      </c>
      <c r="Z255" s="283" t="str">
        <f>IF(Table1[[#This Row],[h_hargasebelumdiskon]]="","",IF(Table1[[#This Row],[Disc 1]]="",0,Table1[[#This Row],[h_hargasebelumdiskon]]*Table1[[#This Row],[Disc 1]]))</f>
        <v/>
      </c>
      <c r="AA255" s="283" t="str">
        <f>IF(Table1[[#This Row],[h_hargasebelumdiskon]]="","",IF(Table1[[#This Row],[Disc 2]]="",0,(Table1[[#This Row],[h_hargasebelumdiskon]]-Table1[[#This Row],[h_disc 1]])*Table1[[#This Row],[Disc 2]]))</f>
        <v/>
      </c>
      <c r="AB255" s="283" t="str">
        <f>IF(Table1[Item Description]="","",Table1[[#This Row],[h_disc 1]]+Table1[[#This Row],[h_disc 2]])</f>
        <v/>
      </c>
      <c r="AC255" s="283" t="str">
        <f>IF(Table1[Item Description]="","",Table1[[#This Row],[h_hargasebelumdiskon]]-Table1[[#This Row],[h_diskon]])</f>
        <v/>
      </c>
      <c r="AD255" s="283" t="str">
        <f ca="1">IF(Table1[//]="","",SUMIF(Table1[h_id],Table1[h_id],Table1[h_hargasetelahdiskon]))</f>
        <v/>
      </c>
      <c r="AE255" s="283"/>
      <c r="AF255" s="283" t="str">
        <f>Table1[[#This Row],[Item Description]]&amp;Table1[[#This Row],[Unit]]&amp;Table1[[#This Row],[Unit Price]]</f>
        <v/>
      </c>
    </row>
    <row r="256" spans="1:32" x14ac:dyDescent="0.25">
      <c r="A256" s="287" t="str">
        <f ca="1">IF(Table1[[#This Row],[No. Invoice :]]="","",ROW())</f>
        <v/>
      </c>
      <c r="B256" s="287" t="str">
        <f ca="1">IF(Table1[h_Kode Sales :_1]="","",B$1+COUNT(INDIRECT("B$2:B"&amp;ROW()-1)))</f>
        <v/>
      </c>
      <c r="C256" s="281" t="str">
        <f>IF(Table1[[#This Row],[H_TGL]]="","",Table1[[#This Row],[H_TGL]]+C$1-1)</f>
        <v/>
      </c>
      <c r="H256" s="287" t="str">
        <f ca="1">IF(Table1[[#This Row],[h_No. Invoice :]]="","",CONCATENATE("AM"," ",Table1[[#This Row],[h_No. Invoice :]]))</f>
        <v/>
      </c>
      <c r="I256" s="288" t="str">
        <f>CONCATENATE(UPPER(Table1[[#This Row],[h_Kode Sales :_1]])," ",Table1[[#This Row],[h_Kode Sales :_2]])</f>
        <v xml:space="preserve"> </v>
      </c>
      <c r="J256" s="287" t="str">
        <f>IF(Table1[[#This Row],[h_toko]]="","",INDEX(Table2[e],IF(Table1[[#This Row],[h_toko]]="","",MATCH(Table1[[#This Row],[h_toko]],Table2[a],0)),))</f>
        <v/>
      </c>
      <c r="O256" s="287" t="str">
        <f>IF(Table1[[#This Row],[h_Item Description]]="","",INDEX([1]!db[NB PAJAK],MATCH(Table1[[#This Row],[h_Item Description]],[1]!db[kode],0)))</f>
        <v/>
      </c>
      <c r="Q256" s="283"/>
      <c r="R256" s="284"/>
      <c r="T256" s="283" t="str">
        <f>Table1[[#This Row],[h_hargasetelahdiskon]]</f>
        <v/>
      </c>
      <c r="W256" s="287" t="str">
        <f ca="1">IF(Table1[[#This Row],[Item Description]]="","",IF(Table1[[#This Row],[//]]="",INDIRECT(ADDRESS(ROW()-1,COLUMN())),Table1[[#This Row],[//]]))</f>
        <v/>
      </c>
      <c r="X256" s="287" t="str">
        <f ca="1">IF(Table1[[#This Row],[h_id]]="","",COUNTIF(Table1[h_id],Table1[[#This Row],[h_id]]))</f>
        <v/>
      </c>
      <c r="Y256" s="283" t="str">
        <f>IF(Table1[Item Description]="","",Table1[[#This Row],[Qty]]*Table1[[#This Row],[Unit Price]])</f>
        <v/>
      </c>
      <c r="Z256" s="283" t="str">
        <f>IF(Table1[[#This Row],[h_hargasebelumdiskon]]="","",IF(Table1[[#This Row],[Disc 1]]="",0,Table1[[#This Row],[h_hargasebelumdiskon]]*Table1[[#This Row],[Disc 1]]))</f>
        <v/>
      </c>
      <c r="AA256" s="283" t="str">
        <f>IF(Table1[[#This Row],[h_hargasebelumdiskon]]="","",IF(Table1[[#This Row],[Disc 2]]="",0,(Table1[[#This Row],[h_hargasebelumdiskon]]-Table1[[#This Row],[h_disc 1]])*Table1[[#This Row],[Disc 2]]))</f>
        <v/>
      </c>
      <c r="AB256" s="283" t="str">
        <f>IF(Table1[Item Description]="","",Table1[[#This Row],[h_disc 1]]+Table1[[#This Row],[h_disc 2]])</f>
        <v/>
      </c>
      <c r="AC256" s="283" t="str">
        <f>IF(Table1[Item Description]="","",Table1[[#This Row],[h_hargasebelumdiskon]]-Table1[[#This Row],[h_diskon]])</f>
        <v/>
      </c>
      <c r="AD256" s="283" t="str">
        <f ca="1">IF(Table1[//]="","",SUMIF(Table1[h_id],Table1[h_id],Table1[h_hargasetelahdiskon]))</f>
        <v/>
      </c>
      <c r="AE256" s="283"/>
      <c r="AF256" s="283" t="str">
        <f>Table1[[#This Row],[Item Description]]&amp;Table1[[#This Row],[Unit]]&amp;Table1[[#This Row],[Unit Price]]</f>
        <v/>
      </c>
    </row>
    <row r="257" spans="1:32" x14ac:dyDescent="0.25">
      <c r="A257" s="287" t="str">
        <f ca="1">IF(Table1[[#This Row],[No. Invoice :]]="","",ROW())</f>
        <v/>
      </c>
      <c r="B257" s="287" t="str">
        <f ca="1">IF(Table1[h_Kode Sales :_1]="","",B$1+COUNT(INDIRECT("B$2:B"&amp;ROW()-1)))</f>
        <v/>
      </c>
      <c r="C257" s="281" t="str">
        <f>IF(Table1[[#This Row],[H_TGL]]="","",Table1[[#This Row],[H_TGL]]+C$1-1)</f>
        <v/>
      </c>
      <c r="H257" s="287" t="str">
        <f ca="1">IF(Table1[[#This Row],[h_No. Invoice :]]="","",CONCATENATE("AM"," ",Table1[[#This Row],[h_No. Invoice :]]))</f>
        <v/>
      </c>
      <c r="I257" s="288" t="str">
        <f>CONCATENATE(UPPER(Table1[[#This Row],[h_Kode Sales :_1]])," ",Table1[[#This Row],[h_Kode Sales :_2]])</f>
        <v xml:space="preserve"> </v>
      </c>
      <c r="J257" s="287" t="str">
        <f>IF(Table1[[#This Row],[h_toko]]="","",INDEX(Table2[e],IF(Table1[[#This Row],[h_toko]]="","",MATCH(Table1[[#This Row],[h_toko]],Table2[a],0)),))</f>
        <v/>
      </c>
      <c r="O257" s="287" t="str">
        <f>IF(Table1[[#This Row],[h_Item Description]]="","",INDEX([1]!db[NB PAJAK],MATCH(Table1[[#This Row],[h_Item Description]],[1]!db[kode],0)))</f>
        <v/>
      </c>
      <c r="Q257" s="283"/>
      <c r="R257" s="284"/>
      <c r="T257" s="283" t="str">
        <f>Table1[[#This Row],[h_hargasetelahdiskon]]</f>
        <v/>
      </c>
      <c r="W257" s="287" t="str">
        <f ca="1">IF(Table1[[#This Row],[Item Description]]="","",IF(Table1[[#This Row],[//]]="",INDIRECT(ADDRESS(ROW()-1,COLUMN())),Table1[[#This Row],[//]]))</f>
        <v/>
      </c>
      <c r="X257" s="287" t="str">
        <f ca="1">IF(Table1[[#This Row],[h_id]]="","",COUNTIF(Table1[h_id],Table1[[#This Row],[h_id]]))</f>
        <v/>
      </c>
      <c r="Y257" s="283" t="str">
        <f>IF(Table1[Item Description]="","",Table1[[#This Row],[Qty]]*Table1[[#This Row],[Unit Price]])</f>
        <v/>
      </c>
      <c r="Z257" s="283" t="str">
        <f>IF(Table1[[#This Row],[h_hargasebelumdiskon]]="","",IF(Table1[[#This Row],[Disc 1]]="",0,Table1[[#This Row],[h_hargasebelumdiskon]]*Table1[[#This Row],[Disc 1]]))</f>
        <v/>
      </c>
      <c r="AA257" s="283" t="str">
        <f>IF(Table1[[#This Row],[h_hargasebelumdiskon]]="","",IF(Table1[[#This Row],[Disc 2]]="",0,(Table1[[#This Row],[h_hargasebelumdiskon]]-Table1[[#This Row],[h_disc 1]])*Table1[[#This Row],[Disc 2]]))</f>
        <v/>
      </c>
      <c r="AB257" s="283" t="str">
        <f>IF(Table1[Item Description]="","",Table1[[#This Row],[h_disc 1]]+Table1[[#This Row],[h_disc 2]])</f>
        <v/>
      </c>
      <c r="AC257" s="283" t="str">
        <f>IF(Table1[Item Description]="","",Table1[[#This Row],[h_hargasebelumdiskon]]-Table1[[#This Row],[h_diskon]])</f>
        <v/>
      </c>
      <c r="AD257" s="283" t="str">
        <f ca="1">IF(Table1[//]="","",SUMIF(Table1[h_id],Table1[h_id],Table1[h_hargasetelahdiskon]))</f>
        <v/>
      </c>
      <c r="AE257" s="283"/>
      <c r="AF257" s="283" t="str">
        <f>Table1[[#This Row],[Item Description]]&amp;Table1[[#This Row],[Unit]]&amp;Table1[[#This Row],[Unit Price]]</f>
        <v/>
      </c>
    </row>
    <row r="258" spans="1:32" x14ac:dyDescent="0.25">
      <c r="A258" s="287" t="str">
        <f ca="1">IF(Table1[[#This Row],[No. Invoice :]]="","",ROW())</f>
        <v/>
      </c>
      <c r="B258" s="287" t="str">
        <f ca="1">IF(Table1[h_Kode Sales :_1]="","",B$1+COUNT(INDIRECT("B$2:B"&amp;ROW()-1)))</f>
        <v/>
      </c>
      <c r="C258" s="281" t="str">
        <f>IF(Table1[[#This Row],[H_TGL]]="","",Table1[[#This Row],[H_TGL]]+C$1-1)</f>
        <v/>
      </c>
      <c r="H258" s="287" t="str">
        <f ca="1">IF(Table1[[#This Row],[h_No. Invoice :]]="","",CONCATENATE("AM"," ",Table1[[#This Row],[h_No. Invoice :]]))</f>
        <v/>
      </c>
      <c r="I258" s="288" t="str">
        <f>CONCATENATE(UPPER(Table1[[#This Row],[h_Kode Sales :_1]])," ",Table1[[#This Row],[h_Kode Sales :_2]])</f>
        <v xml:space="preserve"> </v>
      </c>
      <c r="J258" s="287" t="str">
        <f>IF(Table1[[#This Row],[h_toko]]="","",INDEX(Table2[e],IF(Table1[[#This Row],[h_toko]]="","",MATCH(Table1[[#This Row],[h_toko]],Table2[a],0)),))</f>
        <v/>
      </c>
      <c r="O258" s="287" t="str">
        <f>IF(Table1[[#This Row],[h_Item Description]]="","",INDEX([1]!db[NB PAJAK],MATCH(Table1[[#This Row],[h_Item Description]],[1]!db[kode],0)))</f>
        <v/>
      </c>
      <c r="Q258" s="283"/>
      <c r="R258" s="284"/>
      <c r="T258" s="283" t="str">
        <f>Table1[[#This Row],[h_hargasetelahdiskon]]</f>
        <v/>
      </c>
      <c r="W258" s="287" t="str">
        <f ca="1">IF(Table1[[#This Row],[Item Description]]="","",IF(Table1[[#This Row],[//]]="",INDIRECT(ADDRESS(ROW()-1,COLUMN())),Table1[[#This Row],[//]]))</f>
        <v/>
      </c>
      <c r="X258" s="287" t="str">
        <f ca="1">IF(Table1[[#This Row],[h_id]]="","",COUNTIF(Table1[h_id],Table1[[#This Row],[h_id]]))</f>
        <v/>
      </c>
      <c r="Y258" s="283" t="str">
        <f>IF(Table1[Item Description]="","",Table1[[#This Row],[Qty]]*Table1[[#This Row],[Unit Price]])</f>
        <v/>
      </c>
      <c r="Z258" s="283" t="str">
        <f>IF(Table1[[#This Row],[h_hargasebelumdiskon]]="","",IF(Table1[[#This Row],[Disc 1]]="",0,Table1[[#This Row],[h_hargasebelumdiskon]]*Table1[[#This Row],[Disc 1]]))</f>
        <v/>
      </c>
      <c r="AA258" s="283" t="str">
        <f>IF(Table1[[#This Row],[h_hargasebelumdiskon]]="","",IF(Table1[[#This Row],[Disc 2]]="",0,(Table1[[#This Row],[h_hargasebelumdiskon]]-Table1[[#This Row],[h_disc 1]])*Table1[[#This Row],[Disc 2]]))</f>
        <v/>
      </c>
      <c r="AB258" s="283" t="str">
        <f>IF(Table1[Item Description]="","",Table1[[#This Row],[h_disc 1]]+Table1[[#This Row],[h_disc 2]])</f>
        <v/>
      </c>
      <c r="AC258" s="283" t="str">
        <f>IF(Table1[Item Description]="","",Table1[[#This Row],[h_hargasebelumdiskon]]-Table1[[#This Row],[h_diskon]])</f>
        <v/>
      </c>
      <c r="AD258" s="283" t="str">
        <f ca="1">IF(Table1[//]="","",SUMIF(Table1[h_id],Table1[h_id],Table1[h_hargasetelahdiskon]))</f>
        <v/>
      </c>
      <c r="AE258" s="283"/>
      <c r="AF258" s="283" t="str">
        <f>Table1[[#This Row],[Item Description]]&amp;Table1[[#This Row],[Unit]]&amp;Table1[[#This Row],[Unit Price]]</f>
        <v/>
      </c>
    </row>
    <row r="259" spans="1:32" x14ac:dyDescent="0.25">
      <c r="A259" s="287" t="str">
        <f ca="1">IF(Table1[[#This Row],[No. Invoice :]]="","",ROW())</f>
        <v/>
      </c>
      <c r="B259" s="287" t="str">
        <f ca="1">IF(Table1[h_Kode Sales :_1]="","",B$1+COUNT(INDIRECT("B$2:B"&amp;ROW()-1)))</f>
        <v/>
      </c>
      <c r="C259" s="281" t="str">
        <f>IF(Table1[[#This Row],[H_TGL]]="","",Table1[[#This Row],[H_TGL]]+C$1-1)</f>
        <v/>
      </c>
      <c r="H259" s="287" t="str">
        <f ca="1">IF(Table1[[#This Row],[h_No. Invoice :]]="","",CONCATENATE("AM"," ",Table1[[#This Row],[h_No. Invoice :]]))</f>
        <v/>
      </c>
      <c r="I259" s="288" t="str">
        <f>CONCATENATE(UPPER(Table1[[#This Row],[h_Kode Sales :_1]])," ",Table1[[#This Row],[h_Kode Sales :_2]])</f>
        <v xml:space="preserve"> </v>
      </c>
      <c r="J259" s="287" t="str">
        <f>IF(Table1[[#This Row],[h_toko]]="","",INDEX(Table2[e],IF(Table1[[#This Row],[h_toko]]="","",MATCH(Table1[[#This Row],[h_toko]],Table2[a],0)),))</f>
        <v/>
      </c>
      <c r="O259" s="287" t="str">
        <f>IF(Table1[[#This Row],[h_Item Description]]="","",INDEX([1]!db[NB PAJAK],MATCH(Table1[[#This Row],[h_Item Description]],[1]!db[kode],0)))</f>
        <v/>
      </c>
      <c r="Q259" s="283"/>
      <c r="R259" s="284"/>
      <c r="T259" s="283" t="str">
        <f>Table1[[#This Row],[h_hargasetelahdiskon]]</f>
        <v/>
      </c>
      <c r="W259" s="287" t="str">
        <f ca="1">IF(Table1[[#This Row],[Item Description]]="","",IF(Table1[[#This Row],[//]]="",INDIRECT(ADDRESS(ROW()-1,COLUMN())),Table1[[#This Row],[//]]))</f>
        <v/>
      </c>
      <c r="X259" s="287" t="str">
        <f ca="1">IF(Table1[[#This Row],[h_id]]="","",COUNTIF(Table1[h_id],Table1[[#This Row],[h_id]]))</f>
        <v/>
      </c>
      <c r="Y259" s="283" t="str">
        <f>IF(Table1[Item Description]="","",Table1[[#This Row],[Qty]]*Table1[[#This Row],[Unit Price]])</f>
        <v/>
      </c>
      <c r="Z259" s="283" t="str">
        <f>IF(Table1[[#This Row],[h_hargasebelumdiskon]]="","",IF(Table1[[#This Row],[Disc 1]]="",0,Table1[[#This Row],[h_hargasebelumdiskon]]*Table1[[#This Row],[Disc 1]]))</f>
        <v/>
      </c>
      <c r="AA259" s="283" t="str">
        <f>IF(Table1[[#This Row],[h_hargasebelumdiskon]]="","",IF(Table1[[#This Row],[Disc 2]]="",0,(Table1[[#This Row],[h_hargasebelumdiskon]]-Table1[[#This Row],[h_disc 1]])*Table1[[#This Row],[Disc 2]]))</f>
        <v/>
      </c>
      <c r="AB259" s="283" t="str">
        <f>IF(Table1[Item Description]="","",Table1[[#This Row],[h_disc 1]]+Table1[[#This Row],[h_disc 2]])</f>
        <v/>
      </c>
      <c r="AC259" s="283" t="str">
        <f>IF(Table1[Item Description]="","",Table1[[#This Row],[h_hargasebelumdiskon]]-Table1[[#This Row],[h_diskon]])</f>
        <v/>
      </c>
      <c r="AD259" s="283" t="str">
        <f ca="1">IF(Table1[//]="","",SUMIF(Table1[h_id],Table1[h_id],Table1[h_hargasetelahdiskon]))</f>
        <v/>
      </c>
      <c r="AE259" s="283"/>
      <c r="AF259" s="283" t="str">
        <f>Table1[[#This Row],[Item Description]]&amp;Table1[[#This Row],[Unit]]&amp;Table1[[#This Row],[Unit Price]]</f>
        <v/>
      </c>
    </row>
    <row r="260" spans="1:32" x14ac:dyDescent="0.25">
      <c r="A260" s="287" t="str">
        <f ca="1">IF(Table1[[#This Row],[No. Invoice :]]="","",ROW())</f>
        <v/>
      </c>
      <c r="B260" s="287" t="str">
        <f ca="1">IF(Table1[h_Kode Sales :_1]="","",B$1+COUNT(INDIRECT("B$2:B"&amp;ROW()-1)))</f>
        <v/>
      </c>
      <c r="C260" s="281" t="str">
        <f>IF(Table1[[#This Row],[H_TGL]]="","",Table1[[#This Row],[H_TGL]]+C$1-1)</f>
        <v/>
      </c>
      <c r="H260" s="287" t="str">
        <f ca="1">IF(Table1[[#This Row],[h_No. Invoice :]]="","",CONCATENATE("AM"," ",Table1[[#This Row],[h_No. Invoice :]]))</f>
        <v/>
      </c>
      <c r="I260" s="288" t="str">
        <f>CONCATENATE(UPPER(Table1[[#This Row],[h_Kode Sales :_1]])," ",Table1[[#This Row],[h_Kode Sales :_2]])</f>
        <v xml:space="preserve"> </v>
      </c>
      <c r="J260" s="287" t="str">
        <f>IF(Table1[[#This Row],[h_toko]]="","",INDEX(Table2[e],IF(Table1[[#This Row],[h_toko]]="","",MATCH(Table1[[#This Row],[h_toko]],Table2[a],0)),))</f>
        <v/>
      </c>
      <c r="O260" s="287" t="str">
        <f>IF(Table1[[#This Row],[h_Item Description]]="","",INDEX([1]!db[NB PAJAK],MATCH(Table1[[#This Row],[h_Item Description]],[1]!db[kode],0)))</f>
        <v/>
      </c>
      <c r="Q260" s="283"/>
      <c r="R260" s="284"/>
      <c r="T260" s="283" t="str">
        <f>Table1[[#This Row],[h_hargasetelahdiskon]]</f>
        <v/>
      </c>
      <c r="W260" s="287" t="str">
        <f ca="1">IF(Table1[[#This Row],[Item Description]]="","",IF(Table1[[#This Row],[//]]="",INDIRECT(ADDRESS(ROW()-1,COLUMN())),Table1[[#This Row],[//]]))</f>
        <v/>
      </c>
      <c r="X260" s="287" t="str">
        <f ca="1">IF(Table1[[#This Row],[h_id]]="","",COUNTIF(Table1[h_id],Table1[[#This Row],[h_id]]))</f>
        <v/>
      </c>
      <c r="Y260" s="283" t="str">
        <f>IF(Table1[Item Description]="","",Table1[[#This Row],[Qty]]*Table1[[#This Row],[Unit Price]])</f>
        <v/>
      </c>
      <c r="Z260" s="283" t="str">
        <f>IF(Table1[[#This Row],[h_hargasebelumdiskon]]="","",IF(Table1[[#This Row],[Disc 1]]="",0,Table1[[#This Row],[h_hargasebelumdiskon]]*Table1[[#This Row],[Disc 1]]))</f>
        <v/>
      </c>
      <c r="AA260" s="283" t="str">
        <f>IF(Table1[[#This Row],[h_hargasebelumdiskon]]="","",IF(Table1[[#This Row],[Disc 2]]="",0,(Table1[[#This Row],[h_hargasebelumdiskon]]-Table1[[#This Row],[h_disc 1]])*Table1[[#This Row],[Disc 2]]))</f>
        <v/>
      </c>
      <c r="AB260" s="283" t="str">
        <f>IF(Table1[Item Description]="","",Table1[[#This Row],[h_disc 1]]+Table1[[#This Row],[h_disc 2]])</f>
        <v/>
      </c>
      <c r="AC260" s="283" t="str">
        <f>IF(Table1[Item Description]="","",Table1[[#This Row],[h_hargasebelumdiskon]]-Table1[[#This Row],[h_diskon]])</f>
        <v/>
      </c>
      <c r="AD260" s="283" t="str">
        <f ca="1">IF(Table1[//]="","",SUMIF(Table1[h_id],Table1[h_id],Table1[h_hargasetelahdiskon]))</f>
        <v/>
      </c>
      <c r="AE260" s="283"/>
      <c r="AF260" s="283" t="str">
        <f>Table1[[#This Row],[Item Description]]&amp;Table1[[#This Row],[Unit]]&amp;Table1[[#This Row],[Unit Price]]</f>
        <v/>
      </c>
    </row>
    <row r="261" spans="1:32" x14ac:dyDescent="0.25">
      <c r="A261" s="287" t="str">
        <f ca="1">IF(Table1[[#This Row],[No. Invoice :]]="","",ROW())</f>
        <v/>
      </c>
      <c r="B261" s="287" t="str">
        <f ca="1">IF(Table1[h_Kode Sales :_1]="","",B$1+COUNT(INDIRECT("B$2:B"&amp;ROW()-1)))</f>
        <v/>
      </c>
      <c r="C261" s="281" t="str">
        <f>IF(Table1[[#This Row],[H_TGL]]="","",Table1[[#This Row],[H_TGL]]+C$1-1)</f>
        <v/>
      </c>
      <c r="H261" s="287" t="str">
        <f ca="1">IF(Table1[[#This Row],[h_No. Invoice :]]="","",CONCATENATE("AM"," ",Table1[[#This Row],[h_No. Invoice :]]))</f>
        <v/>
      </c>
      <c r="I261" s="288" t="str">
        <f>CONCATENATE(UPPER(Table1[[#This Row],[h_Kode Sales :_1]])," ",Table1[[#This Row],[h_Kode Sales :_2]])</f>
        <v xml:space="preserve"> </v>
      </c>
      <c r="J261" s="287" t="str">
        <f>IF(Table1[[#This Row],[h_toko]]="","",INDEX(Table2[e],IF(Table1[[#This Row],[h_toko]]="","",MATCH(Table1[[#This Row],[h_toko]],Table2[a],0)),))</f>
        <v/>
      </c>
      <c r="O261" s="287" t="str">
        <f>IF(Table1[[#This Row],[h_Item Description]]="","",INDEX([1]!db[NB PAJAK],MATCH(Table1[[#This Row],[h_Item Description]],[1]!db[kode],0)))</f>
        <v/>
      </c>
      <c r="Q261" s="283"/>
      <c r="R261" s="284"/>
      <c r="T261" s="283" t="str">
        <f>Table1[[#This Row],[h_hargasetelahdiskon]]</f>
        <v/>
      </c>
      <c r="W261" s="287" t="str">
        <f ca="1">IF(Table1[[#This Row],[Item Description]]="","",IF(Table1[[#This Row],[//]]="",INDIRECT(ADDRESS(ROW()-1,COLUMN())),Table1[[#This Row],[//]]))</f>
        <v/>
      </c>
      <c r="X261" s="287" t="str">
        <f ca="1">IF(Table1[[#This Row],[h_id]]="","",COUNTIF(Table1[h_id],Table1[[#This Row],[h_id]]))</f>
        <v/>
      </c>
      <c r="Y261" s="283" t="str">
        <f>IF(Table1[Item Description]="","",Table1[[#This Row],[Qty]]*Table1[[#This Row],[Unit Price]])</f>
        <v/>
      </c>
      <c r="Z261" s="283" t="str">
        <f>IF(Table1[[#This Row],[h_hargasebelumdiskon]]="","",IF(Table1[[#This Row],[Disc 1]]="",0,Table1[[#This Row],[h_hargasebelumdiskon]]*Table1[[#This Row],[Disc 1]]))</f>
        <v/>
      </c>
      <c r="AA261" s="283" t="str">
        <f>IF(Table1[[#This Row],[h_hargasebelumdiskon]]="","",IF(Table1[[#This Row],[Disc 2]]="",0,(Table1[[#This Row],[h_hargasebelumdiskon]]-Table1[[#This Row],[h_disc 1]])*Table1[[#This Row],[Disc 2]]))</f>
        <v/>
      </c>
      <c r="AB261" s="283" t="str">
        <f>IF(Table1[Item Description]="","",Table1[[#This Row],[h_disc 1]]+Table1[[#This Row],[h_disc 2]])</f>
        <v/>
      </c>
      <c r="AC261" s="283" t="str">
        <f>IF(Table1[Item Description]="","",Table1[[#This Row],[h_hargasebelumdiskon]]-Table1[[#This Row],[h_diskon]])</f>
        <v/>
      </c>
      <c r="AD261" s="283" t="str">
        <f ca="1">IF(Table1[//]="","",SUMIF(Table1[h_id],Table1[h_id],Table1[h_hargasetelahdiskon]))</f>
        <v/>
      </c>
      <c r="AE261" s="283"/>
      <c r="AF261" s="283" t="str">
        <f>Table1[[#This Row],[Item Description]]&amp;Table1[[#This Row],[Unit]]&amp;Table1[[#This Row],[Unit Price]]</f>
        <v/>
      </c>
    </row>
    <row r="262" spans="1:32" x14ac:dyDescent="0.25">
      <c r="A262" s="287" t="str">
        <f ca="1">IF(Table1[[#This Row],[No. Invoice :]]="","",ROW())</f>
        <v/>
      </c>
      <c r="B262" s="287" t="str">
        <f ca="1">IF(Table1[h_Kode Sales :_1]="","",B$1+COUNT(INDIRECT("B$2:B"&amp;ROW()-1)))</f>
        <v/>
      </c>
      <c r="C262" s="281" t="str">
        <f>IF(Table1[[#This Row],[H_TGL]]="","",Table1[[#This Row],[H_TGL]]+C$1-1)</f>
        <v/>
      </c>
      <c r="H262" s="287" t="str">
        <f ca="1">IF(Table1[[#This Row],[h_No. Invoice :]]="","",CONCATENATE("AM"," ",Table1[[#This Row],[h_No. Invoice :]]))</f>
        <v/>
      </c>
      <c r="I262" s="288" t="str">
        <f>CONCATENATE(UPPER(Table1[[#This Row],[h_Kode Sales :_1]])," ",Table1[[#This Row],[h_Kode Sales :_2]])</f>
        <v xml:space="preserve"> </v>
      </c>
      <c r="J262" s="287" t="str">
        <f>IF(Table1[[#This Row],[h_toko]]="","",INDEX(Table2[e],IF(Table1[[#This Row],[h_toko]]="","",MATCH(Table1[[#This Row],[h_toko]],Table2[a],0)),))</f>
        <v/>
      </c>
      <c r="O262" s="287" t="str">
        <f>IF(Table1[[#This Row],[h_Item Description]]="","",INDEX([1]!db[NB PAJAK],MATCH(Table1[[#This Row],[h_Item Description]],[1]!db[kode],0)))</f>
        <v/>
      </c>
      <c r="Q262" s="283"/>
      <c r="R262" s="284"/>
      <c r="T262" s="283" t="str">
        <f>Table1[[#This Row],[h_hargasetelahdiskon]]</f>
        <v/>
      </c>
      <c r="W262" s="287" t="str">
        <f ca="1">IF(Table1[[#This Row],[Item Description]]="","",IF(Table1[[#This Row],[//]]="",INDIRECT(ADDRESS(ROW()-1,COLUMN())),Table1[[#This Row],[//]]))</f>
        <v/>
      </c>
      <c r="X262" s="287" t="str">
        <f ca="1">IF(Table1[[#This Row],[h_id]]="","",COUNTIF(Table1[h_id],Table1[[#This Row],[h_id]]))</f>
        <v/>
      </c>
      <c r="Y262" s="283" t="str">
        <f>IF(Table1[Item Description]="","",Table1[[#This Row],[Qty]]*Table1[[#This Row],[Unit Price]])</f>
        <v/>
      </c>
      <c r="Z262" s="283" t="str">
        <f>IF(Table1[[#This Row],[h_hargasebelumdiskon]]="","",IF(Table1[[#This Row],[Disc 1]]="",0,Table1[[#This Row],[h_hargasebelumdiskon]]*Table1[[#This Row],[Disc 1]]))</f>
        <v/>
      </c>
      <c r="AA262" s="283" t="str">
        <f>IF(Table1[[#This Row],[h_hargasebelumdiskon]]="","",IF(Table1[[#This Row],[Disc 2]]="",0,(Table1[[#This Row],[h_hargasebelumdiskon]]-Table1[[#This Row],[h_disc 1]])*Table1[[#This Row],[Disc 2]]))</f>
        <v/>
      </c>
      <c r="AB262" s="283" t="str">
        <f>IF(Table1[Item Description]="","",Table1[[#This Row],[h_disc 1]]+Table1[[#This Row],[h_disc 2]])</f>
        <v/>
      </c>
      <c r="AC262" s="283" t="str">
        <f>IF(Table1[Item Description]="","",Table1[[#This Row],[h_hargasebelumdiskon]]-Table1[[#This Row],[h_diskon]])</f>
        <v/>
      </c>
      <c r="AD262" s="283" t="str">
        <f ca="1">IF(Table1[//]="","",SUMIF(Table1[h_id],Table1[h_id],Table1[h_hargasetelahdiskon]))</f>
        <v/>
      </c>
      <c r="AE262" s="283"/>
      <c r="AF262" s="283" t="str">
        <f>Table1[[#This Row],[Item Description]]&amp;Table1[[#This Row],[Unit]]&amp;Table1[[#This Row],[Unit Price]]</f>
        <v/>
      </c>
    </row>
    <row r="263" spans="1:32" x14ac:dyDescent="0.25">
      <c r="A263" s="287" t="str">
        <f ca="1">IF(Table1[[#This Row],[No. Invoice :]]="","",ROW())</f>
        <v/>
      </c>
      <c r="B263" s="287" t="str">
        <f ca="1">IF(Table1[h_Kode Sales :_1]="","",B$1+COUNT(INDIRECT("B$2:B"&amp;ROW()-1)))</f>
        <v/>
      </c>
      <c r="C263" s="281" t="str">
        <f>IF(Table1[[#This Row],[H_TGL]]="","",Table1[[#This Row],[H_TGL]]+C$1-1)</f>
        <v/>
      </c>
      <c r="H263" s="287" t="str">
        <f ca="1">IF(Table1[[#This Row],[h_No. Invoice :]]="","",CONCATENATE("AM"," ",Table1[[#This Row],[h_No. Invoice :]]))</f>
        <v/>
      </c>
      <c r="I263" s="288" t="str">
        <f>CONCATENATE(UPPER(Table1[[#This Row],[h_Kode Sales :_1]])," ",Table1[[#This Row],[h_Kode Sales :_2]])</f>
        <v xml:space="preserve"> </v>
      </c>
      <c r="J263" s="287" t="str">
        <f>IF(Table1[[#This Row],[h_toko]]="","",INDEX(Table2[e],IF(Table1[[#This Row],[h_toko]]="","",MATCH(Table1[[#This Row],[h_toko]],Table2[a],0)),))</f>
        <v/>
      </c>
      <c r="O263" s="287" t="str">
        <f>IF(Table1[[#This Row],[h_Item Description]]="","",INDEX([1]!db[NB PAJAK],MATCH(Table1[[#This Row],[h_Item Description]],[1]!db[kode],0)))</f>
        <v/>
      </c>
      <c r="Q263" s="283"/>
      <c r="R263" s="284"/>
      <c r="T263" s="283" t="str">
        <f>Table1[[#This Row],[h_hargasetelahdiskon]]</f>
        <v/>
      </c>
      <c r="W263" s="287" t="str">
        <f ca="1">IF(Table1[[#This Row],[Item Description]]="","",IF(Table1[[#This Row],[//]]="",INDIRECT(ADDRESS(ROW()-1,COLUMN())),Table1[[#This Row],[//]]))</f>
        <v/>
      </c>
      <c r="X263" s="287" t="str">
        <f ca="1">IF(Table1[[#This Row],[h_id]]="","",COUNTIF(Table1[h_id],Table1[[#This Row],[h_id]]))</f>
        <v/>
      </c>
      <c r="Y263" s="283" t="str">
        <f>IF(Table1[Item Description]="","",Table1[[#This Row],[Qty]]*Table1[[#This Row],[Unit Price]])</f>
        <v/>
      </c>
      <c r="Z263" s="283" t="str">
        <f>IF(Table1[[#This Row],[h_hargasebelumdiskon]]="","",IF(Table1[[#This Row],[Disc 1]]="",0,Table1[[#This Row],[h_hargasebelumdiskon]]*Table1[[#This Row],[Disc 1]]))</f>
        <v/>
      </c>
      <c r="AA263" s="283" t="str">
        <f>IF(Table1[[#This Row],[h_hargasebelumdiskon]]="","",IF(Table1[[#This Row],[Disc 2]]="",0,(Table1[[#This Row],[h_hargasebelumdiskon]]-Table1[[#This Row],[h_disc 1]])*Table1[[#This Row],[Disc 2]]))</f>
        <v/>
      </c>
      <c r="AB263" s="283" t="str">
        <f>IF(Table1[Item Description]="","",Table1[[#This Row],[h_disc 1]]+Table1[[#This Row],[h_disc 2]])</f>
        <v/>
      </c>
      <c r="AC263" s="283" t="str">
        <f>IF(Table1[Item Description]="","",Table1[[#This Row],[h_hargasebelumdiskon]]-Table1[[#This Row],[h_diskon]])</f>
        <v/>
      </c>
      <c r="AD263" s="283" t="str">
        <f ca="1">IF(Table1[//]="","",SUMIF(Table1[h_id],Table1[h_id],Table1[h_hargasetelahdiskon]))</f>
        <v/>
      </c>
      <c r="AE263" s="283"/>
      <c r="AF263" s="283" t="str">
        <f>Table1[[#This Row],[Item Description]]&amp;Table1[[#This Row],[Unit]]&amp;Table1[[#This Row],[Unit Price]]</f>
        <v/>
      </c>
    </row>
    <row r="264" spans="1:32" x14ac:dyDescent="0.25">
      <c r="A264" s="287" t="str">
        <f ca="1">IF(Table1[[#This Row],[No. Invoice :]]="","",ROW())</f>
        <v/>
      </c>
      <c r="B264" s="287" t="str">
        <f ca="1">IF(Table1[h_Kode Sales :_1]="","",B$1+COUNT(INDIRECT("B$2:B"&amp;ROW()-1)))</f>
        <v/>
      </c>
      <c r="C264" s="281" t="str">
        <f>IF(Table1[[#This Row],[H_TGL]]="","",Table1[[#This Row],[H_TGL]]+C$1-1)</f>
        <v/>
      </c>
      <c r="H264" s="287" t="str">
        <f ca="1">IF(Table1[[#This Row],[h_No. Invoice :]]="","",CONCATENATE("AM"," ",Table1[[#This Row],[h_No. Invoice :]]))</f>
        <v/>
      </c>
      <c r="I264" s="288" t="str">
        <f>CONCATENATE(UPPER(Table1[[#This Row],[h_Kode Sales :_1]])," ",Table1[[#This Row],[h_Kode Sales :_2]])</f>
        <v xml:space="preserve"> </v>
      </c>
      <c r="J264" s="287" t="str">
        <f>IF(Table1[[#This Row],[h_toko]]="","",INDEX(Table2[e],IF(Table1[[#This Row],[h_toko]]="","",MATCH(Table1[[#This Row],[h_toko]],Table2[a],0)),))</f>
        <v/>
      </c>
      <c r="O264" s="287" t="str">
        <f>IF(Table1[[#This Row],[h_Item Description]]="","",INDEX([1]!db[NB PAJAK],MATCH(Table1[[#This Row],[h_Item Description]],[1]!db[kode],0)))</f>
        <v/>
      </c>
      <c r="Q264" s="283"/>
      <c r="R264" s="284"/>
      <c r="T264" s="283" t="str">
        <f>Table1[[#This Row],[h_hargasetelahdiskon]]</f>
        <v/>
      </c>
      <c r="W264" s="287" t="str">
        <f ca="1">IF(Table1[[#This Row],[Item Description]]="","",IF(Table1[[#This Row],[//]]="",INDIRECT(ADDRESS(ROW()-1,COLUMN())),Table1[[#This Row],[//]]))</f>
        <v/>
      </c>
      <c r="X264" s="287" t="str">
        <f ca="1">IF(Table1[[#This Row],[h_id]]="","",COUNTIF(Table1[h_id],Table1[[#This Row],[h_id]]))</f>
        <v/>
      </c>
      <c r="Y264" s="283" t="str">
        <f>IF(Table1[Item Description]="","",Table1[[#This Row],[Qty]]*Table1[[#This Row],[Unit Price]])</f>
        <v/>
      </c>
      <c r="Z264" s="283" t="str">
        <f>IF(Table1[[#This Row],[h_hargasebelumdiskon]]="","",IF(Table1[[#This Row],[Disc 1]]="",0,Table1[[#This Row],[h_hargasebelumdiskon]]*Table1[[#This Row],[Disc 1]]))</f>
        <v/>
      </c>
      <c r="AA264" s="283" t="str">
        <f>IF(Table1[[#This Row],[h_hargasebelumdiskon]]="","",IF(Table1[[#This Row],[Disc 2]]="",0,(Table1[[#This Row],[h_hargasebelumdiskon]]-Table1[[#This Row],[h_disc 1]])*Table1[[#This Row],[Disc 2]]))</f>
        <v/>
      </c>
      <c r="AB264" s="283" t="str">
        <f>IF(Table1[Item Description]="","",Table1[[#This Row],[h_disc 1]]+Table1[[#This Row],[h_disc 2]])</f>
        <v/>
      </c>
      <c r="AC264" s="283" t="str">
        <f>IF(Table1[Item Description]="","",Table1[[#This Row],[h_hargasebelumdiskon]]-Table1[[#This Row],[h_diskon]])</f>
        <v/>
      </c>
      <c r="AD264" s="283" t="str">
        <f ca="1">IF(Table1[//]="","",SUMIF(Table1[h_id],Table1[h_id],Table1[h_hargasetelahdiskon]))</f>
        <v/>
      </c>
      <c r="AE264" s="283"/>
      <c r="AF264" s="283" t="str">
        <f>Table1[[#This Row],[Item Description]]&amp;Table1[[#This Row],[Unit]]&amp;Table1[[#This Row],[Unit Price]]</f>
        <v/>
      </c>
    </row>
    <row r="265" spans="1:32" x14ac:dyDescent="0.25">
      <c r="A265" s="287" t="str">
        <f ca="1">IF(Table1[[#This Row],[No. Invoice :]]="","",ROW())</f>
        <v/>
      </c>
      <c r="B265" s="287" t="str">
        <f ca="1">IF(Table1[h_Kode Sales :_1]="","",B$1+COUNT(INDIRECT("B$2:B"&amp;ROW()-1)))</f>
        <v/>
      </c>
      <c r="C265" s="281" t="str">
        <f>IF(Table1[[#This Row],[H_TGL]]="","",Table1[[#This Row],[H_TGL]]+C$1-1)</f>
        <v/>
      </c>
      <c r="H265" s="287" t="str">
        <f ca="1">IF(Table1[[#This Row],[h_No. Invoice :]]="","",CONCATENATE("AM"," ",Table1[[#This Row],[h_No. Invoice :]]))</f>
        <v/>
      </c>
      <c r="I265" s="288" t="str">
        <f>CONCATENATE(UPPER(Table1[[#This Row],[h_Kode Sales :_1]])," ",Table1[[#This Row],[h_Kode Sales :_2]])</f>
        <v xml:space="preserve"> </v>
      </c>
      <c r="J265" s="287" t="str">
        <f>IF(Table1[[#This Row],[h_toko]]="","",INDEX(Table2[e],IF(Table1[[#This Row],[h_toko]]="","",MATCH(Table1[[#This Row],[h_toko]],Table2[a],0)),))</f>
        <v/>
      </c>
      <c r="O265" s="287" t="str">
        <f>IF(Table1[[#This Row],[h_Item Description]]="","",INDEX([1]!db[NB PAJAK],MATCH(Table1[[#This Row],[h_Item Description]],[1]!db[kode],0)))</f>
        <v/>
      </c>
      <c r="Q265" s="283"/>
      <c r="R265" s="284"/>
      <c r="T265" s="283" t="str">
        <f>Table1[[#This Row],[h_hargasetelahdiskon]]</f>
        <v/>
      </c>
      <c r="W265" s="287" t="str">
        <f ca="1">IF(Table1[[#This Row],[Item Description]]="","",IF(Table1[[#This Row],[//]]="",INDIRECT(ADDRESS(ROW()-1,COLUMN())),Table1[[#This Row],[//]]))</f>
        <v/>
      </c>
      <c r="X265" s="287" t="str">
        <f ca="1">IF(Table1[[#This Row],[h_id]]="","",COUNTIF(Table1[h_id],Table1[[#This Row],[h_id]]))</f>
        <v/>
      </c>
      <c r="Y265" s="283" t="str">
        <f>IF(Table1[Item Description]="","",Table1[[#This Row],[Qty]]*Table1[[#This Row],[Unit Price]])</f>
        <v/>
      </c>
      <c r="Z265" s="283" t="str">
        <f>IF(Table1[[#This Row],[h_hargasebelumdiskon]]="","",IF(Table1[[#This Row],[Disc 1]]="",0,Table1[[#This Row],[h_hargasebelumdiskon]]*Table1[[#This Row],[Disc 1]]))</f>
        <v/>
      </c>
      <c r="AA265" s="283" t="str">
        <f>IF(Table1[[#This Row],[h_hargasebelumdiskon]]="","",IF(Table1[[#This Row],[Disc 2]]="",0,(Table1[[#This Row],[h_hargasebelumdiskon]]-Table1[[#This Row],[h_disc 1]])*Table1[[#This Row],[Disc 2]]))</f>
        <v/>
      </c>
      <c r="AB265" s="283" t="str">
        <f>IF(Table1[Item Description]="","",Table1[[#This Row],[h_disc 1]]+Table1[[#This Row],[h_disc 2]])</f>
        <v/>
      </c>
      <c r="AC265" s="283" t="str">
        <f>IF(Table1[Item Description]="","",Table1[[#This Row],[h_hargasebelumdiskon]]-Table1[[#This Row],[h_diskon]])</f>
        <v/>
      </c>
      <c r="AD265" s="283" t="str">
        <f ca="1">IF(Table1[//]="","",SUMIF(Table1[h_id],Table1[h_id],Table1[h_hargasetelahdiskon]))</f>
        <v/>
      </c>
      <c r="AE265" s="283"/>
      <c r="AF265" s="283" t="str">
        <f>Table1[[#This Row],[Item Description]]&amp;Table1[[#This Row],[Unit]]&amp;Table1[[#This Row],[Unit Price]]</f>
        <v/>
      </c>
    </row>
    <row r="266" spans="1:32" x14ac:dyDescent="0.25">
      <c r="A266" s="287" t="str">
        <f ca="1">IF(Table1[[#This Row],[No. Invoice :]]="","",ROW())</f>
        <v/>
      </c>
      <c r="B266" s="287" t="str">
        <f ca="1">IF(Table1[h_Kode Sales :_1]="","",B$1+COUNT(INDIRECT("B$2:B"&amp;ROW()-1)))</f>
        <v/>
      </c>
      <c r="C266" s="281" t="str">
        <f>IF(Table1[[#This Row],[H_TGL]]="","",Table1[[#This Row],[H_TGL]]+C$1-1)</f>
        <v/>
      </c>
      <c r="H266" s="287" t="str">
        <f ca="1">IF(Table1[[#This Row],[h_No. Invoice :]]="","",CONCATENATE("AM"," ",Table1[[#This Row],[h_No. Invoice :]]))</f>
        <v/>
      </c>
      <c r="I266" s="288" t="str">
        <f>CONCATENATE(UPPER(Table1[[#This Row],[h_Kode Sales :_1]])," ",Table1[[#This Row],[h_Kode Sales :_2]])</f>
        <v xml:space="preserve"> </v>
      </c>
      <c r="J266" s="287" t="str">
        <f>IF(Table1[[#This Row],[h_toko]]="","",INDEX(Table2[e],IF(Table1[[#This Row],[h_toko]]="","",MATCH(Table1[[#This Row],[h_toko]],Table2[a],0)),))</f>
        <v/>
      </c>
      <c r="O266" s="287" t="str">
        <f>IF(Table1[[#This Row],[h_Item Description]]="","",INDEX([1]!db[NB PAJAK],MATCH(Table1[[#This Row],[h_Item Description]],[1]!db[kode],0)))</f>
        <v/>
      </c>
      <c r="Q266" s="283"/>
      <c r="R266" s="284"/>
      <c r="T266" s="283" t="str">
        <f>Table1[[#This Row],[h_hargasetelahdiskon]]</f>
        <v/>
      </c>
      <c r="W266" s="287" t="str">
        <f ca="1">IF(Table1[[#This Row],[Item Description]]="","",IF(Table1[[#This Row],[//]]="",INDIRECT(ADDRESS(ROW()-1,COLUMN())),Table1[[#This Row],[//]]))</f>
        <v/>
      </c>
      <c r="X266" s="287" t="str">
        <f ca="1">IF(Table1[[#This Row],[h_id]]="","",COUNTIF(Table1[h_id],Table1[[#This Row],[h_id]]))</f>
        <v/>
      </c>
      <c r="Y266" s="283" t="str">
        <f>IF(Table1[Item Description]="","",Table1[[#This Row],[Qty]]*Table1[[#This Row],[Unit Price]])</f>
        <v/>
      </c>
      <c r="Z266" s="283" t="str">
        <f>IF(Table1[[#This Row],[h_hargasebelumdiskon]]="","",IF(Table1[[#This Row],[Disc 1]]="",0,Table1[[#This Row],[h_hargasebelumdiskon]]*Table1[[#This Row],[Disc 1]]))</f>
        <v/>
      </c>
      <c r="AA266" s="283" t="str">
        <f>IF(Table1[[#This Row],[h_hargasebelumdiskon]]="","",IF(Table1[[#This Row],[Disc 2]]="",0,(Table1[[#This Row],[h_hargasebelumdiskon]]-Table1[[#This Row],[h_disc 1]])*Table1[[#This Row],[Disc 2]]))</f>
        <v/>
      </c>
      <c r="AB266" s="283" t="str">
        <f>IF(Table1[Item Description]="","",Table1[[#This Row],[h_disc 1]]+Table1[[#This Row],[h_disc 2]])</f>
        <v/>
      </c>
      <c r="AC266" s="283" t="str">
        <f>IF(Table1[Item Description]="","",Table1[[#This Row],[h_hargasebelumdiskon]]-Table1[[#This Row],[h_diskon]])</f>
        <v/>
      </c>
      <c r="AD266" s="283" t="str">
        <f ca="1">IF(Table1[//]="","",SUMIF(Table1[h_id],Table1[h_id],Table1[h_hargasetelahdiskon]))</f>
        <v/>
      </c>
      <c r="AE266" s="283"/>
      <c r="AF266" s="283" t="str">
        <f>Table1[[#This Row],[Item Description]]&amp;Table1[[#This Row],[Unit]]&amp;Table1[[#This Row],[Unit Price]]</f>
        <v/>
      </c>
    </row>
    <row r="267" spans="1:32" x14ac:dyDescent="0.25">
      <c r="A267" s="287" t="str">
        <f ca="1">IF(Table1[[#This Row],[No. Invoice :]]="","",ROW())</f>
        <v/>
      </c>
      <c r="B267" s="287" t="str">
        <f ca="1">IF(Table1[h_Kode Sales :_1]="","",B$1+COUNT(INDIRECT("B$2:B"&amp;ROW()-1)))</f>
        <v/>
      </c>
      <c r="C267" s="281" t="str">
        <f>IF(Table1[[#This Row],[H_TGL]]="","",Table1[[#This Row],[H_TGL]]+C$1-1)</f>
        <v/>
      </c>
      <c r="H267" s="287" t="str">
        <f ca="1">IF(Table1[[#This Row],[h_No. Invoice :]]="","",CONCATENATE("AM"," ",Table1[[#This Row],[h_No. Invoice :]]))</f>
        <v/>
      </c>
      <c r="I267" s="288" t="str">
        <f>CONCATENATE(UPPER(Table1[[#This Row],[h_Kode Sales :_1]])," ",Table1[[#This Row],[h_Kode Sales :_2]])</f>
        <v xml:space="preserve"> </v>
      </c>
      <c r="J267" s="287" t="str">
        <f>IF(Table1[[#This Row],[h_toko]]="","",INDEX(Table2[e],IF(Table1[[#This Row],[h_toko]]="","",MATCH(Table1[[#This Row],[h_toko]],Table2[a],0)),))</f>
        <v/>
      </c>
      <c r="O267" s="287" t="str">
        <f>IF(Table1[[#This Row],[h_Item Description]]="","",INDEX([1]!db[NB PAJAK],MATCH(Table1[[#This Row],[h_Item Description]],[1]!db[kode],0)))</f>
        <v/>
      </c>
      <c r="Q267" s="283"/>
      <c r="R267" s="284"/>
      <c r="T267" s="283" t="str">
        <f>Table1[[#This Row],[h_hargasetelahdiskon]]</f>
        <v/>
      </c>
      <c r="W267" s="287" t="str">
        <f ca="1">IF(Table1[[#This Row],[Item Description]]="","",IF(Table1[[#This Row],[//]]="",INDIRECT(ADDRESS(ROW()-1,COLUMN())),Table1[[#This Row],[//]]))</f>
        <v/>
      </c>
      <c r="X267" s="287" t="str">
        <f ca="1">IF(Table1[[#This Row],[h_id]]="","",COUNTIF(Table1[h_id],Table1[[#This Row],[h_id]]))</f>
        <v/>
      </c>
      <c r="Y267" s="283" t="str">
        <f>IF(Table1[Item Description]="","",Table1[[#This Row],[Qty]]*Table1[[#This Row],[Unit Price]])</f>
        <v/>
      </c>
      <c r="Z267" s="283" t="str">
        <f>IF(Table1[[#This Row],[h_hargasebelumdiskon]]="","",IF(Table1[[#This Row],[Disc 1]]="",0,Table1[[#This Row],[h_hargasebelumdiskon]]*Table1[[#This Row],[Disc 1]]))</f>
        <v/>
      </c>
      <c r="AA267" s="283" t="str">
        <f>IF(Table1[[#This Row],[h_hargasebelumdiskon]]="","",IF(Table1[[#This Row],[Disc 2]]="",0,(Table1[[#This Row],[h_hargasebelumdiskon]]-Table1[[#This Row],[h_disc 1]])*Table1[[#This Row],[Disc 2]]))</f>
        <v/>
      </c>
      <c r="AB267" s="283" t="str">
        <f>IF(Table1[Item Description]="","",Table1[[#This Row],[h_disc 1]]+Table1[[#This Row],[h_disc 2]])</f>
        <v/>
      </c>
      <c r="AC267" s="283" t="str">
        <f>IF(Table1[Item Description]="","",Table1[[#This Row],[h_hargasebelumdiskon]]-Table1[[#This Row],[h_diskon]])</f>
        <v/>
      </c>
      <c r="AD267" s="283" t="str">
        <f ca="1">IF(Table1[//]="","",SUMIF(Table1[h_id],Table1[h_id],Table1[h_hargasetelahdiskon]))</f>
        <v/>
      </c>
      <c r="AE267" s="283"/>
      <c r="AF267" s="283" t="str">
        <f>Table1[[#This Row],[Item Description]]&amp;Table1[[#This Row],[Unit]]&amp;Table1[[#This Row],[Unit Price]]</f>
        <v/>
      </c>
    </row>
    <row r="268" spans="1:32" x14ac:dyDescent="0.25">
      <c r="A268" s="287" t="str">
        <f ca="1">IF(Table1[[#This Row],[No. Invoice :]]="","",ROW())</f>
        <v/>
      </c>
      <c r="B268" s="287" t="str">
        <f ca="1">IF(Table1[h_Kode Sales :_1]="","",B$1+COUNT(INDIRECT("B$2:B"&amp;ROW()-1)))</f>
        <v/>
      </c>
      <c r="C268" s="281" t="str">
        <f>IF(Table1[[#This Row],[H_TGL]]="","",Table1[[#This Row],[H_TGL]]+C$1-1)</f>
        <v/>
      </c>
      <c r="H268" s="287" t="str">
        <f ca="1">IF(Table1[[#This Row],[h_No. Invoice :]]="","",CONCATENATE("AM"," ",Table1[[#This Row],[h_No. Invoice :]]))</f>
        <v/>
      </c>
      <c r="I268" s="288" t="str">
        <f>CONCATENATE(UPPER(Table1[[#This Row],[h_Kode Sales :_1]])," ",Table1[[#This Row],[h_Kode Sales :_2]])</f>
        <v xml:space="preserve"> </v>
      </c>
      <c r="J268" s="287" t="str">
        <f>IF(Table1[[#This Row],[h_toko]]="","",INDEX(Table2[e],IF(Table1[[#This Row],[h_toko]]="","",MATCH(Table1[[#This Row],[h_toko]],Table2[a],0)),))</f>
        <v/>
      </c>
      <c r="O268" s="287" t="str">
        <f>IF(Table1[[#This Row],[h_Item Description]]="","",INDEX([1]!db[NB PAJAK],MATCH(Table1[[#This Row],[h_Item Description]],[1]!db[kode],0)))</f>
        <v/>
      </c>
      <c r="Q268" s="283"/>
      <c r="R268" s="284"/>
      <c r="T268" s="283" t="str">
        <f>Table1[[#This Row],[h_hargasetelahdiskon]]</f>
        <v/>
      </c>
      <c r="W268" s="287" t="str">
        <f ca="1">IF(Table1[[#This Row],[Item Description]]="","",IF(Table1[[#This Row],[//]]="",INDIRECT(ADDRESS(ROW()-1,COLUMN())),Table1[[#This Row],[//]]))</f>
        <v/>
      </c>
      <c r="X268" s="287" t="str">
        <f ca="1">IF(Table1[[#This Row],[h_id]]="","",COUNTIF(Table1[h_id],Table1[[#This Row],[h_id]]))</f>
        <v/>
      </c>
      <c r="Y268" s="283" t="str">
        <f>IF(Table1[Item Description]="","",Table1[[#This Row],[Qty]]*Table1[[#This Row],[Unit Price]])</f>
        <v/>
      </c>
      <c r="Z268" s="283" t="str">
        <f>IF(Table1[[#This Row],[h_hargasebelumdiskon]]="","",IF(Table1[[#This Row],[Disc 1]]="",0,Table1[[#This Row],[h_hargasebelumdiskon]]*Table1[[#This Row],[Disc 1]]))</f>
        <v/>
      </c>
      <c r="AA268" s="283" t="str">
        <f>IF(Table1[[#This Row],[h_hargasebelumdiskon]]="","",IF(Table1[[#This Row],[Disc 2]]="",0,(Table1[[#This Row],[h_hargasebelumdiskon]]-Table1[[#This Row],[h_disc 1]])*Table1[[#This Row],[Disc 2]]))</f>
        <v/>
      </c>
      <c r="AB268" s="283" t="str">
        <f>IF(Table1[Item Description]="","",Table1[[#This Row],[h_disc 1]]+Table1[[#This Row],[h_disc 2]])</f>
        <v/>
      </c>
      <c r="AC268" s="283" t="str">
        <f>IF(Table1[Item Description]="","",Table1[[#This Row],[h_hargasebelumdiskon]]-Table1[[#This Row],[h_diskon]])</f>
        <v/>
      </c>
      <c r="AD268" s="283" t="str">
        <f ca="1">IF(Table1[//]="","",SUMIF(Table1[h_id],Table1[h_id],Table1[h_hargasetelahdiskon]))</f>
        <v/>
      </c>
      <c r="AE268" s="283"/>
      <c r="AF268" s="283" t="str">
        <f>Table1[[#This Row],[Item Description]]&amp;Table1[[#This Row],[Unit]]&amp;Table1[[#This Row],[Unit Price]]</f>
        <v/>
      </c>
    </row>
    <row r="269" spans="1:32" x14ac:dyDescent="0.25">
      <c r="A269" s="287" t="str">
        <f ca="1">IF(Table1[[#This Row],[No. Invoice :]]="","",ROW())</f>
        <v/>
      </c>
      <c r="B269" s="287" t="str">
        <f ca="1">IF(Table1[h_Kode Sales :_1]="","",B$1+COUNT(INDIRECT("B$2:B"&amp;ROW()-1)))</f>
        <v/>
      </c>
      <c r="C269" s="281" t="str">
        <f>IF(Table1[[#This Row],[H_TGL]]="","",Table1[[#This Row],[H_TGL]]+C$1-1)</f>
        <v/>
      </c>
      <c r="H269" s="287" t="str">
        <f ca="1">IF(Table1[[#This Row],[h_No. Invoice :]]="","",CONCATENATE("AM"," ",Table1[[#This Row],[h_No. Invoice :]]))</f>
        <v/>
      </c>
      <c r="I269" s="288" t="str">
        <f>CONCATENATE(UPPER(Table1[[#This Row],[h_Kode Sales :_1]])," ",Table1[[#This Row],[h_Kode Sales :_2]])</f>
        <v xml:space="preserve"> </v>
      </c>
      <c r="J269" s="287" t="str">
        <f>IF(Table1[[#This Row],[h_toko]]="","",INDEX(Table2[e],IF(Table1[[#This Row],[h_toko]]="","",MATCH(Table1[[#This Row],[h_toko]],Table2[a],0)),))</f>
        <v/>
      </c>
      <c r="O269" s="287" t="str">
        <f>IF(Table1[[#This Row],[h_Item Description]]="","",INDEX([1]!db[NB PAJAK],MATCH(Table1[[#This Row],[h_Item Description]],[1]!db[kode],0)))</f>
        <v/>
      </c>
      <c r="Q269" s="283"/>
      <c r="R269" s="284"/>
      <c r="T269" s="283" t="str">
        <f>Table1[[#This Row],[h_hargasetelahdiskon]]</f>
        <v/>
      </c>
      <c r="W269" s="287" t="str">
        <f ca="1">IF(Table1[[#This Row],[Item Description]]="","",IF(Table1[[#This Row],[//]]="",INDIRECT(ADDRESS(ROW()-1,COLUMN())),Table1[[#This Row],[//]]))</f>
        <v/>
      </c>
      <c r="X269" s="287" t="str">
        <f ca="1">IF(Table1[[#This Row],[h_id]]="","",COUNTIF(Table1[h_id],Table1[[#This Row],[h_id]]))</f>
        <v/>
      </c>
      <c r="Y269" s="283" t="str">
        <f>IF(Table1[Item Description]="","",Table1[[#This Row],[Qty]]*Table1[[#This Row],[Unit Price]])</f>
        <v/>
      </c>
      <c r="Z269" s="283" t="str">
        <f>IF(Table1[[#This Row],[h_hargasebelumdiskon]]="","",IF(Table1[[#This Row],[Disc 1]]="",0,Table1[[#This Row],[h_hargasebelumdiskon]]*Table1[[#This Row],[Disc 1]]))</f>
        <v/>
      </c>
      <c r="AA269" s="283" t="str">
        <f>IF(Table1[[#This Row],[h_hargasebelumdiskon]]="","",IF(Table1[[#This Row],[Disc 2]]="",0,(Table1[[#This Row],[h_hargasebelumdiskon]]-Table1[[#This Row],[h_disc 1]])*Table1[[#This Row],[Disc 2]]))</f>
        <v/>
      </c>
      <c r="AB269" s="283" t="str">
        <f>IF(Table1[Item Description]="","",Table1[[#This Row],[h_disc 1]]+Table1[[#This Row],[h_disc 2]])</f>
        <v/>
      </c>
      <c r="AC269" s="283" t="str">
        <f>IF(Table1[Item Description]="","",Table1[[#This Row],[h_hargasebelumdiskon]]-Table1[[#This Row],[h_diskon]])</f>
        <v/>
      </c>
      <c r="AD269" s="283" t="str">
        <f ca="1">IF(Table1[//]="","",SUMIF(Table1[h_id],Table1[h_id],Table1[h_hargasetelahdiskon]))</f>
        <v/>
      </c>
      <c r="AE269" s="283"/>
      <c r="AF269" s="283" t="str">
        <f>Table1[[#This Row],[Item Description]]&amp;Table1[[#This Row],[Unit]]&amp;Table1[[#This Row],[Unit Price]]</f>
        <v/>
      </c>
    </row>
    <row r="270" spans="1:32" x14ac:dyDescent="0.25">
      <c r="A270" s="287" t="str">
        <f ca="1">IF(Table1[[#This Row],[No. Invoice :]]="","",ROW())</f>
        <v/>
      </c>
      <c r="B270" s="287" t="str">
        <f ca="1">IF(Table1[h_Kode Sales :_1]="","",B$1+COUNT(INDIRECT("B$2:B"&amp;ROW()-1)))</f>
        <v/>
      </c>
      <c r="C270" s="281" t="str">
        <f>IF(Table1[[#This Row],[H_TGL]]="","",Table1[[#This Row],[H_TGL]]+C$1-1)</f>
        <v/>
      </c>
      <c r="H270" s="287" t="str">
        <f ca="1">IF(Table1[[#This Row],[h_No. Invoice :]]="","",CONCATENATE("AM"," ",Table1[[#This Row],[h_No. Invoice :]]))</f>
        <v/>
      </c>
      <c r="I270" s="288" t="str">
        <f>CONCATENATE(UPPER(Table1[[#This Row],[h_Kode Sales :_1]])," ",Table1[[#This Row],[h_Kode Sales :_2]])</f>
        <v xml:space="preserve"> </v>
      </c>
      <c r="J270" s="287" t="str">
        <f>IF(Table1[[#This Row],[h_toko]]="","",INDEX(Table2[e],IF(Table1[[#This Row],[h_toko]]="","",MATCH(Table1[[#This Row],[h_toko]],Table2[a],0)),))</f>
        <v/>
      </c>
      <c r="O270" s="287" t="str">
        <f>IF(Table1[[#This Row],[h_Item Description]]="","",INDEX([1]!db[NB PAJAK],MATCH(Table1[[#This Row],[h_Item Description]],[1]!db[kode],0)))</f>
        <v/>
      </c>
      <c r="Q270" s="283"/>
      <c r="R270" s="284"/>
      <c r="T270" s="283" t="str">
        <f>Table1[[#This Row],[h_hargasetelahdiskon]]</f>
        <v/>
      </c>
      <c r="W270" s="287" t="str">
        <f ca="1">IF(Table1[[#This Row],[Item Description]]="","",IF(Table1[[#This Row],[//]]="",INDIRECT(ADDRESS(ROW()-1,COLUMN())),Table1[[#This Row],[//]]))</f>
        <v/>
      </c>
      <c r="X270" s="287" t="str">
        <f ca="1">IF(Table1[[#This Row],[h_id]]="","",COUNTIF(Table1[h_id],Table1[[#This Row],[h_id]]))</f>
        <v/>
      </c>
      <c r="Y270" s="283" t="str">
        <f>IF(Table1[Item Description]="","",Table1[[#This Row],[Qty]]*Table1[[#This Row],[Unit Price]])</f>
        <v/>
      </c>
      <c r="Z270" s="283" t="str">
        <f>IF(Table1[[#This Row],[h_hargasebelumdiskon]]="","",IF(Table1[[#This Row],[Disc 1]]="",0,Table1[[#This Row],[h_hargasebelumdiskon]]*Table1[[#This Row],[Disc 1]]))</f>
        <v/>
      </c>
      <c r="AA270" s="283" t="str">
        <f>IF(Table1[[#This Row],[h_hargasebelumdiskon]]="","",IF(Table1[[#This Row],[Disc 2]]="",0,(Table1[[#This Row],[h_hargasebelumdiskon]]-Table1[[#This Row],[h_disc 1]])*Table1[[#This Row],[Disc 2]]))</f>
        <v/>
      </c>
      <c r="AB270" s="283" t="str">
        <f>IF(Table1[Item Description]="","",Table1[[#This Row],[h_disc 1]]+Table1[[#This Row],[h_disc 2]])</f>
        <v/>
      </c>
      <c r="AC270" s="283" t="str">
        <f>IF(Table1[Item Description]="","",Table1[[#This Row],[h_hargasebelumdiskon]]-Table1[[#This Row],[h_diskon]])</f>
        <v/>
      </c>
      <c r="AD270" s="283" t="str">
        <f ca="1">IF(Table1[//]="","",SUMIF(Table1[h_id],Table1[h_id],Table1[h_hargasetelahdiskon]))</f>
        <v/>
      </c>
      <c r="AE270" s="283"/>
      <c r="AF270" s="283" t="str">
        <f>Table1[[#This Row],[Item Description]]&amp;Table1[[#This Row],[Unit]]&amp;Table1[[#This Row],[Unit Price]]</f>
        <v/>
      </c>
    </row>
    <row r="271" spans="1:32" x14ac:dyDescent="0.25">
      <c r="A271" s="287" t="str">
        <f ca="1">IF(Table1[[#This Row],[No. Invoice :]]="","",ROW())</f>
        <v/>
      </c>
      <c r="B271" s="287" t="str">
        <f ca="1">IF(Table1[h_Kode Sales :_1]="","",B$1+COUNT(INDIRECT("B$2:B"&amp;ROW()-1)))</f>
        <v/>
      </c>
      <c r="C271" s="281" t="str">
        <f>IF(Table1[[#This Row],[H_TGL]]="","",Table1[[#This Row],[H_TGL]]+C$1-1)</f>
        <v/>
      </c>
      <c r="H271" s="287" t="str">
        <f ca="1">IF(Table1[[#This Row],[h_No. Invoice :]]="","",CONCATENATE("AM"," ",Table1[[#This Row],[h_No. Invoice :]]))</f>
        <v/>
      </c>
      <c r="I271" s="288" t="str">
        <f>CONCATENATE(UPPER(Table1[[#This Row],[h_Kode Sales :_1]])," ",Table1[[#This Row],[h_Kode Sales :_2]])</f>
        <v xml:space="preserve"> </v>
      </c>
      <c r="J271" s="287" t="str">
        <f>IF(Table1[[#This Row],[h_toko]]="","",INDEX(Table2[e],IF(Table1[[#This Row],[h_toko]]="","",MATCH(Table1[[#This Row],[h_toko]],Table2[a],0)),))</f>
        <v/>
      </c>
      <c r="O271" s="287" t="str">
        <f>IF(Table1[[#This Row],[h_Item Description]]="","",INDEX([1]!db[NB PAJAK],MATCH(Table1[[#This Row],[h_Item Description]],[1]!db[kode],0)))</f>
        <v/>
      </c>
      <c r="Q271" s="283"/>
      <c r="R271" s="284"/>
      <c r="T271" s="283" t="str">
        <f>Table1[[#This Row],[h_hargasetelahdiskon]]</f>
        <v/>
      </c>
      <c r="W271" s="287" t="str">
        <f ca="1">IF(Table1[[#This Row],[Item Description]]="","",IF(Table1[[#This Row],[//]]="",INDIRECT(ADDRESS(ROW()-1,COLUMN())),Table1[[#This Row],[//]]))</f>
        <v/>
      </c>
      <c r="X271" s="287" t="str">
        <f ca="1">IF(Table1[[#This Row],[h_id]]="","",COUNTIF(Table1[h_id],Table1[[#This Row],[h_id]]))</f>
        <v/>
      </c>
      <c r="Y271" s="283" t="str">
        <f>IF(Table1[Item Description]="","",Table1[[#This Row],[Qty]]*Table1[[#This Row],[Unit Price]])</f>
        <v/>
      </c>
      <c r="Z271" s="283" t="str">
        <f>IF(Table1[[#This Row],[h_hargasebelumdiskon]]="","",IF(Table1[[#This Row],[Disc 1]]="",0,Table1[[#This Row],[h_hargasebelumdiskon]]*Table1[[#This Row],[Disc 1]]))</f>
        <v/>
      </c>
      <c r="AA271" s="283" t="str">
        <f>IF(Table1[[#This Row],[h_hargasebelumdiskon]]="","",IF(Table1[[#This Row],[Disc 2]]="",0,(Table1[[#This Row],[h_hargasebelumdiskon]]-Table1[[#This Row],[h_disc 1]])*Table1[[#This Row],[Disc 2]]))</f>
        <v/>
      </c>
      <c r="AB271" s="283" t="str">
        <f>IF(Table1[Item Description]="","",Table1[[#This Row],[h_disc 1]]+Table1[[#This Row],[h_disc 2]])</f>
        <v/>
      </c>
      <c r="AC271" s="283" t="str">
        <f>IF(Table1[Item Description]="","",Table1[[#This Row],[h_hargasebelumdiskon]]-Table1[[#This Row],[h_diskon]])</f>
        <v/>
      </c>
      <c r="AD271" s="283" t="str">
        <f ca="1">IF(Table1[//]="","",SUMIF(Table1[h_id],Table1[h_id],Table1[h_hargasetelahdiskon]))</f>
        <v/>
      </c>
      <c r="AE271" s="283"/>
      <c r="AF271" s="283" t="str">
        <f>Table1[[#This Row],[Item Description]]&amp;Table1[[#This Row],[Unit]]&amp;Table1[[#This Row],[Unit Price]]</f>
        <v/>
      </c>
    </row>
    <row r="272" spans="1:32" x14ac:dyDescent="0.25">
      <c r="A272" s="297"/>
      <c r="B272" s="297"/>
      <c r="C272" s="298"/>
      <c r="D272" s="299"/>
      <c r="E272" s="300"/>
      <c r="F272" s="301"/>
      <c r="G272" s="300"/>
      <c r="H272" s="297"/>
      <c r="I272" s="302"/>
      <c r="J272" s="297"/>
      <c r="K272" s="300"/>
      <c r="L272" s="300"/>
      <c r="M272" s="300"/>
      <c r="N272" s="300"/>
      <c r="O272" s="297"/>
      <c r="P272" s="300"/>
      <c r="Q272" s="303"/>
      <c r="R272" s="304"/>
      <c r="S272" s="304"/>
      <c r="T272" s="303"/>
      <c r="U272" s="303"/>
      <c r="V272" s="300"/>
      <c r="W272" s="297"/>
      <c r="X272" s="297"/>
      <c r="Y272" s="303"/>
      <c r="Z272" s="303"/>
      <c r="AA272" s="303"/>
      <c r="AB272" s="303"/>
      <c r="AC272" s="303"/>
      <c r="AD272" s="303"/>
      <c r="AE272" s="303"/>
      <c r="AF272" s="303"/>
    </row>
  </sheetData>
  <conditionalFormatting sqref="P57">
    <cfRule type="duplicateValues" dxfId="41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tabSelected="1" topLeftCell="A7" zoomScale="85" zoomScaleNormal="85" workbookViewId="0">
      <selection activeCell="H27" sqref="H27"/>
    </sheetView>
  </sheetViews>
  <sheetFormatPr defaultRowHeight="15" x14ac:dyDescent="0.25"/>
  <cols>
    <col min="1" max="1" width="13.28515625" customWidth="1"/>
    <col min="2" max="2" width="13.140625" customWidth="1"/>
    <col min="3" max="3" width="6" customWidth="1"/>
    <col min="4" max="4" width="5.28515625" customWidth="1"/>
    <col min="5" max="5" width="12.42578125" customWidth="1"/>
    <col min="6" max="6" width="10.7109375" style="88" customWidth="1"/>
    <col min="7" max="7" width="8" customWidth="1"/>
    <col min="8" max="8" width="54.7109375" customWidth="1"/>
    <col min="9" max="9" width="15.28515625" style="87" customWidth="1"/>
    <col min="10" max="10" width="14.28515625" style="87" customWidth="1"/>
    <col min="11" max="11" width="15.28515625" style="87" customWidth="1"/>
    <col min="12" max="12" width="14.28515625" style="87" customWidth="1"/>
    <col min="13" max="13" width="15.28515625" style="87" customWidth="1"/>
    <col min="14" max="14" width="16.42578125" style="85" customWidth="1"/>
    <col min="15" max="15" width="8.85546875" style="85" customWidth="1"/>
    <col min="16" max="16" width="6" style="85" customWidth="1"/>
    <col min="17" max="17" width="4.42578125" style="85" customWidth="1"/>
    <col min="18" max="18" width="7.28515625" customWidth="1"/>
    <col min="19" max="19" width="9" customWidth="1"/>
    <col min="20" max="20" width="12.85546875" style="183" customWidth="1"/>
    <col min="21" max="24" width="6.140625" style="183" customWidth="1"/>
    <col min="26" max="26" width="14.5703125" customWidth="1"/>
    <col min="27" max="27" width="15.28515625" bestFit="1" customWidth="1"/>
  </cols>
  <sheetData>
    <row r="1" spans="1:27" x14ac:dyDescent="0.25">
      <c r="R1" t="s">
        <v>121</v>
      </c>
      <c r="T1" s="183" t="s">
        <v>122</v>
      </c>
      <c r="U1" s="183" t="s">
        <v>121</v>
      </c>
      <c r="V1" s="183" t="s">
        <v>121</v>
      </c>
      <c r="W1" s="183" t="s">
        <v>123</v>
      </c>
      <c r="X1" s="183" t="s">
        <v>124</v>
      </c>
    </row>
    <row r="2" spans="1:27" x14ac:dyDescent="0.25">
      <c r="H2" t="s">
        <v>141</v>
      </c>
      <c r="U2" s="183">
        <v>4</v>
      </c>
      <c r="V2" s="183">
        <v>2</v>
      </c>
      <c r="W2" s="183">
        <v>32</v>
      </c>
      <c r="X2" s="183">
        <v>34</v>
      </c>
    </row>
    <row r="3" spans="1:27" x14ac:dyDescent="0.25">
      <c r="E3">
        <f ca="1">COUNT(Table1[//])</f>
        <v>39</v>
      </c>
      <c r="H3" s="294" t="str">
        <f>"["&amp;H2&amp;".xlsx]Invoice"</f>
        <v>[08-Hitung FP Keluar Agustus 2023.xlsx]Invoice</v>
      </c>
      <c r="I3" s="296"/>
      <c r="O3" s="85">
        <f>preview!K1</f>
        <v>0</v>
      </c>
      <c r="R3" t="str">
        <f>"'"&amp;pointer&amp;"'"&amp;"!$"&amp;1:1&amp;":$"&amp;1:1</f>
        <v>'[08-Hitung FP Keluar Agustus 2023.xlsx]Invoice'!$D:$D</v>
      </c>
      <c r="S3">
        <f>NOTA!B1</f>
        <v>23080001</v>
      </c>
      <c r="T3" t="str">
        <f>"'"&amp;pointer&amp;"'"&amp;"!$"&amp;1:1&amp;":$"&amp;1:1</f>
        <v>'[08-Hitung FP Keluar Agustus 2023.xlsx]Invoice'!$E:$E</v>
      </c>
      <c r="U3" t="str">
        <f>"'"&amp;pointer&amp;"'"&amp;"!$"&amp;1:1&amp;":$"&amp;1:1</f>
        <v>'[08-Hitung FP Keluar Agustus 2023.xlsx]Invoice'!$D:$D</v>
      </c>
      <c r="V3" t="str">
        <f>"'"&amp;pointer&amp;"'"&amp;"!$"&amp;1:1&amp;":$"&amp;1:1</f>
        <v>'[08-Hitung FP Keluar Agustus 2023.xlsx]Invoice'!$D:$D</v>
      </c>
      <c r="W3" t="str">
        <f>"'"&amp;pointer&amp;"'"&amp;"!$"&amp;1:1&amp;":$"&amp;1:1</f>
        <v>'[08-Hitung FP Keluar Agustus 2023.xlsx]Invoice'!$K:$K</v>
      </c>
      <c r="X3" t="str">
        <f>"'"&amp;pointer&amp;"'"&amp;"!$"&amp;1:1&amp;":$"&amp;1:1</f>
        <v>'[08-Hitung FP Keluar Agustus 2023.xlsx]Invoice'!$J:$J</v>
      </c>
    </row>
    <row r="4" spans="1:27" s="86" customFormat="1" x14ac:dyDescent="0.25">
      <c r="A4" s="276" t="s">
        <v>54</v>
      </c>
      <c r="B4"/>
      <c r="C4"/>
      <c r="D4" s="86" t="s">
        <v>14</v>
      </c>
      <c r="E4" s="86" t="s">
        <v>1</v>
      </c>
      <c r="F4" s="277" t="s">
        <v>2</v>
      </c>
      <c r="G4" s="86" t="s">
        <v>3</v>
      </c>
      <c r="H4" s="86" t="s">
        <v>4</v>
      </c>
      <c r="I4" s="278" t="s">
        <v>51</v>
      </c>
      <c r="J4" s="278" t="s">
        <v>56</v>
      </c>
      <c r="K4" s="278" t="s">
        <v>50</v>
      </c>
      <c r="L4" s="278" t="s">
        <v>52</v>
      </c>
      <c r="M4" s="278" t="s">
        <v>53</v>
      </c>
      <c r="N4" s="279" t="s">
        <v>57</v>
      </c>
      <c r="O4" s="279" t="s">
        <v>58</v>
      </c>
      <c r="P4" s="279" t="s">
        <v>126</v>
      </c>
      <c r="Q4" s="279"/>
      <c r="R4" s="291" t="s">
        <v>15</v>
      </c>
      <c r="S4" s="295" t="s">
        <v>125</v>
      </c>
      <c r="T4" s="86" t="s">
        <v>1</v>
      </c>
      <c r="U4" s="291" t="s">
        <v>3</v>
      </c>
      <c r="V4" s="86" t="s">
        <v>2</v>
      </c>
      <c r="W4" s="86" t="s">
        <v>53</v>
      </c>
      <c r="X4" s="86" t="s">
        <v>57</v>
      </c>
      <c r="Z4" s="86" t="s">
        <v>26</v>
      </c>
      <c r="AA4" s="278">
        <f ca="1">SUM(pajak[Total Invoice])</f>
        <v>234940002.5</v>
      </c>
    </row>
    <row r="5" spans="1:27" x14ac:dyDescent="0.25">
      <c r="A5" s="291">
        <v>4</v>
      </c>
      <c r="D5">
        <f t="shared" ref="D5:D36" ca="1" si="0">IF(ROW()-(COUNTBLANK($D$1:$D$3)+1)&lt;=jNota,A5,"")</f>
        <v>4</v>
      </c>
      <c r="E5" t="str">
        <f ca="1">IF(pajak[[#This Row],[//]]="","",INDEX(Table1[No. Invoice :],pajak[//]-offset))</f>
        <v>AM 23080001</v>
      </c>
      <c r="F5" s="88">
        <f ca="1">IF(pajak[[#This Row],[//]]="","",INDEX(Table1[Tgl Invoice :],pajak[//]-offset))</f>
        <v>45140</v>
      </c>
      <c r="G5" t="str">
        <f ca="1">IF(pajak[[#This Row],[//]]="","",INDEX(Table1[Kode Sales :],pajak[//]-offset))</f>
        <v>KO 1822</v>
      </c>
      <c r="H5" t="str">
        <f ca="1">IF(pajak[[#This Row],[//]]="","",INDEX(Table1[Toko],pajak[//]-offset))</f>
        <v>CV TRINITY CENTRAAL PURWOKERTO</v>
      </c>
      <c r="I5" s="87">
        <f ca="1">IF(pajak[[#This Row],[//]]="","",SUMIF(Table1[h_id],pajak[[#This Row],[//]],Table1[h_hargasebelumdiskon]))</f>
        <v>570000</v>
      </c>
      <c r="J5" s="87">
        <f ca="1">IF(pajak[[#This Row],[//]]="","",SUMIF(Table1[h_id],pajak[[#This Row],[//]],Table1[h_diskon]))</f>
        <v>0</v>
      </c>
      <c r="K5" s="87">
        <f ca="1">IF(pajak[[#This Row],[//]]="","",SUMIF(Table1[h_id],pajak[[#This Row],[//]],Table1[h_hargasetelahdiskon]))</f>
        <v>570000</v>
      </c>
      <c r="L5" s="87">
        <f ca="1">IF(pajak[//]="","",pajak[[#This Row],[Sub Total]]/1.11*11%)</f>
        <v>56486.486486486487</v>
      </c>
      <c r="M5" s="87">
        <f ca="1">pajak[[#This Row],[Sub Total]]</f>
        <v>570000</v>
      </c>
      <c r="N5" s="85" t="str">
        <f ca="1">IF(pajak[[#This Row],[//]]="","",INDEX(Table1[pembuat nota :],pajak[//]-offset))</f>
        <v>NOVI / CONDRO</v>
      </c>
      <c r="O5" s="85" t="str">
        <f ca="1">IF(pajak[[#This Row],[//]]="","",IF(INDEX(Table1[edited :],pajak[//]-offset)="","",INDEX(Table1[edited :],pajak[//]-offset)))</f>
        <v/>
      </c>
      <c r="P5" s="87"/>
      <c r="R5" t="str">
        <f>Table4[[#Headers],[AM]]</f>
        <v>AM</v>
      </c>
      <c r="S5">
        <f t="shared" ref="S5:S36" si="1">S$3+ROW()-5</f>
        <v>23080001</v>
      </c>
      <c r="T5" s="183" t="e">
        <f ca="1">IF(Table4[[#This Row],[AM]]&amp;" "&amp;Table4[[#This Row],[---]]=INDIRECT("pajak[@["&amp;Table4[#Headers]&amp;"]]"),MATCH(Table4[[#This Row],[---]],INDIRECT($3:$3),0))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X5" s="183" t="e">
        <f ca="1">IF((INDEX(INDIRECT($3:$3),Table4[[#This Row],[No. Invoice :]]+$2:$2))=INDIRECT("pajak[@["&amp;Table4[#Headers]&amp;"]]"),1)</f>
        <v>#REF!</v>
      </c>
      <c r="Z5" t="s">
        <v>25</v>
      </c>
      <c r="AA5" s="87">
        <f ca="1">SUM(pajak[PPN 11%])</f>
        <v>23282342.590090085</v>
      </c>
    </row>
    <row r="6" spans="1:27" x14ac:dyDescent="0.25">
      <c r="A6" s="291">
        <v>6</v>
      </c>
      <c r="D6">
        <f t="shared" ca="1" si="0"/>
        <v>6</v>
      </c>
      <c r="E6" t="str">
        <f ca="1">IF(pajak[[#This Row],[//]]="","",INDEX(Table1[No. Invoice :],pajak[//]-offset))</f>
        <v>AM 23080002</v>
      </c>
      <c r="F6" s="88">
        <f ca="1">IF(pajak[[#This Row],[//]]="","",INDEX(Table1[Tgl Invoice :],pajak[//]-offset))</f>
        <v>45141</v>
      </c>
      <c r="G6" t="str">
        <f ca="1">IF(pajak[[#This Row],[//]]="","",INDEX(Table1[Kode Sales :],pajak[//]-offset))</f>
        <v>G 2692</v>
      </c>
      <c r="H6" t="str">
        <f ca="1">IF(pajak[[#This Row],[//]]="","",INDEX(Table1[Toko],pajak[//]-offset))</f>
        <v>LILY JULIAWATI (REJO AGUNG) JOMBANG</v>
      </c>
      <c r="I6" s="87">
        <f ca="1">IF(pajak[[#This Row],[//]]="","",SUMIF(Table1[h_id],pajak[[#This Row],[//]],Table1[h_hargasebelumdiskon]))</f>
        <v>5352000</v>
      </c>
      <c r="J6" s="87">
        <f ca="1">IF(pajak[[#This Row],[//]]="","",SUMIF(Table1[h_id],pajak[[#This Row],[//]],Table1[h_diskon]))</f>
        <v>669000</v>
      </c>
      <c r="K6" s="87">
        <f ca="1">IF(pajak[[#This Row],[//]]="","",SUMIF(Table1[h_id],pajak[[#This Row],[//]],Table1[h_hargasetelahdiskon]))</f>
        <v>4683000</v>
      </c>
      <c r="L6" s="87">
        <f ca="1">IF(pajak[//]="","",pajak[[#This Row],[Sub Total]]/1.11*11%)</f>
        <v>464081.08108108107</v>
      </c>
      <c r="M6" s="87">
        <f ca="1">pajak[[#This Row],[Sub Total]]</f>
        <v>4683000</v>
      </c>
      <c r="N6" s="85" t="str">
        <f ca="1">IF(pajak[[#This Row],[//]]="","",INDEX(Table1[pembuat nota :],pajak[//]-offset))</f>
        <v>NOVI / CONDRO</v>
      </c>
      <c r="O6" s="85" t="str">
        <f ca="1">IF(pajak[[#This Row],[//]]="","",IF(INDEX(Table1[edited :],pajak[//]-offset)="","",INDEX(Table1[edited :],pajak[//]-offset)))</f>
        <v/>
      </c>
      <c r="P6" s="87"/>
      <c r="R6" t="str">
        <f>Table4[[#Headers],[AM]]</f>
        <v>AM</v>
      </c>
      <c r="S6">
        <f t="shared" si="1"/>
        <v>23080002</v>
      </c>
      <c r="T6" s="183" t="e">
        <f ca="1">IF(Table4[[#This Row],[AM]]&amp;" "&amp;Table4[[#This Row],[---]]=INDIRECT("pajak[@["&amp;Table4[#Headers]&amp;"]]"),MATCH(Table4[[#This Row],[---]],INDIRECT($3:$3),0))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3" t="e">
        <f ca="1">IF((INDEX(INDIRECT($3:$3),Table4[[#This Row],[No. Invoice :]]+$2:$2))=INDIRECT("pajak[@["&amp;Table4[#Headers]&amp;"]]"),1)</f>
        <v>#REF!</v>
      </c>
      <c r="X6" s="184" t="e">
        <f ca="1">IF((INDEX(INDIRECT($3:$3),Table4[[#This Row],[No. Invoice :]]+$2:$2))=INDIRECT("pajak[@["&amp;Table4[#Headers]&amp;"]]"),1)</f>
        <v>#REF!</v>
      </c>
      <c r="AA6" s="87">
        <f ca="1">(AA4/1.11)*11%</f>
        <v>23282342.590090089</v>
      </c>
    </row>
    <row r="7" spans="1:27" x14ac:dyDescent="0.25">
      <c r="A7" s="291">
        <v>9</v>
      </c>
      <c r="D7">
        <f t="shared" ca="1" si="0"/>
        <v>9</v>
      </c>
      <c r="E7" t="str">
        <f ca="1">IF(pajak[[#This Row],[//]]="","",INDEX(Table1[No. Invoice :],pajak[//]-offset))</f>
        <v>AM 23080003</v>
      </c>
      <c r="F7" s="88">
        <f ca="1">IF(pajak[[#This Row],[//]]="","",INDEX(Table1[Tgl Invoice :],pajak[//]-offset))</f>
        <v>45142</v>
      </c>
      <c r="G7" t="str">
        <f ca="1">IF(pajak[[#This Row],[//]]="","",INDEX(Table1[Kode Sales :],pajak[//]-offset))</f>
        <v>KO 1825</v>
      </c>
      <c r="H7" t="str">
        <f ca="1">IF(pajak[[#This Row],[//]]="","",INDEX(Table1[Toko],pajak[//]-offset))</f>
        <v>SANTOSO BUDIONO (  ARMADA  ) PURWOKERTO</v>
      </c>
      <c r="I7" s="87">
        <f ca="1">IF(pajak[[#This Row],[//]]="","",SUMIF(Table1[h_id],pajak[[#This Row],[//]],Table1[h_hargasebelumdiskon]))</f>
        <v>5616000</v>
      </c>
      <c r="J7" s="87">
        <f ca="1">IF(pajak[[#This Row],[//]]="","",SUMIF(Table1[h_id],pajak[[#This Row],[//]],Table1[h_diskon]))</f>
        <v>702000</v>
      </c>
      <c r="K7" s="87">
        <f ca="1">IF(pajak[[#This Row],[//]]="","",SUMIF(Table1[h_id],pajak[[#This Row],[//]],Table1[h_hargasetelahdiskon]))</f>
        <v>4914000</v>
      </c>
      <c r="L7" s="87">
        <f ca="1">IF(pajak[//]="","",pajak[[#This Row],[Sub Total]]/1.11*11%)</f>
        <v>486972.97297297296</v>
      </c>
      <c r="M7" s="87">
        <f ca="1">pajak[[#This Row],[Sub Total]]</f>
        <v>4914000</v>
      </c>
      <c r="N7" s="85" t="str">
        <f ca="1">IF(pajak[[#This Row],[//]]="","",INDEX(Table1[pembuat nota :],pajak[//]-offset))</f>
        <v>NOVI / CONDRO</v>
      </c>
      <c r="O7" s="85" t="str">
        <f ca="1">IF(pajak[[#This Row],[//]]="","",IF(INDEX(Table1[edited :],pajak[//]-offset)="","",INDEX(Table1[edited :],pajak[//]-offset)))</f>
        <v/>
      </c>
      <c r="P7" s="87"/>
      <c r="R7" t="str">
        <f>Table4[[#Headers],[AM]]</f>
        <v>AM</v>
      </c>
      <c r="S7">
        <f t="shared" si="1"/>
        <v>23080003</v>
      </c>
      <c r="T7" s="183" t="e">
        <f ca="1">IF(Table4[[#This Row],[AM]]&amp;" "&amp;Table4[[#This Row],[---]]=INDIRECT("pajak[@["&amp;Table4[#Headers]&amp;"]]"),MATCH(Table4[[#This Row],[---]],INDIRECT($3:$3),0))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3" t="e">
        <f ca="1">IF((INDEX(INDIRECT($3:$3),Table4[[#This Row],[No. Invoice :]]+$2:$2))=INDIRECT("pajak[@["&amp;Table4[#Headers]&amp;"]]"),1)</f>
        <v>#REF!</v>
      </c>
      <c r="X7" s="184" t="e">
        <f ca="1">IF((INDEX(INDIRECT($3:$3),Table4[[#This Row],[No. Invoice :]]+$2:$2))=INDIRECT("pajak[@["&amp;Table4[#Headers]&amp;"]]"),1)</f>
        <v>#REF!</v>
      </c>
    </row>
    <row r="8" spans="1:27" x14ac:dyDescent="0.25">
      <c r="A8" s="291">
        <v>12</v>
      </c>
      <c r="D8">
        <f t="shared" ca="1" si="0"/>
        <v>12</v>
      </c>
      <c r="E8" t="str">
        <f ca="1">IF(pajak[[#This Row],[//]]="","",INDEX(Table1[No. Invoice :],pajak[//]-offset))</f>
        <v>AM 23080004</v>
      </c>
      <c r="F8" s="88">
        <f ca="1">IF(pajak[[#This Row],[//]]="","",INDEX(Table1[Tgl Invoice :],pajak[//]-offset))</f>
        <v>45142</v>
      </c>
      <c r="G8" t="str">
        <f ca="1">IF(pajak[[#This Row],[//]]="","",INDEX(Table1[Kode Sales :],pajak[//]-offset))</f>
        <v>KO 1829</v>
      </c>
      <c r="H8" t="str">
        <f ca="1">IF(pajak[[#This Row],[//]]="","",INDEX(Table1[Toko],pajak[//]-offset))</f>
        <v>CV PELITA JAYA (ANUGERAH SEJAHTERA) PURWOKERTO</v>
      </c>
      <c r="I8" s="87">
        <f ca="1">IF(pajak[[#This Row],[//]]="","",SUMIF(Table1[h_id],pajak[[#This Row],[//]],Table1[h_hargasebelumdiskon]))</f>
        <v>3013400</v>
      </c>
      <c r="J8" s="87">
        <f ca="1">IF(pajak[[#This Row],[//]]="","",SUMIF(Table1[h_id],pajak[[#This Row],[//]],Table1[h_diskon]))</f>
        <v>406809</v>
      </c>
      <c r="K8" s="87">
        <f ca="1">IF(pajak[[#This Row],[//]]="","",SUMIF(Table1[h_id],pajak[[#This Row],[//]],Table1[h_hargasetelahdiskon]))</f>
        <v>2606591</v>
      </c>
      <c r="L8" s="87">
        <f ca="1">IF(pajak[//]="","",pajak[[#This Row],[Sub Total]]/1.11*11%)</f>
        <v>258310.81981981979</v>
      </c>
      <c r="M8" s="87">
        <f ca="1">pajak[[#This Row],[Sub Total]]</f>
        <v>2606591</v>
      </c>
      <c r="N8" s="85" t="str">
        <f ca="1">IF(pajak[[#This Row],[//]]="","",INDEX(Table1[pembuat nota :],pajak[//]-offset))</f>
        <v>NOVI / CONDRO</v>
      </c>
      <c r="O8" s="85" t="str">
        <f ca="1">IF(pajak[[#This Row],[//]]="","",IF(INDEX(Table1[edited :],pajak[//]-offset)="","",INDEX(Table1[edited :],pajak[//]-offset)))</f>
        <v/>
      </c>
      <c r="P8" s="87"/>
      <c r="R8" t="str">
        <f>Table4[[#Headers],[AM]]</f>
        <v>AM</v>
      </c>
      <c r="S8">
        <f t="shared" si="1"/>
        <v>23080004</v>
      </c>
      <c r="T8" s="183" t="e">
        <f ca="1">IF(Table4[[#This Row],[AM]]&amp;" "&amp;Table4[[#This Row],[---]]=INDIRECT("pajak[@["&amp;Table4[#Headers]&amp;"]]"),MATCH(Table4[[#This Row],[---]],INDIRECT($3:$3),0))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3" t="e">
        <f ca="1">IF((INDEX(INDIRECT($3:$3),Table4[[#This Row],[No. Invoice :]]+$2:$2))=INDIRECT("pajak[@["&amp;Table4[#Headers]&amp;"]]"),1)</f>
        <v>#REF!</v>
      </c>
      <c r="X8" s="184" t="e">
        <f ca="1">IF((INDEX(INDIRECT($3:$3),Table4[[#This Row],[No. Invoice :]]+$2:$2))=INDIRECT("pajak[@["&amp;Table4[#Headers]&amp;"]]"),1)</f>
        <v>#REF!</v>
      </c>
    </row>
    <row r="9" spans="1:27" x14ac:dyDescent="0.25">
      <c r="A9" s="291">
        <v>15</v>
      </c>
      <c r="D9">
        <f t="shared" ca="1" si="0"/>
        <v>15</v>
      </c>
      <c r="E9" t="str">
        <f ca="1">IF(pajak[[#This Row],[//]]="","",INDEX(Table1[No. Invoice :],pajak[//]-offset))</f>
        <v>AM 23080005</v>
      </c>
      <c r="F9" s="88">
        <f ca="1">IF(pajak[[#This Row],[//]]="","",INDEX(Table1[Tgl Invoice :],pajak[//]-offset))</f>
        <v>45143</v>
      </c>
      <c r="G9" t="str">
        <f ca="1">IF(pajak[[#This Row],[//]]="","",INDEX(Table1[Kode Sales :],pajak[//]-offset))</f>
        <v>G 3001</v>
      </c>
      <c r="H9" t="str">
        <f ca="1">IF(pajak[[#This Row],[//]]="","",INDEX(Table1[Toko],pajak[//]-offset))</f>
        <v>GUNAWAN HARTONO KUSUMA ( NIKI SAE ) TULUNG AGUNG</v>
      </c>
      <c r="I9" s="87">
        <f ca="1">IF(pajak[[#This Row],[//]]="","",SUMIF(Table1[h_id],pajak[[#This Row],[//]],Table1[h_hargasebelumdiskon]))</f>
        <v>6868800</v>
      </c>
      <c r="J9" s="87">
        <f ca="1">IF(pajak[[#This Row],[//]]="","",SUMIF(Table1[h_id],pajak[[#This Row],[//]],Table1[h_diskon]))</f>
        <v>858600</v>
      </c>
      <c r="K9" s="87">
        <f ca="1">IF(pajak[[#This Row],[//]]="","",SUMIF(Table1[h_id],pajak[[#This Row],[//]],Table1[h_hargasetelahdiskon]))</f>
        <v>6010200</v>
      </c>
      <c r="L9" s="87">
        <f ca="1">IF(pajak[//]="","",pajak[[#This Row],[Sub Total]]/1.11*11%)</f>
        <v>595605.40540540533</v>
      </c>
      <c r="M9" s="87">
        <f ca="1">pajak[[#This Row],[Sub Total]]</f>
        <v>6010200</v>
      </c>
      <c r="N9" s="85" t="str">
        <f ca="1">IF(pajak[[#This Row],[//]]="","",INDEX(Table1[pembuat nota :],pajak[//]-offset))</f>
        <v>NOVI / CONDRO</v>
      </c>
      <c r="O9" s="85" t="str">
        <f ca="1">IF(pajak[[#This Row],[//]]="","",IF(INDEX(Table1[edited :],pajak[//]-offset)="","",INDEX(Table1[edited :],pajak[//]-offset)))</f>
        <v/>
      </c>
      <c r="P9" s="87"/>
      <c r="R9" t="str">
        <f>Table4[[#Headers],[AM]]</f>
        <v>AM</v>
      </c>
      <c r="S9">
        <f t="shared" si="1"/>
        <v>23080005</v>
      </c>
      <c r="T9" s="183" t="e">
        <f ca="1">IF(Table4[[#This Row],[AM]]&amp;" "&amp;Table4[[#This Row],[---]]=INDIRECT("pajak[@["&amp;Table4[#Headers]&amp;"]]"),MATCH(Table4[[#This Row],[---]],INDIRECT($3:$3),0))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3" t="e">
        <f ca="1">IF((INDEX(INDIRECT($3:$3),Table4[[#This Row],[No. Invoice :]]+$2:$2))=INDIRECT("pajak[@["&amp;Table4[#Headers]&amp;"]]"),1)</f>
        <v>#REF!</v>
      </c>
      <c r="X9" s="184" t="e">
        <f ca="1">IF((INDEX(INDIRECT($3:$3),Table4[[#This Row],[No. Invoice :]]+$2:$2))=INDIRECT("pajak[@["&amp;Table4[#Headers]&amp;"]]"),1)</f>
        <v>#REF!</v>
      </c>
    </row>
    <row r="10" spans="1:27" x14ac:dyDescent="0.25">
      <c r="A10" s="291">
        <v>17</v>
      </c>
      <c r="D10">
        <f t="shared" ca="1" si="0"/>
        <v>17</v>
      </c>
      <c r="E10" t="str">
        <f ca="1">IF(pajak[[#This Row],[//]]="","",INDEX(Table1[No. Invoice :],pajak[//]-offset))</f>
        <v>AM 23080006</v>
      </c>
      <c r="F10" s="88">
        <f ca="1">IF(pajak[[#This Row],[//]]="","",INDEX(Table1[Tgl Invoice :],pajak[//]-offset))</f>
        <v>45145</v>
      </c>
      <c r="G10" t="str">
        <f ca="1">IF(pajak[[#This Row],[//]]="","",INDEX(Table1[Kode Sales :],pajak[//]-offset))</f>
        <v>KO 1840</v>
      </c>
      <c r="H10" t="str">
        <f ca="1">IF(pajak[[#This Row],[//]]="","",INDEX(Table1[Toko],pajak[//]-offset))</f>
        <v>CV  WISUDA PURWOKERTO</v>
      </c>
      <c r="I10" s="87">
        <f ca="1">IF(pajak[[#This Row],[//]]="","",SUMIF(Table1[h_id],pajak[[#This Row],[//]],Table1[h_hargasebelumdiskon]))</f>
        <v>350000</v>
      </c>
      <c r="J10" s="87">
        <f ca="1">IF(pajak[[#This Row],[//]]="","",SUMIF(Table1[h_id],pajak[[#This Row],[//]],Table1[h_diskon]))</f>
        <v>0</v>
      </c>
      <c r="K10" s="87">
        <f ca="1">IF(pajak[[#This Row],[//]]="","",SUMIF(Table1[h_id],pajak[[#This Row],[//]],Table1[h_hargasetelahdiskon]))</f>
        <v>350000</v>
      </c>
      <c r="L10" s="87">
        <f ca="1">IF(pajak[//]="","",pajak[[#This Row],[Sub Total]]/1.11*11%)</f>
        <v>34684.684684684682</v>
      </c>
      <c r="M10" s="87">
        <f ca="1">pajak[[#This Row],[Sub Total]]</f>
        <v>350000</v>
      </c>
      <c r="N10" s="85" t="str">
        <f ca="1">IF(pajak[[#This Row],[//]]="","",INDEX(Table1[pembuat nota :],pajak[//]-offset))</f>
        <v>NOVI / CONDRO</v>
      </c>
      <c r="O10" s="85" t="str">
        <f ca="1">IF(pajak[[#This Row],[//]]="","",IF(INDEX(Table1[edited :],pajak[//]-offset)="","",INDEX(Table1[edited :],pajak[//]-offset)))</f>
        <v/>
      </c>
      <c r="P10" s="87"/>
      <c r="R10" t="str">
        <f>Table4[[#Headers],[AM]]</f>
        <v>AM</v>
      </c>
      <c r="S10">
        <f t="shared" si="1"/>
        <v>23080006</v>
      </c>
      <c r="T10" s="183" t="e">
        <f ca="1">IF(Table4[[#This Row],[AM]]&amp;" "&amp;Table4[[#This Row],[---]]=INDIRECT("pajak[@["&amp;Table4[#Headers]&amp;"]]"),MATCH(Table4[[#This Row],[---]],INDIRECT($3:$3),0))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3" t="e">
        <f ca="1">IF((INDEX(INDIRECT($3:$3),Table4[[#This Row],[No. Invoice :]]+$2:$2))=INDIRECT("pajak[@["&amp;Table4[#Headers]&amp;"]]"),1)</f>
        <v>#REF!</v>
      </c>
      <c r="X10" s="184" t="e">
        <f ca="1">IF((INDEX(INDIRECT($3:$3),Table4[[#This Row],[No. Invoice :]]+$2:$2))=INDIRECT("pajak[@["&amp;Table4[#Headers]&amp;"]]"),1)</f>
        <v>#REF!</v>
      </c>
    </row>
    <row r="11" spans="1:27" x14ac:dyDescent="0.25">
      <c r="A11" s="291">
        <v>19</v>
      </c>
      <c r="D11">
        <f t="shared" ca="1" si="0"/>
        <v>19</v>
      </c>
      <c r="E11" t="str">
        <f ca="1">IF(pajak[[#This Row],[//]]="","",INDEX(Table1[No. Invoice :],pajak[//]-offset))</f>
        <v>AM 23080007</v>
      </c>
      <c r="F11" s="88">
        <f ca="1">IF(pajak[[#This Row],[//]]="","",INDEX(Table1[Tgl Invoice :],pajak[//]-offset))</f>
        <v>45146</v>
      </c>
      <c r="G11" t="str">
        <f ca="1">IF(pajak[[#This Row],[//]]="","",INDEX(Table1[Kode Sales :],pajak[//]-offset))</f>
        <v>KO 1566</v>
      </c>
      <c r="H11" t="str">
        <f ca="1">IF(pajak[[#This Row],[//]]="","",INDEX(Table1[Toko],pajak[//]-offset))</f>
        <v>CV RAINBOW NUSANTARA SIDOARJO</v>
      </c>
      <c r="I11" s="87">
        <f ca="1">IF(pajak[[#This Row],[//]]="","",SUMIF(Table1[h_id],pajak[[#This Row],[//]],Table1[h_hargasebelumdiskon]))</f>
        <v>2699200</v>
      </c>
      <c r="J11" s="87">
        <f ca="1">IF(pajak[[#This Row],[//]]="","",SUMIF(Table1[h_id],pajak[[#This Row],[//]],Table1[h_diskon]))</f>
        <v>391384</v>
      </c>
      <c r="K11" s="87">
        <f ca="1">IF(pajak[[#This Row],[//]]="","",SUMIF(Table1[h_id],pajak[[#This Row],[//]],Table1[h_hargasetelahdiskon]))</f>
        <v>2307816</v>
      </c>
      <c r="L11" s="87">
        <f ca="1">IF(pajak[//]="","",pajak[[#This Row],[Sub Total]]/1.11*11%)</f>
        <v>228702.48648648648</v>
      </c>
      <c r="M11" s="87">
        <f ca="1">pajak[[#This Row],[Sub Total]]</f>
        <v>2307816</v>
      </c>
      <c r="N11" s="85" t="str">
        <f ca="1">IF(pajak[[#This Row],[//]]="","",INDEX(Table1[pembuat nota :],pajak[//]-offset))</f>
        <v>NOVI / CONDRO</v>
      </c>
      <c r="O11" s="85" t="str">
        <f ca="1">IF(pajak[[#This Row],[//]]="","",IF(INDEX(Table1[edited :],pajak[//]-offset)="","",INDEX(Table1[edited :],pajak[//]-offset)))</f>
        <v/>
      </c>
      <c r="P11" s="87"/>
      <c r="R11" t="str">
        <f>Table4[[#Headers],[AM]]</f>
        <v>AM</v>
      </c>
      <c r="S11">
        <f t="shared" si="1"/>
        <v>23080007</v>
      </c>
      <c r="T11" s="183" t="e">
        <f ca="1">IF(Table4[[#This Row],[AM]]&amp;" "&amp;Table4[[#This Row],[---]]=INDIRECT("pajak[@["&amp;Table4[#Headers]&amp;"]]"),MATCH(Table4[[#This Row],[---]],INDIRECT($3:$3),0))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3" t="e">
        <f ca="1">IF((INDEX(INDIRECT($3:$3),Table4[[#This Row],[No. Invoice :]]+$2:$2))=INDIRECT("pajak[@["&amp;Table4[#Headers]&amp;"]]"),1)</f>
        <v>#REF!</v>
      </c>
      <c r="X11" s="184" t="e">
        <f ca="1">IF((INDEX(INDIRECT($3:$3),Table4[[#This Row],[No. Invoice :]]+$2:$2))=INDIRECT("pajak[@["&amp;Table4[#Headers]&amp;"]]"),1)</f>
        <v>#REF!</v>
      </c>
    </row>
    <row r="12" spans="1:27" x14ac:dyDescent="0.25">
      <c r="A12" s="291">
        <v>26</v>
      </c>
      <c r="D12">
        <f t="shared" ca="1" si="0"/>
        <v>26</v>
      </c>
      <c r="E12" t="str">
        <f ca="1">IF(pajak[[#This Row],[//]]="","",INDEX(Table1[No. Invoice :],pajak[//]-offset))</f>
        <v>AM 23080008</v>
      </c>
      <c r="F12" s="88">
        <f ca="1">IF(pajak[[#This Row],[//]]="","",INDEX(Table1[Tgl Invoice :],pajak[//]-offset))</f>
        <v>45146</v>
      </c>
      <c r="G12" t="str">
        <f ca="1">IF(pajak[[#This Row],[//]]="","",INDEX(Table1[Kode Sales :],pajak[//]-offset))</f>
        <v>G 1649</v>
      </c>
      <c r="H12" t="str">
        <f ca="1">IF(pajak[[#This Row],[//]]="","",INDEX(Table1[Toko],pajak[//]-offset))</f>
        <v>MUHAMMAD AGUS MUNADI ( SINAR BHAKTI ) YOGYAKARTA</v>
      </c>
      <c r="I12" s="87">
        <f ca="1">IF(pajak[[#This Row],[//]]="","",SUMIF(Table1[h_id],pajak[[#This Row],[//]],Table1[h_hargasebelumdiskon]))</f>
        <v>374400</v>
      </c>
      <c r="J12" s="87">
        <f ca="1">IF(pajak[[#This Row],[//]]="","",SUMIF(Table1[h_id],pajak[[#This Row],[//]],Table1[h_diskon]))</f>
        <v>37440</v>
      </c>
      <c r="K12" s="87">
        <f ca="1">IF(pajak[[#This Row],[//]]="","",SUMIF(Table1[h_id],pajak[[#This Row],[//]],Table1[h_hargasetelahdiskon]))</f>
        <v>336960</v>
      </c>
      <c r="L12" s="87">
        <f ca="1">IF(pajak[//]="","",pajak[[#This Row],[Sub Total]]/1.11*11%)</f>
        <v>33392.432432432426</v>
      </c>
      <c r="M12" s="87">
        <f ca="1">pajak[[#This Row],[Sub Total]]</f>
        <v>336960</v>
      </c>
      <c r="N12" s="85" t="str">
        <f ca="1">IF(pajak[[#This Row],[//]]="","",INDEX(Table1[pembuat nota :],pajak[//]-offset))</f>
        <v>NOVI / CONDRO</v>
      </c>
      <c r="O12" s="85" t="str">
        <f ca="1">IF(pajak[[#This Row],[//]]="","",IF(INDEX(Table1[edited :],pajak[//]-offset)="","",INDEX(Table1[edited :],pajak[//]-offset)))</f>
        <v/>
      </c>
      <c r="P12" s="87"/>
      <c r="R12" t="str">
        <f>Table4[[#Headers],[AM]]</f>
        <v>AM</v>
      </c>
      <c r="S12">
        <f t="shared" si="1"/>
        <v>23080008</v>
      </c>
      <c r="T12" s="183" t="e">
        <f ca="1">IF(Table4[[#This Row],[AM]]&amp;" "&amp;Table4[[#This Row],[---]]=INDIRECT("pajak[@["&amp;Table4[#Headers]&amp;"]]"),MATCH(Table4[[#This Row],[---]],INDIRECT($3:$3),0))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3" t="e">
        <f ca="1">IF((INDEX(INDIRECT($3:$3),Table4[[#This Row],[No. Invoice :]]+$2:$2))=INDIRECT("pajak[@["&amp;Table4[#Headers]&amp;"]]"),1)</f>
        <v>#REF!</v>
      </c>
      <c r="X12" s="184" t="e">
        <f ca="1">IF((INDEX(INDIRECT($3:$3),Table4[[#This Row],[No. Invoice :]]+$2:$2))=INDIRECT("pajak[@["&amp;Table4[#Headers]&amp;"]]"),1)</f>
        <v>#REF!</v>
      </c>
    </row>
    <row r="13" spans="1:27" x14ac:dyDescent="0.25">
      <c r="A13" s="291">
        <v>28</v>
      </c>
      <c r="D13">
        <f t="shared" ca="1" si="0"/>
        <v>28</v>
      </c>
      <c r="E13" t="str">
        <f ca="1">IF(pajak[[#This Row],[//]]="","",INDEX(Table1[No. Invoice :],pajak[//]-offset))</f>
        <v>AM 23080009</v>
      </c>
      <c r="F13" s="88">
        <f ca="1">IF(pajak[[#This Row],[//]]="","",INDEX(Table1[Tgl Invoice :],pajak[//]-offset))</f>
        <v>45147</v>
      </c>
      <c r="G13" t="str">
        <f ca="1">IF(pajak[[#This Row],[//]]="","",INDEX(Table1[Kode Sales :],pajak[//]-offset))</f>
        <v>G 1916</v>
      </c>
      <c r="H13" t="str">
        <f ca="1">IF(pajak[[#This Row],[//]]="","",INDEX(Table1[Toko],pajak[//]-offset))</f>
        <v>LILY JULIAWATI (REJO AGUNG) JOMBANG</v>
      </c>
      <c r="I13" s="87">
        <f ca="1">IF(pajak[[#This Row],[//]]="","",SUMIF(Table1[h_id],pajak[[#This Row],[//]],Table1[h_hargasebelumdiskon]))</f>
        <v>2275200</v>
      </c>
      <c r="J13" s="87">
        <f ca="1">IF(pajak[[#This Row],[//]]="","",SUMIF(Table1[h_id],pajak[[#This Row],[//]],Table1[h_diskon]))</f>
        <v>284400</v>
      </c>
      <c r="K13" s="87">
        <f ca="1">IF(pajak[[#This Row],[//]]="","",SUMIF(Table1[h_id],pajak[[#This Row],[//]],Table1[h_hargasetelahdiskon]))</f>
        <v>1990800</v>
      </c>
      <c r="L13" s="87">
        <f ca="1">IF(pajak[//]="","",pajak[[#This Row],[Sub Total]]/1.11*11%)</f>
        <v>197286.48648648648</v>
      </c>
      <c r="M13" s="87">
        <f ca="1">pajak[[#This Row],[Sub Total]]</f>
        <v>1990800</v>
      </c>
      <c r="N13" s="85" t="str">
        <f ca="1">IF(pajak[[#This Row],[//]]="","",INDEX(Table1[pembuat nota :],pajak[//]-offset))</f>
        <v>NOVI / YO</v>
      </c>
      <c r="O13" s="85" t="str">
        <f ca="1">IF(pajak[[#This Row],[//]]="","",IF(INDEX(Table1[edited :],pajak[//]-offset)="","",INDEX(Table1[edited :],pajak[//]-offset)))</f>
        <v/>
      </c>
      <c r="P13" s="87"/>
      <c r="R13" t="str">
        <f>Table4[[#Headers],[AM]]</f>
        <v>AM</v>
      </c>
      <c r="S13">
        <f t="shared" si="1"/>
        <v>23080009</v>
      </c>
      <c r="T13" s="183" t="e">
        <f ca="1">IF(Table4[[#This Row],[AM]]&amp;" "&amp;Table4[[#This Row],[---]]=INDIRECT("pajak[@["&amp;Table4[#Headers]&amp;"]]"),MATCH(Table4[[#This Row],[---]],INDIRECT($3:$3),0))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3" t="e">
        <f ca="1">IF((INDEX(INDIRECT($3:$3),Table4[[#This Row],[No. Invoice :]]+$2:$2))=INDIRECT("pajak[@["&amp;Table4[#Headers]&amp;"]]"),1)</f>
        <v>#REF!</v>
      </c>
      <c r="X13" s="184" t="e">
        <f ca="1">IF((INDEX(INDIRECT($3:$3),Table4[[#This Row],[No. Invoice :]]+$2:$2))=INDIRECT("pajak[@["&amp;Table4[#Headers]&amp;"]]"),1)</f>
        <v>#REF!</v>
      </c>
    </row>
    <row r="14" spans="1:27" x14ac:dyDescent="0.25">
      <c r="A14" s="291">
        <v>30</v>
      </c>
      <c r="D14" s="85">
        <f t="shared" ca="1" si="0"/>
        <v>30</v>
      </c>
      <c r="E14" t="str">
        <f ca="1">IF(pajak[[#This Row],[//]]="","",INDEX(Table1[No. Invoice :],pajak[//]-offset))</f>
        <v>AM 23080010</v>
      </c>
      <c r="F14" s="88">
        <f ca="1">IF(pajak[[#This Row],[//]]="","",INDEX(Table1[Tgl Invoice :],pajak[//]-offset))</f>
        <v>45147</v>
      </c>
      <c r="G14" s="85" t="str">
        <f ca="1">IF(pajak[[#This Row],[//]]="","",INDEX(Table1[Kode Sales :],pajak[//]-offset))</f>
        <v>KO 1921</v>
      </c>
      <c r="H14" s="85" t="str">
        <f ca="1">IF(pajak[[#This Row],[//]]="","",INDEX(Table1[Toko],pajak[//]-offset))</f>
        <v>CV PELITA JAYA (ANUGERAH SEJAHTERA) PURWOKERTO</v>
      </c>
      <c r="I14" s="87">
        <f ca="1">IF(pajak[[#This Row],[//]]="","",SUMIF(Table1[h_id],pajak[[#This Row],[//]],Table1[h_hargasebelumdiskon]))</f>
        <v>6372000</v>
      </c>
      <c r="J14" s="87">
        <f ca="1">IF(pajak[[#This Row],[//]]="","",SUMIF(Table1[h_id],pajak[[#This Row],[//]],Table1[h_diskon]))</f>
        <v>860220</v>
      </c>
      <c r="K14" s="87">
        <f ca="1">IF(pajak[[#This Row],[//]]="","",SUMIF(Table1[h_id],pajak[[#This Row],[//]],Table1[h_hargasetelahdiskon]))</f>
        <v>5511780</v>
      </c>
      <c r="L14" s="87">
        <f ca="1">IF(pajak[//]="","",pajak[[#This Row],[Sub Total]]/1.11*11%)</f>
        <v>546212.43243243243</v>
      </c>
      <c r="M14" s="87">
        <f ca="1">pajak[[#This Row],[Sub Total]]</f>
        <v>5511780</v>
      </c>
      <c r="N14" s="85" t="str">
        <f ca="1">IF(pajak[[#This Row],[//]]="","",INDEX(Table1[pembuat nota :],pajak[//]-offset))</f>
        <v>NOVI / YO</v>
      </c>
      <c r="O14" s="85" t="str">
        <f ca="1">IF(pajak[[#This Row],[//]]="","",IF(INDEX(Table1[edited :],pajak[//]-offset)="","",INDEX(Table1[edited :],pajak[//]-offset)))</f>
        <v/>
      </c>
      <c r="P14" s="87"/>
      <c r="R14" t="str">
        <f>Table4[[#Headers],[AM]]</f>
        <v>AM</v>
      </c>
      <c r="S14">
        <f t="shared" si="1"/>
        <v>23080010</v>
      </c>
      <c r="T14" s="183" t="e">
        <f ca="1">IF(Table4[[#This Row],[AM]]&amp;" "&amp;Table4[[#This Row],[---]]=INDIRECT("pajak[@["&amp;Table4[#Headers]&amp;"]]"),MATCH(Table4[[#This Row],[---]],INDIRECT($3:$3),0))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3" t="e">
        <f ca="1">IF((INDEX(INDIRECT($3:$3),Table4[[#This Row],[No. Invoice :]]+$2:$2))=INDIRECT("pajak[@["&amp;Table4[#Headers]&amp;"]]"),1)</f>
        <v>#REF!</v>
      </c>
      <c r="X14" s="184" t="e">
        <f ca="1">IF((INDEX(INDIRECT($3:$3),Table4[[#This Row],[No. Invoice :]]+$2:$2))=INDIRECT("pajak[@["&amp;Table4[#Headers]&amp;"]]"),1)</f>
        <v>#REF!</v>
      </c>
    </row>
    <row r="15" spans="1:27" x14ac:dyDescent="0.25">
      <c r="A15" s="291">
        <v>33</v>
      </c>
      <c r="D15" s="85">
        <f t="shared" ca="1" si="0"/>
        <v>33</v>
      </c>
      <c r="E15" t="str">
        <f ca="1">IF(pajak[[#This Row],[//]]="","",INDEX(Table1[No. Invoice :],pajak[//]-offset))</f>
        <v>AM 23080011</v>
      </c>
      <c r="F15" s="88">
        <f ca="1">IF(pajak[[#This Row],[//]]="","",INDEX(Table1[Tgl Invoice :],pajak[//]-offset))</f>
        <v>45148</v>
      </c>
      <c r="G15" s="85" t="str">
        <f ca="1">IF(pajak[[#This Row],[//]]="","",INDEX(Table1[Kode Sales :],pajak[//]-offset))</f>
        <v>G 1923</v>
      </c>
      <c r="H15" s="85" t="str">
        <f ca="1">IF(pajak[[#This Row],[//]]="","",INDEX(Table1[Toko],pajak[//]-offset))</f>
        <v>CV UTAMA PUTRA TULUNG AGUNG</v>
      </c>
      <c r="I15" s="87">
        <f ca="1">IF(pajak[[#This Row],[//]]="","",SUMIF(Table1[h_id],pajak[[#This Row],[//]],Table1[h_hargasebelumdiskon]))</f>
        <v>1468800</v>
      </c>
      <c r="J15" s="87">
        <f ca="1">IF(pajak[[#This Row],[//]]="","",SUMIF(Table1[h_id],pajak[[#This Row],[//]],Table1[h_diskon]))</f>
        <v>183600</v>
      </c>
      <c r="K15" s="87">
        <f ca="1">IF(pajak[[#This Row],[//]]="","",SUMIF(Table1[h_id],pajak[[#This Row],[//]],Table1[h_hargasetelahdiskon]))</f>
        <v>1285200</v>
      </c>
      <c r="L15" s="87">
        <f ca="1">IF(pajak[//]="","",pajak[[#This Row],[Sub Total]]/1.11*11%)</f>
        <v>127362.16216216215</v>
      </c>
      <c r="M15" s="87">
        <f ca="1">pajak[[#This Row],[Sub Total]]</f>
        <v>1285200</v>
      </c>
      <c r="N15" s="85" t="str">
        <f ca="1">IF(pajak[[#This Row],[//]]="","",INDEX(Table1[pembuat nota :],pajak[//]-offset))</f>
        <v>NOVI / YO</v>
      </c>
      <c r="O15" s="85" t="str">
        <f ca="1">IF(pajak[[#This Row],[//]]="","",IF(INDEX(Table1[edited :],pajak[//]-offset)="","",INDEX(Table1[edited :],pajak[//]-offset)))</f>
        <v/>
      </c>
      <c r="P15" s="87"/>
      <c r="R15" t="str">
        <f>Table4[[#Headers],[AM]]</f>
        <v>AM</v>
      </c>
      <c r="S15">
        <f t="shared" si="1"/>
        <v>23080011</v>
      </c>
      <c r="T15" s="183" t="e">
        <f ca="1">IF(Table4[[#This Row],[AM]]&amp;" "&amp;Table4[[#This Row],[---]]=INDIRECT("pajak[@["&amp;Table4[#Headers]&amp;"]]"),MATCH(Table4[[#This Row],[---]],INDIRECT($3:$3),0))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3" t="e">
        <f ca="1">IF((INDEX(INDIRECT($3:$3),Table4[[#This Row],[No. Invoice :]]+$2:$2))=INDIRECT("pajak[@["&amp;Table4[#Headers]&amp;"]]"),1)</f>
        <v>#REF!</v>
      </c>
      <c r="X15" s="184" t="e">
        <f ca="1">IF((INDEX(INDIRECT($3:$3),Table4[[#This Row],[No. Invoice :]]+$2:$2))=INDIRECT("pajak[@["&amp;Table4[#Headers]&amp;"]]"),1)</f>
        <v>#REF!</v>
      </c>
    </row>
    <row r="16" spans="1:27" x14ac:dyDescent="0.25">
      <c r="A16" s="291">
        <v>35</v>
      </c>
      <c r="D16" s="85">
        <f t="shared" ca="1" si="0"/>
        <v>35</v>
      </c>
      <c r="E16" t="str">
        <f ca="1">IF(pajak[[#This Row],[//]]="","",INDEX(Table1[No. Invoice :],pajak[//]-offset))</f>
        <v>AM 23080012</v>
      </c>
      <c r="F16" s="88">
        <f ca="1">IF(pajak[[#This Row],[//]]="","",INDEX(Table1[Tgl Invoice :],pajak[//]-offset))</f>
        <v>45148</v>
      </c>
      <c r="G16" s="85" t="str">
        <f ca="1">IF(pajak[[#This Row],[//]]="","",INDEX(Table1[Kode Sales :],pajak[//]-offset))</f>
        <v>G 1926</v>
      </c>
      <c r="H16" s="85" t="str">
        <f ca="1">IF(pajak[[#This Row],[//]]="","",INDEX(Table1[Toko],pajak[//]-offset))</f>
        <v>GUNAWAN HARTONO KUSUMA ( NIKI SAE ) TULUNG AGUNG</v>
      </c>
      <c r="I16" s="87">
        <f ca="1">IF(pajak[[#This Row],[//]]="","",SUMIF(Table1[h_id],pajak[[#This Row],[//]],Table1[h_hargasebelumdiskon]))</f>
        <v>4104000</v>
      </c>
      <c r="J16" s="87">
        <f ca="1">IF(pajak[[#This Row],[//]]="","",SUMIF(Table1[h_id],pajak[[#This Row],[//]],Table1[h_diskon]))</f>
        <v>0</v>
      </c>
      <c r="K16" s="87">
        <f ca="1">IF(pajak[[#This Row],[//]]="","",SUMIF(Table1[h_id],pajak[[#This Row],[//]],Table1[h_hargasetelahdiskon]))</f>
        <v>4104000</v>
      </c>
      <c r="L16" s="87">
        <f ca="1">IF(pajak[//]="","",pajak[[#This Row],[Sub Total]]/1.11*11%)</f>
        <v>406702.70270270266</v>
      </c>
      <c r="M16" s="87">
        <f ca="1">pajak[[#This Row],[Sub Total]]</f>
        <v>4104000</v>
      </c>
      <c r="N16" s="85" t="str">
        <f ca="1">IF(pajak[[#This Row],[//]]="","",INDEX(Table1[pembuat nota :],pajak[//]-offset))</f>
        <v>NOVI / YO</v>
      </c>
      <c r="O16" s="85" t="str">
        <f ca="1">IF(pajak[[#This Row],[//]]="","",IF(INDEX(Table1[edited :],pajak[//]-offset)="","",INDEX(Table1[edited :],pajak[//]-offset)))</f>
        <v/>
      </c>
      <c r="P16" s="87"/>
      <c r="R16" t="str">
        <f>Table4[[#Headers],[AM]]</f>
        <v>AM</v>
      </c>
      <c r="S16">
        <f t="shared" si="1"/>
        <v>23080012</v>
      </c>
      <c r="T16" s="183" t="e">
        <f ca="1">IF(Table4[[#This Row],[AM]]&amp;" "&amp;Table4[[#This Row],[---]]=INDIRECT("pajak[@["&amp;Table4[#Headers]&amp;"]]"),MATCH(Table4[[#This Row],[---]],INDIRECT($3:$3),0))</f>
        <v>#REF!</v>
      </c>
      <c r="U16" s="183" t="e">
        <f ca="1">IF((INDEX(INDIRECT($3:$3),Table4[[#This Row],[No. Invoice :]]+$2:$2))=INDIRECT("pajak[@["&amp;Table4[#Headers]&amp;"]]"),1)</f>
        <v>#REF!</v>
      </c>
      <c r="V16" s="183" t="e">
        <f ca="1">IF((INDEX(INDIRECT($3:$3),Table4[[#This Row],[No. Invoice :]]+$2:$2))=INDIRECT("pajak[@["&amp;Table4[#Headers]&amp;"]]"),1)</f>
        <v>#REF!</v>
      </c>
      <c r="W16" s="183" t="e">
        <f ca="1">IF((INDEX(INDIRECT($3:$3),Table4[[#This Row],[No. Invoice :]]+$2:$2))=INDIRECT("pajak[@["&amp;Table4[#Headers]&amp;"]]"),1)</f>
        <v>#REF!</v>
      </c>
      <c r="X16" s="184" t="e">
        <f ca="1">IF((INDEX(INDIRECT($3:$3),Table4[[#This Row],[No. Invoice :]]+$2:$2))=INDIRECT("pajak[@["&amp;Table4[#Headers]&amp;"]]"),1)</f>
        <v>#REF!</v>
      </c>
    </row>
    <row r="17" spans="1:24" x14ac:dyDescent="0.25">
      <c r="A17" s="291">
        <v>37</v>
      </c>
      <c r="D17" s="85">
        <f t="shared" ca="1" si="0"/>
        <v>37</v>
      </c>
      <c r="E17" t="str">
        <f ca="1">IF(pajak[[#This Row],[//]]="","",INDEX(Table1[No. Invoice :],pajak[//]-offset))</f>
        <v>AM 23080013</v>
      </c>
      <c r="F17" s="88">
        <f ca="1">IF(pajak[[#This Row],[//]]="","",INDEX(Table1[Tgl Invoice :],pajak[//]-offset))</f>
        <v>45148</v>
      </c>
      <c r="G17" s="85" t="str">
        <f ca="1">IF(pajak[[#This Row],[//]]="","",INDEX(Table1[Kode Sales :],pajak[//]-offset))</f>
        <v>G 1927</v>
      </c>
      <c r="H17" s="85" t="str">
        <f ca="1">IF(pajak[[#This Row],[//]]="","",INDEX(Table1[Toko],pajak[//]-offset))</f>
        <v>LILY JULIAWATI (REJO AGUNG) JOMBANG</v>
      </c>
      <c r="I17" s="87">
        <f ca="1">IF(pajak[[#This Row],[//]]="","",SUMIF(Table1[h_id],pajak[[#This Row],[//]],Table1[h_hargasebelumdiskon]))</f>
        <v>20520000</v>
      </c>
      <c r="J17" s="87">
        <f ca="1">IF(pajak[[#This Row],[//]]="","",SUMIF(Table1[h_id],pajak[[#This Row],[//]],Table1[h_diskon]))</f>
        <v>0</v>
      </c>
      <c r="K17" s="87">
        <f ca="1">IF(pajak[[#This Row],[//]]="","",SUMIF(Table1[h_id],pajak[[#This Row],[//]],Table1[h_hargasetelahdiskon]))</f>
        <v>20520000</v>
      </c>
      <c r="L17" s="87">
        <f ca="1">IF(pajak[//]="","",pajak[[#This Row],[Sub Total]]/1.11*11%)</f>
        <v>2033513.5135135131</v>
      </c>
      <c r="M17" s="87">
        <f ca="1">pajak[[#This Row],[Sub Total]]</f>
        <v>20520000</v>
      </c>
      <c r="N17" s="85" t="str">
        <f ca="1">IF(pajak[[#This Row],[//]]="","",INDEX(Table1[pembuat nota :],pajak[//]-offset))</f>
        <v>NOVI / YO</v>
      </c>
      <c r="O17" s="85" t="str">
        <f ca="1">IF(pajak[[#This Row],[//]]="","",IF(INDEX(Table1[edited :],pajak[//]-offset)="","",INDEX(Table1[edited :],pajak[//]-offset)))</f>
        <v/>
      </c>
      <c r="P17" s="87"/>
      <c r="R17" t="str">
        <f>Table4[[#Headers],[AM]]</f>
        <v>AM</v>
      </c>
      <c r="S17">
        <f t="shared" si="1"/>
        <v>23080013</v>
      </c>
      <c r="T17" s="183" t="e">
        <f ca="1">IF(Table4[[#This Row],[AM]]&amp;" "&amp;Table4[[#This Row],[---]]=INDIRECT("pajak[@["&amp;Table4[#Headers]&amp;"]]"),MATCH(Table4[[#This Row],[---]],INDIRECT($3:$3),0))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3" t="e">
        <f ca="1">IF((INDEX(INDIRECT($3:$3),Table4[[#This Row],[No. Invoice :]]+$2:$2))=INDIRECT("pajak[@["&amp;Table4[#Headers]&amp;"]]"),1)</f>
        <v>#REF!</v>
      </c>
      <c r="X17" s="184" t="e">
        <f ca="1">IF((INDEX(INDIRECT($3:$3),Table4[[#This Row],[No. Invoice :]]+$2:$2))=INDIRECT("pajak[@["&amp;Table4[#Headers]&amp;"]]"),1)</f>
        <v>#REF!</v>
      </c>
    </row>
    <row r="18" spans="1:24" x14ac:dyDescent="0.25">
      <c r="A18" s="291">
        <v>39</v>
      </c>
      <c r="D18" s="85">
        <f t="shared" ca="1" si="0"/>
        <v>39</v>
      </c>
      <c r="E18" t="str">
        <f ca="1">IF(pajak[[#This Row],[//]]="","",INDEX(Table1[No. Invoice :],pajak[//]-offset))</f>
        <v>AM 23080014</v>
      </c>
      <c r="F18" s="88">
        <f ca="1">IF(pajak[[#This Row],[//]]="","",INDEX(Table1[Tgl Invoice :],pajak[//]-offset))</f>
        <v>45148</v>
      </c>
      <c r="G18" s="85" t="str">
        <f ca="1">IF(pajak[[#This Row],[//]]="","",INDEX(Table1[Kode Sales :],pajak[//]-offset))</f>
        <v>KO 1574</v>
      </c>
      <c r="H18" s="85" t="str">
        <f ca="1">IF(pajak[[#This Row],[//]]="","",INDEX(Table1[Toko],pajak[//]-offset))</f>
        <v>CV LANCAR JAYA SENTOSA MALANG</v>
      </c>
      <c r="I18" s="87">
        <f ca="1">IF(pajak[[#This Row],[//]]="","",SUMIF(Table1[h_id],pajak[[#This Row],[//]],Table1[h_hargasebelumdiskon]))</f>
        <v>19727000</v>
      </c>
      <c r="J18" s="87">
        <f ca="1">IF(pajak[[#This Row],[//]]="","",SUMIF(Table1[h_id],pajak[[#This Row],[//]],Table1[h_diskon]))</f>
        <v>280500</v>
      </c>
      <c r="K18" s="87">
        <f ca="1">IF(pajak[[#This Row],[//]]="","",SUMIF(Table1[h_id],pajak[[#This Row],[//]],Table1[h_hargasetelahdiskon]))</f>
        <v>19446500</v>
      </c>
      <c r="L18" s="87">
        <f ca="1">IF(pajak[//]="","",pajak[[#This Row],[Sub Total]]/1.11*11%)</f>
        <v>1927130.6306306305</v>
      </c>
      <c r="M18" s="87">
        <f ca="1">pajak[[#This Row],[Sub Total]]</f>
        <v>19446500</v>
      </c>
      <c r="N18" s="85" t="str">
        <f ca="1">IF(pajak[[#This Row],[//]]="","",INDEX(Table1[pembuat nota :],pajak[//]-offset))</f>
        <v>NOVI / YO</v>
      </c>
      <c r="O18" s="85" t="str">
        <f ca="1">IF(pajak[[#This Row],[//]]="","",IF(INDEX(Table1[edited :],pajak[//]-offset)="","",INDEX(Table1[edited :],pajak[//]-offset)))</f>
        <v/>
      </c>
      <c r="P18" s="87"/>
      <c r="R18" t="str">
        <f>Table4[[#Headers],[AM]]</f>
        <v>AM</v>
      </c>
      <c r="S18">
        <f t="shared" si="1"/>
        <v>23080014</v>
      </c>
      <c r="T18" s="183" t="e">
        <f ca="1">IF(Table4[[#This Row],[AM]]&amp;" "&amp;Table4[[#This Row],[---]]=INDIRECT("pajak[@["&amp;Table4[#Headers]&amp;"]]"),MATCH(Table4[[#This Row],[---]],INDIRECT($3:$3),0))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3" t="e">
        <f ca="1">IF((INDEX(INDIRECT($3:$3),Table4[[#This Row],[No. Invoice :]]+$2:$2))=INDIRECT("pajak[@["&amp;Table4[#Headers]&amp;"]]"),1)</f>
        <v>#REF!</v>
      </c>
      <c r="X18" s="184" t="e">
        <f ca="1">IF((INDEX(INDIRECT($3:$3),Table4[[#This Row],[No. Invoice :]]+$2:$2))=INDIRECT("pajak[@["&amp;Table4[#Headers]&amp;"]]"),1)</f>
        <v>#REF!</v>
      </c>
    </row>
    <row r="19" spans="1:24" x14ac:dyDescent="0.25">
      <c r="A19" s="291">
        <v>43</v>
      </c>
      <c r="D19" s="85">
        <f t="shared" ca="1" si="0"/>
        <v>43</v>
      </c>
      <c r="E19" t="str">
        <f ca="1">IF(pajak[[#This Row],[//]]="","",INDEX(Table1[No. Invoice :],pajak[//]-offset))</f>
        <v>AM 23080015</v>
      </c>
      <c r="F19" s="88">
        <f ca="1">IF(pajak[[#This Row],[//]]="","",INDEX(Table1[Tgl Invoice :],pajak[//]-offset))</f>
        <v>45148</v>
      </c>
      <c r="G19" s="85" t="str">
        <f ca="1">IF(pajak[[#This Row],[//]]="","",INDEX(Table1[Kode Sales :],pajak[//]-offset))</f>
        <v>KO 3008</v>
      </c>
      <c r="H19" s="85" t="str">
        <f ca="1">IF(pajak[[#This Row],[//]]="","",INDEX(Table1[Toko],pajak[//]-offset))</f>
        <v>CV PELITA JAYA (ANUGERAH SEJAHTERA) PURWOKERTO</v>
      </c>
      <c r="I19" s="87">
        <f ca="1">IF(pajak[[#This Row],[//]]="","",SUMIF(Table1[h_id],pajak[[#This Row],[//]],Table1[h_hargasebelumdiskon]))</f>
        <v>2150000</v>
      </c>
      <c r="J19" s="87">
        <f ca="1">IF(pajak[[#This Row],[//]]="","",SUMIF(Table1[h_id],pajak[[#This Row],[//]],Table1[h_diskon]))</f>
        <v>290250</v>
      </c>
      <c r="K19" s="87">
        <f ca="1">IF(pajak[[#This Row],[//]]="","",SUMIF(Table1[h_id],pajak[[#This Row],[//]],Table1[h_hargasetelahdiskon]))</f>
        <v>1859750</v>
      </c>
      <c r="L19" s="87">
        <f ca="1">IF(pajak[//]="","",pajak[[#This Row],[Sub Total]]/1.11*11%)</f>
        <v>184299.54954954956</v>
      </c>
      <c r="M19" s="87">
        <f ca="1">pajak[[#This Row],[Sub Total]]</f>
        <v>1859750</v>
      </c>
      <c r="N19" s="85" t="str">
        <f ca="1">IF(pajak[[#This Row],[//]]="","",INDEX(Table1[pembuat nota :],pajak[//]-offset))</f>
        <v>LENA / YO</v>
      </c>
      <c r="O19" s="85" t="str">
        <f ca="1">IF(pajak[[#This Row],[//]]="","",IF(INDEX(Table1[edited :],pajak[//]-offset)="","",INDEX(Table1[edited :],pajak[//]-offset)))</f>
        <v/>
      </c>
      <c r="P19" s="87"/>
      <c r="R19" t="str">
        <f>Table4[[#Headers],[AM]]</f>
        <v>AM</v>
      </c>
      <c r="S19">
        <f t="shared" si="1"/>
        <v>23080015</v>
      </c>
      <c r="T19" s="183" t="e">
        <f ca="1">IF(Table4[[#This Row],[AM]]&amp;" "&amp;Table4[[#This Row],[---]]=INDIRECT("pajak[@["&amp;Table4[#Headers]&amp;"]]"),MATCH(Table4[[#This Row],[---]],INDIRECT($3:$3),0))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3" t="e">
        <f ca="1">IF((INDEX(INDIRECT($3:$3),Table4[[#This Row],[No. Invoice :]]+$2:$2))=INDIRECT("pajak[@["&amp;Table4[#Headers]&amp;"]]"),1)</f>
        <v>#REF!</v>
      </c>
      <c r="X19" s="184" t="e">
        <f ca="1">IF((INDEX(INDIRECT($3:$3),Table4[[#This Row],[No. Invoice :]]+$2:$2))=INDIRECT("pajak[@["&amp;Table4[#Headers]&amp;"]]"),1)</f>
        <v>#REF!</v>
      </c>
    </row>
    <row r="20" spans="1:24" x14ac:dyDescent="0.25">
      <c r="A20" s="291">
        <v>45</v>
      </c>
      <c r="D20" s="85">
        <f t="shared" ca="1" si="0"/>
        <v>45</v>
      </c>
      <c r="E20" t="str">
        <f ca="1">IF(pajak[[#This Row],[//]]="","",INDEX(Table1[No. Invoice :],pajak[//]-offset))</f>
        <v>AM 23080016</v>
      </c>
      <c r="F20" s="88">
        <f ca="1">IF(pajak[[#This Row],[//]]="","",INDEX(Table1[Tgl Invoice :],pajak[//]-offset))</f>
        <v>45148</v>
      </c>
      <c r="G20" s="85" t="str">
        <f ca="1">IF(pajak[[#This Row],[//]]="","",INDEX(Table1[Kode Sales :],pajak[//]-offset))</f>
        <v>A 1930</v>
      </c>
      <c r="H20" s="85" t="str">
        <f ca="1">IF(pajak[[#This Row],[//]]="","",INDEX(Table1[Toko],pajak[//]-offset))</f>
        <v>CV FM 90 FAMILY / RENI (JATIMULYO) KEBUMEN</v>
      </c>
      <c r="I20" s="87">
        <f ca="1">IF(pajak[[#This Row],[//]]="","",SUMIF(Table1[h_id],pajak[[#This Row],[//]],Table1[h_hargasebelumdiskon]))</f>
        <v>4104000</v>
      </c>
      <c r="J20" s="87">
        <f ca="1">IF(pajak[[#This Row],[//]]="","",SUMIF(Table1[h_id],pajak[[#This Row],[//]],Table1[h_diskon]))</f>
        <v>0</v>
      </c>
      <c r="K20" s="87">
        <f ca="1">IF(pajak[[#This Row],[//]]="","",SUMIF(Table1[h_id],pajak[[#This Row],[//]],Table1[h_hargasetelahdiskon]))</f>
        <v>4104000</v>
      </c>
      <c r="L20" s="87">
        <f ca="1">IF(pajak[//]="","",pajak[[#This Row],[Sub Total]]/1.11*11%)</f>
        <v>406702.70270270266</v>
      </c>
      <c r="M20" s="87">
        <f ca="1">pajak[[#This Row],[Sub Total]]</f>
        <v>4104000</v>
      </c>
      <c r="N20" s="85" t="str">
        <f ca="1">IF(pajak[[#This Row],[//]]="","",INDEX(Table1[pembuat nota :],pajak[//]-offset))</f>
        <v>NOVI / CONDRO</v>
      </c>
      <c r="O20" s="85" t="str">
        <f ca="1">IF(pajak[[#This Row],[//]]="","",IF(INDEX(Table1[edited :],pajak[//]-offset)="","",INDEX(Table1[edited :],pajak[//]-offset)))</f>
        <v/>
      </c>
      <c r="P20" s="87"/>
      <c r="R20" t="str">
        <f>Table4[[#Headers],[AM]]</f>
        <v>AM</v>
      </c>
      <c r="S20">
        <f t="shared" si="1"/>
        <v>23080016</v>
      </c>
      <c r="T20" s="183" t="e">
        <f ca="1">IF(Table4[[#This Row],[AM]]&amp;" "&amp;Table4[[#This Row],[---]]=INDIRECT("pajak[@["&amp;Table4[#Headers]&amp;"]]"),MATCH(Table4[[#This Row],[---]],INDIRECT($3:$3),0))</f>
        <v>#REF!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3" t="e">
        <f ca="1">IF((INDEX(INDIRECT($3:$3),Table4[[#This Row],[No. Invoice :]]+$2:$2))=INDIRECT("pajak[@["&amp;Table4[#Headers]&amp;"]]"),1)</f>
        <v>#REF!</v>
      </c>
      <c r="X20" s="184" t="e">
        <f ca="1">IF((INDEX(INDIRECT($3:$3),Table4[[#This Row],[No. Invoice :]]+$2:$2))=INDIRECT("pajak[@["&amp;Table4[#Headers]&amp;"]]"),1)</f>
        <v>#REF!</v>
      </c>
    </row>
    <row r="21" spans="1:24" x14ac:dyDescent="0.25">
      <c r="A21" s="291">
        <v>47</v>
      </c>
      <c r="D21" s="85">
        <f t="shared" ca="1" si="0"/>
        <v>47</v>
      </c>
      <c r="E21" t="str">
        <f ca="1">IF(pajak[[#This Row],[//]]="","",INDEX(Table1[No. Invoice :],pajak[//]-offset))</f>
        <v>AM 23080017</v>
      </c>
      <c r="F21" s="88">
        <f ca="1">IF(pajak[[#This Row],[//]]="","",INDEX(Table1[Tgl Invoice :],pajak[//]-offset))</f>
        <v>45149</v>
      </c>
      <c r="G21" s="85" t="str">
        <f ca="1">IF(pajak[[#This Row],[//]]="","",INDEX(Table1[Kode Sales :],pajak[//]-offset))</f>
        <v>G 1932</v>
      </c>
      <c r="H21" s="85" t="str">
        <f ca="1">IF(pajak[[#This Row],[//]]="","",INDEX(Table1[Toko],pajak[//]-offset))</f>
        <v>LILY JULIAWATI (REJO AGUNG) JOMBANG</v>
      </c>
      <c r="I21" s="87">
        <f ca="1">IF(pajak[[#This Row],[//]]="","",SUMIF(Table1[h_id],pajak[[#This Row],[//]],Table1[h_hargasebelumdiskon]))</f>
        <v>16195200</v>
      </c>
      <c r="J21" s="87">
        <f ca="1">IF(pajak[[#This Row],[//]]="","",SUMIF(Table1[h_id],pajak[[#This Row],[//]],Table1[h_diskon]))</f>
        <v>2024400</v>
      </c>
      <c r="K21" s="87">
        <f ca="1">IF(pajak[[#This Row],[//]]="","",SUMIF(Table1[h_id],pajak[[#This Row],[//]],Table1[h_hargasetelahdiskon]))</f>
        <v>14170800</v>
      </c>
      <c r="L21" s="87">
        <f ca="1">IF(pajak[//]="","",pajak[[#This Row],[Sub Total]]/1.11*11%)</f>
        <v>1404313.5135135134</v>
      </c>
      <c r="M21" s="87">
        <f ca="1">pajak[[#This Row],[Sub Total]]</f>
        <v>14170800</v>
      </c>
      <c r="N21" s="85" t="str">
        <f ca="1">IF(pajak[[#This Row],[//]]="","",INDEX(Table1[pembuat nota :],pajak[//]-offset))</f>
        <v>NOVI / CONDRO</v>
      </c>
      <c r="O21" s="85" t="str">
        <f ca="1">IF(pajak[[#This Row],[//]]="","",IF(INDEX(Table1[edited :],pajak[//]-offset)="","",INDEX(Table1[edited :],pajak[//]-offset)))</f>
        <v/>
      </c>
      <c r="P21" s="87"/>
      <c r="R21" t="str">
        <f>Table4[[#Headers],[AM]]</f>
        <v>AM</v>
      </c>
      <c r="S21">
        <f t="shared" si="1"/>
        <v>23080017</v>
      </c>
      <c r="T21" s="183" t="e">
        <f ca="1">IF(Table4[[#This Row],[AM]]&amp;" "&amp;Table4[[#This Row],[---]]=INDIRECT("pajak[@["&amp;Table4[#Headers]&amp;"]]"),MATCH(Table4[[#This Row],[---]],INDIRECT($3:$3),0))</f>
        <v>#REF!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3" t="e">
        <f ca="1">IF((INDEX(INDIRECT($3:$3),Table4[[#This Row],[No. Invoice :]]+$2:$2))=INDIRECT("pajak[@["&amp;Table4[#Headers]&amp;"]]"),1)</f>
        <v>#REF!</v>
      </c>
      <c r="X21" s="184" t="e">
        <f ca="1">IF((INDEX(INDIRECT($3:$3),Table4[[#This Row],[No. Invoice :]]+$2:$2))=INDIRECT("pajak[@["&amp;Table4[#Headers]&amp;"]]"),1)</f>
        <v>#REF!</v>
      </c>
    </row>
    <row r="22" spans="1:24" x14ac:dyDescent="0.25">
      <c r="A22" s="291">
        <v>51</v>
      </c>
      <c r="B22" s="291"/>
      <c r="D22" s="85">
        <f t="shared" ca="1" si="0"/>
        <v>51</v>
      </c>
      <c r="E22" t="str">
        <f ca="1">IF(pajak[[#This Row],[//]]="","",INDEX(Table1[No. Invoice :],pajak[//]-offset))</f>
        <v>AM 23080018</v>
      </c>
      <c r="F22" s="88">
        <f ca="1">IF(pajak[[#This Row],[//]]="","",INDEX(Table1[Tgl Invoice :],pajak[//]-offset))</f>
        <v>45150</v>
      </c>
      <c r="G22" s="85" t="str">
        <f ca="1">IF(pajak[[#This Row],[//]]="","",INDEX(Table1[Kode Sales :],pajak[//]-offset))</f>
        <v>KO 1300</v>
      </c>
      <c r="H22" s="85" t="str">
        <f ca="1">IF(pajak[[#This Row],[//]]="","",INDEX(Table1[Toko],pajak[//]-offset))</f>
        <v>CV LANCAR JAYA SENTOSA MALANG</v>
      </c>
      <c r="I22" s="87">
        <f ca="1">IF(pajak[[#This Row],[//]]="","",SUMIF(Table1[h_id],pajak[[#This Row],[//]],Table1[h_hargasebelumdiskon]))</f>
        <v>3975000</v>
      </c>
      <c r="J22" s="87">
        <f ca="1">IF(pajak[[#This Row],[//]]="","",SUMIF(Table1[h_id],pajak[[#This Row],[//]],Table1[h_diskon]))</f>
        <v>0</v>
      </c>
      <c r="K22" s="87">
        <f ca="1">IF(pajak[[#This Row],[//]]="","",SUMIF(Table1[h_id],pajak[[#This Row],[//]],Table1[h_hargasetelahdiskon]))</f>
        <v>3975000</v>
      </c>
      <c r="L22" s="87">
        <f ca="1">IF(pajak[//]="","",pajak[[#This Row],[Sub Total]]/1.11*11%)</f>
        <v>393918.91891891888</v>
      </c>
      <c r="M22" s="87">
        <f ca="1">pajak[[#This Row],[Sub Total]]</f>
        <v>3975000</v>
      </c>
      <c r="N22" s="85" t="str">
        <f ca="1">IF(pajak[[#This Row],[//]]="","",INDEX(Table1[pembuat nota :],pajak[//]-offset))</f>
        <v>NOVI / CONDRO</v>
      </c>
      <c r="O22" s="85" t="str">
        <f ca="1">IF(pajak[[#This Row],[//]]="","",IF(INDEX(Table1[edited :],pajak[//]-offset)="","",INDEX(Table1[edited :],pajak[//]-offset)))</f>
        <v/>
      </c>
      <c r="P22" s="87"/>
      <c r="R22" t="str">
        <f>Table4[[#Headers],[AM]]</f>
        <v>AM</v>
      </c>
      <c r="S22">
        <f t="shared" si="1"/>
        <v>23080018</v>
      </c>
      <c r="T22" s="183" t="e">
        <f ca="1">IF(Table4[[#This Row],[AM]]&amp;" "&amp;Table4[[#This Row],[---]]=INDIRECT("pajak[@["&amp;Table4[#Headers]&amp;"]]"),MATCH(Table4[[#This Row],[---]],INDIRECT($3:$3),0))</f>
        <v>#REF!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3" t="e">
        <f ca="1">IF((INDEX(INDIRECT($3:$3),Table4[[#This Row],[No. Invoice :]]+$2:$2))=INDIRECT("pajak[@["&amp;Table4[#Headers]&amp;"]]"),1)</f>
        <v>#REF!</v>
      </c>
      <c r="X22" s="184" t="e">
        <f ca="1">IF((INDEX(INDIRECT($3:$3),Table4[[#This Row],[No. Invoice :]]+$2:$2))=INDIRECT("pajak[@["&amp;Table4[#Headers]&amp;"]]"),1)</f>
        <v>#REF!</v>
      </c>
    </row>
    <row r="23" spans="1:24" x14ac:dyDescent="0.25">
      <c r="A23" s="291">
        <v>53</v>
      </c>
      <c r="D23" s="85">
        <f t="shared" ca="1" si="0"/>
        <v>53</v>
      </c>
      <c r="E23" t="str">
        <f ca="1">IF(pajak[[#This Row],[//]]="","",INDEX(Table1[No. Invoice :],pajak[//]-offset))</f>
        <v>AM 23080019</v>
      </c>
      <c r="F23" s="88">
        <f ca="1">IF(pajak[[#This Row],[//]]="","",INDEX(Table1[Tgl Invoice :],pajak[//]-offset))</f>
        <v>45150</v>
      </c>
      <c r="G23" s="85" t="str">
        <f ca="1">IF(pajak[[#This Row],[//]]="","",INDEX(Table1[Kode Sales :],pajak[//]-offset))</f>
        <v>G 3022</v>
      </c>
      <c r="H23" s="85" t="str">
        <f ca="1">IF(pajak[[#This Row],[//]]="","",INDEX(Table1[Toko],pajak[//]-offset))</f>
        <v>LILY JULIAWATI (REJO AGUNG) JOMBANG</v>
      </c>
      <c r="I23" s="87">
        <f ca="1">IF(pajak[[#This Row],[//]]="","",SUMIF(Table1[h_id],pajak[[#This Row],[//]],Table1[h_hargasebelumdiskon]))</f>
        <v>11682000</v>
      </c>
      <c r="J23" s="87">
        <f ca="1">IF(pajak[[#This Row],[//]]="","",SUMIF(Table1[h_id],pajak[[#This Row],[//]],Table1[h_diskon]))</f>
        <v>1460250</v>
      </c>
      <c r="K23" s="87">
        <f ca="1">IF(pajak[[#This Row],[//]]="","",SUMIF(Table1[h_id],pajak[[#This Row],[//]],Table1[h_hargasetelahdiskon]))</f>
        <v>10221750</v>
      </c>
      <c r="L23" s="87">
        <f ca="1">IF(pajak[//]="","",pajak[[#This Row],[Sub Total]]/1.11*11%)</f>
        <v>1012966.2162162161</v>
      </c>
      <c r="M23" s="87">
        <f ca="1">pajak[[#This Row],[Sub Total]]</f>
        <v>10221750</v>
      </c>
      <c r="N23" s="85" t="str">
        <f ca="1">IF(pajak[[#This Row],[//]]="","",INDEX(Table1[pembuat nota :],pajak[//]-offset))</f>
        <v>NOVI / CONDRO</v>
      </c>
      <c r="O23" s="85" t="str">
        <f ca="1">IF(pajak[[#This Row],[//]]="","",IF(INDEX(Table1[edited :],pajak[//]-offset)="","",INDEX(Table1[edited :],pajak[//]-offset)))</f>
        <v/>
      </c>
      <c r="P23" s="87"/>
      <c r="R23" t="str">
        <f>Table4[[#Headers],[AM]]</f>
        <v>AM</v>
      </c>
      <c r="S23">
        <f t="shared" si="1"/>
        <v>23080019</v>
      </c>
      <c r="T23" s="183" t="e">
        <f ca="1">IF(Table4[[#This Row],[AM]]&amp;" "&amp;Table4[[#This Row],[---]]=INDIRECT("pajak[@["&amp;Table4[#Headers]&amp;"]]"),MATCH(Table4[[#This Row],[---]],INDIRECT($3:$3),0))</f>
        <v>#REF!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3" t="e">
        <f ca="1">IF((INDEX(INDIRECT($3:$3),Table4[[#This Row],[No. Invoice :]]+$2:$2))=INDIRECT("pajak[@["&amp;Table4[#Headers]&amp;"]]"),1)</f>
        <v>#REF!</v>
      </c>
      <c r="X23" s="184" t="e">
        <f ca="1">IF((INDEX(INDIRECT($3:$3),Table4[[#This Row],[No. Invoice :]]+$2:$2))=INDIRECT("pajak[@["&amp;Table4[#Headers]&amp;"]]"),1)</f>
        <v>#REF!</v>
      </c>
    </row>
    <row r="24" spans="1:24" x14ac:dyDescent="0.25">
      <c r="A24" s="291">
        <v>61</v>
      </c>
      <c r="D24" s="85">
        <f t="shared" ca="1" si="0"/>
        <v>61</v>
      </c>
      <c r="E24" s="85" t="str">
        <f ca="1">IF(pajak[[#This Row],[//]]="","",INDEX(Table1[No. Invoice :],pajak[//]-offset))</f>
        <v>AM 23080020</v>
      </c>
      <c r="F24" s="88">
        <f ca="1">IF(pajak[[#This Row],[//]]="","",INDEX(Table1[Tgl Invoice :],pajak[//]-offset))</f>
        <v>45154</v>
      </c>
      <c r="G24" s="85" t="str">
        <f ca="1">IF(pajak[[#This Row],[//]]="","",INDEX(Table1[Kode Sales :],pajak[//]-offset))</f>
        <v>G 3036</v>
      </c>
      <c r="H24" s="85" t="str">
        <f ca="1">IF(pajak[[#This Row],[//]]="","",INDEX(Table1[Toko],pajak[//]-offset))</f>
        <v>LILY JULIAWATI (REJO AGUNG) JOMBANG</v>
      </c>
      <c r="I24" s="87">
        <f ca="1">IF(pajak[[#This Row],[//]]="","",SUMIF(Table1[h_id],pajak[[#This Row],[//]],Table1[h_hargasebelumdiskon]))</f>
        <v>9590400</v>
      </c>
      <c r="J24" s="87">
        <f ca="1">IF(pajak[[#This Row],[//]]="","",SUMIF(Table1[h_id],pajak[[#This Row],[//]],Table1[h_diskon]))</f>
        <v>1198800</v>
      </c>
      <c r="K24" s="87">
        <f ca="1">IF(pajak[[#This Row],[//]]="","",SUMIF(Table1[h_id],pajak[[#This Row],[//]],Table1[h_hargasetelahdiskon]))</f>
        <v>8391600</v>
      </c>
      <c r="L24" s="87">
        <f ca="1">IF(pajak[//]="","",pajak[[#This Row],[Sub Total]]/1.11*11%)</f>
        <v>831599.99999999988</v>
      </c>
      <c r="M24" s="87">
        <f ca="1">pajak[[#This Row],[Sub Total]]</f>
        <v>8391600</v>
      </c>
      <c r="N24" s="85" t="str">
        <f ca="1">IF(pajak[[#This Row],[//]]="","",INDEX(Table1[pembuat nota :],pajak[//]-offset))</f>
        <v>NOVI / CONDRO</v>
      </c>
      <c r="O24" s="85" t="str">
        <f ca="1">IF(pajak[[#This Row],[//]]="","",IF(INDEX(Table1[edited :],pajak[//]-offset)="","",INDEX(Table1[edited :],pajak[//]-offset)))</f>
        <v/>
      </c>
      <c r="P24" s="87"/>
      <c r="R24" t="str">
        <f>Table4[[#Headers],[AM]]</f>
        <v>AM</v>
      </c>
      <c r="S24">
        <f t="shared" si="1"/>
        <v>23080020</v>
      </c>
      <c r="T24" s="183" t="e">
        <f ca="1">IF(Table4[[#This Row],[AM]]&amp;" "&amp;Table4[[#This Row],[---]]=INDIRECT("pajak[@["&amp;Table4[#Headers]&amp;"]]"),MATCH(Table4[[#This Row],[---]],INDIRECT($3:$3),0))</f>
        <v>#REF!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3" t="e">
        <f ca="1">IF((INDEX(INDIRECT($3:$3),Table4[[#This Row],[No. Invoice :]]+$2:$2))=INDIRECT("pajak[@["&amp;Table4[#Headers]&amp;"]]"),1)</f>
        <v>#REF!</v>
      </c>
      <c r="X24" s="184" t="e">
        <f ca="1">IF((INDEX(INDIRECT($3:$3),Table4[[#This Row],[No. Invoice :]]+$2:$2))=INDIRECT("pajak[@["&amp;Table4[#Headers]&amp;"]]"),1)</f>
        <v>#REF!</v>
      </c>
    </row>
    <row r="25" spans="1:24" x14ac:dyDescent="0.25">
      <c r="A25" s="291">
        <v>64</v>
      </c>
      <c r="D25" s="85">
        <f t="shared" ca="1" si="0"/>
        <v>64</v>
      </c>
      <c r="E25" s="85" t="str">
        <f ca="1">IF(pajak[[#This Row],[//]]="","",INDEX(Table1[No. Invoice :],pajak[//]-offset))</f>
        <v>AM 23080021</v>
      </c>
      <c r="F25" s="88">
        <f ca="1">IF(pajak[[#This Row],[//]]="","",INDEX(Table1[Tgl Invoice :],pajak[//]-offset))</f>
        <v>45154</v>
      </c>
      <c r="G25" s="85" t="str">
        <f ca="1">IF(pajak[[#This Row],[//]]="","",INDEX(Table1[Kode Sales :],pajak[//]-offset))</f>
        <v>KO 3033</v>
      </c>
      <c r="H25" s="85" t="str">
        <f ca="1">IF(pajak[[#This Row],[//]]="","",INDEX(Table1[Toko],pajak[//]-offset))</f>
        <v>HARNOYO (BENDAN) PEKALONGAN</v>
      </c>
      <c r="I25" s="87">
        <f ca="1">IF(pajak[[#This Row],[//]]="","",SUMIF(Table1[h_id],pajak[[#This Row],[//]],Table1[h_hargasebelumdiskon]))</f>
        <v>2046400</v>
      </c>
      <c r="J25" s="87">
        <f ca="1">IF(pajak[[#This Row],[//]]="","",SUMIF(Table1[h_id],pajak[[#This Row],[//]],Table1[h_diskon]))</f>
        <v>286496.00000000006</v>
      </c>
      <c r="K25" s="87">
        <f ca="1">IF(pajak[[#This Row],[//]]="","",SUMIF(Table1[h_id],pajak[[#This Row],[//]],Table1[h_hargasetelahdiskon]))</f>
        <v>1759904</v>
      </c>
      <c r="L25" s="87">
        <f ca="1">IF(pajak[//]="","",pajak[[#This Row],[Sub Total]]/1.11*11%)</f>
        <v>174404.90090090089</v>
      </c>
      <c r="M25" s="87">
        <f ca="1">pajak[[#This Row],[Sub Total]]</f>
        <v>1759904</v>
      </c>
      <c r="N25" s="85" t="str">
        <f ca="1">IF(pajak[[#This Row],[//]]="","",INDEX(Table1[pembuat nota :],pajak[//]-offset))</f>
        <v>NOVI / CONDRO</v>
      </c>
      <c r="O25" s="85" t="str">
        <f ca="1">IF(pajak[[#This Row],[//]]="","",IF(INDEX(Table1[edited :],pajak[//]-offset)="","",INDEX(Table1[edited :],pajak[//]-offset)))</f>
        <v/>
      </c>
      <c r="P25" s="87"/>
      <c r="R25" t="str">
        <f>Table4[[#Headers],[AM]]</f>
        <v>AM</v>
      </c>
      <c r="S25">
        <f t="shared" si="1"/>
        <v>23080021</v>
      </c>
      <c r="T25" s="183" t="e">
        <f ca="1">IF(Table4[[#This Row],[AM]]&amp;" "&amp;Table4[[#This Row],[---]]=INDIRECT("pajak[@["&amp;Table4[#Headers]&amp;"]]"),MATCH(Table4[[#This Row],[---]],INDIRECT($3:$3),0))</f>
        <v>#REF!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3" t="e">
        <f ca="1">IF((INDEX(INDIRECT($3:$3),Table4[[#This Row],[No. Invoice :]]+$2:$2))=INDIRECT("pajak[@["&amp;Table4[#Headers]&amp;"]]"),1)</f>
        <v>#REF!</v>
      </c>
      <c r="X25" s="184" t="e">
        <f ca="1">IF((INDEX(INDIRECT($3:$3),Table4[[#This Row],[No. Invoice :]]+$2:$2))=INDIRECT("pajak[@["&amp;Table4[#Headers]&amp;"]]"),1)</f>
        <v>#REF!</v>
      </c>
    </row>
    <row r="26" spans="1:24" x14ac:dyDescent="0.25">
      <c r="A26" s="291">
        <v>67</v>
      </c>
      <c r="D26" s="85">
        <f t="shared" ca="1" si="0"/>
        <v>67</v>
      </c>
      <c r="E26" s="85" t="str">
        <f ca="1">IF(pajak[[#This Row],[//]]="","",INDEX(Table1[No. Invoice :],pajak[//]-offset))</f>
        <v>AM 23080022</v>
      </c>
      <c r="F26" s="88">
        <f ca="1">IF(pajak[[#This Row],[//]]="","",INDEX(Table1[Tgl Invoice :],pajak[//]-offset))</f>
        <v>45154</v>
      </c>
      <c r="G26" s="85" t="str">
        <f ca="1">IF(pajak[[#This Row],[//]]="","",INDEX(Table1[Kode Sales :],pajak[//]-offset))</f>
        <v>KO 3035</v>
      </c>
      <c r="H26" s="85" t="str">
        <f ca="1">IF(pajak[[#This Row],[//]]="","",INDEX(Table1[Toko],pajak[//]-offset))</f>
        <v>CV DWI JAYA YOGYAKARTA</v>
      </c>
      <c r="I26" s="87">
        <f ca="1">IF(pajak[[#This Row],[//]]="","",SUMIF(Table1[h_id],pajak[[#This Row],[//]],Table1[h_hargasebelumdiskon]))</f>
        <v>2589000</v>
      </c>
      <c r="J26" s="87">
        <f ca="1">IF(pajak[[#This Row],[//]]="","",SUMIF(Table1[h_id],pajak[[#This Row],[//]],Table1[h_diskon]))</f>
        <v>258900</v>
      </c>
      <c r="K26" s="87">
        <f ca="1">IF(pajak[[#This Row],[//]]="","",SUMIF(Table1[h_id],pajak[[#This Row],[//]],Table1[h_hargasetelahdiskon]))</f>
        <v>2330100</v>
      </c>
      <c r="L26" s="87">
        <f ca="1">IF(pajak[//]="","",pajak[[#This Row],[Sub Total]]/1.11*11%)</f>
        <v>230910.8108108108</v>
      </c>
      <c r="M26" s="87">
        <f ca="1">pajak[[#This Row],[Sub Total]]</f>
        <v>2330100</v>
      </c>
      <c r="N26" s="85" t="str">
        <f ca="1">IF(pajak[[#This Row],[//]]="","",INDEX(Table1[pembuat nota :],pajak[//]-offset))</f>
        <v>NOVI / CONDRO</v>
      </c>
      <c r="O26" s="85" t="str">
        <f ca="1">IF(pajak[[#This Row],[//]]="","",IF(INDEX(Table1[edited :],pajak[//]-offset)="","",INDEX(Table1[edited :],pajak[//]-offset)))</f>
        <v/>
      </c>
      <c r="P26" s="87"/>
      <c r="R26" s="85" t="str">
        <f>Table4[[#Headers],[AM]]</f>
        <v>AM</v>
      </c>
      <c r="S26" s="85">
        <f t="shared" si="1"/>
        <v>23080022</v>
      </c>
      <c r="T26" s="184" t="e">
        <f ca="1">IF(Table4[[#This Row],[AM]]&amp;" "&amp;Table4[[#This Row],[---]]=INDIRECT("pajak[@["&amp;Table4[#Headers]&amp;"]]"),MATCH(Table4[[#This Row],[---]],INDIRECT($3:$3),0))</f>
        <v>#REF!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  <c r="X26" s="184" t="e">
        <f ca="1">IF((INDEX(INDIRECT($3:$3),Table4[[#This Row],[No. Invoice :]]+$2:$2))=INDIRECT("pajak[@["&amp;Table4[#Headers]&amp;"]]"),1)</f>
        <v>#REF!</v>
      </c>
    </row>
    <row r="27" spans="1:24" x14ac:dyDescent="0.25">
      <c r="A27" s="291">
        <v>72</v>
      </c>
      <c r="D27" s="85">
        <f t="shared" ca="1" si="0"/>
        <v>72</v>
      </c>
      <c r="E27" s="85" t="str">
        <f ca="1">IF(pajak[[#This Row],[//]]="","",INDEX(Table1[No. Invoice :],pajak[//]-offset))</f>
        <v>AM 23080023</v>
      </c>
      <c r="F27" s="88">
        <f ca="1">IF(pajak[[#This Row],[//]]="","",INDEX(Table1[Tgl Invoice :],pajak[//]-offset))</f>
        <v>45156</v>
      </c>
      <c r="G27" s="85" t="str">
        <f ca="1">IF(pajak[[#This Row],[//]]="","",INDEX(Table1[Kode Sales :],pajak[//]-offset))</f>
        <v>KO 3047</v>
      </c>
      <c r="H27" s="363" t="str">
        <f ca="1">IF(pajak[[#This Row],[//]]="","",INDEX(Table1[Toko],pajak[//]-offset))</f>
        <v>CV PELITA JAYA (ANUGERAH SEJAHTERA) PURWOKERTO</v>
      </c>
      <c r="I27" s="87">
        <f ca="1">IF(pajak[[#This Row],[//]]="","",SUMIF(Table1[h_id],pajak[[#This Row],[//]],Table1[h_hargasebelumdiskon]))</f>
        <v>9300000</v>
      </c>
      <c r="J27" s="87">
        <f ca="1">IF(pajak[[#This Row],[//]]="","",SUMIF(Table1[h_id],pajak[[#This Row],[//]],Table1[h_diskon]))</f>
        <v>1255500</v>
      </c>
      <c r="K27" s="87">
        <f ca="1">IF(pajak[[#This Row],[//]]="","",SUMIF(Table1[h_id],pajak[[#This Row],[//]],Table1[h_hargasetelahdiskon]))</f>
        <v>8044500</v>
      </c>
      <c r="L27" s="87">
        <f ca="1">IF(pajak[//]="","",pajak[[#This Row],[Sub Total]]/1.11*11%)</f>
        <v>797202.70270270272</v>
      </c>
      <c r="M27" s="87">
        <f ca="1">pajak[[#This Row],[Sub Total]]</f>
        <v>8044500</v>
      </c>
      <c r="N27" s="85" t="str">
        <f ca="1">IF(pajak[[#This Row],[//]]="","",INDEX(Table1[pembuat nota :],pajak[//]-offset))</f>
        <v>NOVI / CONDRO</v>
      </c>
      <c r="O27" s="85" t="str">
        <f ca="1">IF(pajak[[#This Row],[//]]="","",IF(INDEX(Table1[edited :],pajak[//]-offset)="","",INDEX(Table1[edited :],pajak[//]-offset)))</f>
        <v/>
      </c>
      <c r="P27" s="87"/>
      <c r="R27" s="85" t="str">
        <f>Table4[[#Headers],[AM]]</f>
        <v>AM</v>
      </c>
      <c r="S27" s="85">
        <f t="shared" si="1"/>
        <v>23080023</v>
      </c>
      <c r="T27" s="184" t="e">
        <f ca="1">IF(Table4[[#This Row],[AM]]&amp;" "&amp;Table4[[#This Row],[---]]=INDIRECT("pajak[@["&amp;Table4[#Headers]&amp;"]]"),MATCH(Table4[[#This Row],[---]],INDIRECT($3:$3),0))</f>
        <v>#REF!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  <c r="X27" s="184" t="e">
        <f ca="1">IF((INDEX(INDIRECT($3:$3),Table4[[#This Row],[No. Invoice :]]+$2:$2))=INDIRECT("pajak[@["&amp;Table4[#Headers]&amp;"]]"),1)</f>
        <v>#REF!</v>
      </c>
    </row>
    <row r="28" spans="1:24" x14ac:dyDescent="0.25">
      <c r="A28" s="291">
        <v>74</v>
      </c>
      <c r="D28" s="85">
        <f t="shared" ca="1" si="0"/>
        <v>74</v>
      </c>
      <c r="E28" s="85" t="str">
        <f ca="1">IF(pajak[[#This Row],[//]]="","",INDEX(Table1[No. Invoice :],pajak[//]-offset))</f>
        <v>AM 23080024</v>
      </c>
      <c r="F28" s="88">
        <f ca="1">IF(pajak[[#This Row],[//]]="","",INDEX(Table1[Tgl Invoice :],pajak[//]-offset))</f>
        <v>45156</v>
      </c>
      <c r="G28" s="85" t="str">
        <f ca="1">IF(pajak[[#This Row],[//]]="","",INDEX(Table1[Kode Sales :],pajak[//]-offset))</f>
        <v>G 3502</v>
      </c>
      <c r="H28" s="85" t="str">
        <f ca="1">IF(pajak[[#This Row],[//]]="","",INDEX(Table1[Toko],pajak[//]-offset))</f>
        <v>LILY JULIAWATI (REJO AGUNG) JOMBANG</v>
      </c>
      <c r="I28" s="87">
        <f ca="1">IF(pajak[[#This Row],[//]]="","",SUMIF(Table1[h_id],pajak[[#This Row],[//]],Table1[h_hargasebelumdiskon]))</f>
        <v>32928000</v>
      </c>
      <c r="J28" s="87">
        <f ca="1">IF(pajak[[#This Row],[//]]="","",SUMIF(Table1[h_id],pajak[[#This Row],[//]],Table1[h_diskon]))</f>
        <v>4116000</v>
      </c>
      <c r="K28" s="87">
        <f ca="1">IF(pajak[[#This Row],[//]]="","",SUMIF(Table1[h_id],pajak[[#This Row],[//]],Table1[h_hargasetelahdiskon]))</f>
        <v>28812000</v>
      </c>
      <c r="L28" s="87">
        <f ca="1">IF(pajak[//]="","",pajak[[#This Row],[Sub Total]]/1.11*11%)</f>
        <v>2855243.2432432426</v>
      </c>
      <c r="M28" s="87">
        <f ca="1">pajak[[#This Row],[Sub Total]]</f>
        <v>28812000</v>
      </c>
      <c r="N28" s="85" t="str">
        <f ca="1">IF(pajak[[#This Row],[//]]="","",INDEX(Table1[pembuat nota :],pajak[//]-offset))</f>
        <v>NOVI / CONDRO</v>
      </c>
      <c r="O28" s="85" t="str">
        <f ca="1">IF(pajak[[#This Row],[//]]="","",IF(INDEX(Table1[edited :],pajak[//]-offset)="","",INDEX(Table1[edited :],pajak[//]-offset)))</f>
        <v/>
      </c>
      <c r="P28" s="87"/>
      <c r="R28" s="85" t="str">
        <f>Table4[[#Headers],[AM]]</f>
        <v>AM</v>
      </c>
      <c r="S28" s="85">
        <f t="shared" si="1"/>
        <v>23080024</v>
      </c>
      <c r="T28" s="184" t="e">
        <f ca="1">IF(Table4[[#This Row],[AM]]&amp;" "&amp;Table4[[#This Row],[---]]=INDIRECT("pajak[@["&amp;Table4[#Headers]&amp;"]]"),MATCH(Table4[[#This Row],[---]],INDIRECT($3:$3),0))</f>
        <v>#REF!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  <c r="X28" s="184" t="e">
        <f ca="1">IF((INDEX(INDIRECT($3:$3),Table4[[#This Row],[No. Invoice :]]+$2:$2))=INDIRECT("pajak[@["&amp;Table4[#Headers]&amp;"]]"),1)</f>
        <v>#REF!</v>
      </c>
    </row>
    <row r="29" spans="1:24" x14ac:dyDescent="0.25">
      <c r="A29" s="291">
        <v>87</v>
      </c>
      <c r="D29" s="85">
        <f t="shared" ca="1" si="0"/>
        <v>87</v>
      </c>
      <c r="E29" s="85" t="str">
        <f ca="1">IF(pajak[[#This Row],[//]]="","",INDEX(Table1[No. Invoice :],pajak[//]-offset))</f>
        <v>AM 23080025</v>
      </c>
      <c r="F29" s="88">
        <f ca="1">IF(pajak[[#This Row],[//]]="","",INDEX(Table1[Tgl Invoice :],pajak[//]-offset))</f>
        <v>45160</v>
      </c>
      <c r="G29" s="85" t="str">
        <f ca="1">IF(pajak[[#This Row],[//]]="","",INDEX(Table1[Kode Sales :],pajak[//]-offset))</f>
        <v>KO 1585</v>
      </c>
      <c r="H29" s="85" t="str">
        <f ca="1">IF(pajak[[#This Row],[//]]="","",INDEX(Table1[Toko],pajak[//]-offset))</f>
        <v>CV RAINBOW NUSANTARA SIDOARJO</v>
      </c>
      <c r="I29" s="87">
        <f ca="1">IF(pajak[[#This Row],[//]]="","",SUMIF(Table1[h_id],pajak[[#This Row],[//]],Table1[h_hargasebelumdiskon]))</f>
        <v>3368100</v>
      </c>
      <c r="J29" s="87">
        <f ca="1">IF(pajak[[#This Row],[//]]="","",SUMIF(Table1[h_id],pajak[[#This Row],[//]],Table1[h_diskon]))</f>
        <v>488374.5</v>
      </c>
      <c r="K29" s="87">
        <f ca="1">IF(pajak[[#This Row],[//]]="","",SUMIF(Table1[h_id],pajak[[#This Row],[//]],Table1[h_hargasetelahdiskon]))</f>
        <v>2879725.5</v>
      </c>
      <c r="L29" s="87">
        <f ca="1">IF(pajak[//]="","",pajak[[#This Row],[Sub Total]]/1.11*11%)</f>
        <v>285378.20270270266</v>
      </c>
      <c r="M29" s="87">
        <f ca="1">pajak[[#This Row],[Sub Total]]</f>
        <v>2879725.5</v>
      </c>
      <c r="N29" s="85" t="str">
        <f ca="1">IF(pajak[[#This Row],[//]]="","",INDEX(Table1[pembuat nota :],pajak[//]-offset))</f>
        <v>NOVI / YO</v>
      </c>
      <c r="O29" s="85" t="str">
        <f ca="1">IF(pajak[[#This Row],[//]]="","",IF(INDEX(Table1[edited :],pajak[//]-offset)="","",INDEX(Table1[edited :],pajak[//]-offset)))</f>
        <v/>
      </c>
      <c r="P29" s="87"/>
      <c r="R29" s="85" t="str">
        <f>Table4[[#Headers],[AM]]</f>
        <v>AM</v>
      </c>
      <c r="S29" s="85">
        <f t="shared" si="1"/>
        <v>23080025</v>
      </c>
      <c r="T29" s="184" t="e">
        <f ca="1">IF(Table4[[#This Row],[AM]]&amp;" "&amp;Table4[[#This Row],[---]]=INDIRECT("pajak[@["&amp;Table4[#Headers]&amp;"]]"),MATCH(Table4[[#This Row],[---]],INDIRECT($3:$3),0))</f>
        <v>#REF!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  <c r="X29" s="184" t="e">
        <f ca="1">IF((INDEX(INDIRECT($3:$3),Table4[[#This Row],[No. Invoice :]]+$2:$2))=INDIRECT("pajak[@["&amp;Table4[#Headers]&amp;"]]"),1)</f>
        <v>#REF!</v>
      </c>
    </row>
    <row r="30" spans="1:24" x14ac:dyDescent="0.25">
      <c r="A30" s="291">
        <v>93</v>
      </c>
      <c r="D30" s="85">
        <f t="shared" ca="1" si="0"/>
        <v>93</v>
      </c>
      <c r="E30" s="85" t="str">
        <f ca="1">IF(pajak[[#This Row],[//]]="","",INDEX(Table1[No. Invoice :],pajak[//]-offset))</f>
        <v>AM 23080026</v>
      </c>
      <c r="F30" s="88">
        <f ca="1">IF(pajak[[#This Row],[//]]="","",INDEX(Table1[Tgl Invoice :],pajak[//]-offset))</f>
        <v>45161</v>
      </c>
      <c r="G30" s="85" t="str">
        <f ca="1">IF(pajak[[#This Row],[//]]="","",INDEX(Table1[Kode Sales :],pajak[//]-offset))</f>
        <v>KO 3516</v>
      </c>
      <c r="H30" s="85" t="str">
        <f ca="1">IF(pajak[[#This Row],[//]]="","",INDEX(Table1[Toko],pajak[//]-offset))</f>
        <v>HARNOYO (BENDAN) PEKALONGAN</v>
      </c>
      <c r="I30" s="87">
        <f ca="1">IF(pajak[[#This Row],[//]]="","",SUMIF(Table1[h_id],pajak[[#This Row],[//]],Table1[h_hargasebelumdiskon]))</f>
        <v>1700000</v>
      </c>
      <c r="J30" s="87">
        <f ca="1">IF(pajak[[#This Row],[//]]="","",SUMIF(Table1[h_id],pajak[[#This Row],[//]],Table1[h_diskon]))</f>
        <v>238000.00000000003</v>
      </c>
      <c r="K30" s="87">
        <f ca="1">IF(pajak[[#This Row],[//]]="","",SUMIF(Table1[h_id],pajak[[#This Row],[//]],Table1[h_hargasetelahdiskon]))</f>
        <v>1462000</v>
      </c>
      <c r="L30" s="87">
        <f ca="1">IF(pajak[//]="","",pajak[[#This Row],[Sub Total]]/1.11*11%)</f>
        <v>144882.88288288287</v>
      </c>
      <c r="M30" s="87">
        <f ca="1">pajak[[#This Row],[Sub Total]]</f>
        <v>1462000</v>
      </c>
      <c r="N30" s="85" t="str">
        <f ca="1">IF(pajak[[#This Row],[//]]="","",INDEX(Table1[pembuat nota :],pajak[//]-offset))</f>
        <v>LENA / YO</v>
      </c>
      <c r="O30" s="85" t="str">
        <f ca="1">IF(pajak[[#This Row],[//]]="","",IF(INDEX(Table1[edited :],pajak[//]-offset)="","",INDEX(Table1[edited :],pajak[//]-offset)))</f>
        <v/>
      </c>
      <c r="P30" s="87"/>
      <c r="Q30"/>
      <c r="R30" s="85" t="str">
        <f>Table4[[#Headers],[AM]]</f>
        <v>AM</v>
      </c>
      <c r="S30" s="85">
        <f t="shared" si="1"/>
        <v>23080026</v>
      </c>
      <c r="T30" s="184" t="e">
        <f ca="1">IF(Table4[[#This Row],[AM]]&amp;" "&amp;Table4[[#This Row],[---]]=INDIRECT("pajak[@["&amp;Table4[#Headers]&amp;"]]"),MATCH(Table4[[#This Row],[---]],INDIRECT($3:$3),0))</f>
        <v>#REF!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  <c r="X30" s="184" t="e">
        <f ca="1">IF((INDEX(INDIRECT($3:$3),Table4[[#This Row],[No. Invoice :]]+$2:$2))=INDIRECT("pajak[@["&amp;Table4[#Headers]&amp;"]]"),1)</f>
        <v>#REF!</v>
      </c>
    </row>
    <row r="31" spans="1:24" x14ac:dyDescent="0.25">
      <c r="A31" s="291">
        <v>95</v>
      </c>
      <c r="D31" s="85">
        <f t="shared" ca="1" si="0"/>
        <v>95</v>
      </c>
      <c r="E31" s="85" t="str">
        <f ca="1">IF(pajak[[#This Row],[//]]="","",INDEX(Table1[No. Invoice :],pajak[//]-offset))</f>
        <v>AM 23080027</v>
      </c>
      <c r="F31" s="88">
        <f ca="1">IF(pajak[[#This Row],[//]]="","",INDEX(Table1[Tgl Invoice :],pajak[//]-offset))</f>
        <v>45161</v>
      </c>
      <c r="G31" s="85" t="str">
        <f ca="1">IF(pajak[[#This Row],[//]]="","",INDEX(Table1[Kode Sales :],pajak[//]-offset))</f>
        <v>KO 3520</v>
      </c>
      <c r="H31" s="85" t="str">
        <f ca="1">IF(pajak[[#This Row],[//]]="","",INDEX(Table1[Toko],pajak[//]-offset))</f>
        <v>CV PELITA JAYA (ANUGERAH SEJAHTERA) PURWOKERTO</v>
      </c>
      <c r="I31" s="87">
        <f ca="1">IF(pajak[[#This Row],[//]]="","",SUMIF(Table1[h_id],pajak[[#This Row],[//]],Table1[h_hargasebelumdiskon]))</f>
        <v>6782400</v>
      </c>
      <c r="J31" s="87">
        <f ca="1">IF(pajak[[#This Row],[//]]="","",SUMIF(Table1[h_id],pajak[[#This Row],[//]],Table1[h_diskon]))</f>
        <v>915624.00000000012</v>
      </c>
      <c r="K31" s="87">
        <f ca="1">IF(pajak[[#This Row],[//]]="","",SUMIF(Table1[h_id],pajak[[#This Row],[//]],Table1[h_hargasetelahdiskon]))</f>
        <v>5866776</v>
      </c>
      <c r="L31" s="87">
        <f ca="1">IF(pajak[//]="","",pajak[[#This Row],[Sub Total]]/1.11*11%)</f>
        <v>581392.21621621621</v>
      </c>
      <c r="M31" s="87">
        <f ca="1">pajak[[#This Row],[Sub Total]]</f>
        <v>5866776</v>
      </c>
      <c r="N31" s="85" t="str">
        <f ca="1">IF(pajak[[#This Row],[//]]="","",INDEX(Table1[pembuat nota :],pajak[//]-offset))</f>
        <v>LENA / YO</v>
      </c>
      <c r="O31" s="85" t="str">
        <f ca="1">IF(pajak[[#This Row],[//]]="","",IF(INDEX(Table1[edited :],pajak[//]-offset)="","",INDEX(Table1[edited :],pajak[//]-offset)))</f>
        <v/>
      </c>
      <c r="P31" s="87"/>
      <c r="R31" s="85" t="str">
        <f>Table4[[#Headers],[AM]]</f>
        <v>AM</v>
      </c>
      <c r="S31" s="85">
        <f t="shared" si="1"/>
        <v>23080027</v>
      </c>
      <c r="T31" s="184" t="e">
        <f ca="1">IF(Table4[[#This Row],[AM]]&amp;" "&amp;Table4[[#This Row],[---]]=INDIRECT("pajak[@["&amp;Table4[#Headers]&amp;"]]"),MATCH(Table4[[#This Row],[---]],INDIRECT($3:$3),0))</f>
        <v>#REF!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  <c r="X31" s="184" t="e">
        <f ca="1">IF((INDEX(INDIRECT($3:$3),Table4[[#This Row],[No. Invoice :]]+$2:$2))=INDIRECT("pajak[@["&amp;Table4[#Headers]&amp;"]]"),1)</f>
        <v>#REF!</v>
      </c>
    </row>
    <row r="32" spans="1:24" x14ac:dyDescent="0.25">
      <c r="A32" s="291">
        <v>97</v>
      </c>
      <c r="D32" s="85">
        <f t="shared" ca="1" si="0"/>
        <v>97</v>
      </c>
      <c r="E32" s="85" t="str">
        <f ca="1">IF(pajak[[#This Row],[//]]="","",INDEX(Table1[No. Invoice :],pajak[//]-offset))</f>
        <v>AM 23080028</v>
      </c>
      <c r="F32" s="88">
        <f ca="1">IF(pajak[[#This Row],[//]]="","",INDEX(Table1[Tgl Invoice :],pajak[//]-offset))</f>
        <v>45166</v>
      </c>
      <c r="G32" s="85" t="str">
        <f ca="1">IF(pajak[[#This Row],[//]]="","",INDEX(Table1[Kode Sales :],pajak[//]-offset))</f>
        <v>G 3589</v>
      </c>
      <c r="H32" s="85" t="str">
        <f ca="1">IF(pajak[[#This Row],[//]]="","",INDEX(Table1[Toko],pajak[//]-offset))</f>
        <v>LILY JULIAWATI (REJO AGUNG) JOMBANG</v>
      </c>
      <c r="I32" s="87">
        <f ca="1">IF(pajak[[#This Row],[//]]="","",SUMIF(Table1[h_id],pajak[[#This Row],[//]],Table1[h_hargasebelumdiskon]))</f>
        <v>13336000</v>
      </c>
      <c r="J32" s="87">
        <f ca="1">IF(pajak[[#This Row],[//]]="","",SUMIF(Table1[h_id],pajak[[#This Row],[//]],Table1[h_diskon]))</f>
        <v>1667000</v>
      </c>
      <c r="K32" s="87">
        <f ca="1">IF(pajak[[#This Row],[//]]="","",SUMIF(Table1[h_id],pajak[[#This Row],[//]],Table1[h_hargasetelahdiskon]))</f>
        <v>11669000</v>
      </c>
      <c r="L32" s="87">
        <f ca="1">IF(pajak[//]="","",pajak[[#This Row],[Sub Total]]/1.11*11%)</f>
        <v>1156387.3873873875</v>
      </c>
      <c r="M32" s="87">
        <f ca="1">pajak[[#This Row],[Sub Total]]</f>
        <v>11669000</v>
      </c>
      <c r="N32" s="85" t="str">
        <f ca="1">IF(pajak[[#This Row],[//]]="","",INDEX(Table1[pembuat nota :],pajak[//]-offset))</f>
        <v>NOVI / YO</v>
      </c>
      <c r="O32" s="85" t="str">
        <f ca="1">IF(pajak[[#This Row],[//]]="","",IF(INDEX(Table1[edited :],pajak[//]-offset)="","",INDEX(Table1[edited :],pajak[//]-offset)))</f>
        <v/>
      </c>
      <c r="P32" s="87"/>
      <c r="R32" s="85" t="str">
        <f>Table4[[#Headers],[AM]]</f>
        <v>AM</v>
      </c>
      <c r="S32" s="85">
        <f t="shared" si="1"/>
        <v>23080028</v>
      </c>
      <c r="T32" s="184" t="e">
        <f ca="1">IF(Table4[[#This Row],[AM]]&amp;" "&amp;Table4[[#This Row],[---]]=INDIRECT("pajak[@["&amp;Table4[#Headers]&amp;"]]"),MATCH(Table4[[#This Row],[---]],INDIRECT($3:$3),0))</f>
        <v>#REF!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  <c r="X32" s="184" t="e">
        <f ca="1">IF((INDEX(INDIRECT($3:$3),Table4[[#This Row],[No. Invoice :]]+$2:$2))=INDIRECT("pajak[@["&amp;Table4[#Headers]&amp;"]]"),1)</f>
        <v>#REF!</v>
      </c>
    </row>
    <row r="33" spans="1:24" x14ac:dyDescent="0.25">
      <c r="A33" s="291">
        <v>100</v>
      </c>
      <c r="D33" s="85">
        <f t="shared" ca="1" si="0"/>
        <v>100</v>
      </c>
      <c r="E33" s="85" t="str">
        <f ca="1">IF(pajak[[#This Row],[//]]="","",INDEX(Table1[No. Invoice :],pajak[//]-offset))</f>
        <v>AM 23080029</v>
      </c>
      <c r="F33" s="88">
        <f ca="1">IF(pajak[[#This Row],[//]]="","",INDEX(Table1[Tgl Invoice :],pajak[//]-offset))</f>
        <v>45162</v>
      </c>
      <c r="G33" s="85" t="str">
        <f ca="1">IF(pajak[[#This Row],[//]]="","",INDEX(Table1[Kode Sales :],pajak[//]-offset))</f>
        <v>KO 3572</v>
      </c>
      <c r="H33" s="85" t="str">
        <f ca="1">IF(pajak[[#This Row],[//]]="","",INDEX(Table1[Toko],pajak[//]-offset))</f>
        <v>CV DWI JAYA YOGYAKARTA</v>
      </c>
      <c r="I33" s="87">
        <f ca="1">IF(pajak[[#This Row],[//]]="","",SUMIF(Table1[h_id],pajak[[#This Row],[//]],Table1[h_hargasebelumdiskon]))</f>
        <v>4002600</v>
      </c>
      <c r="J33" s="87">
        <f ca="1">IF(pajak[[#This Row],[//]]="","",SUMIF(Table1[h_id],pajak[[#This Row],[//]],Table1[h_diskon]))</f>
        <v>400260</v>
      </c>
      <c r="K33" s="87">
        <f ca="1">IF(pajak[[#This Row],[//]]="","",SUMIF(Table1[h_id],pajak[[#This Row],[//]],Table1[h_hargasetelahdiskon]))</f>
        <v>3602340</v>
      </c>
      <c r="L33" s="87">
        <f ca="1">IF(pajak[//]="","",pajak[[#This Row],[Sub Total]]/1.11*11%)</f>
        <v>356988.64864864864</v>
      </c>
      <c r="M33" s="87">
        <f ca="1">pajak[[#This Row],[Sub Total]]</f>
        <v>3602340</v>
      </c>
      <c r="N33" s="85" t="str">
        <f ca="1">IF(pajak[[#This Row],[//]]="","",INDEX(Table1[pembuat nota :],pajak[//]-offset))</f>
        <v>NOVI / CONDRO</v>
      </c>
      <c r="O33" s="85" t="str">
        <f ca="1">IF(pajak[[#This Row],[//]]="","",IF(INDEX(Table1[edited :],pajak[//]-offset)="","",INDEX(Table1[edited :],pajak[//]-offset)))</f>
        <v/>
      </c>
      <c r="P33" s="87"/>
      <c r="R33" s="85" t="str">
        <f>Table4[[#Headers],[AM]]</f>
        <v>AM</v>
      </c>
      <c r="S33" s="85">
        <f t="shared" si="1"/>
        <v>23080029</v>
      </c>
      <c r="T33" s="184" t="e">
        <f ca="1">IF(Table4[[#This Row],[AM]]&amp;" "&amp;Table4[[#This Row],[---]]=INDIRECT("pajak[@["&amp;Table4[#Headers]&amp;"]]"),MATCH(Table4[[#This Row],[---]],INDIRECT($3:$3),0))</f>
        <v>#REF!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  <c r="X33" s="184" t="e">
        <f ca="1">IF((INDEX(INDIRECT($3:$3),Table4[[#This Row],[No. Invoice :]]+$2:$2))=INDIRECT("pajak[@["&amp;Table4[#Headers]&amp;"]]"),1)</f>
        <v>#REF!</v>
      </c>
    </row>
    <row r="34" spans="1:24" x14ac:dyDescent="0.25">
      <c r="A34" s="291">
        <v>109</v>
      </c>
      <c r="D34" s="85">
        <f t="shared" ca="1" si="0"/>
        <v>109</v>
      </c>
      <c r="E34" s="85" t="str">
        <f ca="1">IF(pajak[[#This Row],[//]]="","",INDEX(Table1[No. Invoice :],pajak[//]-offset))</f>
        <v>AM 23080030</v>
      </c>
      <c r="F34" s="88">
        <f ca="1">IF(pajak[[#This Row],[//]]="","",INDEX(Table1[Tgl Invoice :],pajak[//]-offset))</f>
        <v>45166</v>
      </c>
      <c r="G34" s="85" t="str">
        <f ca="1">IF(pajak[[#This Row],[//]]="","",INDEX(Table1[Kode Sales :],pajak[//]-offset))</f>
        <v>KO 3591</v>
      </c>
      <c r="H34" s="85" t="str">
        <f ca="1">IF(pajak[[#This Row],[//]]="","",INDEX(Table1[Toko],pajak[//]-offset))</f>
        <v>CV PELITA JAYA (ANUGERAH SEJAHTERA) PURWOKERTO</v>
      </c>
      <c r="I34" s="87">
        <f ca="1">IF(pajak[[#This Row],[//]]="","",SUMIF(Table1[h_id],pajak[[#This Row],[//]],Table1[h_hargasebelumdiskon]))</f>
        <v>6957600</v>
      </c>
      <c r="J34" s="87">
        <f ca="1">IF(pajak[[#This Row],[//]]="","",SUMIF(Table1[h_id],pajak[[#This Row],[//]],Table1[h_diskon]))</f>
        <v>939276</v>
      </c>
      <c r="K34" s="87">
        <f ca="1">IF(pajak[[#This Row],[//]]="","",SUMIF(Table1[h_id],pajak[[#This Row],[//]],Table1[h_hargasetelahdiskon]))</f>
        <v>6018324</v>
      </c>
      <c r="L34" s="87">
        <f ca="1">IF(pajak[//]="","",pajak[[#This Row],[Sub Total]]/1.11*11%)</f>
        <v>596410.48648648639</v>
      </c>
      <c r="M34" s="87">
        <f ca="1">pajak[[#This Row],[Sub Total]]</f>
        <v>6018324</v>
      </c>
      <c r="N34" s="85" t="str">
        <f ca="1">IF(pajak[[#This Row],[//]]="","",INDEX(Table1[pembuat nota :],pajak[//]-offset))</f>
        <v>NOVI / YO</v>
      </c>
      <c r="O34" s="85" t="str">
        <f ca="1">IF(pajak[[#This Row],[//]]="","",IF(INDEX(Table1[edited :],pajak[//]-offset)="","",INDEX(Table1[edited :],pajak[//]-offset)))</f>
        <v/>
      </c>
      <c r="P34" s="87"/>
      <c r="R34" s="85" t="str">
        <f>Table4[[#Headers],[AM]]</f>
        <v>AM</v>
      </c>
      <c r="S34" s="85">
        <f t="shared" si="1"/>
        <v>23080030</v>
      </c>
      <c r="T34" s="184" t="e">
        <f ca="1">IF(Table4[[#This Row],[AM]]&amp;" "&amp;Table4[[#This Row],[---]]=INDIRECT("pajak[@["&amp;Table4[#Headers]&amp;"]]"),MATCH(Table4[[#This Row],[---]],INDIRECT($3:$3),0))</f>
        <v>#REF!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  <c r="X34" s="184" t="e">
        <f ca="1">IF((INDEX(INDIRECT($3:$3),Table4[[#This Row],[No. Invoice :]]+$2:$2))=INDIRECT("pajak[@["&amp;Table4[#Headers]&amp;"]]"),1)</f>
        <v>#REF!</v>
      </c>
    </row>
    <row r="35" spans="1:24" x14ac:dyDescent="0.25">
      <c r="A35" s="291">
        <v>112</v>
      </c>
      <c r="D35" s="85">
        <f t="shared" ca="1" si="0"/>
        <v>112</v>
      </c>
      <c r="E35" s="85" t="str">
        <f ca="1">IF(pajak[[#This Row],[//]]="","",INDEX(Table1[No. Invoice :],pajak[//]-offset))</f>
        <v>AM 23080031</v>
      </c>
      <c r="F35" s="88">
        <f ca="1">IF(pajak[[#This Row],[//]]="","",INDEX(Table1[Tgl Invoice :],pajak[//]-offset))</f>
        <v>45167</v>
      </c>
      <c r="G35" s="85" t="str">
        <f ca="1">IF(pajak[[#This Row],[//]]="","",INDEX(Table1[Kode Sales :],pajak[//]-offset))</f>
        <v>KO 3599</v>
      </c>
      <c r="H35" s="85" t="str">
        <f ca="1">IF(pajak[[#This Row],[//]]="","",INDEX(Table1[Toko],pajak[//]-offset))</f>
        <v>CV SINAR CAHAYA NIRMALA BREBES</v>
      </c>
      <c r="I35" s="87">
        <f ca="1">IF(pajak[[#This Row],[//]]="","",SUMIF(Table1[h_id],pajak[[#This Row],[//]],Table1[h_hargasebelumdiskon]))</f>
        <v>1833700</v>
      </c>
      <c r="J35" s="87">
        <f ca="1">IF(pajak[[#This Row],[//]]="","",SUMIF(Table1[h_id],pajak[[#This Row],[//]],Table1[h_diskon]))</f>
        <v>143370</v>
      </c>
      <c r="K35" s="87">
        <f ca="1">IF(pajak[[#This Row],[//]]="","",SUMIF(Table1[h_id],pajak[[#This Row],[//]],Table1[h_hargasetelahdiskon]))</f>
        <v>1690330</v>
      </c>
      <c r="L35" s="87">
        <f ca="1">IF(pajak[//]="","",pajak[[#This Row],[Sub Total]]/1.11*11%)</f>
        <v>167510.18018018015</v>
      </c>
      <c r="M35" s="87">
        <f ca="1">pajak[[#This Row],[Sub Total]]</f>
        <v>1690330</v>
      </c>
      <c r="N35" s="85" t="str">
        <f ca="1">IF(pajak[[#This Row],[//]]="","",INDEX(Table1[pembuat nota :],pajak[//]-offset))</f>
        <v>NOVI / CONDRO</v>
      </c>
      <c r="O35" s="85" t="str">
        <f ca="1">IF(pajak[[#This Row],[//]]="","",IF(INDEX(Table1[edited :],pajak[//]-offset)="","",INDEX(Table1[edited :],pajak[//]-offset)))</f>
        <v/>
      </c>
      <c r="P35" s="87"/>
      <c r="R35" s="85" t="str">
        <f>Table4[[#Headers],[AM]]</f>
        <v>AM</v>
      </c>
      <c r="S35" s="85">
        <f t="shared" si="1"/>
        <v>23080031</v>
      </c>
      <c r="T35" s="184" t="e">
        <f ca="1">IF(Table4[[#This Row],[AM]]&amp;" "&amp;Table4[[#This Row],[---]]=INDIRECT("pajak[@["&amp;Table4[#Headers]&amp;"]]"),MATCH(Table4[[#This Row],[---]],INDIRECT($3:$3),0))</f>
        <v>#REF!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  <c r="X35" s="184" t="e">
        <f ca="1">IF((INDEX(INDIRECT($3:$3),Table4[[#This Row],[No. Invoice :]]+$2:$2))=INDIRECT("pajak[@["&amp;Table4[#Headers]&amp;"]]"),1)</f>
        <v>#REF!</v>
      </c>
    </row>
    <row r="36" spans="1:24" x14ac:dyDescent="0.25">
      <c r="A36" s="291">
        <v>128</v>
      </c>
      <c r="D36" s="85">
        <f t="shared" ca="1" si="0"/>
        <v>128</v>
      </c>
      <c r="E36" s="85" t="str">
        <f ca="1">IF(pajak[[#This Row],[//]]="","",INDEX(Table1[No. Invoice :],pajak[//]-offset))</f>
        <v>AM 23080032</v>
      </c>
      <c r="F36" s="88">
        <f ca="1">IF(pajak[[#This Row],[//]]="","",INDEX(Table1[Tgl Invoice :],pajak[//]-offset))</f>
        <v>45169</v>
      </c>
      <c r="G36" s="85" t="str">
        <f ca="1">IF(pajak[[#This Row],[//]]="","",INDEX(Table1[Kode Sales :],pajak[//]-offset))</f>
        <v>KO 3605</v>
      </c>
      <c r="H36" s="85" t="str">
        <f ca="1">IF(pajak[[#This Row],[//]]="","",INDEX(Table1[Toko],pajak[//]-offset))</f>
        <v>HARNOYO (BENDAN) PEKALONGAN</v>
      </c>
      <c r="I36" s="87">
        <f ca="1">IF(pajak[[#This Row],[//]]="","",SUMIF(Table1[h_id],pajak[[#This Row],[//]],Table1[h_hargasebelumdiskon]))</f>
        <v>2952000</v>
      </c>
      <c r="J36" s="87">
        <f ca="1">IF(pajak[[#This Row],[//]]="","",SUMIF(Table1[h_id],pajak[[#This Row],[//]],Table1[h_diskon]))</f>
        <v>413280.00000000006</v>
      </c>
      <c r="K36" s="87">
        <f ca="1">IF(pajak[[#This Row],[//]]="","",SUMIF(Table1[h_id],pajak[[#This Row],[//]],Table1[h_hargasetelahdiskon]))</f>
        <v>2538720</v>
      </c>
      <c r="L36" s="87">
        <f ca="1">IF(pajak[//]="","",pajak[[#This Row],[Sub Total]]/1.11*11%)</f>
        <v>251584.86486486488</v>
      </c>
      <c r="M36" s="87">
        <f ca="1">pajak[[#This Row],[Sub Total]]</f>
        <v>2538720</v>
      </c>
      <c r="N36" s="85" t="str">
        <f ca="1">IF(pajak[[#This Row],[//]]="","",INDEX(Table1[pembuat nota :],pajak[//]-offset))</f>
        <v>NOVI / CONDRO</v>
      </c>
      <c r="O36" s="85" t="str">
        <f ca="1">IF(pajak[[#This Row],[//]]="","",IF(INDEX(Table1[edited :],pajak[//]-offset)="","",INDEX(Table1[edited :],pajak[//]-offset)))</f>
        <v/>
      </c>
      <c r="P36" s="87"/>
      <c r="R36" s="85" t="str">
        <f>Table4[[#Headers],[AM]]</f>
        <v>AM</v>
      </c>
      <c r="S36" s="85">
        <f t="shared" si="1"/>
        <v>23080032</v>
      </c>
      <c r="T36" s="184" t="e">
        <f ca="1">IF(Table4[[#This Row],[AM]]&amp;" "&amp;Table4[[#This Row],[---]]=INDIRECT("pajak[@["&amp;Table4[#Headers]&amp;"]]"),MATCH(Table4[[#This Row],[---]],INDIRECT($3:$3),0))</f>
        <v>#REF!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  <c r="X36" s="184" t="e">
        <f ca="1">IF((INDEX(INDIRECT($3:$3),Table4[[#This Row],[No. Invoice :]]+$2:$2))=INDIRECT("pajak[@["&amp;Table4[#Headers]&amp;"]]"),1)</f>
        <v>#REF!</v>
      </c>
    </row>
    <row r="37" spans="1:24" x14ac:dyDescent="0.25">
      <c r="A37" s="291">
        <v>130</v>
      </c>
      <c r="D37" s="85">
        <f t="shared" ref="D37:D57" ca="1" si="2">IF(ROW()-(COUNTBLANK($D$1:$D$3)+1)&lt;=jNota,A37,"")</f>
        <v>130</v>
      </c>
      <c r="E37" s="85" t="str">
        <f ca="1">IF(pajak[[#This Row],[//]]="","",INDEX(Table1[No. Invoice :],pajak[//]-offset))</f>
        <v>AM 23080033</v>
      </c>
      <c r="F37" s="88">
        <f ca="1">IF(pajak[[#This Row],[//]]="","",INDEX(Table1[Tgl Invoice :],pajak[//]-offset))</f>
        <v>45169</v>
      </c>
      <c r="G37" s="85" t="str">
        <f ca="1">IF(pajak[[#This Row],[//]]="","",INDEX(Table1[Kode Sales :],pajak[//]-offset))</f>
        <v>KO 3615</v>
      </c>
      <c r="H37" s="85" t="str">
        <f ca="1">IF(pajak[[#This Row],[//]]="","",INDEX(Table1[Toko],pajak[//]-offset))</f>
        <v>CV PELITA JAYA (ANUGERAH SEJAHTERA) PURWOKERTO</v>
      </c>
      <c r="I37" s="87">
        <f ca="1">IF(pajak[[#This Row],[//]]="","",SUMIF(Table1[h_id],pajak[[#This Row],[//]],Table1[h_hargasebelumdiskon]))</f>
        <v>22003200</v>
      </c>
      <c r="J37" s="87">
        <f ca="1">IF(pajak[[#This Row],[//]]="","",SUMIF(Table1[h_id],pajak[[#This Row],[//]],Table1[h_diskon]))</f>
        <v>2970432</v>
      </c>
      <c r="K37" s="87">
        <f ca="1">IF(pajak[[#This Row],[//]]="","",SUMIF(Table1[h_id],pajak[[#This Row],[//]],Table1[h_hargasetelahdiskon]))</f>
        <v>19032768</v>
      </c>
      <c r="L37" s="87">
        <f ca="1">IF(pajak[//]="","",pajak[[#This Row],[Sub Total]]/1.11*11%)</f>
        <v>1886130.1621621621</v>
      </c>
      <c r="M37" s="87">
        <f ca="1">pajak[[#This Row],[Sub Total]]</f>
        <v>19032768</v>
      </c>
      <c r="N37" s="85" t="str">
        <f ca="1">IF(pajak[[#This Row],[//]]="","",INDEX(Table1[pembuat nota :],pajak[//]-offset))</f>
        <v>NOVI / CONDRO</v>
      </c>
      <c r="O37" s="85" t="str">
        <f ca="1">IF(pajak[[#This Row],[//]]="","",IF(INDEX(Table1[edited :],pajak[//]-offset)="","",INDEX(Table1[edited :],pajak[//]-offset)))</f>
        <v/>
      </c>
      <c r="P37" s="87"/>
      <c r="R37" s="85" t="str">
        <f>Table4[[#Headers],[AM]]</f>
        <v>AM</v>
      </c>
      <c r="S37" s="85">
        <f t="shared" ref="S37:S57" si="3">S$3+ROW()-5</f>
        <v>23080033</v>
      </c>
      <c r="T37" s="184" t="e">
        <f ca="1">IF(Table4[[#This Row],[AM]]&amp;" "&amp;Table4[[#This Row],[---]]=INDIRECT("pajak[@["&amp;Table4[#Headers]&amp;"]]"),MATCH(Table4[[#This Row],[---]],INDIRECT($3:$3),0))</f>
        <v>#REF!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  <c r="X37" s="184" t="e">
        <f ca="1">IF((INDEX(INDIRECT($3:$3),Table4[[#This Row],[No. Invoice :]]+$2:$2))=INDIRECT("pajak[@["&amp;Table4[#Headers]&amp;"]]"),1)</f>
        <v>#REF!</v>
      </c>
    </row>
    <row r="38" spans="1:24" x14ac:dyDescent="0.25">
      <c r="A38" s="291">
        <v>134</v>
      </c>
      <c r="D38" s="85">
        <f t="shared" ca="1" si="2"/>
        <v>134</v>
      </c>
      <c r="E38" s="85" t="str">
        <f ca="1">IF(pajak[[#This Row],[//]]="","",INDEX(Table1[No. Invoice :],pajak[//]-offset))</f>
        <v>AM 23080034</v>
      </c>
      <c r="F38" s="88">
        <f ca="1">IF(pajak[[#This Row],[//]]="","",INDEX(Table1[Tgl Invoice :],pajak[//]-offset))</f>
        <v>45169</v>
      </c>
      <c r="G38" s="85" t="str">
        <f ca="1">IF(pajak[[#This Row],[//]]="","",INDEX(Table1[Kode Sales :],pajak[//]-offset))</f>
        <v>KO 1591</v>
      </c>
      <c r="H38" s="85" t="str">
        <f ca="1">IF(pajak[[#This Row],[//]]="","",INDEX(Table1[Toko],pajak[//]-offset))</f>
        <v>CV LANCAR JAYA SENTOSA MALANG</v>
      </c>
      <c r="I38" s="87">
        <f ca="1">IF(pajak[[#This Row],[//]]="","",SUMIF(Table1[h_id],pajak[[#This Row],[//]],Table1[h_hargasebelumdiskon]))</f>
        <v>11568000</v>
      </c>
      <c r="J38" s="87">
        <f ca="1">IF(pajak[[#This Row],[//]]="","",SUMIF(Table1[h_id],pajak[[#This Row],[//]],Table1[h_diskon]))</f>
        <v>1446000</v>
      </c>
      <c r="K38" s="87">
        <f ca="1">IF(pajak[[#This Row],[//]]="","",SUMIF(Table1[h_id],pajak[[#This Row],[//]],Table1[h_hargasetelahdiskon]))</f>
        <v>10122000</v>
      </c>
      <c r="L38" s="87">
        <f ca="1">IF(pajak[//]="","",pajak[[#This Row],[Sub Total]]/1.11*11%)</f>
        <v>1003081.0810810811</v>
      </c>
      <c r="M38" s="87">
        <f ca="1">pajak[[#This Row],[Sub Total]]</f>
        <v>10122000</v>
      </c>
      <c r="N38" s="85" t="str">
        <f ca="1">IF(pajak[[#This Row],[//]]="","",INDEX(Table1[pembuat nota :],pajak[//]-offset))</f>
        <v>NOVI / CONDRO</v>
      </c>
      <c r="O38" s="85" t="str">
        <f ca="1">IF(pajak[[#This Row],[//]]="","",IF(INDEX(Table1[edited :],pajak[//]-offset)="","",INDEX(Table1[edited :],pajak[//]-offset)))</f>
        <v/>
      </c>
      <c r="P38" s="87"/>
      <c r="R38" s="85" t="str">
        <f>Table4[[#Headers],[AM]]</f>
        <v>AM</v>
      </c>
      <c r="S38" s="85">
        <f t="shared" si="3"/>
        <v>23080034</v>
      </c>
      <c r="T38" s="184" t="e">
        <f ca="1">IF(Table4[[#This Row],[AM]]&amp;" "&amp;Table4[[#This Row],[---]]=INDIRECT("pajak[@["&amp;Table4[#Headers]&amp;"]]"),MATCH(Table4[[#This Row],[---]],INDIRECT($3:$3),0))</f>
        <v>#REF!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  <c r="X38" s="184" t="e">
        <f ca="1">IF((INDEX(INDIRECT($3:$3),Table4[[#This Row],[No. Invoice :]]+$2:$2))=INDIRECT("pajak[@["&amp;Table4[#Headers]&amp;"]]"),1)</f>
        <v>#REF!</v>
      </c>
    </row>
    <row r="39" spans="1:24" x14ac:dyDescent="0.25">
      <c r="A39" s="291">
        <v>138</v>
      </c>
      <c r="D39" s="85">
        <f t="shared" ca="1" si="2"/>
        <v>138</v>
      </c>
      <c r="E39" s="85" t="str">
        <f ca="1">IF(pajak[[#This Row],[//]]="","",INDEX(Table1[No. Invoice :],pajak[//]-offset))</f>
        <v>AM 23080035</v>
      </c>
      <c r="F39" s="88">
        <f ca="1">IF(pajak[[#This Row],[//]]="","",INDEX(Table1[Tgl Invoice :],pajak[//]-offset))</f>
        <v>45169</v>
      </c>
      <c r="G39" s="85" t="str">
        <f ca="1">IF(pajak[[#This Row],[//]]="","",INDEX(Table1[Kode Sales :],pajak[//]-offset))</f>
        <v>KO 3626</v>
      </c>
      <c r="H39" s="85" t="str">
        <f ca="1">IF(pajak[[#This Row],[//]]="","",INDEX(Table1[Toko],pajak[//]-offset))</f>
        <v>CV PELITA JAYA (ANUGERAH SEJAHTERA) PURWOKERTO</v>
      </c>
      <c r="I39" s="87">
        <f ca="1">IF(pajak[[#This Row],[//]]="","",SUMIF(Table1[h_id],pajak[[#This Row],[//]],Table1[h_hargasebelumdiskon]))</f>
        <v>6868800</v>
      </c>
      <c r="J39" s="87">
        <f ca="1">IF(pajak[[#This Row],[//]]="","",SUMIF(Table1[h_id],pajak[[#This Row],[//]],Table1[h_diskon]))</f>
        <v>927288</v>
      </c>
      <c r="K39" s="87">
        <f ca="1">IF(pajak[[#This Row],[//]]="","",SUMIF(Table1[h_id],pajak[[#This Row],[//]],Table1[h_hargasetelahdiskon]))</f>
        <v>5941512</v>
      </c>
      <c r="L39" s="87">
        <f ca="1">IF(pajak[//]="","",pajak[[#This Row],[Sub Total]]/1.11*11%)</f>
        <v>588798.48648648639</v>
      </c>
      <c r="M39" s="87">
        <f ca="1">pajak[[#This Row],[Sub Total]]</f>
        <v>5941512</v>
      </c>
      <c r="N39" s="85" t="str">
        <f ca="1">IF(pajak[[#This Row],[//]]="","",INDEX(Table1[pembuat nota :],pajak[//]-offset))</f>
        <v>NOVI / CONDRO</v>
      </c>
      <c r="O39" s="85" t="str">
        <f ca="1">IF(pajak[[#This Row],[//]]="","",IF(INDEX(Table1[edited :],pajak[//]-offset)="","",INDEX(Table1[edited :],pajak[//]-offset)))</f>
        <v/>
      </c>
      <c r="P39" s="87"/>
      <c r="R39" s="85" t="str">
        <f>Table4[[#Headers],[AM]]</f>
        <v>AM</v>
      </c>
      <c r="S39" s="85">
        <f t="shared" si="3"/>
        <v>23080035</v>
      </c>
      <c r="T39" s="184" t="e">
        <f ca="1">IF(Table4[[#This Row],[AM]]&amp;" "&amp;Table4[[#This Row],[---]]=INDIRECT("pajak[@["&amp;Table4[#Headers]&amp;"]]"),MATCH(Table4[[#This Row],[---]],INDIRECT($3:$3),0))</f>
        <v>#REF!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  <c r="X39" s="184" t="e">
        <f ca="1">IF((INDEX(INDIRECT($3:$3),Table4[[#This Row],[No. Invoice :]]+$2:$2))=INDIRECT("pajak[@["&amp;Table4[#Headers]&amp;"]]"),1)</f>
        <v>#REF!</v>
      </c>
    </row>
    <row r="40" spans="1:24" x14ac:dyDescent="0.25">
      <c r="A40" s="291">
        <v>141</v>
      </c>
      <c r="D40" s="85">
        <f t="shared" ca="1" si="2"/>
        <v>141</v>
      </c>
      <c r="E40" s="85" t="str">
        <f ca="1">IF(pajak[[#This Row],[//]]="","",INDEX(Table1[No. Invoice :],pajak[//]-offset))</f>
        <v>AM 23080036</v>
      </c>
      <c r="F40" s="88">
        <f ca="1">IF(pajak[[#This Row],[//]]="","",INDEX(Table1[Tgl Invoice :],pajak[//]-offset))</f>
        <v>45169</v>
      </c>
      <c r="G40" s="85" t="str">
        <f ca="1">IF(pajak[[#This Row],[//]]="","",INDEX(Table1[Kode Sales :],pajak[//]-offset))</f>
        <v>KO 3606</v>
      </c>
      <c r="H40" s="85" t="str">
        <f ca="1">IF(pajak[[#This Row],[//]]="","",INDEX(Table1[Toko],pajak[//]-offset))</f>
        <v>CV GANESHA WONOSOBO</v>
      </c>
      <c r="I40" s="87">
        <f ca="1">IF(pajak[[#This Row],[//]]="","",SUMIF(Table1[h_id],pajak[[#This Row],[//]],Table1[h_hargasebelumdiskon]))</f>
        <v>1743000</v>
      </c>
      <c r="J40" s="87">
        <f ca="1">IF(pajak[[#This Row],[//]]="","",SUMIF(Table1[h_id],pajak[[#This Row],[//]],Table1[h_diskon]))</f>
        <v>174300</v>
      </c>
      <c r="K40" s="87">
        <f ca="1">IF(pajak[[#This Row],[//]]="","",SUMIF(Table1[h_id],pajak[[#This Row],[//]],Table1[h_hargasetelahdiskon]))</f>
        <v>1568700</v>
      </c>
      <c r="L40" s="87">
        <f ca="1">IF(pajak[//]="","",pajak[[#This Row],[Sub Total]]/1.11*11%)</f>
        <v>155456.75675675675</v>
      </c>
      <c r="M40" s="87">
        <f ca="1">pajak[[#This Row],[Sub Total]]</f>
        <v>1568700</v>
      </c>
      <c r="N40" s="85" t="str">
        <f ca="1">IF(pajak[[#This Row],[//]]="","",INDEX(Table1[pembuat nota :],pajak[//]-offset))</f>
        <v>NOVI / CONDRO</v>
      </c>
      <c r="O40" s="85" t="str">
        <f ca="1">IF(pajak[[#This Row],[//]]="","",IF(INDEX(Table1[edited :],pajak[//]-offset)="","",INDEX(Table1[edited :],pajak[//]-offset)))</f>
        <v/>
      </c>
      <c r="P40" s="87"/>
      <c r="R40" s="85" t="str">
        <f>Table4[[#Headers],[AM]]</f>
        <v>AM</v>
      </c>
      <c r="S40" s="85">
        <f t="shared" si="3"/>
        <v>23080036</v>
      </c>
      <c r="T40" s="184" t="e">
        <f ca="1">IF(Table4[[#This Row],[AM]]&amp;" "&amp;Table4[[#This Row],[---]]=INDIRECT("pajak[@["&amp;Table4[#Headers]&amp;"]]"),MATCH(Table4[[#This Row],[---]],INDIRECT($3:$3),0))</f>
        <v>#REF!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  <c r="X40" s="184" t="e">
        <f ca="1">IF((INDEX(INDIRECT($3:$3),Table4[[#This Row],[No. Invoice :]]+$2:$2))=INDIRECT("pajak[@["&amp;Table4[#Headers]&amp;"]]"),1)</f>
        <v>#REF!</v>
      </c>
    </row>
    <row r="41" spans="1:24" x14ac:dyDescent="0.25">
      <c r="A41" s="291">
        <v>149</v>
      </c>
      <c r="D41" s="85">
        <f t="shared" ca="1" si="2"/>
        <v>149</v>
      </c>
      <c r="E41" s="85" t="str">
        <f ca="1">IF(pajak[[#This Row],[//]]="","",INDEX(Table1[No. Invoice :],pajak[//]-offset))</f>
        <v>AM 23080037</v>
      </c>
      <c r="F41" s="88">
        <f ca="1">IF(pajak[[#This Row],[//]]="","",INDEX(Table1[Tgl Invoice :],pajak[//]-offset))</f>
        <v>45169</v>
      </c>
      <c r="G41" s="85" t="str">
        <f ca="1">IF(pajak[[#This Row],[//]]="","",INDEX(Table1[Kode Sales :],pajak[//]-offset))</f>
        <v>KO 3620</v>
      </c>
      <c r="H41" s="85" t="str">
        <f ca="1">IF(pajak[[#This Row],[//]]="","",INDEX(Table1[Toko],pajak[//]-offset))</f>
        <v>CV TRINITY CENTRAAL PURWOKERTO</v>
      </c>
      <c r="I41" s="87">
        <f ca="1">IF(pajak[[#This Row],[//]]="","",SUMIF(Table1[h_id],pajak[[#This Row],[//]],Table1[h_hargasebelumdiskon]))</f>
        <v>900000</v>
      </c>
      <c r="J41" s="87">
        <f ca="1">IF(pajak[[#This Row],[//]]="","",SUMIF(Table1[h_id],pajak[[#This Row],[//]],Table1[h_diskon]))</f>
        <v>112500</v>
      </c>
      <c r="K41" s="87">
        <f ca="1">IF(pajak[[#This Row],[//]]="","",SUMIF(Table1[h_id],pajak[[#This Row],[//]],Table1[h_hargasetelahdiskon]))</f>
        <v>787500</v>
      </c>
      <c r="L41" s="87">
        <f ca="1">IF(pajak[//]="","",pajak[[#This Row],[Sub Total]]/1.11*11%)</f>
        <v>78040.540540540533</v>
      </c>
      <c r="M41" s="87">
        <f ca="1">pajak[[#This Row],[Sub Total]]</f>
        <v>787500</v>
      </c>
      <c r="N41" s="85" t="str">
        <f ca="1">IF(pajak[[#This Row],[//]]="","",INDEX(Table1[pembuat nota :],pajak[//]-offset))</f>
        <v>NOVI / CONDRO</v>
      </c>
      <c r="O41" s="85" t="str">
        <f ca="1">IF(pajak[[#This Row],[//]]="","",IF(INDEX(Table1[edited :],pajak[//]-offset)="","",INDEX(Table1[edited :],pajak[//]-offset)))</f>
        <v/>
      </c>
      <c r="P41" s="87"/>
      <c r="R41" s="85" t="str">
        <f>Table4[[#Headers],[AM]]</f>
        <v>AM</v>
      </c>
      <c r="S41" s="85">
        <f t="shared" si="3"/>
        <v>23080037</v>
      </c>
      <c r="T41" s="184" t="e">
        <f ca="1">IF(Table4[[#This Row],[AM]]&amp;" "&amp;Table4[[#This Row],[---]]=INDIRECT("pajak[@["&amp;Table4[#Headers]&amp;"]]"),MATCH(Table4[[#This Row],[---]],INDIRECT($3:$3),0))</f>
        <v>#REF!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  <c r="X41" s="184" t="e">
        <f ca="1">IF((INDEX(INDIRECT($3:$3),Table4[[#This Row],[No. Invoice :]]+$2:$2))=INDIRECT("pajak[@["&amp;Table4[#Headers]&amp;"]]"),1)</f>
        <v>#REF!</v>
      </c>
    </row>
    <row r="42" spans="1:24" x14ac:dyDescent="0.25">
      <c r="A42" s="291">
        <v>151</v>
      </c>
      <c r="D42" s="85">
        <f t="shared" ca="1" si="2"/>
        <v>151</v>
      </c>
      <c r="E42" s="85" t="str">
        <f ca="1">IF(pajak[[#This Row],[//]]="","",INDEX(Table1[No. Invoice :],pajak[//]-offset))</f>
        <v>AM 23080038</v>
      </c>
      <c r="F42" s="88">
        <f ca="1">IF(pajak[[#This Row],[//]]="","",INDEX(Table1[Tgl Invoice :],pajak[//]-offset))</f>
        <v>45169</v>
      </c>
      <c r="G42" s="85" t="str">
        <f ca="1">IF(pajak[[#This Row],[//]]="","",INDEX(Table1[Kode Sales :],pajak[//]-offset))</f>
        <v>KO 3046</v>
      </c>
      <c r="H42" s="85" t="str">
        <f ca="1">IF(pajak[[#This Row],[//]]="","",INDEX(Table1[Toko],pajak[//]-offset))</f>
        <v>CV  WISUDA PURWOKERTO</v>
      </c>
      <c r="I42" s="87">
        <f ca="1">IF(pajak[[#This Row],[//]]="","",SUMIF(Table1[h_id],pajak[[#This Row],[//]],Table1[h_hargasebelumdiskon]))</f>
        <v>330000</v>
      </c>
      <c r="J42" s="87">
        <f ca="1">IF(pajak[[#This Row],[//]]="","",SUMIF(Table1[h_id],pajak[[#This Row],[//]],Table1[h_diskon]))</f>
        <v>33000</v>
      </c>
      <c r="K42" s="87">
        <f ca="1">IF(pajak[[#This Row],[//]]="","",SUMIF(Table1[h_id],pajak[[#This Row],[//]],Table1[h_hargasetelahdiskon]))</f>
        <v>297000</v>
      </c>
      <c r="L42" s="87">
        <f ca="1">IF(pajak[//]="","",pajak[[#This Row],[Sub Total]]/1.11*11%)</f>
        <v>29432.432432432426</v>
      </c>
      <c r="M42" s="87">
        <f ca="1">pajak[[#This Row],[Sub Total]]</f>
        <v>297000</v>
      </c>
      <c r="N42" s="85" t="str">
        <f ca="1">IF(pajak[[#This Row],[//]]="","",INDEX(Table1[pembuat nota :],pajak[//]-offset))</f>
        <v>NOVI / CONDRO</v>
      </c>
      <c r="O42" s="85" t="str">
        <f ca="1">IF(pajak[[#This Row],[//]]="","",IF(INDEX(Table1[edited :],pajak[//]-offset)="","",INDEX(Table1[edited :],pajak[//]-offset)))</f>
        <v/>
      </c>
      <c r="P42" s="87"/>
      <c r="R42" s="85" t="str">
        <f>Table4[[#Headers],[AM]]</f>
        <v>AM</v>
      </c>
      <c r="S42" s="85">
        <f t="shared" si="3"/>
        <v>23080038</v>
      </c>
      <c r="T42" s="184" t="e">
        <f ca="1">IF(Table4[[#This Row],[AM]]&amp;" "&amp;Table4[[#This Row],[---]]=INDIRECT("pajak[@["&amp;Table4[#Headers]&amp;"]]"),MATCH(Table4[[#This Row],[---]],INDIRECT($3:$3),0))</f>
        <v>#REF!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  <c r="X42" s="184" t="e">
        <f ca="1">IF((INDEX(INDIRECT($3:$3),Table4[[#This Row],[No. Invoice :]]+$2:$2))=INDIRECT("pajak[@["&amp;Table4[#Headers]&amp;"]]"),1)</f>
        <v>#REF!</v>
      </c>
    </row>
    <row r="43" spans="1:24" x14ac:dyDescent="0.25">
      <c r="A43" s="291">
        <v>153</v>
      </c>
      <c r="D43" s="85">
        <f t="shared" ca="1" si="2"/>
        <v>153</v>
      </c>
      <c r="E43" s="85" t="str">
        <f ca="1">IF(pajak[[#This Row],[//]]="","",INDEX(Table1[No. Invoice :],pajak[//]-offset))</f>
        <v>AM 23080039</v>
      </c>
      <c r="F43" s="88">
        <f ca="1">IF(pajak[[#This Row],[//]]="","",INDEX(Table1[Tgl Invoice :],pajak[//]-offset))</f>
        <v>45169</v>
      </c>
      <c r="G43" s="85" t="str">
        <f ca="1">IF(pajak[[#This Row],[//]]="","",INDEX(Table1[Kode Sales :],pajak[//]-offset))</f>
        <v>KO 1990</v>
      </c>
      <c r="H43" s="85" t="str">
        <f ca="1">IF(pajak[[#This Row],[//]]="","",INDEX(Table1[Toko],pajak[//]-offset))</f>
        <v>SANTOSO BUDIONO (  ARMADA  ) PURWOKERTO</v>
      </c>
      <c r="I43" s="87">
        <f ca="1">IF(pajak[[#This Row],[//]]="","",SUMIF(Table1[h_id],pajak[[#This Row],[//]],Table1[h_hargasebelumdiskon]))</f>
        <v>3628800</v>
      </c>
      <c r="J43" s="87">
        <f ca="1">IF(pajak[[#This Row],[//]]="","",SUMIF(Table1[h_id],pajak[[#This Row],[//]],Table1[h_diskon]))</f>
        <v>471744</v>
      </c>
      <c r="K43" s="87">
        <f ca="1">IF(pajak[[#This Row],[//]]="","",SUMIF(Table1[h_id],pajak[[#This Row],[//]],Table1[h_hargasetelahdiskon]))</f>
        <v>3157056</v>
      </c>
      <c r="L43" s="87">
        <f ca="1">IF(pajak[//]="","",pajak[[#This Row],[Sub Total]]/1.11*11%)</f>
        <v>312861.40540540538</v>
      </c>
      <c r="M43" s="87">
        <f ca="1">pajak[[#This Row],[Sub Total]]</f>
        <v>3157056</v>
      </c>
      <c r="N43" s="85" t="str">
        <f ca="1">IF(pajak[[#This Row],[//]]="","",INDEX(Table1[pembuat nota :],pajak[//]-offset))</f>
        <v>NOVI / CONDRO</v>
      </c>
      <c r="O43" s="85" t="str">
        <f ca="1">IF(pajak[[#This Row],[//]]="","",IF(INDEX(Table1[edited :],pajak[//]-offset)="","",INDEX(Table1[edited :],pajak[//]-offset)))</f>
        <v/>
      </c>
      <c r="P43" s="87"/>
      <c r="R43" s="85" t="str">
        <f>Table4[[#Headers],[AM]]</f>
        <v>AM</v>
      </c>
      <c r="S43" s="85">
        <f t="shared" si="3"/>
        <v>23080039</v>
      </c>
      <c r="T43" s="184" t="e">
        <f ca="1">IF(Table4[[#This Row],[AM]]&amp;" "&amp;Table4[[#This Row],[---]]=INDIRECT("pajak[@["&amp;Table4[#Headers]&amp;"]]"),MATCH(Table4[[#This Row],[---]],INDIRECT($3:$3),0))</f>
        <v>#REF!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  <c r="X43" s="184" t="e">
        <f ca="1">IF((INDEX(INDIRECT($3:$3),Table4[[#This Row],[No. Invoice :]]+$2:$2))=INDIRECT("pajak[@["&amp;Table4[#Headers]&amp;"]]"),1)</f>
        <v>#REF!</v>
      </c>
    </row>
    <row r="44" spans="1:24" x14ac:dyDescent="0.25">
      <c r="A44" s="291"/>
      <c r="D44" s="85" t="str">
        <f t="shared" ca="1" si="2"/>
        <v/>
      </c>
      <c r="E44" s="85" t="str">
        <f ca="1">IF(pajak[[#This Row],[//]]="","",INDEX(Table1[No. Invoice :],pajak[//]-offset))</f>
        <v/>
      </c>
      <c r="F44" s="88" t="str">
        <f ca="1">IF(pajak[[#This Row],[//]]="","",INDEX(Table1[Tgl Invoice :],pajak[//]-offset))</f>
        <v/>
      </c>
      <c r="G44" s="85" t="str">
        <f ca="1">IF(pajak[[#This Row],[//]]="","",INDEX(Table1[Kode Sales :],pajak[//]-offset))</f>
        <v/>
      </c>
      <c r="H44" s="85" t="str">
        <f ca="1">IF(pajak[[#This Row],[//]]="","",INDEX(Table1[Toko],pajak[//]-offset))</f>
        <v/>
      </c>
      <c r="I44" s="87" t="str">
        <f ca="1">IF(pajak[[#This Row],[//]]="","",SUMIF(Table1[h_id],pajak[[#This Row],[//]],Table1[h_hargasebelumdiskon]))</f>
        <v/>
      </c>
      <c r="J44" s="87" t="str">
        <f ca="1">IF(pajak[[#This Row],[//]]="","",SUMIF(Table1[h_id],pajak[[#This Row],[//]],Table1[h_diskon]))</f>
        <v/>
      </c>
      <c r="K44" s="87" t="str">
        <f ca="1">IF(pajak[[#This Row],[//]]="","",SUMIF(Table1[h_id],pajak[[#This Row],[//]],Table1[h_hargasetelahdiskon]))</f>
        <v/>
      </c>
      <c r="L44" s="87" t="str">
        <f ca="1">IF(pajak[//]="","",pajak[[#This Row],[Sub Total]]/1.11*11%)</f>
        <v/>
      </c>
      <c r="M44" s="87" t="str">
        <f ca="1">pajak[[#This Row],[Sub Total]]</f>
        <v/>
      </c>
      <c r="N44" s="85" t="str">
        <f ca="1">IF(pajak[[#This Row],[//]]="","",INDEX(Table1[pembuat nota :],pajak[//]-offset))</f>
        <v/>
      </c>
      <c r="O44" s="85" t="str">
        <f ca="1">IF(pajak[[#This Row],[//]]="","",IF(INDEX(Table1[edited :],pajak[//]-offset)="","",INDEX(Table1[edited :],pajak[//]-offset)))</f>
        <v/>
      </c>
      <c r="P44" s="87"/>
      <c r="R44" s="85" t="str">
        <f>Table4[[#Headers],[AM]]</f>
        <v>AM</v>
      </c>
      <c r="S44" s="85">
        <f t="shared" si="3"/>
        <v>23080040</v>
      </c>
      <c r="T44" s="184" t="b">
        <f ca="1">IF(Table4[[#This Row],[AM]]&amp;" "&amp;Table4[[#This Row],[---]]=INDIRECT("pajak[@["&amp;Table4[#Headers]&amp;"]]"),MATCH(Table4[[#This Row],[---]],INDIRECT($3:$3),0))</f>
        <v>0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  <c r="X44" s="184" t="e">
        <f ca="1">IF((INDEX(INDIRECT($3:$3),Table4[[#This Row],[No. Invoice :]]+$2:$2))=INDIRECT("pajak[@["&amp;Table4[#Headers]&amp;"]]"),1)</f>
        <v>#REF!</v>
      </c>
    </row>
    <row r="45" spans="1:24" x14ac:dyDescent="0.25">
      <c r="A45" s="291" t="s">
        <v>55</v>
      </c>
      <c r="D45" s="85" t="str">
        <f t="shared" ca="1" si="2"/>
        <v/>
      </c>
      <c r="E45" s="85" t="str">
        <f ca="1">IF(pajak[[#This Row],[//]]="","",INDEX(Table1[No. Invoice :],pajak[//]-offset))</f>
        <v/>
      </c>
      <c r="F45" s="88" t="str">
        <f ca="1">IF(pajak[[#This Row],[//]]="","",INDEX(Table1[Tgl Invoice :],pajak[//]-offset))</f>
        <v/>
      </c>
      <c r="G45" s="85" t="str">
        <f ca="1">IF(pajak[[#This Row],[//]]="","",INDEX(Table1[Kode Sales :],pajak[//]-offset))</f>
        <v/>
      </c>
      <c r="H45" s="85" t="str">
        <f ca="1">IF(pajak[[#This Row],[//]]="","",INDEX(Table1[Toko],pajak[//]-offset))</f>
        <v/>
      </c>
      <c r="I45" s="87" t="str">
        <f ca="1">IF(pajak[[#This Row],[//]]="","",SUMIF(Table1[h_id],pajak[[#This Row],[//]],Table1[h_hargasebelumdiskon]))</f>
        <v/>
      </c>
      <c r="J45" s="87" t="str">
        <f ca="1">IF(pajak[[#This Row],[//]]="","",SUMIF(Table1[h_id],pajak[[#This Row],[//]],Table1[h_diskon]))</f>
        <v/>
      </c>
      <c r="K45" s="87" t="str">
        <f ca="1">IF(pajak[[#This Row],[//]]="","",SUMIF(Table1[h_id],pajak[[#This Row],[//]],Table1[h_hargasetelahdiskon]))</f>
        <v/>
      </c>
      <c r="L45" s="87" t="str">
        <f ca="1">IF(pajak[//]="","",pajak[[#This Row],[Sub Total]]/1.11*11%)</f>
        <v/>
      </c>
      <c r="M45" s="87" t="str">
        <f ca="1">pajak[[#This Row],[Sub Total]]</f>
        <v/>
      </c>
      <c r="N45" s="85" t="str">
        <f ca="1">IF(pajak[[#This Row],[//]]="","",INDEX(Table1[pembuat nota :],pajak[//]-offset))</f>
        <v/>
      </c>
      <c r="O45" s="85" t="str">
        <f ca="1">IF(pajak[[#This Row],[//]]="","",IF(INDEX(Table1[edited :],pajak[//]-offset)="","",INDEX(Table1[edited :],pajak[//]-offset)))</f>
        <v/>
      </c>
      <c r="P45" s="87"/>
      <c r="R45" s="85" t="str">
        <f>Table4[[#Headers],[AM]]</f>
        <v>AM</v>
      </c>
      <c r="S45" s="85">
        <f t="shared" si="3"/>
        <v>23080041</v>
      </c>
      <c r="T45" s="184" t="b">
        <f ca="1">IF(Table4[[#This Row],[AM]]&amp;" "&amp;Table4[[#This Row],[---]]=INDIRECT("pajak[@["&amp;Table4[#Headers]&amp;"]]"),MATCH(Table4[[#This Row],[---]],INDIRECT($3:$3),0))</f>
        <v>0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  <c r="X45" s="184" t="e">
        <f ca="1">IF((INDEX(INDIRECT($3:$3),Table4[[#This Row],[No. Invoice :]]+$2:$2))=INDIRECT("pajak[@["&amp;Table4[#Headers]&amp;"]]"),1)</f>
        <v>#REF!</v>
      </c>
    </row>
    <row r="46" spans="1:24" x14ac:dyDescent="0.25">
      <c r="D46" s="85" t="str">
        <f t="shared" ca="1" si="2"/>
        <v/>
      </c>
      <c r="E46" s="85" t="str">
        <f ca="1">IF(pajak[[#This Row],[//]]="","",INDEX(Table1[No. Invoice :],pajak[//]-offset))</f>
        <v/>
      </c>
      <c r="F46" s="88" t="str">
        <f ca="1">IF(pajak[[#This Row],[//]]="","",INDEX(Table1[Tgl Invoice :],pajak[//]-offset))</f>
        <v/>
      </c>
      <c r="G46" s="85" t="str">
        <f ca="1">IF(pajak[[#This Row],[//]]="","",INDEX(Table1[Kode Sales :],pajak[//]-offset))</f>
        <v/>
      </c>
      <c r="H46" s="85" t="str">
        <f ca="1">IF(pajak[[#This Row],[//]]="","",INDEX(Table1[Toko],pajak[//]-offset))</f>
        <v/>
      </c>
      <c r="I46" s="87" t="str">
        <f ca="1">IF(pajak[[#This Row],[//]]="","",SUMIF(Table1[h_id],pajak[[#This Row],[//]],Table1[h_hargasebelumdiskon]))</f>
        <v/>
      </c>
      <c r="J46" s="87" t="str">
        <f ca="1">IF(pajak[[#This Row],[//]]="","",SUMIF(Table1[h_id],pajak[[#This Row],[//]],Table1[h_diskon]))</f>
        <v/>
      </c>
      <c r="K46" s="87" t="str">
        <f ca="1">IF(pajak[[#This Row],[//]]="","",SUMIF(Table1[h_id],pajak[[#This Row],[//]],Table1[h_hargasetelahdiskon]))</f>
        <v/>
      </c>
      <c r="L46" s="87" t="str">
        <f ca="1">IF(pajak[//]="","",pajak[[#This Row],[Sub Total]]/1.11*11%)</f>
        <v/>
      </c>
      <c r="M46" s="87" t="str">
        <f ca="1">pajak[[#This Row],[Sub Total]]</f>
        <v/>
      </c>
      <c r="N46" s="85" t="str">
        <f ca="1">IF(pajak[[#This Row],[//]]="","",INDEX(Table1[pembuat nota :],pajak[//]-offset))</f>
        <v/>
      </c>
      <c r="O46" s="85" t="str">
        <f ca="1">IF(pajak[[#This Row],[//]]="","",IF(INDEX(Table1[edited :],pajak[//]-offset)="","",INDEX(Table1[edited :],pajak[//]-offset)))</f>
        <v/>
      </c>
      <c r="P46" s="87"/>
      <c r="R46" s="85" t="str">
        <f>Table4[[#Headers],[AM]]</f>
        <v>AM</v>
      </c>
      <c r="S46" s="85">
        <f t="shared" si="3"/>
        <v>23080042</v>
      </c>
      <c r="T46" s="184" t="b">
        <f ca="1">IF(Table4[[#This Row],[AM]]&amp;" "&amp;Table4[[#This Row],[---]]=INDIRECT("pajak[@["&amp;Table4[#Headers]&amp;"]]"),MATCH(Table4[[#This Row],[---]],INDIRECT($3:$3),0))</f>
        <v>0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  <c r="X46" s="184" t="e">
        <f ca="1">IF((INDEX(INDIRECT($3:$3),Table4[[#This Row],[No. Invoice :]]+$2:$2))=INDIRECT("pajak[@["&amp;Table4[#Headers]&amp;"]]"),1)</f>
        <v>#REF!</v>
      </c>
    </row>
    <row r="47" spans="1:24" x14ac:dyDescent="0.25">
      <c r="D47" s="85" t="str">
        <f t="shared" ca="1" si="2"/>
        <v/>
      </c>
      <c r="E47" s="85" t="str">
        <f ca="1">IF(pajak[[#This Row],[//]]="","",INDEX(Table1[No. Invoice :],pajak[//]-offset))</f>
        <v/>
      </c>
      <c r="F47" s="88" t="str">
        <f ca="1">IF(pajak[[#This Row],[//]]="","",INDEX(Table1[Tgl Invoice :],pajak[//]-offset))</f>
        <v/>
      </c>
      <c r="G47" s="85" t="str">
        <f ca="1">IF(pajak[[#This Row],[//]]="","",INDEX(Table1[Kode Sales :],pajak[//]-offset))</f>
        <v/>
      </c>
      <c r="H47" s="85" t="str">
        <f ca="1">IF(pajak[[#This Row],[//]]="","",INDEX(Table1[Toko],pajak[//]-offset))</f>
        <v/>
      </c>
      <c r="I47" s="87" t="str">
        <f ca="1">IF(pajak[[#This Row],[//]]="","",SUMIF(Table1[h_id],pajak[[#This Row],[//]],Table1[h_hargasebelumdiskon]))</f>
        <v/>
      </c>
      <c r="J47" s="87" t="str">
        <f ca="1">IF(pajak[[#This Row],[//]]="","",SUMIF(Table1[h_id],pajak[[#This Row],[//]],Table1[h_diskon]))</f>
        <v/>
      </c>
      <c r="K47" s="87" t="str">
        <f ca="1">IF(pajak[[#This Row],[//]]="","",SUMIF(Table1[h_id],pajak[[#This Row],[//]],Table1[h_hargasetelahdiskon]))</f>
        <v/>
      </c>
      <c r="L47" s="87" t="str">
        <f ca="1">IF(pajak[//]="","",pajak[[#This Row],[Sub Total]]/1.11*11%)</f>
        <v/>
      </c>
      <c r="M47" s="87" t="str">
        <f ca="1">pajak[[#This Row],[Sub Total]]</f>
        <v/>
      </c>
      <c r="N47" s="85" t="str">
        <f ca="1">IF(pajak[[#This Row],[//]]="","",INDEX(Table1[pembuat nota :],pajak[//]-offset))</f>
        <v/>
      </c>
      <c r="O47" s="85" t="str">
        <f ca="1">IF(pajak[[#This Row],[//]]="","",IF(INDEX(Table1[edited :],pajak[//]-offset)="","",INDEX(Table1[edited :],pajak[//]-offset)))</f>
        <v/>
      </c>
      <c r="P47" s="87"/>
      <c r="R47" s="85" t="str">
        <f>Table4[[#Headers],[AM]]</f>
        <v>AM</v>
      </c>
      <c r="S47" s="85">
        <f t="shared" si="3"/>
        <v>23080043</v>
      </c>
      <c r="T47" s="184" t="b">
        <f ca="1">IF(Table4[[#This Row],[AM]]&amp;" "&amp;Table4[[#This Row],[---]]=INDIRECT("pajak[@["&amp;Table4[#Headers]&amp;"]]"),MATCH(Table4[[#This Row],[---]],INDIRECT($3:$3),0))</f>
        <v>0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  <c r="X47" s="184" t="e">
        <f ca="1">IF((INDEX(INDIRECT($3:$3),Table4[[#This Row],[No. Invoice :]]+$2:$2))=INDIRECT("pajak[@["&amp;Table4[#Headers]&amp;"]]"),1)</f>
        <v>#REF!</v>
      </c>
    </row>
    <row r="48" spans="1:24" x14ac:dyDescent="0.25">
      <c r="D48" s="85" t="str">
        <f t="shared" ca="1" si="2"/>
        <v/>
      </c>
      <c r="E48" s="85" t="str">
        <f ca="1">IF(pajak[[#This Row],[//]]="","",INDEX(Table1[No. Invoice :],pajak[//]-offset))</f>
        <v/>
      </c>
      <c r="F48" s="88" t="str">
        <f ca="1">IF(pajak[[#This Row],[//]]="","",INDEX(Table1[Tgl Invoice :],pajak[//]-offset))</f>
        <v/>
      </c>
      <c r="G48" s="85" t="str">
        <f ca="1">IF(pajak[[#This Row],[//]]="","",INDEX(Table1[Kode Sales :],pajak[//]-offset))</f>
        <v/>
      </c>
      <c r="H48" s="85" t="str">
        <f ca="1">IF(pajak[[#This Row],[//]]="","",INDEX(Table1[Toko],pajak[//]-offset))</f>
        <v/>
      </c>
      <c r="I48" s="87" t="str">
        <f ca="1">IF(pajak[[#This Row],[//]]="","",SUMIF(Table1[h_id],pajak[[#This Row],[//]],Table1[h_hargasebelumdiskon]))</f>
        <v/>
      </c>
      <c r="J48" s="87" t="str">
        <f ca="1">IF(pajak[[#This Row],[//]]="","",SUMIF(Table1[h_id],pajak[[#This Row],[//]],Table1[h_diskon]))</f>
        <v/>
      </c>
      <c r="K48" s="87" t="str">
        <f ca="1">IF(pajak[[#This Row],[//]]="","",SUMIF(Table1[h_id],pajak[[#This Row],[//]],Table1[h_hargasetelahdiskon]))</f>
        <v/>
      </c>
      <c r="L48" s="87" t="str">
        <f ca="1">IF(pajak[//]="","",pajak[[#This Row],[Sub Total]]/1.11*11%)</f>
        <v/>
      </c>
      <c r="M48" s="87" t="str">
        <f ca="1">pajak[[#This Row],[Sub Total]]</f>
        <v/>
      </c>
      <c r="N48" s="85" t="str">
        <f ca="1">IF(pajak[[#This Row],[//]]="","",INDEX(Table1[pembuat nota :],pajak[//]-offset))</f>
        <v/>
      </c>
      <c r="O48" s="85" t="str">
        <f ca="1">IF(pajak[[#This Row],[//]]="","",IF(INDEX(Table1[edited :],pajak[//]-offset)="","",INDEX(Table1[edited :],pajak[//]-offset)))</f>
        <v/>
      </c>
      <c r="P48" s="87"/>
      <c r="R48" s="85" t="str">
        <f>Table4[[#Headers],[AM]]</f>
        <v>AM</v>
      </c>
      <c r="S48" s="85">
        <f t="shared" si="3"/>
        <v>23080044</v>
      </c>
      <c r="T48" s="184" t="b">
        <f ca="1">IF(Table4[[#This Row],[AM]]&amp;" "&amp;Table4[[#This Row],[---]]=INDIRECT("pajak[@["&amp;Table4[#Headers]&amp;"]]"),MATCH(Table4[[#This Row],[---]],INDIRECT($3:$3),0))</f>
        <v>0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  <c r="X48" s="184" t="e">
        <f ca="1">IF((INDEX(INDIRECT($3:$3),Table4[[#This Row],[No. Invoice :]]+$2:$2))=INDIRECT("pajak[@["&amp;Table4[#Headers]&amp;"]]"),1)</f>
        <v>#REF!</v>
      </c>
    </row>
    <row r="49" spans="4:24" x14ac:dyDescent="0.25">
      <c r="D49" s="85" t="str">
        <f t="shared" ca="1" si="2"/>
        <v/>
      </c>
      <c r="E49" s="85" t="str">
        <f ca="1">IF(pajak[[#This Row],[//]]="","",INDEX(Table1[No. Invoice :],pajak[//]-offset))</f>
        <v/>
      </c>
      <c r="F49" s="88" t="str">
        <f ca="1">IF(pajak[[#This Row],[//]]="","",INDEX(Table1[Tgl Invoice :],pajak[//]-offset))</f>
        <v/>
      </c>
      <c r="G49" s="85" t="str">
        <f ca="1">IF(pajak[[#This Row],[//]]="","",INDEX(Table1[Kode Sales :],pajak[//]-offset))</f>
        <v/>
      </c>
      <c r="H49" s="85" t="str">
        <f ca="1">IF(pajak[[#This Row],[//]]="","",INDEX(Table1[Toko],pajak[//]-offset))</f>
        <v/>
      </c>
      <c r="I49" s="87" t="str">
        <f ca="1">IF(pajak[[#This Row],[//]]="","",SUMIF(Table1[h_id],pajak[[#This Row],[//]],Table1[h_hargasebelumdiskon]))</f>
        <v/>
      </c>
      <c r="J49" s="87" t="str">
        <f ca="1">IF(pajak[[#This Row],[//]]="","",SUMIF(Table1[h_id],pajak[[#This Row],[//]],Table1[h_diskon]))</f>
        <v/>
      </c>
      <c r="K49" s="87" t="str">
        <f ca="1">IF(pajak[[#This Row],[//]]="","",SUMIF(Table1[h_id],pajak[[#This Row],[//]],Table1[h_hargasetelahdiskon]))</f>
        <v/>
      </c>
      <c r="L49" s="87" t="str">
        <f ca="1">IF(pajak[//]="","",pajak[[#This Row],[Sub Total]]/1.11*11%)</f>
        <v/>
      </c>
      <c r="M49" s="87" t="str">
        <f ca="1">pajak[[#This Row],[Sub Total]]</f>
        <v/>
      </c>
      <c r="N49" s="85" t="str">
        <f ca="1">IF(pajak[[#This Row],[//]]="","",INDEX(Table1[pembuat nota :],pajak[//]-offset))</f>
        <v/>
      </c>
      <c r="O49" s="85" t="str">
        <f ca="1">IF(pajak[[#This Row],[//]]="","",IF(INDEX(Table1[edited :],pajak[//]-offset)="","",INDEX(Table1[edited :],pajak[//]-offset)))</f>
        <v/>
      </c>
      <c r="P49" s="87"/>
      <c r="R49" s="85" t="str">
        <f>Table4[[#Headers],[AM]]</f>
        <v>AM</v>
      </c>
      <c r="S49" s="85">
        <f t="shared" si="3"/>
        <v>23080045</v>
      </c>
      <c r="T49" s="184" t="b">
        <f ca="1">IF(Table4[[#This Row],[AM]]&amp;" "&amp;Table4[[#This Row],[---]]=INDIRECT("pajak[@["&amp;Table4[#Headers]&amp;"]]"),MATCH(Table4[[#This Row],[---]],INDIRECT($3:$3),0))</f>
        <v>0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  <c r="X49" s="184" t="e">
        <f ca="1">IF((INDEX(INDIRECT($3:$3),Table4[[#This Row],[No. Invoice :]]+$2:$2))=INDIRECT("pajak[@["&amp;Table4[#Headers]&amp;"]]"),1)</f>
        <v>#REF!</v>
      </c>
    </row>
    <row r="50" spans="4:24" x14ac:dyDescent="0.25">
      <c r="D50" s="85" t="str">
        <f t="shared" ca="1" si="2"/>
        <v/>
      </c>
      <c r="E50" s="85" t="str">
        <f ca="1">IF(pajak[[#This Row],[//]]="","",INDEX(Table1[No. Invoice :],pajak[//]-offset))</f>
        <v/>
      </c>
      <c r="F50" s="88" t="str">
        <f ca="1">IF(pajak[[#This Row],[//]]="","",INDEX(Table1[Tgl Invoice :],pajak[//]-offset))</f>
        <v/>
      </c>
      <c r="G50" s="85" t="str">
        <f ca="1">IF(pajak[[#This Row],[//]]="","",INDEX(Table1[Kode Sales :],pajak[//]-offset))</f>
        <v/>
      </c>
      <c r="H50" s="85" t="str">
        <f ca="1">IF(pajak[[#This Row],[//]]="","",INDEX(Table1[Toko],pajak[//]-offset))</f>
        <v/>
      </c>
      <c r="I50" s="87" t="str">
        <f ca="1">IF(pajak[[#This Row],[//]]="","",SUMIF(Table1[h_id],pajak[[#This Row],[//]],Table1[h_hargasebelumdiskon]))</f>
        <v/>
      </c>
      <c r="J50" s="87" t="str">
        <f ca="1">IF(pajak[[#This Row],[//]]="","",SUMIF(Table1[h_id],pajak[[#This Row],[//]],Table1[h_diskon]))</f>
        <v/>
      </c>
      <c r="K50" s="87" t="str">
        <f ca="1">IF(pajak[[#This Row],[//]]="","",SUMIF(Table1[h_id],pajak[[#This Row],[//]],Table1[h_hargasetelahdiskon]))</f>
        <v/>
      </c>
      <c r="L50" s="87" t="str">
        <f ca="1">IF(pajak[//]="","",pajak[[#This Row],[Sub Total]]/1.11*11%)</f>
        <v/>
      </c>
      <c r="M50" s="87" t="str">
        <f ca="1">pajak[[#This Row],[Sub Total]]</f>
        <v/>
      </c>
      <c r="N50" s="85" t="str">
        <f ca="1">IF(pajak[[#This Row],[//]]="","",INDEX(Table1[pembuat nota :],pajak[//]-offset))</f>
        <v/>
      </c>
      <c r="O50" s="85" t="str">
        <f ca="1">IF(pajak[[#This Row],[//]]="","",IF(INDEX(Table1[edited :],pajak[//]-offset)="","",INDEX(Table1[edited :],pajak[//]-offset)))</f>
        <v/>
      </c>
      <c r="P50" s="87"/>
      <c r="R50" s="85" t="str">
        <f>Table4[[#Headers],[AM]]</f>
        <v>AM</v>
      </c>
      <c r="S50" s="85">
        <f t="shared" si="3"/>
        <v>23080046</v>
      </c>
      <c r="T50" s="184" t="b">
        <f ca="1">IF(Table4[[#This Row],[AM]]&amp;" "&amp;Table4[[#This Row],[---]]=INDIRECT("pajak[@["&amp;Table4[#Headers]&amp;"]]"),MATCH(Table4[[#This Row],[---]],INDIRECT($3:$3),0))</f>
        <v>0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  <c r="X50" s="184" t="e">
        <f ca="1">IF((INDEX(INDIRECT($3:$3),Table4[[#This Row],[No. Invoice :]]+$2:$2))=INDIRECT("pajak[@["&amp;Table4[#Headers]&amp;"]]"),1)</f>
        <v>#REF!</v>
      </c>
    </row>
    <row r="51" spans="4:24" x14ac:dyDescent="0.25">
      <c r="D51" s="85" t="str">
        <f t="shared" ca="1" si="2"/>
        <v/>
      </c>
      <c r="E51" s="85" t="str">
        <f ca="1">IF(pajak[[#This Row],[//]]="","",INDEX(Table1[No. Invoice :],pajak[//]-offset))</f>
        <v/>
      </c>
      <c r="F51" s="88" t="str">
        <f ca="1">IF(pajak[[#This Row],[//]]="","",INDEX(Table1[Tgl Invoice :],pajak[//]-offset))</f>
        <v/>
      </c>
      <c r="G51" s="85" t="str">
        <f ca="1">IF(pajak[[#This Row],[//]]="","",INDEX(Table1[Kode Sales :],pajak[//]-offset))</f>
        <v/>
      </c>
      <c r="H51" s="85" t="str">
        <f ca="1">IF(pajak[[#This Row],[//]]="","",INDEX(Table1[Toko],pajak[//]-offset))</f>
        <v/>
      </c>
      <c r="I51" s="87" t="str">
        <f ca="1">IF(pajak[[#This Row],[//]]="","",SUMIF(Table1[h_id],pajak[[#This Row],[//]],Table1[h_hargasebelumdiskon]))</f>
        <v/>
      </c>
      <c r="J51" s="87" t="str">
        <f ca="1">IF(pajak[[#This Row],[//]]="","",SUMIF(Table1[h_id],pajak[[#This Row],[//]],Table1[h_diskon]))</f>
        <v/>
      </c>
      <c r="K51" s="87" t="str">
        <f ca="1">IF(pajak[[#This Row],[//]]="","",SUMIF(Table1[h_id],pajak[[#This Row],[//]],Table1[h_hargasetelahdiskon]))</f>
        <v/>
      </c>
      <c r="L51" s="87" t="str">
        <f ca="1">IF(pajak[//]="","",pajak[[#This Row],[Sub Total]]/1.11*11%)</f>
        <v/>
      </c>
      <c r="M51" s="87" t="str">
        <f ca="1">pajak[[#This Row],[Sub Total]]</f>
        <v/>
      </c>
      <c r="N51" s="85" t="str">
        <f ca="1">IF(pajak[[#This Row],[//]]="","",INDEX(Table1[pembuat nota :],pajak[//]-offset))</f>
        <v/>
      </c>
      <c r="O51" s="85" t="str">
        <f ca="1">IF(pajak[[#This Row],[//]]="","",IF(INDEX(Table1[edited :],pajak[//]-offset)="","",INDEX(Table1[edited :],pajak[//]-offset)))</f>
        <v/>
      </c>
      <c r="P51" s="87"/>
      <c r="R51" s="85" t="str">
        <f>Table4[[#Headers],[AM]]</f>
        <v>AM</v>
      </c>
      <c r="S51" s="85">
        <f t="shared" si="3"/>
        <v>23080047</v>
      </c>
      <c r="T51" s="184" t="b">
        <f ca="1">IF(Table4[[#This Row],[AM]]&amp;" "&amp;Table4[[#This Row],[---]]=INDIRECT("pajak[@["&amp;Table4[#Headers]&amp;"]]"),MATCH(Table4[[#This Row],[---]],INDIRECT($3:$3),0))</f>
        <v>0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  <c r="X51" s="184" t="e">
        <f ca="1">IF((INDEX(INDIRECT($3:$3),Table4[[#This Row],[No. Invoice :]]+$2:$2))=INDIRECT("pajak[@["&amp;Table4[#Headers]&amp;"]]"),1)</f>
        <v>#REF!</v>
      </c>
    </row>
    <row r="52" spans="4:24" x14ac:dyDescent="0.25">
      <c r="D52" s="85" t="str">
        <f t="shared" ca="1" si="2"/>
        <v/>
      </c>
      <c r="E52" s="85" t="str">
        <f ca="1">IF(pajak[[#This Row],[//]]="","",INDEX(Table1[No. Invoice :],pajak[//]-offset))</f>
        <v/>
      </c>
      <c r="F52" s="88" t="str">
        <f ca="1">IF(pajak[[#This Row],[//]]="","",INDEX(Table1[Tgl Invoice :],pajak[//]-offset))</f>
        <v/>
      </c>
      <c r="G52" s="85" t="str">
        <f ca="1">IF(pajak[[#This Row],[//]]="","",INDEX(Table1[Kode Sales :],pajak[//]-offset))</f>
        <v/>
      </c>
      <c r="H52" s="85" t="str">
        <f ca="1">IF(pajak[[#This Row],[//]]="","",INDEX(Table1[Toko],pajak[//]-offset))</f>
        <v/>
      </c>
      <c r="I52" s="87" t="str">
        <f ca="1">IF(pajak[[#This Row],[//]]="","",SUMIF(Table1[h_id],pajak[[#This Row],[//]],Table1[h_hargasebelumdiskon]))</f>
        <v/>
      </c>
      <c r="J52" s="87" t="str">
        <f ca="1">IF(pajak[[#This Row],[//]]="","",SUMIF(Table1[h_id],pajak[[#This Row],[//]],Table1[h_diskon]))</f>
        <v/>
      </c>
      <c r="K52" s="87" t="str">
        <f ca="1">IF(pajak[[#This Row],[//]]="","",SUMIF(Table1[h_id],pajak[[#This Row],[//]],Table1[h_hargasetelahdiskon]))</f>
        <v/>
      </c>
      <c r="L52" s="87" t="str">
        <f ca="1">IF(pajak[//]="","",pajak[[#This Row],[Sub Total]]/1.11*11%)</f>
        <v/>
      </c>
      <c r="M52" s="87" t="str">
        <f ca="1">pajak[[#This Row],[Sub Total]]</f>
        <v/>
      </c>
      <c r="N52" s="85" t="str">
        <f ca="1">IF(pajak[[#This Row],[//]]="","",INDEX(Table1[pembuat nota :],pajak[//]-offset))</f>
        <v/>
      </c>
      <c r="O52" s="85" t="str">
        <f ca="1">IF(pajak[[#This Row],[//]]="","",IF(INDEX(Table1[edited :],pajak[//]-offset)="","",INDEX(Table1[edited :],pajak[//]-offset)))</f>
        <v/>
      </c>
      <c r="P52" s="87"/>
      <c r="R52" s="85" t="str">
        <f>Table4[[#Headers],[AM]]</f>
        <v>AM</v>
      </c>
      <c r="S52" s="85">
        <f t="shared" si="3"/>
        <v>23080048</v>
      </c>
      <c r="T52" s="184" t="b">
        <f ca="1">IF(Table4[[#This Row],[AM]]&amp;" "&amp;Table4[[#This Row],[---]]=INDIRECT("pajak[@["&amp;Table4[#Headers]&amp;"]]"),MATCH(Table4[[#This Row],[---]],INDIRECT($3:$3),0))</f>
        <v>0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  <c r="X52" s="184" t="e">
        <f ca="1">IF((INDEX(INDIRECT($3:$3),Table4[[#This Row],[No. Invoice :]]+$2:$2))=INDIRECT("pajak[@["&amp;Table4[#Headers]&amp;"]]"),1)</f>
        <v>#REF!</v>
      </c>
    </row>
    <row r="53" spans="4:24" x14ac:dyDescent="0.25">
      <c r="D53" s="85" t="str">
        <f t="shared" ca="1" si="2"/>
        <v/>
      </c>
      <c r="E53" s="85" t="str">
        <f ca="1">IF(pajak[[#This Row],[//]]="","",INDEX(Table1[No. Invoice :],pajak[//]-offset))</f>
        <v/>
      </c>
      <c r="F53" s="88" t="str">
        <f ca="1">IF(pajak[[#This Row],[//]]="","",INDEX(Table1[Tgl Invoice :],pajak[//]-offset))</f>
        <v/>
      </c>
      <c r="G53" s="85" t="str">
        <f ca="1">IF(pajak[[#This Row],[//]]="","",INDEX(Table1[Kode Sales :],pajak[//]-offset))</f>
        <v/>
      </c>
      <c r="H53" s="85" t="str">
        <f ca="1">IF(pajak[[#This Row],[//]]="","",INDEX(Table1[Toko],pajak[//]-offset))</f>
        <v/>
      </c>
      <c r="I53" s="87" t="str">
        <f ca="1">IF(pajak[[#This Row],[//]]="","",SUMIF(Table1[h_id],pajak[[#This Row],[//]],Table1[h_hargasebelumdiskon]))</f>
        <v/>
      </c>
      <c r="J53" s="87" t="str">
        <f ca="1">IF(pajak[[#This Row],[//]]="","",SUMIF(Table1[h_id],pajak[[#This Row],[//]],Table1[h_diskon]))</f>
        <v/>
      </c>
      <c r="K53" s="87" t="str">
        <f ca="1">IF(pajak[[#This Row],[//]]="","",SUMIF(Table1[h_id],pajak[[#This Row],[//]],Table1[h_hargasetelahdiskon]))</f>
        <v/>
      </c>
      <c r="L53" s="87" t="str">
        <f ca="1">IF(pajak[//]="","",pajak[[#This Row],[Sub Total]]/1.11*11%)</f>
        <v/>
      </c>
      <c r="M53" s="87" t="str">
        <f ca="1">pajak[[#This Row],[Sub Total]]</f>
        <v/>
      </c>
      <c r="N53" s="85" t="str">
        <f ca="1">IF(pajak[[#This Row],[//]]="","",INDEX(Table1[pembuat nota :],pajak[//]-offset))</f>
        <v/>
      </c>
      <c r="O53" s="85" t="str">
        <f ca="1">IF(pajak[[#This Row],[//]]="","",IF(INDEX(Table1[edited :],pajak[//]-offset)="","",INDEX(Table1[edited :],pajak[//]-offset)))</f>
        <v/>
      </c>
      <c r="P53" s="87"/>
      <c r="R53" s="85" t="str">
        <f>Table4[[#Headers],[AM]]</f>
        <v>AM</v>
      </c>
      <c r="S53" s="85">
        <f t="shared" si="3"/>
        <v>23080049</v>
      </c>
      <c r="T53" s="184" t="b">
        <f ca="1">IF(Table4[[#This Row],[AM]]&amp;" "&amp;Table4[[#This Row],[---]]=INDIRECT("pajak[@["&amp;Table4[#Headers]&amp;"]]"),MATCH(Table4[[#This Row],[---]],INDIRECT($3:$3),0))</f>
        <v>0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  <c r="X53" s="184" t="e">
        <f ca="1">IF((INDEX(INDIRECT($3:$3),Table4[[#This Row],[No. Invoice :]]+$2:$2))=INDIRECT("pajak[@["&amp;Table4[#Headers]&amp;"]]"),1)</f>
        <v>#REF!</v>
      </c>
    </row>
    <row r="54" spans="4:24" x14ac:dyDescent="0.25">
      <c r="D54" s="85" t="str">
        <f t="shared" ca="1" si="2"/>
        <v/>
      </c>
      <c r="E54" s="85" t="str">
        <f ca="1">IF(pajak[[#This Row],[//]]="","",INDEX(Table1[No. Invoice :],pajak[//]-offset))</f>
        <v/>
      </c>
      <c r="F54" s="88" t="str">
        <f ca="1">IF(pajak[[#This Row],[//]]="","",INDEX(Table1[Tgl Invoice :],pajak[//]-offset))</f>
        <v/>
      </c>
      <c r="G54" s="85" t="str">
        <f ca="1">IF(pajak[[#This Row],[//]]="","",INDEX(Table1[Kode Sales :],pajak[//]-offset))</f>
        <v/>
      </c>
      <c r="H54" s="85" t="str">
        <f ca="1">IF(pajak[[#This Row],[//]]="","",INDEX(Table1[Toko],pajak[//]-offset))</f>
        <v/>
      </c>
      <c r="I54" s="87" t="str">
        <f ca="1">IF(pajak[[#This Row],[//]]="","",SUMIF(Table1[h_id],pajak[[#This Row],[//]],Table1[h_hargasebelumdiskon]))</f>
        <v/>
      </c>
      <c r="J54" s="87" t="str">
        <f ca="1">IF(pajak[[#This Row],[//]]="","",SUMIF(Table1[h_id],pajak[[#This Row],[//]],Table1[h_diskon]))</f>
        <v/>
      </c>
      <c r="K54" s="87" t="str">
        <f ca="1">IF(pajak[[#This Row],[//]]="","",SUMIF(Table1[h_id],pajak[[#This Row],[//]],Table1[h_hargasetelahdiskon]))</f>
        <v/>
      </c>
      <c r="L54" s="87" t="str">
        <f ca="1">IF(pajak[//]="","",pajak[[#This Row],[Sub Total]]/1.11*11%)</f>
        <v/>
      </c>
      <c r="M54" s="87" t="str">
        <f ca="1">pajak[[#This Row],[Sub Total]]</f>
        <v/>
      </c>
      <c r="N54" s="85" t="str">
        <f ca="1">IF(pajak[[#This Row],[//]]="","",INDEX(Table1[pembuat nota :],pajak[//]-offset))</f>
        <v/>
      </c>
      <c r="O54" s="85" t="str">
        <f ca="1">IF(pajak[[#This Row],[//]]="","",IF(INDEX(Table1[edited :],pajak[//]-offset)="","",INDEX(Table1[edited :],pajak[//]-offset)))</f>
        <v/>
      </c>
      <c r="P54" s="87"/>
      <c r="R54" s="85" t="str">
        <f>Table4[[#Headers],[AM]]</f>
        <v>AM</v>
      </c>
      <c r="S54" s="85">
        <f t="shared" si="3"/>
        <v>23080050</v>
      </c>
      <c r="T54" s="184" t="b">
        <f ca="1">IF(Table4[[#This Row],[AM]]&amp;" "&amp;Table4[[#This Row],[---]]=INDIRECT("pajak[@["&amp;Table4[#Headers]&amp;"]]"),MATCH(Table4[[#This Row],[---]],INDIRECT($3:$3),0))</f>
        <v>0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  <c r="X54" s="184" t="e">
        <f ca="1">IF((INDEX(INDIRECT($3:$3),Table4[[#This Row],[No. Invoice :]]+$2:$2))=INDIRECT("pajak[@["&amp;Table4[#Headers]&amp;"]]"),1)</f>
        <v>#REF!</v>
      </c>
    </row>
    <row r="55" spans="4:24" x14ac:dyDescent="0.25">
      <c r="D55" s="85" t="str">
        <f t="shared" ca="1" si="2"/>
        <v/>
      </c>
      <c r="E55" s="85" t="str">
        <f ca="1">IF(pajak[[#This Row],[//]]="","",INDEX(Table1[No. Invoice :],pajak[//]-offset))</f>
        <v/>
      </c>
      <c r="F55" s="88" t="str">
        <f ca="1">IF(pajak[[#This Row],[//]]="","",INDEX(Table1[Tgl Invoice :],pajak[//]-offset))</f>
        <v/>
      </c>
      <c r="G55" s="85" t="str">
        <f ca="1">IF(pajak[[#This Row],[//]]="","",INDEX(Table1[Kode Sales :],pajak[//]-offset))</f>
        <v/>
      </c>
      <c r="H55" s="85" t="str">
        <f ca="1">IF(pajak[[#This Row],[//]]="","",INDEX(Table1[Toko],pajak[//]-offset))</f>
        <v/>
      </c>
      <c r="I55" s="87" t="str">
        <f ca="1">IF(pajak[[#This Row],[//]]="","",SUMIF(Table1[h_id],pajak[[#This Row],[//]],Table1[h_hargasebelumdiskon]))</f>
        <v/>
      </c>
      <c r="J55" s="87" t="str">
        <f ca="1">IF(pajak[[#This Row],[//]]="","",SUMIF(Table1[h_id],pajak[[#This Row],[//]],Table1[h_diskon]))</f>
        <v/>
      </c>
      <c r="K55" s="87" t="str">
        <f ca="1">IF(pajak[[#This Row],[//]]="","",SUMIF(Table1[h_id],pajak[[#This Row],[//]],Table1[h_hargasetelahdiskon]))</f>
        <v/>
      </c>
      <c r="L55" s="87" t="str">
        <f ca="1">IF(pajak[//]="","",pajak[[#This Row],[Sub Total]]/1.11*11%)</f>
        <v/>
      </c>
      <c r="M55" s="87" t="str">
        <f ca="1">pajak[[#This Row],[Sub Total]]</f>
        <v/>
      </c>
      <c r="N55" s="85" t="str">
        <f ca="1">IF(pajak[[#This Row],[//]]="","",INDEX(Table1[pembuat nota :],pajak[//]-offset))</f>
        <v/>
      </c>
      <c r="O55" s="85" t="str">
        <f ca="1">IF(pajak[[#This Row],[//]]="","",IF(INDEX(Table1[edited :],pajak[//]-offset)="","",INDEX(Table1[edited :],pajak[//]-offset)))</f>
        <v/>
      </c>
      <c r="P55" s="87"/>
      <c r="R55" s="85" t="str">
        <f>Table4[[#Headers],[AM]]</f>
        <v>AM</v>
      </c>
      <c r="S55" s="85">
        <f t="shared" si="3"/>
        <v>23080051</v>
      </c>
      <c r="T55" s="184" t="b">
        <f ca="1">IF(Table4[[#This Row],[AM]]&amp;" "&amp;Table4[[#This Row],[---]]=INDIRECT("pajak[@["&amp;Table4[#Headers]&amp;"]]"),MATCH(Table4[[#This Row],[---]],INDIRECT($3:$3),0))</f>
        <v>0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  <c r="X55" s="184" t="e">
        <f ca="1">IF((INDEX(INDIRECT($3:$3),Table4[[#This Row],[No. Invoice :]]+$2:$2))=INDIRECT("pajak[@["&amp;Table4[#Headers]&amp;"]]"),1)</f>
        <v>#REF!</v>
      </c>
    </row>
    <row r="56" spans="4:24" x14ac:dyDescent="0.25">
      <c r="D56" s="85" t="str">
        <f t="shared" ca="1" si="2"/>
        <v/>
      </c>
      <c r="E56" s="85" t="str">
        <f ca="1">IF(pajak[[#This Row],[//]]="","",INDEX(Table1[No. Invoice :],pajak[//]-offset))</f>
        <v/>
      </c>
      <c r="F56" s="88" t="str">
        <f ca="1">IF(pajak[[#This Row],[//]]="","",INDEX(Table1[Tgl Invoice :],pajak[//]-offset))</f>
        <v/>
      </c>
      <c r="G56" s="85" t="str">
        <f ca="1">IF(pajak[[#This Row],[//]]="","",INDEX(Table1[Kode Sales :],pajak[//]-offset))</f>
        <v/>
      </c>
      <c r="H56" s="85" t="str">
        <f ca="1">IF(pajak[[#This Row],[//]]="","",INDEX(Table1[Toko],pajak[//]-offset))</f>
        <v/>
      </c>
      <c r="I56" s="87" t="str">
        <f ca="1">IF(pajak[[#This Row],[//]]="","",SUMIF(Table1[h_id],pajak[[#This Row],[//]],Table1[h_hargasebelumdiskon]))</f>
        <v/>
      </c>
      <c r="J56" s="87" t="str">
        <f ca="1">IF(pajak[[#This Row],[//]]="","",SUMIF(Table1[h_id],pajak[[#This Row],[//]],Table1[h_diskon]))</f>
        <v/>
      </c>
      <c r="K56" s="87" t="str">
        <f ca="1">IF(pajak[[#This Row],[//]]="","",SUMIF(Table1[h_id],pajak[[#This Row],[//]],Table1[h_hargasetelahdiskon]))</f>
        <v/>
      </c>
      <c r="L56" s="87" t="str">
        <f ca="1">IF(pajak[//]="","",pajak[[#This Row],[Sub Total]]/1.11*11%)</f>
        <v/>
      </c>
      <c r="M56" s="87" t="str">
        <f ca="1">pajak[[#This Row],[Sub Total]]</f>
        <v/>
      </c>
      <c r="N56" s="85" t="str">
        <f ca="1">IF(pajak[[#This Row],[//]]="","",INDEX(Table1[pembuat nota :],pajak[//]-offset))</f>
        <v/>
      </c>
      <c r="O56" s="85" t="str">
        <f ca="1">IF(pajak[[#This Row],[//]]="","",IF(INDEX(Table1[edited :],pajak[//]-offset)="","",INDEX(Table1[edited :],pajak[//]-offset)))</f>
        <v/>
      </c>
      <c r="P56" s="87"/>
      <c r="R56" s="85" t="str">
        <f>Table4[[#Headers],[AM]]</f>
        <v>AM</v>
      </c>
      <c r="S56" s="85">
        <f t="shared" si="3"/>
        <v>23080052</v>
      </c>
      <c r="T56" s="184" t="b">
        <f ca="1">IF(Table4[[#This Row],[AM]]&amp;" "&amp;Table4[[#This Row],[---]]=INDIRECT("pajak[@["&amp;Table4[#Headers]&amp;"]]"),MATCH(Table4[[#This Row],[---]],INDIRECT($3:$3),0))</f>
        <v>0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  <c r="X56" s="184" t="e">
        <f ca="1">IF((INDEX(INDIRECT($3:$3),Table4[[#This Row],[No. Invoice :]]+$2:$2))=INDIRECT("pajak[@["&amp;Table4[#Headers]&amp;"]]"),1)</f>
        <v>#REF!</v>
      </c>
    </row>
    <row r="57" spans="4:24" x14ac:dyDescent="0.25">
      <c r="D57" s="85" t="str">
        <f t="shared" ca="1" si="2"/>
        <v/>
      </c>
      <c r="E57" s="85" t="str">
        <f ca="1">IF(pajak[[#This Row],[//]]="","",INDEX(Table1[No. Invoice :],pajak[//]-offset))</f>
        <v/>
      </c>
      <c r="F57" s="88" t="str">
        <f ca="1">IF(pajak[[#This Row],[//]]="","",INDEX(Table1[Tgl Invoice :],pajak[//]-offset))</f>
        <v/>
      </c>
      <c r="G57" s="85" t="str">
        <f ca="1">IF(pajak[[#This Row],[//]]="","",INDEX(Table1[Kode Sales :],pajak[//]-offset))</f>
        <v/>
      </c>
      <c r="H57" s="85" t="str">
        <f ca="1">IF(pajak[[#This Row],[//]]="","",INDEX(Table1[Toko],pajak[//]-offset))</f>
        <v/>
      </c>
      <c r="I57" s="87" t="str">
        <f ca="1">IF(pajak[[#This Row],[//]]="","",SUMIF(Table1[h_id],pajak[[#This Row],[//]],Table1[h_hargasebelumdiskon]))</f>
        <v/>
      </c>
      <c r="J57" s="87" t="str">
        <f ca="1">IF(pajak[[#This Row],[//]]="","",SUMIF(Table1[h_id],pajak[[#This Row],[//]],Table1[h_diskon]))</f>
        <v/>
      </c>
      <c r="K57" s="87" t="str">
        <f ca="1">IF(pajak[[#This Row],[//]]="","",SUMIF(Table1[h_id],pajak[[#This Row],[//]],Table1[h_hargasetelahdiskon]))</f>
        <v/>
      </c>
      <c r="L57" s="87" t="str">
        <f ca="1">IF(pajak[//]="","",pajak[[#This Row],[Sub Total]]/1.11*11%)</f>
        <v/>
      </c>
      <c r="M57" s="87" t="str">
        <f ca="1">pajak[[#This Row],[Sub Total]]</f>
        <v/>
      </c>
      <c r="N57" s="85" t="str">
        <f ca="1">IF(pajak[[#This Row],[//]]="","",INDEX(Table1[pembuat nota :],pajak[//]-offset))</f>
        <v/>
      </c>
      <c r="O57" s="85" t="str">
        <f ca="1">IF(pajak[[#This Row],[//]]="","",IF(INDEX(Table1[edited :],pajak[//]-offset)="","",INDEX(Table1[edited :],pajak[//]-offset)))</f>
        <v/>
      </c>
      <c r="P57" s="87"/>
      <c r="R57" s="85" t="str">
        <f>Table4[[#Headers],[AM]]</f>
        <v>AM</v>
      </c>
      <c r="S57" s="85">
        <f t="shared" si="3"/>
        <v>23080053</v>
      </c>
      <c r="T57" s="184" t="b">
        <f ca="1">IF(Table4[[#This Row],[AM]]&amp;" "&amp;Table4[[#This Row],[---]]=INDIRECT("pajak[@["&amp;Table4[#Headers]&amp;"]]"),MATCH(Table4[[#This Row],[---]],INDIRECT($3:$3),0))</f>
        <v>0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  <c r="X57" s="184" t="e">
        <f ca="1">IF((INDEX(INDIRECT($3:$3),Table4[[#This Row],[No. Invoice :]]+$2:$2))=INDIRECT("pajak[@["&amp;Table4[#Headers]&amp;"]]"),1)</f>
        <v>#REF!</v>
      </c>
    </row>
    <row r="58" spans="4:24" x14ac:dyDescent="0.25">
      <c r="D58" t="s">
        <v>51</v>
      </c>
      <c r="F58"/>
      <c r="I58" s="87">
        <f ca="1">SUBTOTAL(109,pajak[Total])</f>
        <v>261845000</v>
      </c>
      <c r="J58" s="87">
        <f ca="1">SUBTOTAL(109,pajak[Diskon])</f>
        <v>26904997.5</v>
      </c>
      <c r="K58" s="87">
        <f ca="1">SUBTOTAL(109,pajak[Sub Total])</f>
        <v>234940002.5</v>
      </c>
      <c r="L58" s="87">
        <f ca="1">SUBTOTAL(109,pajak[PPN 11%])</f>
        <v>23282342.590090085</v>
      </c>
      <c r="M58" s="87">
        <f ca="1">SUBTOTAL(109,pajak[Total Invoice])</f>
        <v>234940002.5</v>
      </c>
      <c r="N58"/>
      <c r="O58"/>
      <c r="P58"/>
    </row>
  </sheetData>
  <conditionalFormatting sqref="G59:G1048576 G3:G57">
    <cfRule type="duplicateValues" dxfId="40" priority="9"/>
  </conditionalFormatting>
  <conditionalFormatting sqref="T1:X2 T4:X1048576">
    <cfRule type="containsText" dxfId="39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 ca="1">IF(K1="",MAX(Table1[//]),INDEX(Table1[//],MATCH(K1,Table1[//],0)))</f>
        <v>153</v>
      </c>
      <c r="B1" t="s">
        <v>43</v>
      </c>
      <c r="C1">
        <f>COUNTA(NOTA!B1:B2)</f>
        <v>2</v>
      </c>
      <c r="D1" t="s">
        <v>44</v>
      </c>
      <c r="E1" t="str">
        <f ca="1">INDEX(Table1[h_toko],newestIdRow-offset)</f>
        <v>ARMADA</v>
      </c>
      <c r="F1" t="s">
        <v>46</v>
      </c>
      <c r="G1">
        <f ca="1">INDEX(Table1[h_jumlahbarang],newestIdRow-offset)</f>
        <v>1</v>
      </c>
      <c r="I1" s="305" t="s">
        <v>74</v>
      </c>
      <c r="J1" s="305"/>
    </row>
    <row r="2" spans="1:12" s="3" customFormat="1" ht="7.5" customHeight="1" collapsed="1" x14ac:dyDescent="0.25">
      <c r="A2" s="2"/>
      <c r="D2" s="4"/>
      <c r="I2" s="5"/>
      <c r="J2" s="5" t="s">
        <v>100</v>
      </c>
      <c r="K2" t="s">
        <v>103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 ca="1">INDEX(Table1[h_No. Invoice :],newestIdRow-offset)</f>
        <v>23080039</v>
      </c>
      <c r="G3" s="10" t="s">
        <v>16</v>
      </c>
      <c r="H3" s="312" t="str">
        <f ca="1">INDEX(Table2[b],MATCH(kToko,Table2[a],0))</f>
        <v>SANTOSO BUDIONO</v>
      </c>
      <c r="I3" s="312"/>
      <c r="J3" s="312"/>
      <c r="K3" s="313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16" t="s">
        <v>18</v>
      </c>
      <c r="G4" s="16"/>
      <c r="H4" s="314"/>
      <c r="I4" s="314"/>
      <c r="J4" s="314"/>
      <c r="K4" s="315"/>
      <c r="L4" s="11"/>
    </row>
    <row r="5" spans="1:12" s="9" customFormat="1" ht="16.5" customHeight="1" x14ac:dyDescent="0.3">
      <c r="A5" s="6"/>
      <c r="B5" s="1" t="s">
        <v>2</v>
      </c>
      <c r="C5" s="7"/>
      <c r="D5" s="317">
        <f ca="1">INDEX(Table1[Tgl Invoice :],newestIdRow-offset)</f>
        <v>45169</v>
      </c>
      <c r="E5" s="318"/>
      <c r="F5" s="316"/>
      <c r="G5" s="17"/>
      <c r="H5" s="319" t="str">
        <f ca="1">IF(INDEX(Table2[c],MATCH(kToko,Table2[a],0))="","",INDEX(Table2[c],MATCH(kToko,Table2[a],0)))</f>
        <v>(  ARMADA  )</v>
      </c>
      <c r="I5" s="319"/>
      <c r="J5" s="319"/>
      <c r="K5" s="320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16"/>
      <c r="G6" s="17"/>
      <c r="H6" s="321" t="str">
        <f ca="1">INDEX(Table2[d],MATCH(kToko,Table2[a],0))</f>
        <v>PURWOKERTO</v>
      </c>
      <c r="I6" s="321"/>
      <c r="J6" s="321"/>
      <c r="K6" s="322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1990</v>
      </c>
      <c r="E7" s="8"/>
      <c r="F7" s="20"/>
      <c r="G7" s="21"/>
      <c r="H7" s="323"/>
      <c r="I7" s="323"/>
      <c r="J7" s="323"/>
      <c r="K7" s="324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56</v>
      </c>
      <c r="C11" s="45" t="str">
        <f ca="1">IF(A11&gt;jumlahBarang,"",UPPER((INDEX(Table1[Unit],newestIdRow-offset+A11-1))))</f>
        <v>LSN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ISI CUTTER 18 MM KENKO L-150 (BESAR)</v>
      </c>
      <c r="F11" s="48"/>
      <c r="G11" s="49"/>
      <c r="H11" s="50">
        <f ca="1">IF(A11&gt;jumlahBarang,"",INDEX(Table1[Unit Price],newestIdRow-offset+A11-1))</f>
        <v>64800</v>
      </c>
      <c r="I11" s="51">
        <f ca="1">IF(A11&gt;jumlahBarang,"",IF(INDEX(Table1[Disc 1],newestIdRow-offset+A11-1)="","",INDEX(Table1[Disc 1],newestIdRow-offset+A11-1)))</f>
        <v>0.13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3157056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11"/>
      <c r="K28" s="311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08">
        <f ca="1">INDEX(pajak[Sub Total],MATCH(newestIdRow,pajak[//],0))</f>
        <v>3157056</v>
      </c>
      <c r="K29" s="309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10"/>
      <c r="K30" s="310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11"/>
      <c r="K32" s="311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08">
        <f ca="1">INDEX(pajak[PPN 11%],MATCH(newestIdRow,pajak[//],0))</f>
        <v>312861.40540540538</v>
      </c>
      <c r="K33" s="309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11"/>
      <c r="K34" s="311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3157056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06" t="str">
        <f ca="1">INDEX(pajak[pembuat nota],MATCH(newestIdRow,pajak[//],0))</f>
        <v>NOVI / CONDRO</v>
      </c>
      <c r="K37" s="307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06" t="str">
        <f ca="1">INDEX(pajak[edited],MATCH(newestIdRow,pajak[//],0))</f>
        <v/>
      </c>
      <c r="K38" s="307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 ca="1">E3</f>
        <v>23080039</v>
      </c>
      <c r="F41" s="195"/>
      <c r="G41" s="196" t="s">
        <v>16</v>
      </c>
      <c r="H41" s="325" t="str">
        <f ca="1">H3</f>
        <v>SANTOSO BUDIONO</v>
      </c>
      <c r="I41" s="325"/>
      <c r="J41" s="325"/>
      <c r="K41" s="326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29" t="s">
        <v>18</v>
      </c>
      <c r="G42" s="202"/>
      <c r="H42" s="327"/>
      <c r="I42" s="327"/>
      <c r="J42" s="327"/>
      <c r="K42" s="328"/>
      <c r="L42" s="197"/>
    </row>
    <row r="43" spans="1:12" s="9" customFormat="1" ht="16.5" customHeight="1" x14ac:dyDescent="0.3">
      <c r="A43" s="190"/>
      <c r="B43" s="191" t="s">
        <v>2</v>
      </c>
      <c r="C43" s="192"/>
      <c r="D43" s="330">
        <f ca="1">D5</f>
        <v>45169</v>
      </c>
      <c r="E43" s="331"/>
      <c r="F43" s="329"/>
      <c r="G43" s="203"/>
      <c r="H43" s="332" t="str">
        <f ca="1">H5</f>
        <v>(  ARMADA  )</v>
      </c>
      <c r="I43" s="332"/>
      <c r="J43" s="332"/>
      <c r="K43" s="333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29"/>
      <c r="G44" s="203"/>
      <c r="H44" s="334" t="str">
        <f ca="1">H6</f>
        <v>PURWOKERTO</v>
      </c>
      <c r="I44" s="334"/>
      <c r="J44" s="334"/>
      <c r="K44" s="335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 ca="1">D7</f>
        <v>KO 1990</v>
      </c>
      <c r="E45" s="194"/>
      <c r="F45" s="207"/>
      <c r="G45" s="208"/>
      <c r="H45" s="336"/>
      <c r="I45" s="336"/>
      <c r="J45" s="336"/>
      <c r="K45" s="337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56</v>
      </c>
      <c r="C49" s="234" t="str">
        <f t="shared" ca="1" si="0"/>
        <v>LSN</v>
      </c>
      <c r="D49" s="235" t="str">
        <f t="shared" ca="1" si="0"/>
        <v/>
      </c>
      <c r="E49" s="236" t="str">
        <f t="shared" ca="1" si="0"/>
        <v>ISI CUTTER 18 MM KENKO L-150 (BESAR)</v>
      </c>
      <c r="F49" s="237"/>
      <c r="G49" s="238"/>
      <c r="H49" s="239">
        <f t="shared" ref="H49:K64" ca="1" si="1">H11</f>
        <v>64800</v>
      </c>
      <c r="I49" s="240">
        <f t="shared" ca="1" si="1"/>
        <v>0.13</v>
      </c>
      <c r="J49" s="240" t="str">
        <f t="shared" ca="1" si="1"/>
        <v/>
      </c>
      <c r="K49" s="241">
        <f t="shared" ca="1" si="1"/>
        <v>3157056</v>
      </c>
      <c r="L49" s="223"/>
    </row>
    <row r="50" spans="1:12" s="9" customFormat="1" ht="14.1" customHeight="1" x14ac:dyDescent="0.25">
      <c r="A50" s="232">
        <v>2</v>
      </c>
      <c r="B50" s="233" t="str">
        <f t="shared" ca="1" si="0"/>
        <v/>
      </c>
      <c r="C50" s="234" t="str">
        <f t="shared" ca="1" si="0"/>
        <v/>
      </c>
      <c r="D50" s="235" t="str">
        <f t="shared" ca="1" si="0"/>
        <v/>
      </c>
      <c r="E50" s="236" t="str">
        <f t="shared" ca="1" si="0"/>
        <v/>
      </c>
      <c r="F50" s="237"/>
      <c r="G50" s="238"/>
      <c r="H50" s="239" t="str">
        <f t="shared" ca="1" si="1"/>
        <v/>
      </c>
      <c r="I50" s="240" t="str">
        <f t="shared" ca="1" si="1"/>
        <v/>
      </c>
      <c r="J50" s="240" t="str">
        <f t="shared" ca="1" si="1"/>
        <v/>
      </c>
      <c r="K50" s="241" t="str">
        <f t="shared" ca="1" si="1"/>
        <v/>
      </c>
      <c r="L50" s="223"/>
    </row>
    <row r="51" spans="1:12" s="9" customFormat="1" ht="14.1" customHeight="1" x14ac:dyDescent="0.25">
      <c r="A51" s="232">
        <v>3</v>
      </c>
      <c r="B51" s="233" t="str">
        <f t="shared" ca="1" si="0"/>
        <v/>
      </c>
      <c r="C51" s="234" t="str">
        <f t="shared" ca="1" si="0"/>
        <v/>
      </c>
      <c r="D51" s="235" t="str">
        <f t="shared" ca="1" si="0"/>
        <v/>
      </c>
      <c r="E51" s="236" t="str">
        <f t="shared" ca="1" si="0"/>
        <v/>
      </c>
      <c r="F51" s="237"/>
      <c r="G51" s="238"/>
      <c r="H51" s="239" t="str">
        <f t="shared" ca="1" si="1"/>
        <v/>
      </c>
      <c r="I51" s="240" t="str">
        <f t="shared" ca="1" si="1"/>
        <v/>
      </c>
      <c r="J51" s="240" t="str">
        <f t="shared" ca="1" si="1"/>
        <v/>
      </c>
      <c r="K51" s="241" t="str">
        <f t="shared" ca="1" si="1"/>
        <v/>
      </c>
      <c r="L51" s="223"/>
    </row>
    <row r="52" spans="1:12" s="9" customFormat="1" ht="14.1" customHeight="1" x14ac:dyDescent="0.25">
      <c r="A52" s="232">
        <v>4</v>
      </c>
      <c r="B52" s="233" t="str">
        <f t="shared" ca="1" si="0"/>
        <v/>
      </c>
      <c r="C52" s="234" t="str">
        <f t="shared" ca="1" si="0"/>
        <v/>
      </c>
      <c r="D52" s="235" t="str">
        <f t="shared" ca="1" si="0"/>
        <v/>
      </c>
      <c r="E52" s="236" t="str">
        <f t="shared" ca="1" si="0"/>
        <v/>
      </c>
      <c r="F52" s="237"/>
      <c r="G52" s="238"/>
      <c r="H52" s="239" t="str">
        <f t="shared" ca="1" si="1"/>
        <v/>
      </c>
      <c r="I52" s="240" t="str">
        <f t="shared" ca="1" si="1"/>
        <v/>
      </c>
      <c r="J52" s="240" t="str">
        <f t="shared" ca="1" si="1"/>
        <v/>
      </c>
      <c r="K52" s="241" t="str">
        <f t="shared" ca="1" si="1"/>
        <v/>
      </c>
      <c r="L52" s="223"/>
    </row>
    <row r="53" spans="1:12" s="9" customFormat="1" ht="14.1" customHeight="1" x14ac:dyDescent="0.25">
      <c r="A53" s="232">
        <v>5</v>
      </c>
      <c r="B53" s="233" t="str">
        <f t="shared" ca="1" si="0"/>
        <v/>
      </c>
      <c r="C53" s="234" t="str">
        <f t="shared" ca="1" si="0"/>
        <v/>
      </c>
      <c r="D53" s="235" t="str">
        <f t="shared" ca="1" si="0"/>
        <v/>
      </c>
      <c r="E53" s="236" t="str">
        <f t="shared" ca="1" si="0"/>
        <v/>
      </c>
      <c r="F53" s="237"/>
      <c r="G53" s="238"/>
      <c r="H53" s="239" t="str">
        <f t="shared" ca="1" si="1"/>
        <v/>
      </c>
      <c r="I53" s="240" t="str">
        <f t="shared" ca="1" si="1"/>
        <v/>
      </c>
      <c r="J53" s="240" t="str">
        <f t="shared" ca="1" si="1"/>
        <v/>
      </c>
      <c r="K53" s="241" t="str">
        <f t="shared" ca="1" si="1"/>
        <v/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38"/>
      <c r="K66" s="338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39">
        <f ca="1">J29</f>
        <v>3157056</v>
      </c>
      <c r="K67" s="340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41"/>
      <c r="K68" s="341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38"/>
      <c r="K70" s="338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39">
        <f ca="1">J33</f>
        <v>312861.40540540538</v>
      </c>
      <c r="K71" s="340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38"/>
      <c r="K72" s="338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3157056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42" t="str">
        <f ca="1">J37</f>
        <v>NOVI / CONDRO</v>
      </c>
      <c r="K75" s="343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42" t="str">
        <f ca="1">J38</f>
        <v/>
      </c>
      <c r="K76" s="343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 ca="1">E41</f>
        <v>23080039</v>
      </c>
      <c r="F79" s="100"/>
      <c r="G79" s="101" t="s">
        <v>16</v>
      </c>
      <c r="H79" s="344" t="str">
        <f ca="1">H41</f>
        <v>SANTOSO BUDIONO</v>
      </c>
      <c r="I79" s="344"/>
      <c r="J79" s="344"/>
      <c r="K79" s="345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48" t="s">
        <v>18</v>
      </c>
      <c r="G80" s="107"/>
      <c r="H80" s="346"/>
      <c r="I80" s="346"/>
      <c r="J80" s="346"/>
      <c r="K80" s="347"/>
      <c r="L80" s="102"/>
    </row>
    <row r="81" spans="1:12" s="9" customFormat="1" ht="16.5" customHeight="1" x14ac:dyDescent="0.3">
      <c r="A81" s="95"/>
      <c r="B81" s="96" t="s">
        <v>2</v>
      </c>
      <c r="C81" s="97"/>
      <c r="D81" s="349">
        <f ca="1">D43</f>
        <v>45169</v>
      </c>
      <c r="E81" s="350"/>
      <c r="F81" s="348"/>
      <c r="G81" s="108"/>
      <c r="H81" s="351" t="str">
        <f ca="1">H43</f>
        <v>(  ARMADA  )</v>
      </c>
      <c r="I81" s="351"/>
      <c r="J81" s="351"/>
      <c r="K81" s="352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48"/>
      <c r="G82" s="108"/>
      <c r="H82" s="353" t="str">
        <f ca="1">H44</f>
        <v>PURWOKERTO</v>
      </c>
      <c r="I82" s="353"/>
      <c r="J82" s="353"/>
      <c r="K82" s="354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 ca="1">D45</f>
        <v>KO 1990</v>
      </c>
      <c r="E83" s="99"/>
      <c r="F83" s="112"/>
      <c r="G83" s="113"/>
      <c r="H83" s="355"/>
      <c r="I83" s="355"/>
      <c r="J83" s="355"/>
      <c r="K83" s="356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56</v>
      </c>
      <c r="C87" s="139" t="str">
        <f t="shared" ca="1" si="2"/>
        <v>LSN</v>
      </c>
      <c r="D87" s="140" t="str">
        <f t="shared" ca="1" si="2"/>
        <v/>
      </c>
      <c r="E87" s="141" t="str">
        <f t="shared" ca="1" si="2"/>
        <v>ISI CUTTER 18 MM KENKO L-150 (BESAR)</v>
      </c>
      <c r="F87" s="142"/>
      <c r="G87" s="143"/>
      <c r="H87" s="144">
        <f t="shared" ref="H87:K102" ca="1" si="3">H49</f>
        <v>64800</v>
      </c>
      <c r="I87" s="145">
        <f t="shared" ca="1" si="3"/>
        <v>0.13</v>
      </c>
      <c r="J87" s="145" t="str">
        <f t="shared" ca="1" si="3"/>
        <v/>
      </c>
      <c r="K87" s="146">
        <f t="shared" ca="1" si="3"/>
        <v>3157056</v>
      </c>
      <c r="L87" s="128"/>
    </row>
    <row r="88" spans="1:12" s="9" customFormat="1" ht="14.1" customHeight="1" x14ac:dyDescent="0.25">
      <c r="A88" s="137">
        <v>2</v>
      </c>
      <c r="B88" s="138" t="str">
        <f t="shared" ca="1" si="2"/>
        <v/>
      </c>
      <c r="C88" s="139" t="str">
        <f t="shared" ca="1" si="2"/>
        <v/>
      </c>
      <c r="D88" s="140" t="str">
        <f t="shared" ca="1" si="2"/>
        <v/>
      </c>
      <c r="E88" s="141" t="str">
        <f t="shared" ca="1" si="2"/>
        <v/>
      </c>
      <c r="F88" s="142"/>
      <c r="G88" s="143"/>
      <c r="H88" s="144" t="str">
        <f t="shared" ca="1" si="3"/>
        <v/>
      </c>
      <c r="I88" s="145" t="str">
        <f t="shared" ca="1" si="3"/>
        <v/>
      </c>
      <c r="J88" s="145" t="str">
        <f t="shared" ca="1" si="3"/>
        <v/>
      </c>
      <c r="K88" s="146" t="str">
        <f t="shared" ca="1" si="3"/>
        <v/>
      </c>
      <c r="L88" s="128"/>
    </row>
    <row r="89" spans="1:12" s="9" customFormat="1" ht="14.1" customHeight="1" x14ac:dyDescent="0.25">
      <c r="A89" s="137">
        <v>3</v>
      </c>
      <c r="B89" s="138" t="str">
        <f t="shared" ca="1" si="2"/>
        <v/>
      </c>
      <c r="C89" s="139" t="str">
        <f t="shared" ca="1" si="2"/>
        <v/>
      </c>
      <c r="D89" s="140" t="str">
        <f t="shared" ca="1" si="2"/>
        <v/>
      </c>
      <c r="E89" s="141" t="str">
        <f t="shared" ca="1" si="2"/>
        <v/>
      </c>
      <c r="F89" s="142"/>
      <c r="G89" s="143"/>
      <c r="H89" s="144" t="str">
        <f t="shared" ca="1" si="3"/>
        <v/>
      </c>
      <c r="I89" s="145" t="str">
        <f t="shared" ca="1" si="3"/>
        <v/>
      </c>
      <c r="J89" s="145" t="str">
        <f t="shared" ca="1" si="3"/>
        <v/>
      </c>
      <c r="K89" s="146" t="str">
        <f t="shared" ca="1" si="3"/>
        <v/>
      </c>
      <c r="L89" s="128"/>
    </row>
    <row r="90" spans="1:12" s="9" customFormat="1" ht="14.1" customHeight="1" x14ac:dyDescent="0.25">
      <c r="A90" s="137">
        <v>4</v>
      </c>
      <c r="B90" s="138" t="str">
        <f t="shared" ca="1" si="2"/>
        <v/>
      </c>
      <c r="C90" s="139" t="str">
        <f t="shared" ca="1" si="2"/>
        <v/>
      </c>
      <c r="D90" s="140" t="str">
        <f t="shared" ca="1" si="2"/>
        <v/>
      </c>
      <c r="E90" s="141" t="str">
        <f t="shared" ca="1" si="2"/>
        <v/>
      </c>
      <c r="F90" s="142"/>
      <c r="G90" s="143"/>
      <c r="H90" s="144" t="str">
        <f t="shared" ca="1" si="3"/>
        <v/>
      </c>
      <c r="I90" s="145" t="str">
        <f t="shared" ca="1" si="3"/>
        <v/>
      </c>
      <c r="J90" s="145" t="str">
        <f t="shared" ca="1" si="3"/>
        <v/>
      </c>
      <c r="K90" s="146" t="str">
        <f t="shared" ca="1" si="3"/>
        <v/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57"/>
      <c r="K104" s="357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58">
        <f ca="1">J67</f>
        <v>3157056</v>
      </c>
      <c r="K105" s="359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62"/>
      <c r="K106" s="362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57"/>
      <c r="K108" s="357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58">
        <f ca="1">J71</f>
        <v>312861.40540540538</v>
      </c>
      <c r="K109" s="359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57"/>
      <c r="K110" s="357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3157056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360" t="str">
        <f ca="1">J75</f>
        <v>NOVI / CONDRO</v>
      </c>
      <c r="K113" s="361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360" t="str">
        <f ca="1">J76</f>
        <v/>
      </c>
      <c r="K114" s="361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2"/>
  <sheetViews>
    <sheetView workbookViewId="0">
      <selection activeCell="C15" sqref="C15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91</v>
      </c>
      <c r="B3" t="s">
        <v>90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80</v>
      </c>
      <c r="B5" t="s">
        <v>81</v>
      </c>
      <c r="D5" t="s">
        <v>82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84</v>
      </c>
      <c r="B6" t="s">
        <v>60</v>
      </c>
      <c r="C6" t="s">
        <v>59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67</v>
      </c>
      <c r="B7" t="s">
        <v>68</v>
      </c>
      <c r="D7" t="s">
        <v>69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75</v>
      </c>
      <c r="B8" t="s">
        <v>76</v>
      </c>
      <c r="D8" t="s">
        <v>77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86</v>
      </c>
      <c r="B9" t="s">
        <v>78</v>
      </c>
      <c r="D9" t="s">
        <v>79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96</v>
      </c>
      <c r="B10" t="s">
        <v>98</v>
      </c>
      <c r="D10" t="s">
        <v>97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42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92</v>
      </c>
      <c r="B12" t="s">
        <v>65</v>
      </c>
      <c r="D12" t="s">
        <v>66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70</v>
      </c>
      <c r="B13" t="s">
        <v>71</v>
      </c>
      <c r="C13" t="s">
        <v>72</v>
      </c>
      <c r="D13" t="s">
        <v>73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93</v>
      </c>
      <c r="B14" t="s">
        <v>64</v>
      </c>
      <c r="C14" t="s">
        <v>62</v>
      </c>
      <c r="D14" t="s">
        <v>63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101</v>
      </c>
      <c r="B15" t="s">
        <v>301</v>
      </c>
      <c r="C15" t="s">
        <v>340</v>
      </c>
      <c r="D15" t="s">
        <v>102</v>
      </c>
      <c r="E15" s="85" t="str">
        <f>CONCATENATE(Table2[[#This Row],[b]],IF(Table2[[#This Row],[c]]=""," ",CONCATENATE(" ",Table2[[#This Row],[c]]," ")),Table2[[#This Row],[d]])</f>
        <v>CV FM 90 FAMILY / RENI (JATIMULYO) KEBUMEN</v>
      </c>
    </row>
    <row r="16" spans="1:5" x14ac:dyDescent="0.25">
      <c r="A16" t="s">
        <v>87</v>
      </c>
      <c r="B16" t="s">
        <v>88</v>
      </c>
      <c r="C16" t="s">
        <v>89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61</v>
      </c>
      <c r="B17" t="s">
        <v>117</v>
      </c>
      <c r="C17" t="s">
        <v>116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94</v>
      </c>
      <c r="B18" t="s">
        <v>112</v>
      </c>
      <c r="D18" t="s">
        <v>95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106</v>
      </c>
      <c r="B19" t="s">
        <v>107</v>
      </c>
      <c r="D19" t="s">
        <v>108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111</v>
      </c>
      <c r="B20" t="s">
        <v>109</v>
      </c>
      <c r="C20" t="s">
        <v>110</v>
      </c>
      <c r="D20" t="s">
        <v>73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113</v>
      </c>
      <c r="B21" t="s">
        <v>114</v>
      </c>
      <c r="C21" t="s">
        <v>115</v>
      </c>
      <c r="D21" t="s">
        <v>66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  <row r="22" spans="1:5" x14ac:dyDescent="0.25">
      <c r="A22" t="s">
        <v>312</v>
      </c>
      <c r="B22" t="s">
        <v>313</v>
      </c>
      <c r="C22" t="s">
        <v>315</v>
      </c>
      <c r="D22" t="s">
        <v>314</v>
      </c>
      <c r="E22" s="85" t="str">
        <f>CONCATENATE(Table2[[#This Row],[b]],IF(Table2[[#This Row],[c]]=""," ",CONCATENATE(" ",Table2[[#This Row],[c]]," ")),Table2[[#This Row],[d]])</f>
        <v>MONG SANTOSA ANDRESTA ( SIDU ) SALATIGA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2023-09-04T09:34:03Z</dcterms:modified>
</cp:coreProperties>
</file>