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/>
  </bookViews>
  <sheets>
    <sheet name="2023" sheetId="1" r:id="rId1"/>
  </sheets>
  <definedNames>
    <definedName name="_xlnm._FilterDatabase" localSheetId="0" hidden="1">'2023'!$E$1:$E$1311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8" i="1" l="1"/>
  <c r="C626" i="1"/>
  <c r="P1227" i="1" l="1"/>
  <c r="R1227" i="1" s="1"/>
  <c r="S1227" i="1" s="1"/>
  <c r="P540" i="1"/>
  <c r="R540" i="1" s="1"/>
  <c r="S540" i="1" s="1"/>
  <c r="P356" i="1" l="1"/>
  <c r="R356" i="1" s="1"/>
  <c r="S356" i="1" s="1"/>
  <c r="P265" i="1"/>
  <c r="R265" i="1" s="1"/>
  <c r="S265" i="1" s="1"/>
  <c r="P200" i="1" l="1"/>
  <c r="R200" i="1" s="1"/>
  <c r="S200" i="1" s="1"/>
  <c r="J200" i="1"/>
  <c r="P112" i="1"/>
  <c r="R112" i="1" s="1"/>
  <c r="S112" i="1" s="1"/>
  <c r="P638" i="1"/>
  <c r="R638" i="1" s="1"/>
  <c r="S638" i="1" s="1"/>
  <c r="P13" i="1"/>
  <c r="R13" i="1" s="1"/>
  <c r="S13" i="1" s="1"/>
  <c r="J1102" i="1" l="1"/>
  <c r="P1102" i="1"/>
  <c r="R1102" i="1" s="1"/>
  <c r="S1102" i="1" s="1"/>
  <c r="J1097" i="1"/>
  <c r="P1097" i="1"/>
  <c r="R1097" i="1" s="1"/>
  <c r="S1097" i="1" s="1"/>
  <c r="P1087" i="1"/>
  <c r="R1087" i="1" s="1"/>
  <c r="S1087" i="1" s="1"/>
  <c r="P1083" i="1"/>
  <c r="R1083" i="1" s="1"/>
  <c r="S1083" i="1" s="1"/>
  <c r="P1041" i="1"/>
  <c r="R1041" i="1" s="1"/>
  <c r="S1041" i="1" s="1"/>
  <c r="J776" i="1"/>
  <c r="P776" i="1"/>
  <c r="P1238" i="1"/>
  <c r="R1238" i="1" s="1"/>
  <c r="S1238" i="1" s="1"/>
  <c r="P1237" i="1"/>
  <c r="R1237" i="1" s="1"/>
  <c r="S1237" i="1" s="1"/>
  <c r="R825" i="1"/>
  <c r="S825" i="1" s="1"/>
  <c r="P825" i="1"/>
  <c r="R815" i="1"/>
  <c r="S815" i="1" s="1"/>
  <c r="P815" i="1"/>
  <c r="P917" i="1"/>
  <c r="R917" i="1" s="1"/>
  <c r="S917" i="1" s="1"/>
  <c r="P918" i="1"/>
  <c r="R918" i="1" s="1"/>
  <c r="S918" i="1" s="1"/>
  <c r="P919" i="1"/>
  <c r="R919" i="1" s="1"/>
  <c r="S919" i="1" s="1"/>
  <c r="P920" i="1"/>
  <c r="R920" i="1" s="1"/>
  <c r="S920" i="1" s="1"/>
  <c r="P921" i="1"/>
  <c r="R921" i="1" s="1"/>
  <c r="S921" i="1" s="1"/>
  <c r="P916" i="1"/>
  <c r="R916" i="1" s="1"/>
  <c r="S916" i="1" s="1"/>
  <c r="R929" i="1"/>
  <c r="S929" i="1" s="1"/>
  <c r="P929" i="1"/>
  <c r="R966" i="1"/>
  <c r="S966" i="1" s="1"/>
  <c r="P966" i="1"/>
  <c r="R964" i="1"/>
  <c r="S964" i="1" s="1"/>
  <c r="P964" i="1"/>
  <c r="R955" i="1"/>
  <c r="S955" i="1" s="1"/>
  <c r="P955" i="1"/>
  <c r="R858" i="1"/>
  <c r="S858" i="1" s="1"/>
  <c r="P858" i="1"/>
  <c r="R854" i="1"/>
  <c r="S854" i="1" s="1"/>
  <c r="P854" i="1"/>
  <c r="C333" i="1"/>
  <c r="P1007" i="1"/>
  <c r="R1007" i="1" s="1"/>
  <c r="S1007" i="1" s="1"/>
  <c r="P531" i="1"/>
  <c r="R531" i="1" s="1"/>
  <c r="S531" i="1" s="1"/>
  <c r="R776" i="1" l="1"/>
  <c r="S776" i="1" s="1"/>
  <c r="P659" i="1" l="1"/>
  <c r="R659" i="1" s="1"/>
  <c r="S659" i="1" s="1"/>
  <c r="P378" i="1"/>
  <c r="R378" i="1" s="1"/>
  <c r="S378" i="1" s="1"/>
  <c r="P376" i="1"/>
  <c r="R376" i="1" s="1"/>
  <c r="S376" i="1" s="1"/>
  <c r="P325" i="1"/>
  <c r="R325" i="1" s="1"/>
  <c r="S325" i="1" s="1"/>
  <c r="P298" i="1"/>
  <c r="R298" i="1" s="1"/>
  <c r="S298" i="1" s="1"/>
  <c r="P150" i="1"/>
  <c r="R150" i="1" s="1"/>
  <c r="S150" i="1" s="1"/>
  <c r="P637" i="1" l="1"/>
  <c r="R637" i="1" s="1"/>
  <c r="S637" i="1" s="1"/>
  <c r="P612" i="1"/>
  <c r="R612" i="1" s="1"/>
  <c r="S612" i="1" s="1"/>
  <c r="P621" i="1"/>
  <c r="R621" i="1" s="1"/>
  <c r="S621" i="1" s="1"/>
  <c r="P625" i="1"/>
  <c r="R625" i="1" s="1"/>
  <c r="S625" i="1" s="1"/>
  <c r="P628" i="1"/>
  <c r="R628" i="1" s="1"/>
  <c r="S628" i="1" s="1"/>
  <c r="P27" i="1"/>
  <c r="R27" i="1" s="1"/>
  <c r="S27" i="1" s="1"/>
  <c r="P15" i="1"/>
  <c r="R15" i="1" s="1"/>
  <c r="S15" i="1" s="1"/>
  <c r="P1234" i="1"/>
  <c r="R1234" i="1" s="1"/>
  <c r="S1234" i="1" s="1"/>
  <c r="P1233" i="1"/>
  <c r="R1233" i="1" s="1"/>
  <c r="S1233" i="1" s="1"/>
  <c r="C736" i="1" l="1"/>
  <c r="P390" i="1" l="1"/>
  <c r="R390" i="1" s="1"/>
  <c r="S390" i="1" s="1"/>
  <c r="P1193" i="1" l="1"/>
  <c r="R1193" i="1" s="1"/>
  <c r="S1193" i="1" s="1"/>
  <c r="P1137" i="1"/>
  <c r="R1137" i="1" s="1"/>
  <c r="S1137" i="1" s="1"/>
  <c r="P1136" i="1"/>
  <c r="R1136" i="1" s="1"/>
  <c r="S1136" i="1" s="1"/>
  <c r="P1062" i="1"/>
  <c r="R1062" i="1" s="1"/>
  <c r="S1062" i="1" s="1"/>
  <c r="P751" i="1" l="1"/>
  <c r="R751" i="1" s="1"/>
  <c r="S751" i="1" s="1"/>
  <c r="P986" i="1"/>
  <c r="R986" i="1" s="1"/>
  <c r="S986" i="1" s="1"/>
  <c r="P904" i="1"/>
  <c r="R904" i="1" s="1"/>
  <c r="S904" i="1" s="1"/>
  <c r="P923" i="1"/>
  <c r="R923" i="1" s="1"/>
  <c r="S923" i="1" s="1"/>
  <c r="P820" i="1"/>
  <c r="P800" i="1"/>
  <c r="R800" i="1" s="1"/>
  <c r="S800" i="1" s="1"/>
  <c r="P967" i="1"/>
  <c r="R967" i="1" s="1"/>
  <c r="S967" i="1" s="1"/>
  <c r="P951" i="1"/>
  <c r="R951" i="1" s="1"/>
  <c r="S951" i="1" s="1"/>
  <c r="P952" i="1"/>
  <c r="R952" i="1" s="1"/>
  <c r="S952" i="1" s="1"/>
  <c r="P953" i="1"/>
  <c r="R953" i="1" s="1"/>
  <c r="S953" i="1" s="1"/>
  <c r="P954" i="1"/>
  <c r="R954" i="1" s="1"/>
  <c r="S954" i="1" s="1"/>
  <c r="P956" i="1"/>
  <c r="R956" i="1" s="1"/>
  <c r="S956" i="1" s="1"/>
  <c r="P957" i="1"/>
  <c r="R957" i="1" s="1"/>
  <c r="S957" i="1" s="1"/>
  <c r="P958" i="1"/>
  <c r="R958" i="1" s="1"/>
  <c r="S958" i="1" s="1"/>
  <c r="P959" i="1"/>
  <c r="R959" i="1" s="1"/>
  <c r="S959" i="1" s="1"/>
  <c r="P960" i="1"/>
  <c r="R960" i="1" s="1"/>
  <c r="S960" i="1" s="1"/>
  <c r="P961" i="1"/>
  <c r="R961" i="1" s="1"/>
  <c r="S961" i="1" s="1"/>
  <c r="P962" i="1"/>
  <c r="R962" i="1" s="1"/>
  <c r="S962" i="1" s="1"/>
  <c r="P963" i="1"/>
  <c r="R963" i="1" s="1"/>
  <c r="S963" i="1" s="1"/>
  <c r="P965" i="1"/>
  <c r="R965" i="1" s="1"/>
  <c r="S965" i="1" s="1"/>
  <c r="P950" i="1"/>
  <c r="R950" i="1" s="1"/>
  <c r="S950" i="1" s="1"/>
  <c r="P865" i="1"/>
  <c r="R865" i="1" s="1"/>
  <c r="S865" i="1" s="1"/>
  <c r="P863" i="1"/>
  <c r="R863" i="1" s="1"/>
  <c r="S863" i="1" s="1"/>
  <c r="P545" i="1"/>
  <c r="R545" i="1" s="1"/>
  <c r="S545" i="1" s="1"/>
  <c r="P520" i="1"/>
  <c r="R520" i="1" s="1"/>
  <c r="S520" i="1" s="1"/>
  <c r="P469" i="1"/>
  <c r="R469" i="1" s="1"/>
  <c r="S469" i="1" s="1"/>
  <c r="P331" i="1"/>
  <c r="R331" i="1" s="1"/>
  <c r="S331" i="1" s="1"/>
  <c r="P1014" i="1"/>
  <c r="R1014" i="1" s="1"/>
  <c r="S1014" i="1" s="1"/>
  <c r="P405" i="1"/>
  <c r="R405" i="1" s="1"/>
  <c r="S405" i="1" s="1"/>
  <c r="P736" i="1"/>
  <c r="R736" i="1" s="1"/>
  <c r="S736" i="1" s="1"/>
  <c r="P730" i="1"/>
  <c r="R730" i="1" s="1"/>
  <c r="S730" i="1" s="1"/>
  <c r="R820" i="1" l="1"/>
  <c r="S820" i="1" s="1"/>
  <c r="P678" i="1"/>
  <c r="J678" i="1"/>
  <c r="P648" i="1"/>
  <c r="R648" i="1" s="1"/>
  <c r="S648" i="1" s="1"/>
  <c r="R678" i="1" l="1"/>
  <c r="S678" i="1" s="1"/>
  <c r="P389" i="1"/>
  <c r="R389" i="1" s="1"/>
  <c r="S389" i="1" s="1"/>
  <c r="P381" i="1"/>
  <c r="R381" i="1" s="1"/>
  <c r="S381" i="1" s="1"/>
  <c r="P245" i="1" l="1"/>
  <c r="R245" i="1" s="1"/>
  <c r="S245" i="1" s="1"/>
  <c r="P226" i="1"/>
  <c r="R226" i="1" s="1"/>
  <c r="S226" i="1" s="1"/>
  <c r="P248" i="1"/>
  <c r="R248" i="1" s="1"/>
  <c r="S248" i="1" s="1"/>
  <c r="P182" i="1"/>
  <c r="R182" i="1" s="1"/>
  <c r="S182" i="1" s="1"/>
  <c r="P184" i="1"/>
  <c r="R184" i="1" s="1"/>
  <c r="S184" i="1" s="1"/>
  <c r="P186" i="1"/>
  <c r="R186" i="1" s="1"/>
  <c r="S186" i="1" s="1"/>
  <c r="P187" i="1"/>
  <c r="R187" i="1" s="1"/>
  <c r="S187" i="1" s="1"/>
  <c r="P188" i="1"/>
  <c r="R188" i="1" s="1"/>
  <c r="S188" i="1" s="1"/>
  <c r="P788" i="1"/>
  <c r="R788" i="1" s="1"/>
  <c r="S788" i="1" s="1"/>
  <c r="P98" i="1"/>
  <c r="R98" i="1" s="1"/>
  <c r="S98" i="1" s="1"/>
  <c r="P84" i="1"/>
  <c r="R84" i="1" s="1"/>
  <c r="S84" i="1" s="1"/>
  <c r="P583" i="1"/>
  <c r="R583" i="1" s="1"/>
  <c r="S583" i="1" s="1"/>
  <c r="P620" i="1"/>
  <c r="R620" i="1" s="1"/>
  <c r="S620" i="1" s="1"/>
  <c r="P11" i="1"/>
  <c r="R11" i="1" s="1"/>
  <c r="S11" i="1" s="1"/>
  <c r="P12" i="1"/>
  <c r="R12" i="1" s="1"/>
  <c r="S12" i="1" s="1"/>
  <c r="P14" i="1"/>
  <c r="R14" i="1" s="1"/>
  <c r="S14" i="1" s="1"/>
  <c r="P514" i="1" l="1"/>
  <c r="R514" i="1" s="1"/>
  <c r="S514" i="1" s="1"/>
  <c r="P431" i="1" l="1"/>
  <c r="R431" i="1" s="1"/>
  <c r="S431" i="1" s="1"/>
  <c r="P1225" i="1" l="1"/>
  <c r="R1225" i="1" s="1"/>
  <c r="S1225" i="1" s="1"/>
  <c r="P1230" i="1"/>
  <c r="R1230" i="1" s="1"/>
  <c r="S1230" i="1" s="1"/>
  <c r="P309" i="1"/>
  <c r="R309" i="1" s="1"/>
  <c r="S309" i="1" s="1"/>
  <c r="P308" i="1"/>
  <c r="R308" i="1" s="1"/>
  <c r="S308" i="1" s="1"/>
  <c r="P798" i="1"/>
  <c r="R798" i="1" s="1"/>
  <c r="S798" i="1" s="1"/>
  <c r="P948" i="1"/>
  <c r="R948" i="1" s="1"/>
  <c r="S948" i="1" s="1"/>
  <c r="P947" i="1"/>
  <c r="R947" i="1" s="1"/>
  <c r="S947" i="1" s="1"/>
  <c r="P946" i="1"/>
  <c r="R946" i="1" s="1"/>
  <c r="S946" i="1" s="1"/>
  <c r="P945" i="1"/>
  <c r="R945" i="1" s="1"/>
  <c r="S945" i="1" s="1"/>
  <c r="P729" i="1"/>
  <c r="R729" i="1" s="1"/>
  <c r="S729" i="1" s="1"/>
  <c r="P712" i="1"/>
  <c r="R712" i="1" s="1"/>
  <c r="S712" i="1" s="1"/>
  <c r="P831" i="1" l="1"/>
  <c r="R831" i="1" s="1"/>
  <c r="S831" i="1" s="1"/>
  <c r="P1188" i="1"/>
  <c r="R1188" i="1" s="1"/>
  <c r="S1188" i="1" s="1"/>
  <c r="P1194" i="1"/>
  <c r="R1194" i="1" s="1"/>
  <c r="S1194" i="1" s="1"/>
  <c r="P996" i="1"/>
  <c r="R996" i="1" s="1"/>
  <c r="S996" i="1" s="1"/>
  <c r="P882" i="1"/>
  <c r="R882" i="1" s="1"/>
  <c r="S882" i="1" s="1"/>
  <c r="P805" i="1"/>
  <c r="R805" i="1" s="1"/>
  <c r="S805" i="1" s="1"/>
  <c r="P931" i="1"/>
  <c r="R931" i="1" s="1"/>
  <c r="S931" i="1" s="1"/>
  <c r="P544" i="1"/>
  <c r="R544" i="1" s="1"/>
  <c r="S544" i="1" s="1"/>
  <c r="P477" i="1"/>
  <c r="R477" i="1" s="1"/>
  <c r="S477" i="1" s="1"/>
  <c r="P472" i="1"/>
  <c r="R472" i="1" s="1"/>
  <c r="S472" i="1" s="1"/>
  <c r="P457" i="1" l="1"/>
  <c r="R457" i="1" s="1"/>
  <c r="S457" i="1" s="1"/>
  <c r="P456" i="1"/>
  <c r="R456" i="1" s="1"/>
  <c r="S456" i="1" s="1"/>
  <c r="P430" i="1"/>
  <c r="R430" i="1" s="1"/>
  <c r="S430" i="1" s="1"/>
  <c r="P429" i="1"/>
  <c r="R429" i="1" s="1"/>
  <c r="S429" i="1" s="1"/>
  <c r="P420" i="1"/>
  <c r="R420" i="1" s="1"/>
  <c r="S420" i="1" s="1"/>
  <c r="P689" i="1"/>
  <c r="J689" i="1"/>
  <c r="J677" i="1"/>
  <c r="P677" i="1"/>
  <c r="R677" i="1" l="1"/>
  <c r="S677" i="1" s="1"/>
  <c r="R689" i="1"/>
  <c r="S689" i="1" s="1"/>
  <c r="P693" i="1"/>
  <c r="P687" i="1"/>
  <c r="R687" i="1" s="1"/>
  <c r="S687" i="1" s="1"/>
  <c r="P665" i="1"/>
  <c r="R665" i="1" s="1"/>
  <c r="S665" i="1" s="1"/>
  <c r="R693" i="1" l="1"/>
  <c r="S693" i="1" s="1"/>
  <c r="P400" i="1"/>
  <c r="R400" i="1" s="1"/>
  <c r="S400" i="1" s="1"/>
  <c r="P685" i="1"/>
  <c r="R685" i="1" s="1"/>
  <c r="S685" i="1" s="1"/>
  <c r="P654" i="1"/>
  <c r="R654" i="1" s="1"/>
  <c r="S654" i="1" s="1"/>
  <c r="P1003" i="1"/>
  <c r="R1003" i="1" s="1"/>
  <c r="S1003" i="1" s="1"/>
  <c r="P297" i="1"/>
  <c r="J297" i="1"/>
  <c r="P290" i="1"/>
  <c r="R290" i="1" s="1"/>
  <c r="S290" i="1" s="1"/>
  <c r="P256" i="1"/>
  <c r="R256" i="1" s="1"/>
  <c r="S256" i="1" s="1"/>
  <c r="P207" i="1"/>
  <c r="J207" i="1"/>
  <c r="P177" i="1"/>
  <c r="R177" i="1" s="1"/>
  <c r="S177" i="1" s="1"/>
  <c r="P174" i="1"/>
  <c r="R174" i="1" s="1"/>
  <c r="S174" i="1" s="1"/>
  <c r="P793" i="1"/>
  <c r="R793" i="1" s="1"/>
  <c r="S793" i="1" s="1"/>
  <c r="P307" i="1"/>
  <c r="R307" i="1" s="1"/>
  <c r="S307" i="1" s="1"/>
  <c r="P306" i="1"/>
  <c r="R306" i="1" s="1"/>
  <c r="S306" i="1" s="1"/>
  <c r="P80" i="1"/>
  <c r="R80" i="1" s="1"/>
  <c r="S80" i="1" s="1"/>
  <c r="P78" i="1"/>
  <c r="R78" i="1" s="1"/>
  <c r="S78" i="1" s="1"/>
  <c r="P148" i="1"/>
  <c r="R148" i="1" s="1"/>
  <c r="S148" i="1" s="1"/>
  <c r="P139" i="1"/>
  <c r="R139" i="1" s="1"/>
  <c r="S139" i="1" s="1"/>
  <c r="P32" i="1"/>
  <c r="R32" i="1" s="1"/>
  <c r="S32" i="1" s="1"/>
  <c r="P33" i="1"/>
  <c r="R33" i="1" s="1"/>
  <c r="S33" i="1" s="1"/>
  <c r="R207" i="1" l="1"/>
  <c r="S207" i="1" s="1"/>
  <c r="R297" i="1"/>
  <c r="S297" i="1" s="1"/>
  <c r="P1127" i="1" l="1"/>
  <c r="R1127" i="1" s="1"/>
  <c r="S1127" i="1" s="1"/>
  <c r="P229" i="1"/>
  <c r="R229" i="1" s="1"/>
  <c r="S229" i="1" s="1"/>
  <c r="P230" i="1"/>
  <c r="R230" i="1" s="1"/>
  <c r="S230" i="1" s="1"/>
  <c r="P234" i="1"/>
  <c r="R234" i="1" s="1"/>
  <c r="S234" i="1" s="1"/>
  <c r="P217" i="1"/>
  <c r="P627" i="1"/>
  <c r="R627" i="1" s="1"/>
  <c r="S627" i="1" s="1"/>
  <c r="P626" i="1"/>
  <c r="R626" i="1" s="1"/>
  <c r="S626" i="1" s="1"/>
  <c r="P1089" i="1"/>
  <c r="R1089" i="1" s="1"/>
  <c r="S1089" i="1" s="1"/>
  <c r="R217" i="1" l="1"/>
  <c r="S217" i="1" s="1"/>
  <c r="P423" i="1"/>
  <c r="R423" i="1" s="1"/>
  <c r="S423" i="1" s="1"/>
  <c r="P266" i="1"/>
  <c r="R266" i="1" s="1"/>
  <c r="S266" i="1" s="1"/>
  <c r="P263" i="1"/>
  <c r="R263" i="1" s="1"/>
  <c r="S263" i="1" s="1"/>
  <c r="P261" i="1"/>
  <c r="R261" i="1" s="1"/>
  <c r="S261" i="1" s="1"/>
  <c r="P259" i="1"/>
  <c r="R259" i="1" s="1"/>
  <c r="S259" i="1" s="1"/>
  <c r="P260" i="1"/>
  <c r="R260" i="1" s="1"/>
  <c r="S260" i="1" s="1"/>
  <c r="P257" i="1"/>
  <c r="R257" i="1" s="1"/>
  <c r="S257" i="1" s="1"/>
  <c r="P255" i="1"/>
  <c r="R255" i="1" s="1"/>
  <c r="S255" i="1" s="1"/>
  <c r="P253" i="1"/>
  <c r="R253" i="1" s="1"/>
  <c r="S253" i="1" s="1"/>
  <c r="P165" i="1"/>
  <c r="R165" i="1" s="1"/>
  <c r="S165" i="1" s="1"/>
  <c r="P133" i="1"/>
  <c r="R133" i="1" s="1"/>
  <c r="S133" i="1" s="1"/>
  <c r="P944" i="1" l="1"/>
  <c r="R944" i="1" s="1"/>
  <c r="S944" i="1" s="1"/>
  <c r="P427" i="1"/>
  <c r="R427" i="1" s="1"/>
  <c r="S427" i="1" s="1"/>
  <c r="P425" i="1"/>
  <c r="R425" i="1" s="1"/>
  <c r="S425" i="1" s="1"/>
  <c r="P426" i="1"/>
  <c r="R426" i="1" s="1"/>
  <c r="S426" i="1" s="1"/>
  <c r="P421" i="1"/>
  <c r="R421" i="1" s="1"/>
  <c r="S421" i="1" s="1"/>
  <c r="P876" i="1"/>
  <c r="R876" i="1" s="1"/>
  <c r="S876" i="1" s="1"/>
  <c r="J877" i="1"/>
  <c r="P877" i="1"/>
  <c r="P67" i="1"/>
  <c r="R67" i="1" s="1"/>
  <c r="S67" i="1" s="1"/>
  <c r="P108" i="1"/>
  <c r="R108" i="1" s="1"/>
  <c r="S108" i="1" s="1"/>
  <c r="P110" i="1"/>
  <c r="R110" i="1" s="1"/>
  <c r="S110" i="1" s="1"/>
  <c r="P113" i="1"/>
  <c r="R113" i="1" s="1"/>
  <c r="S113" i="1" s="1"/>
  <c r="P71" i="1"/>
  <c r="P72" i="1"/>
  <c r="R72" i="1" s="1"/>
  <c r="S72" i="1" s="1"/>
  <c r="P75" i="1"/>
  <c r="R75" i="1" s="1"/>
  <c r="S75" i="1" s="1"/>
  <c r="P79" i="1"/>
  <c r="R79" i="1" s="1"/>
  <c r="S79" i="1" s="1"/>
  <c r="P96" i="1"/>
  <c r="R96" i="1" s="1"/>
  <c r="S96" i="1" s="1"/>
  <c r="P102" i="1"/>
  <c r="R102" i="1" s="1"/>
  <c r="S102" i="1" s="1"/>
  <c r="P69" i="1"/>
  <c r="R69" i="1" s="1"/>
  <c r="S69" i="1" s="1"/>
  <c r="P51" i="1"/>
  <c r="R877" i="1" l="1"/>
  <c r="S877" i="1" s="1"/>
  <c r="P727" i="1" l="1"/>
  <c r="R727" i="1" s="1"/>
  <c r="S727" i="1" s="1"/>
  <c r="P726" i="1"/>
  <c r="R726" i="1" s="1"/>
  <c r="S726" i="1" s="1"/>
  <c r="P720" i="1"/>
  <c r="R720" i="1" s="1"/>
  <c r="S720" i="1" s="1"/>
  <c r="P721" i="1"/>
  <c r="R721" i="1" s="1"/>
  <c r="S721" i="1" s="1"/>
  <c r="P722" i="1"/>
  <c r="R722" i="1" s="1"/>
  <c r="S722" i="1" s="1"/>
  <c r="P723" i="1"/>
  <c r="R723" i="1" s="1"/>
  <c r="S723" i="1" s="1"/>
  <c r="P724" i="1"/>
  <c r="R724" i="1" s="1"/>
  <c r="S724" i="1" s="1"/>
  <c r="P725" i="1"/>
  <c r="R725" i="1" s="1"/>
  <c r="S725" i="1" s="1"/>
  <c r="P719" i="1"/>
  <c r="R719" i="1" s="1"/>
  <c r="S719" i="1" s="1"/>
  <c r="P943" i="1" l="1"/>
  <c r="R943" i="1" s="1"/>
  <c r="S943" i="1" s="1"/>
  <c r="P246" i="1"/>
  <c r="R246" i="1" s="1"/>
  <c r="S246" i="1" s="1"/>
  <c r="P235" i="1"/>
  <c r="R235" i="1" s="1"/>
  <c r="S235" i="1" s="1"/>
  <c r="P714" i="1" l="1"/>
  <c r="R714" i="1" s="1"/>
  <c r="S714" i="1" s="1"/>
  <c r="P710" i="1"/>
  <c r="R710" i="1" s="1"/>
  <c r="S710" i="1" s="1"/>
  <c r="P713" i="1"/>
  <c r="R713" i="1" s="1"/>
  <c r="S713" i="1" s="1"/>
  <c r="P1022" i="1" l="1"/>
  <c r="R1022" i="1" s="1"/>
  <c r="S1022" i="1" s="1"/>
  <c r="P491" i="1"/>
  <c r="R491" i="1" s="1"/>
  <c r="S491" i="1" s="1"/>
  <c r="P914" i="1"/>
  <c r="R914" i="1" s="1"/>
  <c r="S914" i="1" s="1"/>
  <c r="P915" i="1"/>
  <c r="R915" i="1" s="1"/>
  <c r="S915" i="1" s="1"/>
  <c r="P913" i="1"/>
  <c r="R913" i="1" s="1"/>
  <c r="S913" i="1" s="1"/>
  <c r="P982" i="1"/>
  <c r="R982" i="1" s="1"/>
  <c r="S982" i="1" s="1"/>
  <c r="P1173" i="1"/>
  <c r="R1173" i="1" s="1"/>
  <c r="S1173" i="1" s="1"/>
  <c r="P1171" i="1"/>
  <c r="R1171" i="1" s="1"/>
  <c r="S1171" i="1" s="1"/>
  <c r="P1198" i="1" l="1"/>
  <c r="R1198" i="1" s="1"/>
  <c r="S1198" i="1" s="1"/>
  <c r="P762" i="1"/>
  <c r="R762" i="1" s="1"/>
  <c r="S762" i="1" s="1"/>
  <c r="P1017" i="1" l="1"/>
  <c r="R1017" i="1" s="1"/>
  <c r="S1017" i="1" s="1"/>
  <c r="P346" i="1" l="1"/>
  <c r="R346" i="1" s="1"/>
  <c r="S346" i="1" s="1"/>
  <c r="P1016" i="1"/>
  <c r="R1016" i="1" s="1"/>
  <c r="S1016" i="1" s="1"/>
  <c r="C676" i="1"/>
  <c r="P1140" i="1" l="1"/>
  <c r="R1140" i="1" s="1"/>
  <c r="S1140" i="1" s="1"/>
  <c r="P1073" i="1"/>
  <c r="J1073" i="1"/>
  <c r="P1060" i="1"/>
  <c r="R1060" i="1" s="1"/>
  <c r="S1060" i="1" s="1"/>
  <c r="R1073" i="1" l="1"/>
  <c r="S1073" i="1" s="1"/>
  <c r="P1028" i="1"/>
  <c r="R1028" i="1" s="1"/>
  <c r="S1028" i="1" s="1"/>
  <c r="P101" i="1"/>
  <c r="R101" i="1" s="1"/>
  <c r="S101" i="1" s="1"/>
  <c r="P616" i="1"/>
  <c r="R616" i="1" s="1"/>
  <c r="S616" i="1" s="1"/>
  <c r="J218" i="1" l="1"/>
  <c r="H218" i="1"/>
  <c r="P218" i="1" s="1"/>
  <c r="R218" i="1" l="1"/>
  <c r="S218" i="1" s="1"/>
  <c r="P792" i="1"/>
  <c r="R792" i="1" s="1"/>
  <c r="S792" i="1" s="1"/>
  <c r="P1042" i="1" l="1"/>
  <c r="P1174" i="1"/>
  <c r="R1174" i="1" s="1"/>
  <c r="S1174" i="1" s="1"/>
  <c r="P899" i="1"/>
  <c r="J899" i="1"/>
  <c r="P513" i="1"/>
  <c r="R513" i="1" s="1"/>
  <c r="S513" i="1" s="1"/>
  <c r="R899" i="1" l="1"/>
  <c r="S899" i="1" s="1"/>
  <c r="P447" i="1"/>
  <c r="R447" i="1" s="1"/>
  <c r="S447" i="1" s="1"/>
  <c r="P686" i="1"/>
  <c r="R686" i="1" s="1"/>
  <c r="S686" i="1" s="1"/>
  <c r="P682" i="1"/>
  <c r="J682" i="1"/>
  <c r="P684" i="1"/>
  <c r="R684" i="1" s="1"/>
  <c r="S684" i="1" s="1"/>
  <c r="R682" i="1" l="1"/>
  <c r="S682" i="1" s="1"/>
  <c r="P48" i="1" l="1"/>
  <c r="R48" i="1" s="1"/>
  <c r="S48" i="1" s="1"/>
  <c r="C1092" i="1" l="1"/>
  <c r="C997" i="1"/>
  <c r="P782" i="1"/>
  <c r="R782" i="1" s="1"/>
  <c r="S782" i="1" s="1"/>
  <c r="C711" i="1"/>
  <c r="J681" i="1"/>
  <c r="P681" i="1"/>
  <c r="P661" i="1"/>
  <c r="R661" i="1" s="1"/>
  <c r="S661" i="1" s="1"/>
  <c r="R681" i="1" l="1"/>
  <c r="S681" i="1" s="1"/>
  <c r="P505" i="1"/>
  <c r="R505" i="1" s="1"/>
  <c r="S505" i="1" s="1"/>
  <c r="P485" i="1"/>
  <c r="R485" i="1" s="1"/>
  <c r="S485" i="1" s="1"/>
  <c r="P484" i="1"/>
  <c r="R484" i="1" s="1"/>
  <c r="S484" i="1" s="1"/>
  <c r="P483" i="1"/>
  <c r="R483" i="1" s="1"/>
  <c r="S483" i="1" s="1"/>
  <c r="P482" i="1"/>
  <c r="R482" i="1" s="1"/>
  <c r="S482" i="1" s="1"/>
  <c r="P481" i="1"/>
  <c r="R481" i="1" s="1"/>
  <c r="S481" i="1" s="1"/>
  <c r="P480" i="1"/>
  <c r="R480" i="1" s="1"/>
  <c r="S480" i="1" s="1"/>
  <c r="P479" i="1"/>
  <c r="R479" i="1" s="1"/>
  <c r="S479" i="1" s="1"/>
  <c r="P478" i="1"/>
  <c r="R478" i="1" s="1"/>
  <c r="S478" i="1" s="1"/>
  <c r="P476" i="1"/>
  <c r="R476" i="1" s="1"/>
  <c r="S476" i="1" s="1"/>
  <c r="P475" i="1"/>
  <c r="R475" i="1" s="1"/>
  <c r="S475" i="1" s="1"/>
  <c r="P474" i="1"/>
  <c r="R474" i="1" s="1"/>
  <c r="S474" i="1" s="1"/>
  <c r="P473" i="1"/>
  <c r="R473" i="1" s="1"/>
  <c r="S473" i="1" s="1"/>
  <c r="C289" i="1"/>
  <c r="J233" i="1"/>
  <c r="P233" i="1"/>
  <c r="P214" i="1"/>
  <c r="J214" i="1"/>
  <c r="P212" i="1"/>
  <c r="J212" i="1"/>
  <c r="P211" i="1"/>
  <c r="J211" i="1"/>
  <c r="P208" i="1"/>
  <c r="R208" i="1" s="1"/>
  <c r="S208" i="1" s="1"/>
  <c r="P167" i="1"/>
  <c r="R167" i="1" s="1"/>
  <c r="S167" i="1" s="1"/>
  <c r="P104" i="1"/>
  <c r="R104" i="1" s="1"/>
  <c r="S104" i="1" s="1"/>
  <c r="P94" i="1"/>
  <c r="R94" i="1" s="1"/>
  <c r="S94" i="1" s="1"/>
  <c r="P90" i="1"/>
  <c r="R90" i="1" s="1"/>
  <c r="S90" i="1" s="1"/>
  <c r="P88" i="1"/>
  <c r="R88" i="1" s="1"/>
  <c r="S88" i="1" s="1"/>
  <c r="P86" i="1"/>
  <c r="R86" i="1" s="1"/>
  <c r="S86" i="1" s="1"/>
  <c r="P61" i="1"/>
  <c r="R61" i="1" s="1"/>
  <c r="S61" i="1" s="1"/>
  <c r="P60" i="1"/>
  <c r="R60" i="1" s="1"/>
  <c r="S60" i="1" s="1"/>
  <c r="P54" i="1"/>
  <c r="R54" i="1" s="1"/>
  <c r="S54" i="1" s="1"/>
  <c r="P40" i="1"/>
  <c r="J40" i="1"/>
  <c r="J39" i="1"/>
  <c r="P39" i="1"/>
  <c r="J38" i="1"/>
  <c r="P38" i="1"/>
  <c r="J37" i="1"/>
  <c r="P29" i="1"/>
  <c r="R29" i="1" s="1"/>
  <c r="S29" i="1" s="1"/>
  <c r="R211" i="1" l="1"/>
  <c r="S211" i="1" s="1"/>
  <c r="R214" i="1"/>
  <c r="S214" i="1" s="1"/>
  <c r="R39" i="1"/>
  <c r="S39" i="1" s="1"/>
  <c r="R233" i="1"/>
  <c r="S233" i="1" s="1"/>
  <c r="R212" i="1"/>
  <c r="S212" i="1" s="1"/>
  <c r="R38" i="1"/>
  <c r="S38" i="1" s="1"/>
  <c r="R40" i="1"/>
  <c r="S40" i="1" s="1"/>
  <c r="P37" i="1"/>
  <c r="R37" i="1" s="1"/>
  <c r="S37" i="1" s="1"/>
  <c r="P771" i="1"/>
  <c r="R771" i="1" s="1"/>
  <c r="S771" i="1" s="1"/>
  <c r="P1059" i="1" l="1"/>
  <c r="R1059" i="1" s="1"/>
  <c r="S1059" i="1" s="1"/>
  <c r="P604" i="1"/>
  <c r="R604" i="1" s="1"/>
  <c r="S604" i="1" s="1"/>
  <c r="P603" i="1"/>
  <c r="R603" i="1" s="1"/>
  <c r="S603" i="1" s="1"/>
  <c r="P402" i="1"/>
  <c r="R402" i="1" s="1"/>
  <c r="S402" i="1" s="1"/>
  <c r="P358" i="1"/>
  <c r="R358" i="1" s="1"/>
  <c r="S358" i="1" s="1"/>
  <c r="P618" i="1"/>
  <c r="R618" i="1" s="1"/>
  <c r="S618" i="1" s="1"/>
  <c r="P31" i="1"/>
  <c r="R31" i="1" s="1"/>
  <c r="S31" i="1" s="1"/>
  <c r="P1214" i="1" l="1"/>
  <c r="R1214" i="1" s="1"/>
  <c r="S1214" i="1" s="1"/>
  <c r="P941" i="1"/>
  <c r="R941" i="1" s="1"/>
  <c r="S941" i="1" s="1"/>
  <c r="P533" i="1"/>
  <c r="R533" i="1" s="1"/>
  <c r="S533" i="1" s="1"/>
  <c r="P1020" i="1"/>
  <c r="R1020" i="1" s="1"/>
  <c r="S1020" i="1" s="1"/>
  <c r="P1190" i="1" l="1"/>
  <c r="R1190" i="1" s="1"/>
  <c r="S1190" i="1" s="1"/>
  <c r="P942" i="1" l="1"/>
  <c r="R942" i="1" s="1"/>
  <c r="S942" i="1" s="1"/>
  <c r="P1189" i="1" l="1"/>
  <c r="R1189" i="1" s="1"/>
  <c r="S1189" i="1" s="1"/>
  <c r="P872" i="1"/>
  <c r="R872" i="1" s="1"/>
  <c r="S872" i="1" s="1"/>
  <c r="P117" i="1"/>
  <c r="R117" i="1" s="1"/>
  <c r="S117" i="1" s="1"/>
  <c r="P118" i="1"/>
  <c r="R118" i="1" s="1"/>
  <c r="S118" i="1" s="1"/>
  <c r="P891" i="1" l="1"/>
  <c r="R891" i="1" s="1"/>
  <c r="S891" i="1" s="1"/>
  <c r="P927" i="1"/>
  <c r="R927" i="1" s="1"/>
  <c r="S927" i="1" s="1"/>
  <c r="P850" i="1"/>
  <c r="R850" i="1" s="1"/>
  <c r="S850" i="1" s="1"/>
  <c r="P525" i="1"/>
  <c r="R525" i="1" s="1"/>
  <c r="S525" i="1" s="1"/>
  <c r="P394" i="1"/>
  <c r="R394" i="1" s="1"/>
  <c r="S394" i="1" s="1"/>
  <c r="P292" i="1"/>
  <c r="R292" i="1" s="1"/>
  <c r="S292" i="1" s="1"/>
  <c r="P140" i="1" l="1"/>
  <c r="R140" i="1" s="1"/>
  <c r="S140" i="1" s="1"/>
  <c r="P105" i="1"/>
  <c r="R105" i="1" s="1"/>
  <c r="S105" i="1" s="1"/>
  <c r="P95" i="1"/>
  <c r="R95" i="1" s="1"/>
  <c r="S95" i="1" s="1"/>
  <c r="P91" i="1"/>
  <c r="R91" i="1" s="1"/>
  <c r="S91" i="1" s="1"/>
  <c r="P333" i="1" l="1"/>
  <c r="R333" i="1" s="1"/>
  <c r="S333" i="1" s="1"/>
  <c r="R1042" i="1" l="1"/>
  <c r="S1042" i="1" s="1"/>
  <c r="P660" i="1" l="1"/>
  <c r="R660" i="1" s="1"/>
  <c r="S660" i="1" s="1"/>
  <c r="P244" i="1" l="1"/>
  <c r="R244" i="1" s="1"/>
  <c r="S244" i="1" s="1"/>
  <c r="P247" i="1"/>
  <c r="R247" i="1" s="1"/>
  <c r="S247" i="1" s="1"/>
  <c r="P716" i="1" l="1"/>
  <c r="R716" i="1" s="1"/>
  <c r="S716" i="1" s="1"/>
  <c r="P717" i="1"/>
  <c r="R717" i="1" s="1"/>
  <c r="S717" i="1" s="1"/>
  <c r="P718" i="1"/>
  <c r="R718" i="1" s="1"/>
  <c r="S718" i="1" s="1"/>
  <c r="P715" i="1"/>
  <c r="R715" i="1" s="1"/>
  <c r="S715" i="1" s="1"/>
  <c r="P898" i="1" l="1"/>
  <c r="J898" i="1"/>
  <c r="P808" i="1"/>
  <c r="R808" i="1" s="1"/>
  <c r="S808" i="1" s="1"/>
  <c r="J871" i="1"/>
  <c r="P871" i="1"/>
  <c r="P870" i="1"/>
  <c r="R870" i="1" s="1"/>
  <c r="S870" i="1" s="1"/>
  <c r="P1029" i="1"/>
  <c r="R1029" i="1" s="1"/>
  <c r="S1029" i="1" s="1"/>
  <c r="P411" i="1"/>
  <c r="R411" i="1" s="1"/>
  <c r="S411" i="1" s="1"/>
  <c r="P410" i="1"/>
  <c r="R410" i="1" s="1"/>
  <c r="S410" i="1" s="1"/>
  <c r="P409" i="1"/>
  <c r="R409" i="1" s="1"/>
  <c r="S409" i="1" s="1"/>
  <c r="J205" i="1"/>
  <c r="P205" i="1"/>
  <c r="P204" i="1"/>
  <c r="R204" i="1" s="1"/>
  <c r="S204" i="1" s="1"/>
  <c r="P103" i="1"/>
  <c r="R103" i="1" s="1"/>
  <c r="S103" i="1" s="1"/>
  <c r="P92" i="1"/>
  <c r="R92" i="1" s="1"/>
  <c r="S92" i="1" s="1"/>
  <c r="P89" i="1"/>
  <c r="R89" i="1" s="1"/>
  <c r="S89" i="1" s="1"/>
  <c r="P87" i="1"/>
  <c r="R87" i="1" s="1"/>
  <c r="S87" i="1" s="1"/>
  <c r="P70" i="1"/>
  <c r="R70" i="1" s="1"/>
  <c r="S70" i="1" s="1"/>
  <c r="P44" i="1"/>
  <c r="R44" i="1" s="1"/>
  <c r="S44" i="1" s="1"/>
  <c r="P623" i="1"/>
  <c r="R623" i="1" s="1"/>
  <c r="S623" i="1" s="1"/>
  <c r="P274" i="1"/>
  <c r="R274" i="1" s="1"/>
  <c r="S274" i="1" s="1"/>
  <c r="P275" i="1"/>
  <c r="R275" i="1" s="1"/>
  <c r="S275" i="1" s="1"/>
  <c r="J216" i="1"/>
  <c r="P216" i="1"/>
  <c r="P100" i="1"/>
  <c r="R100" i="1" s="1"/>
  <c r="S100" i="1" s="1"/>
  <c r="P99" i="1"/>
  <c r="R99" i="1" s="1"/>
  <c r="S99" i="1" s="1"/>
  <c r="P73" i="1"/>
  <c r="R73" i="1" s="1"/>
  <c r="S73" i="1" s="1"/>
  <c r="R871" i="1" l="1"/>
  <c r="S871" i="1" s="1"/>
  <c r="R898" i="1"/>
  <c r="S898" i="1" s="1"/>
  <c r="R205" i="1"/>
  <c r="S205" i="1" s="1"/>
  <c r="R216" i="1"/>
  <c r="S216" i="1" s="1"/>
  <c r="P586" i="1"/>
  <c r="J1172" i="1"/>
  <c r="P1172" i="1"/>
  <c r="P1222" i="1"/>
  <c r="R1222" i="1" s="1"/>
  <c r="S1222" i="1" s="1"/>
  <c r="P1219" i="1"/>
  <c r="R1219" i="1" s="1"/>
  <c r="S1219" i="1" s="1"/>
  <c r="P1216" i="1"/>
  <c r="R1216" i="1" s="1"/>
  <c r="S1216" i="1" s="1"/>
  <c r="P1212" i="1"/>
  <c r="J1212" i="1"/>
  <c r="P1211" i="1"/>
  <c r="J1211" i="1"/>
  <c r="P1210" i="1"/>
  <c r="J1210" i="1"/>
  <c r="P1209" i="1"/>
  <c r="J1209" i="1"/>
  <c r="P1208" i="1"/>
  <c r="R1208" i="1" s="1"/>
  <c r="S1208" i="1" s="1"/>
  <c r="P1207" i="1"/>
  <c r="J1207" i="1"/>
  <c r="P1206" i="1"/>
  <c r="J1206" i="1"/>
  <c r="P1205" i="1"/>
  <c r="J1205" i="1"/>
  <c r="P1204" i="1"/>
  <c r="J1204" i="1"/>
  <c r="P1202" i="1"/>
  <c r="R1202" i="1" s="1"/>
  <c r="S1202" i="1" s="1"/>
  <c r="P1201" i="1"/>
  <c r="R1201" i="1" s="1"/>
  <c r="S1201" i="1" s="1"/>
  <c r="P1200" i="1"/>
  <c r="R1200" i="1" s="1"/>
  <c r="S1200" i="1" s="1"/>
  <c r="P1199" i="1"/>
  <c r="R1199" i="1" s="1"/>
  <c r="S1199" i="1" s="1"/>
  <c r="P1197" i="1"/>
  <c r="R1197" i="1" s="1"/>
  <c r="S1197" i="1" s="1"/>
  <c r="P1196" i="1"/>
  <c r="R1196" i="1" s="1"/>
  <c r="S1196" i="1" s="1"/>
  <c r="P1195" i="1"/>
  <c r="R1195" i="1" s="1"/>
  <c r="S1195" i="1" s="1"/>
  <c r="P1192" i="1"/>
  <c r="R1192" i="1" s="1"/>
  <c r="S1192" i="1" s="1"/>
  <c r="P1191" i="1"/>
  <c r="R1191" i="1" s="1"/>
  <c r="S1191" i="1" s="1"/>
  <c r="P1185" i="1"/>
  <c r="J1185" i="1"/>
  <c r="P1184" i="1"/>
  <c r="J1184" i="1"/>
  <c r="P1183" i="1"/>
  <c r="J1183" i="1"/>
  <c r="P1182" i="1"/>
  <c r="J1182" i="1"/>
  <c r="P1181" i="1"/>
  <c r="J1181" i="1"/>
  <c r="P1179" i="1"/>
  <c r="R1179" i="1" s="1"/>
  <c r="S1179" i="1" s="1"/>
  <c r="S1178" i="1"/>
  <c r="P1176" i="1"/>
  <c r="J1176" i="1"/>
  <c r="P1175" i="1"/>
  <c r="J1175" i="1"/>
  <c r="P1168" i="1"/>
  <c r="R1168" i="1" s="1"/>
  <c r="S1168" i="1" s="1"/>
  <c r="S1167" i="1"/>
  <c r="P1165" i="1"/>
  <c r="R1165" i="1" s="1"/>
  <c r="S1165" i="1" s="1"/>
  <c r="P1164" i="1"/>
  <c r="R1164" i="1" s="1"/>
  <c r="S1164" i="1" s="1"/>
  <c r="P1163" i="1"/>
  <c r="J1163" i="1"/>
  <c r="P1162" i="1"/>
  <c r="J1162" i="1"/>
  <c r="P1160" i="1"/>
  <c r="R1160" i="1" s="1"/>
  <c r="S1160" i="1" s="1"/>
  <c r="P1159" i="1"/>
  <c r="R1159" i="1" s="1"/>
  <c r="S1159" i="1" s="1"/>
  <c r="P1157" i="1"/>
  <c r="R1157" i="1" s="1"/>
  <c r="S1157" i="1" s="1"/>
  <c r="P1156" i="1"/>
  <c r="R1156" i="1" s="1"/>
  <c r="S1156" i="1" s="1"/>
  <c r="P1155" i="1"/>
  <c r="R1155" i="1" s="1"/>
  <c r="S1155" i="1" s="1"/>
  <c r="P1151" i="1"/>
  <c r="J1151" i="1"/>
  <c r="P1148" i="1"/>
  <c r="J1148" i="1"/>
  <c r="P1147" i="1"/>
  <c r="J1147" i="1"/>
  <c r="P1146" i="1"/>
  <c r="R1146" i="1" s="1"/>
  <c r="S1146" i="1" s="1"/>
  <c r="P1145" i="1"/>
  <c r="R1145" i="1" s="1"/>
  <c r="S1145" i="1" s="1"/>
  <c r="J1144" i="1"/>
  <c r="P1144" i="1"/>
  <c r="J1143" i="1"/>
  <c r="P1143" i="1"/>
  <c r="P1141" i="1"/>
  <c r="R1141" i="1" s="1"/>
  <c r="S1141" i="1" s="1"/>
  <c r="P1139" i="1"/>
  <c r="R1139" i="1" s="1"/>
  <c r="S1139" i="1" s="1"/>
  <c r="P1138" i="1"/>
  <c r="R1138" i="1" s="1"/>
  <c r="S1138" i="1" s="1"/>
  <c r="P1135" i="1"/>
  <c r="R1135" i="1" s="1"/>
  <c r="S1135" i="1" s="1"/>
  <c r="P1134" i="1"/>
  <c r="R1134" i="1" s="1"/>
  <c r="S1134" i="1" s="1"/>
  <c r="P1132" i="1"/>
  <c r="R1132" i="1" s="1"/>
  <c r="S1132" i="1" s="1"/>
  <c r="P1131" i="1"/>
  <c r="R1131" i="1" s="1"/>
  <c r="S1131" i="1" s="1"/>
  <c r="P1130" i="1"/>
  <c r="R1130" i="1" s="1"/>
  <c r="S1130" i="1" s="1"/>
  <c r="P1129" i="1"/>
  <c r="R1129" i="1" s="1"/>
  <c r="S1129" i="1" s="1"/>
  <c r="P1128" i="1"/>
  <c r="R1128" i="1" s="1"/>
  <c r="S1128" i="1" s="1"/>
  <c r="P1125" i="1"/>
  <c r="R1125" i="1" s="1"/>
  <c r="S1125" i="1" s="1"/>
  <c r="P1122" i="1"/>
  <c r="R1122" i="1" s="1"/>
  <c r="S1122" i="1" s="1"/>
  <c r="P1119" i="1"/>
  <c r="R1119" i="1" s="1"/>
  <c r="S1119" i="1" s="1"/>
  <c r="P1118" i="1"/>
  <c r="R1118" i="1" s="1"/>
  <c r="S1118" i="1" s="1"/>
  <c r="P1117" i="1"/>
  <c r="R1117" i="1" s="1"/>
  <c r="S1117" i="1" s="1"/>
  <c r="P1115" i="1"/>
  <c r="J1115" i="1"/>
  <c r="P1114" i="1"/>
  <c r="J1114" i="1"/>
  <c r="P1113" i="1"/>
  <c r="J1113" i="1"/>
  <c r="P1111" i="1"/>
  <c r="R1111" i="1" s="1"/>
  <c r="S1111" i="1" s="1"/>
  <c r="P1109" i="1"/>
  <c r="R1109" i="1" s="1"/>
  <c r="S1109" i="1" s="1"/>
  <c r="P1108" i="1"/>
  <c r="R1108" i="1" s="1"/>
  <c r="S1108" i="1" s="1"/>
  <c r="P1105" i="1"/>
  <c r="R1105" i="1" s="1"/>
  <c r="S1105" i="1" s="1"/>
  <c r="P1103" i="1"/>
  <c r="R1103" i="1" s="1"/>
  <c r="S1103" i="1" s="1"/>
  <c r="P1101" i="1"/>
  <c r="R1101" i="1" s="1"/>
  <c r="S1101" i="1" s="1"/>
  <c r="P1100" i="1"/>
  <c r="R1100" i="1" s="1"/>
  <c r="S1100" i="1" s="1"/>
  <c r="P1099" i="1"/>
  <c r="R1099" i="1" s="1"/>
  <c r="S1099" i="1" s="1"/>
  <c r="P1098" i="1"/>
  <c r="R1098" i="1" s="1"/>
  <c r="S1098" i="1" s="1"/>
  <c r="P1095" i="1"/>
  <c r="J1095" i="1"/>
  <c r="P1094" i="1"/>
  <c r="J1094" i="1"/>
  <c r="J1093" i="1"/>
  <c r="P1093" i="1"/>
  <c r="P1092" i="1"/>
  <c r="J1092" i="1"/>
  <c r="P1091" i="1"/>
  <c r="R1091" i="1" s="1"/>
  <c r="S1091" i="1" s="1"/>
  <c r="P1090" i="1"/>
  <c r="J1090" i="1"/>
  <c r="P1088" i="1"/>
  <c r="J1088" i="1"/>
  <c r="J1086" i="1"/>
  <c r="P1086" i="1"/>
  <c r="P1085" i="1"/>
  <c r="J1085" i="1"/>
  <c r="P1084" i="1"/>
  <c r="J1084" i="1"/>
  <c r="P1082" i="1"/>
  <c r="R1082" i="1" s="1"/>
  <c r="S1082" i="1" s="1"/>
  <c r="P1081" i="1"/>
  <c r="J1081" i="1"/>
  <c r="P1080" i="1"/>
  <c r="J1080" i="1"/>
  <c r="P1079" i="1"/>
  <c r="J1079" i="1"/>
  <c r="P1078" i="1"/>
  <c r="J1078" i="1"/>
  <c r="P1077" i="1"/>
  <c r="J1077" i="1"/>
  <c r="P1076" i="1"/>
  <c r="J1076" i="1"/>
  <c r="P1075" i="1"/>
  <c r="J1075" i="1"/>
  <c r="P1074" i="1"/>
  <c r="J1074" i="1"/>
  <c r="P1071" i="1"/>
  <c r="R1071" i="1" s="1"/>
  <c r="S1071" i="1" s="1"/>
  <c r="P1070" i="1"/>
  <c r="R1070" i="1" s="1"/>
  <c r="S1070" i="1" s="1"/>
  <c r="P1069" i="1"/>
  <c r="R1069" i="1" s="1"/>
  <c r="S1069" i="1" s="1"/>
  <c r="P1068" i="1"/>
  <c r="R1068" i="1" s="1"/>
  <c r="S1068" i="1" s="1"/>
  <c r="P1067" i="1"/>
  <c r="R1067" i="1" s="1"/>
  <c r="S1067" i="1" s="1"/>
  <c r="P1066" i="1"/>
  <c r="R1066" i="1" s="1"/>
  <c r="S1066" i="1" s="1"/>
  <c r="P1065" i="1"/>
  <c r="R1065" i="1" s="1"/>
  <c r="S1065" i="1" s="1"/>
  <c r="P1064" i="1"/>
  <c r="R1064" i="1" s="1"/>
  <c r="S1064" i="1" s="1"/>
  <c r="P1063" i="1"/>
  <c r="R1063" i="1" s="1"/>
  <c r="S1063" i="1" s="1"/>
  <c r="P1061" i="1"/>
  <c r="J1061" i="1"/>
  <c r="P1058" i="1"/>
  <c r="R1058" i="1" s="1"/>
  <c r="S1058" i="1" s="1"/>
  <c r="P1057" i="1"/>
  <c r="R1057" i="1" s="1"/>
  <c r="S1057" i="1" s="1"/>
  <c r="P1056" i="1"/>
  <c r="R1056" i="1" s="1"/>
  <c r="S1056" i="1" s="1"/>
  <c r="P1053" i="1"/>
  <c r="J1053" i="1"/>
  <c r="P1051" i="1"/>
  <c r="R1051" i="1" s="1"/>
  <c r="S1051" i="1" s="1"/>
  <c r="P1050" i="1"/>
  <c r="R1050" i="1" s="1"/>
  <c r="S1050" i="1" s="1"/>
  <c r="P1046" i="1"/>
  <c r="J1046" i="1"/>
  <c r="P1045" i="1"/>
  <c r="J1045" i="1"/>
  <c r="P1043" i="1"/>
  <c r="R1043" i="1" s="1"/>
  <c r="S1043" i="1" s="1"/>
  <c r="P1040" i="1"/>
  <c r="J1040" i="1"/>
  <c r="P1039" i="1"/>
  <c r="J1039" i="1"/>
  <c r="P1036" i="1"/>
  <c r="J1036" i="1"/>
  <c r="P1035" i="1"/>
  <c r="J1035" i="1"/>
  <c r="P1034" i="1"/>
  <c r="R1034" i="1" s="1"/>
  <c r="S1034" i="1" s="1"/>
  <c r="P1033" i="1"/>
  <c r="R1033" i="1" s="1"/>
  <c r="S1033" i="1" s="1"/>
  <c r="P1032" i="1"/>
  <c r="J1032" i="1"/>
  <c r="P1031" i="1"/>
  <c r="J1031" i="1"/>
  <c r="P1027" i="1"/>
  <c r="R1027" i="1" s="1"/>
  <c r="S1027" i="1" s="1"/>
  <c r="P1023" i="1"/>
  <c r="R1023" i="1" s="1"/>
  <c r="S1023" i="1" s="1"/>
  <c r="P1019" i="1"/>
  <c r="R1019" i="1" s="1"/>
  <c r="S1019" i="1" s="1"/>
  <c r="P1013" i="1"/>
  <c r="R1013" i="1" s="1"/>
  <c r="S1013" i="1" s="1"/>
  <c r="P1012" i="1"/>
  <c r="J1012" i="1"/>
  <c r="P1011" i="1"/>
  <c r="J1011" i="1"/>
  <c r="P1008" i="1"/>
  <c r="R1008" i="1" s="1"/>
  <c r="S1008" i="1" s="1"/>
  <c r="P1006" i="1"/>
  <c r="R1006" i="1" s="1"/>
  <c r="S1006" i="1" s="1"/>
  <c r="P1000" i="1"/>
  <c r="J1000" i="1"/>
  <c r="P999" i="1"/>
  <c r="J999" i="1"/>
  <c r="P998" i="1"/>
  <c r="J998" i="1"/>
  <c r="P997" i="1"/>
  <c r="J997" i="1"/>
  <c r="P995" i="1"/>
  <c r="J995" i="1"/>
  <c r="P994" i="1"/>
  <c r="J994" i="1"/>
  <c r="P993" i="1"/>
  <c r="J993" i="1"/>
  <c r="J992" i="1"/>
  <c r="P992" i="1"/>
  <c r="P991" i="1"/>
  <c r="J991" i="1"/>
  <c r="P989" i="1"/>
  <c r="R989" i="1" s="1"/>
  <c r="S989" i="1" s="1"/>
  <c r="P988" i="1"/>
  <c r="R988" i="1" s="1"/>
  <c r="S988" i="1" s="1"/>
  <c r="P987" i="1"/>
  <c r="R987" i="1" s="1"/>
  <c r="S987" i="1" s="1"/>
  <c r="P985" i="1"/>
  <c r="R985" i="1" s="1"/>
  <c r="S985" i="1" s="1"/>
  <c r="P984" i="1"/>
  <c r="R984" i="1" s="1"/>
  <c r="S984" i="1" s="1"/>
  <c r="P983" i="1"/>
  <c r="R983" i="1" s="1"/>
  <c r="S983" i="1" s="1"/>
  <c r="P979" i="1"/>
  <c r="J979" i="1"/>
  <c r="P977" i="1"/>
  <c r="R977" i="1" s="1"/>
  <c r="S977" i="1" s="1"/>
  <c r="P973" i="1"/>
  <c r="R973" i="1" s="1"/>
  <c r="S973" i="1" s="1"/>
  <c r="P972" i="1"/>
  <c r="R972" i="1" s="1"/>
  <c r="S972" i="1" s="1"/>
  <c r="P971" i="1"/>
  <c r="R971" i="1" s="1"/>
  <c r="S971" i="1" s="1"/>
  <c r="P970" i="1"/>
  <c r="R970" i="1" s="1"/>
  <c r="S970" i="1" s="1"/>
  <c r="P969" i="1"/>
  <c r="R969" i="1" s="1"/>
  <c r="S969" i="1" s="1"/>
  <c r="P940" i="1"/>
  <c r="R940" i="1" s="1"/>
  <c r="S940" i="1" s="1"/>
  <c r="P939" i="1"/>
  <c r="R939" i="1" s="1"/>
  <c r="S939" i="1" s="1"/>
  <c r="P938" i="1"/>
  <c r="R938" i="1" s="1"/>
  <c r="S938" i="1" s="1"/>
  <c r="P937" i="1"/>
  <c r="R937" i="1" s="1"/>
  <c r="S937" i="1" s="1"/>
  <c r="P936" i="1"/>
  <c r="R936" i="1" s="1"/>
  <c r="S936" i="1" s="1"/>
  <c r="P935" i="1"/>
  <c r="R935" i="1" s="1"/>
  <c r="S935" i="1" s="1"/>
  <c r="P933" i="1"/>
  <c r="J933" i="1"/>
  <c r="P930" i="1"/>
  <c r="R930" i="1" s="1"/>
  <c r="S930" i="1" s="1"/>
  <c r="P928" i="1"/>
  <c r="R928" i="1" s="1"/>
  <c r="S928" i="1" s="1"/>
  <c r="P926" i="1"/>
  <c r="R926" i="1" s="1"/>
  <c r="S926" i="1" s="1"/>
  <c r="P911" i="1"/>
  <c r="R911" i="1" s="1"/>
  <c r="S911" i="1" s="1"/>
  <c r="P910" i="1"/>
  <c r="J910" i="1"/>
  <c r="P909" i="1"/>
  <c r="J909" i="1"/>
  <c r="P908" i="1"/>
  <c r="J908" i="1"/>
  <c r="P907" i="1"/>
  <c r="J907" i="1"/>
  <c r="P906" i="1"/>
  <c r="J906" i="1"/>
  <c r="P905" i="1"/>
  <c r="J905" i="1"/>
  <c r="P903" i="1"/>
  <c r="J903" i="1"/>
  <c r="P902" i="1"/>
  <c r="J902" i="1"/>
  <c r="J901" i="1"/>
  <c r="P901" i="1"/>
  <c r="J900" i="1"/>
  <c r="P900" i="1"/>
  <c r="P896" i="1"/>
  <c r="R896" i="1" s="1"/>
  <c r="S896" i="1" s="1"/>
  <c r="P895" i="1"/>
  <c r="R895" i="1" s="1"/>
  <c r="S895" i="1" s="1"/>
  <c r="P894" i="1"/>
  <c r="R894" i="1" s="1"/>
  <c r="S894" i="1" s="1"/>
  <c r="P893" i="1"/>
  <c r="R893" i="1" s="1"/>
  <c r="S893" i="1" s="1"/>
  <c r="P892" i="1"/>
  <c r="R892" i="1" s="1"/>
  <c r="S892" i="1" s="1"/>
  <c r="P890" i="1"/>
  <c r="R890" i="1" s="1"/>
  <c r="S890" i="1" s="1"/>
  <c r="P889" i="1"/>
  <c r="R889" i="1" s="1"/>
  <c r="S889" i="1" s="1"/>
  <c r="P888" i="1"/>
  <c r="R888" i="1" s="1"/>
  <c r="S888" i="1" s="1"/>
  <c r="P887" i="1"/>
  <c r="R887" i="1" s="1"/>
  <c r="S887" i="1" s="1"/>
  <c r="P886" i="1"/>
  <c r="R886" i="1" s="1"/>
  <c r="S886" i="1" s="1"/>
  <c r="P885" i="1"/>
  <c r="R885" i="1" s="1"/>
  <c r="S885" i="1" s="1"/>
  <c r="P884" i="1"/>
  <c r="R884" i="1" s="1"/>
  <c r="S884" i="1" s="1"/>
  <c r="P883" i="1"/>
  <c r="R883" i="1" s="1"/>
  <c r="S883" i="1" s="1"/>
  <c r="H879" i="1"/>
  <c r="P879" i="1" s="1"/>
  <c r="R879" i="1" s="1"/>
  <c r="S879" i="1" s="1"/>
  <c r="P875" i="1"/>
  <c r="J875" i="1"/>
  <c r="P873" i="1"/>
  <c r="R873" i="1" s="1"/>
  <c r="S873" i="1" s="1"/>
  <c r="P869" i="1"/>
  <c r="R869" i="1" s="1"/>
  <c r="S869" i="1" s="1"/>
  <c r="P868" i="1"/>
  <c r="R868" i="1" s="1"/>
  <c r="S868" i="1" s="1"/>
  <c r="P864" i="1"/>
  <c r="R864" i="1" s="1"/>
  <c r="S864" i="1" s="1"/>
  <c r="P862" i="1"/>
  <c r="R862" i="1" s="1"/>
  <c r="S862" i="1" s="1"/>
  <c r="P861" i="1"/>
  <c r="R861" i="1" s="1"/>
  <c r="S861" i="1" s="1"/>
  <c r="P859" i="1"/>
  <c r="J859" i="1"/>
  <c r="P857" i="1"/>
  <c r="J857" i="1"/>
  <c r="P856" i="1"/>
  <c r="R856" i="1" s="1"/>
  <c r="S856" i="1" s="1"/>
  <c r="P855" i="1"/>
  <c r="J855" i="1"/>
  <c r="P853" i="1"/>
  <c r="J853" i="1"/>
  <c r="P851" i="1"/>
  <c r="R851" i="1" s="1"/>
  <c r="S851" i="1" s="1"/>
  <c r="P849" i="1"/>
  <c r="R849" i="1" s="1"/>
  <c r="S849" i="1" s="1"/>
  <c r="P848" i="1"/>
  <c r="R848" i="1" s="1"/>
  <c r="S848" i="1" s="1"/>
  <c r="P847" i="1"/>
  <c r="R847" i="1" s="1"/>
  <c r="S847" i="1" s="1"/>
  <c r="P846" i="1"/>
  <c r="R846" i="1" s="1"/>
  <c r="S846" i="1" s="1"/>
  <c r="P845" i="1"/>
  <c r="R845" i="1" s="1"/>
  <c r="S845" i="1" s="1"/>
  <c r="P842" i="1"/>
  <c r="R842" i="1" s="1"/>
  <c r="S842" i="1" s="1"/>
  <c r="P841" i="1"/>
  <c r="R841" i="1" s="1"/>
  <c r="S841" i="1" s="1"/>
  <c r="P838" i="1"/>
  <c r="R838" i="1" s="1"/>
  <c r="S838" i="1" s="1"/>
  <c r="P837" i="1"/>
  <c r="R837" i="1" s="1"/>
  <c r="S837" i="1" s="1"/>
  <c r="P836" i="1"/>
  <c r="R836" i="1" s="1"/>
  <c r="S836" i="1" s="1"/>
  <c r="P835" i="1"/>
  <c r="R835" i="1" s="1"/>
  <c r="S835" i="1" s="1"/>
  <c r="P834" i="1"/>
  <c r="R834" i="1" s="1"/>
  <c r="S834" i="1" s="1"/>
  <c r="P830" i="1"/>
  <c r="R830" i="1" s="1"/>
  <c r="S830" i="1" s="1"/>
  <c r="P828" i="1"/>
  <c r="J828" i="1"/>
  <c r="P827" i="1"/>
  <c r="J827" i="1"/>
  <c r="P826" i="1"/>
  <c r="J826" i="1"/>
  <c r="P824" i="1"/>
  <c r="J824" i="1"/>
  <c r="P823" i="1"/>
  <c r="J823" i="1"/>
  <c r="P822" i="1"/>
  <c r="J822" i="1"/>
  <c r="P821" i="1"/>
  <c r="J821" i="1"/>
  <c r="P819" i="1"/>
  <c r="J819" i="1"/>
  <c r="J818" i="1"/>
  <c r="P818" i="1"/>
  <c r="P817" i="1"/>
  <c r="J817" i="1"/>
  <c r="P816" i="1"/>
  <c r="R816" i="1" s="1"/>
  <c r="S816" i="1" s="1"/>
  <c r="P814" i="1"/>
  <c r="J814" i="1"/>
  <c r="P813" i="1"/>
  <c r="J813" i="1"/>
  <c r="J812" i="1"/>
  <c r="P812" i="1"/>
  <c r="J811" i="1"/>
  <c r="P811" i="1"/>
  <c r="P810" i="1"/>
  <c r="J810" i="1"/>
  <c r="P809" i="1"/>
  <c r="J809" i="1"/>
  <c r="P807" i="1"/>
  <c r="J807" i="1"/>
  <c r="P804" i="1"/>
  <c r="R804" i="1" s="1"/>
  <c r="S804" i="1" s="1"/>
  <c r="P803" i="1"/>
  <c r="R803" i="1" s="1"/>
  <c r="S803" i="1" s="1"/>
  <c r="P802" i="1"/>
  <c r="R802" i="1" s="1"/>
  <c r="S802" i="1" s="1"/>
  <c r="P801" i="1"/>
  <c r="R801" i="1" s="1"/>
  <c r="S801" i="1" s="1"/>
  <c r="P799" i="1"/>
  <c r="R799" i="1" s="1"/>
  <c r="S799" i="1" s="1"/>
  <c r="P797" i="1"/>
  <c r="R797" i="1" s="1"/>
  <c r="S797" i="1" s="1"/>
  <c r="P790" i="1"/>
  <c r="R790" i="1" s="1"/>
  <c r="S790" i="1" s="1"/>
  <c r="P789" i="1"/>
  <c r="R789" i="1" s="1"/>
  <c r="S789" i="1" s="1"/>
  <c r="P787" i="1"/>
  <c r="R787" i="1" s="1"/>
  <c r="S787" i="1" s="1"/>
  <c r="P786" i="1"/>
  <c r="R786" i="1" s="1"/>
  <c r="S786" i="1" s="1"/>
  <c r="P785" i="1"/>
  <c r="R785" i="1" s="1"/>
  <c r="S785" i="1" s="1"/>
  <c r="P781" i="1"/>
  <c r="R781" i="1" s="1"/>
  <c r="S781" i="1" s="1"/>
  <c r="P779" i="1"/>
  <c r="J779" i="1"/>
  <c r="P774" i="1"/>
  <c r="J774" i="1"/>
  <c r="P773" i="1"/>
  <c r="J773" i="1"/>
  <c r="P770" i="1"/>
  <c r="R770" i="1" s="1"/>
  <c r="S770" i="1" s="1"/>
  <c r="P767" i="1"/>
  <c r="R767" i="1" s="1"/>
  <c r="S767" i="1" s="1"/>
  <c r="P765" i="1"/>
  <c r="J765" i="1"/>
  <c r="P764" i="1"/>
  <c r="P761" i="1"/>
  <c r="R761" i="1" s="1"/>
  <c r="S761" i="1" s="1"/>
  <c r="P759" i="1"/>
  <c r="R759" i="1" s="1"/>
  <c r="S759" i="1" s="1"/>
  <c r="P758" i="1"/>
  <c r="J758" i="1"/>
  <c r="P755" i="1"/>
  <c r="J755" i="1"/>
  <c r="P754" i="1"/>
  <c r="J754" i="1"/>
  <c r="P753" i="1"/>
  <c r="J753" i="1"/>
  <c r="P750" i="1"/>
  <c r="R750" i="1" s="1"/>
  <c r="S750" i="1" s="1"/>
  <c r="P747" i="1"/>
  <c r="J747" i="1"/>
  <c r="P746" i="1"/>
  <c r="J746" i="1"/>
  <c r="P744" i="1"/>
  <c r="R744" i="1" s="1"/>
  <c r="S744" i="1" s="1"/>
  <c r="P743" i="1"/>
  <c r="R743" i="1" s="1"/>
  <c r="S743" i="1" s="1"/>
  <c r="P742" i="1"/>
  <c r="R742" i="1" s="1"/>
  <c r="S742" i="1" s="1"/>
  <c r="P741" i="1"/>
  <c r="R741" i="1" s="1"/>
  <c r="S741" i="1" s="1"/>
  <c r="P740" i="1"/>
  <c r="R740" i="1" s="1"/>
  <c r="S740" i="1" s="1"/>
  <c r="P739" i="1"/>
  <c r="R739" i="1" s="1"/>
  <c r="S739" i="1" s="1"/>
  <c r="P735" i="1"/>
  <c r="R735" i="1" s="1"/>
  <c r="S735" i="1" s="1"/>
  <c r="P734" i="1"/>
  <c r="R734" i="1" s="1"/>
  <c r="S734" i="1" s="1"/>
  <c r="P732" i="1"/>
  <c r="R732" i="1" s="1"/>
  <c r="S732" i="1" s="1"/>
  <c r="P711" i="1"/>
  <c r="R711" i="1" s="1"/>
  <c r="S711" i="1" s="1"/>
  <c r="P709" i="1"/>
  <c r="J709" i="1"/>
  <c r="P708" i="1"/>
  <c r="R708" i="1" s="1"/>
  <c r="S708" i="1" s="1"/>
  <c r="P707" i="1"/>
  <c r="R707" i="1" s="1"/>
  <c r="S707" i="1" s="1"/>
  <c r="P706" i="1"/>
  <c r="R706" i="1" s="1"/>
  <c r="S706" i="1" s="1"/>
  <c r="P704" i="1"/>
  <c r="J704" i="1"/>
  <c r="P703" i="1"/>
  <c r="J703" i="1"/>
  <c r="P702" i="1"/>
  <c r="J702" i="1"/>
  <c r="P701" i="1"/>
  <c r="J701" i="1"/>
  <c r="J700" i="1"/>
  <c r="P700" i="1"/>
  <c r="P699" i="1"/>
  <c r="J699" i="1"/>
  <c r="P698" i="1"/>
  <c r="J698" i="1"/>
  <c r="P697" i="1"/>
  <c r="J697" i="1"/>
  <c r="P696" i="1"/>
  <c r="R696" i="1" s="1"/>
  <c r="S696" i="1" s="1"/>
  <c r="P695" i="1"/>
  <c r="J695" i="1"/>
  <c r="J694" i="1"/>
  <c r="P694" i="1"/>
  <c r="P692" i="1"/>
  <c r="J692" i="1"/>
  <c r="P691" i="1"/>
  <c r="J691" i="1"/>
  <c r="P690" i="1"/>
  <c r="J690" i="1"/>
  <c r="P688" i="1"/>
  <c r="J688" i="1"/>
  <c r="P683" i="1"/>
  <c r="J683" i="1"/>
  <c r="P680" i="1"/>
  <c r="J680" i="1"/>
  <c r="P679" i="1"/>
  <c r="J679" i="1"/>
  <c r="P676" i="1"/>
  <c r="J676" i="1"/>
  <c r="P675" i="1"/>
  <c r="J675" i="1"/>
  <c r="P674" i="1"/>
  <c r="R674" i="1" s="1"/>
  <c r="S674" i="1" s="1"/>
  <c r="P673" i="1"/>
  <c r="J673" i="1"/>
  <c r="P672" i="1"/>
  <c r="J672" i="1"/>
  <c r="P671" i="1"/>
  <c r="R671" i="1" s="1"/>
  <c r="S671" i="1" s="1"/>
  <c r="P669" i="1"/>
  <c r="R669" i="1" s="1"/>
  <c r="S669" i="1" s="1"/>
  <c r="P668" i="1"/>
  <c r="R668" i="1" s="1"/>
  <c r="S668" i="1" s="1"/>
  <c r="P667" i="1"/>
  <c r="R667" i="1" s="1"/>
  <c r="S667" i="1" s="1"/>
  <c r="P666" i="1"/>
  <c r="R666" i="1" s="1"/>
  <c r="S666" i="1" s="1"/>
  <c r="P664" i="1"/>
  <c r="R664" i="1" s="1"/>
  <c r="S664" i="1" s="1"/>
  <c r="P663" i="1"/>
  <c r="R663" i="1" s="1"/>
  <c r="S663" i="1" s="1"/>
  <c r="P662" i="1"/>
  <c r="R662" i="1" s="1"/>
  <c r="S662" i="1" s="1"/>
  <c r="P658" i="1"/>
  <c r="R658" i="1" s="1"/>
  <c r="S658" i="1" s="1"/>
  <c r="P657" i="1"/>
  <c r="R657" i="1" s="1"/>
  <c r="S657" i="1" s="1"/>
  <c r="P656" i="1"/>
  <c r="R656" i="1" s="1"/>
  <c r="S656" i="1" s="1"/>
  <c r="P655" i="1"/>
  <c r="R655" i="1" s="1"/>
  <c r="S655" i="1" s="1"/>
  <c r="P653" i="1"/>
  <c r="R653" i="1" s="1"/>
  <c r="S653" i="1" s="1"/>
  <c r="P652" i="1"/>
  <c r="R652" i="1" s="1"/>
  <c r="S652" i="1" s="1"/>
  <c r="P651" i="1"/>
  <c r="R651" i="1" s="1"/>
  <c r="S651" i="1" s="1"/>
  <c r="P650" i="1"/>
  <c r="R650" i="1" s="1"/>
  <c r="S650" i="1" s="1"/>
  <c r="P647" i="1"/>
  <c r="R647" i="1" s="1"/>
  <c r="S647" i="1" s="1"/>
  <c r="P646" i="1"/>
  <c r="R646" i="1" s="1"/>
  <c r="S646" i="1" s="1"/>
  <c r="P644" i="1"/>
  <c r="R644" i="1" s="1"/>
  <c r="S644" i="1" s="1"/>
  <c r="P643" i="1"/>
  <c r="R643" i="1" s="1"/>
  <c r="S643" i="1" s="1"/>
  <c r="P642" i="1"/>
  <c r="R642" i="1" s="1"/>
  <c r="S642" i="1" s="1"/>
  <c r="P641" i="1"/>
  <c r="R641" i="1" s="1"/>
  <c r="S641" i="1" s="1"/>
  <c r="P636" i="1"/>
  <c r="J636" i="1"/>
  <c r="P635" i="1"/>
  <c r="J635" i="1"/>
  <c r="P634" i="1"/>
  <c r="R634" i="1" s="1"/>
  <c r="S634" i="1" s="1"/>
  <c r="P633" i="1"/>
  <c r="R633" i="1" s="1"/>
  <c r="S633" i="1" s="1"/>
  <c r="P632" i="1"/>
  <c r="R632" i="1" s="1"/>
  <c r="S632" i="1" s="1"/>
  <c r="P631" i="1"/>
  <c r="J631" i="1"/>
  <c r="P630" i="1"/>
  <c r="R630" i="1" s="1"/>
  <c r="S630" i="1" s="1"/>
  <c r="P624" i="1"/>
  <c r="R624" i="1" s="1"/>
  <c r="S624" i="1" s="1"/>
  <c r="P622" i="1"/>
  <c r="R622" i="1" s="1"/>
  <c r="S622" i="1" s="1"/>
  <c r="P619" i="1"/>
  <c r="R619" i="1" s="1"/>
  <c r="S619" i="1" s="1"/>
  <c r="P617" i="1"/>
  <c r="R617" i="1" s="1"/>
  <c r="S617" i="1" s="1"/>
  <c r="P615" i="1"/>
  <c r="R615" i="1" s="1"/>
  <c r="S615" i="1" s="1"/>
  <c r="P614" i="1"/>
  <c r="R614" i="1" s="1"/>
  <c r="S614" i="1" s="1"/>
  <c r="P613" i="1"/>
  <c r="R613" i="1" s="1"/>
  <c r="S613" i="1" s="1"/>
  <c r="P611" i="1"/>
  <c r="R611" i="1" s="1"/>
  <c r="S611" i="1" s="1"/>
  <c r="P607" i="1"/>
  <c r="J607" i="1"/>
  <c r="P606" i="1"/>
  <c r="J606" i="1"/>
  <c r="P600" i="1"/>
  <c r="R600" i="1" s="1"/>
  <c r="S600" i="1" s="1"/>
  <c r="P599" i="1"/>
  <c r="R599" i="1" s="1"/>
  <c r="S599" i="1" s="1"/>
  <c r="J596" i="1"/>
  <c r="P596" i="1"/>
  <c r="J595" i="1"/>
  <c r="P595" i="1"/>
  <c r="P594" i="1"/>
  <c r="J594" i="1"/>
  <c r="P592" i="1"/>
  <c r="R592" i="1" s="1"/>
  <c r="S592" i="1" s="1"/>
  <c r="P591" i="1"/>
  <c r="R591" i="1" s="1"/>
  <c r="S591" i="1" s="1"/>
  <c r="P588" i="1"/>
  <c r="R588" i="1" s="1"/>
  <c r="S588" i="1" s="1"/>
  <c r="J587" i="1"/>
  <c r="P587" i="1"/>
  <c r="J586" i="1"/>
  <c r="J585" i="1"/>
  <c r="P585" i="1"/>
  <c r="P582" i="1"/>
  <c r="R582" i="1" s="1"/>
  <c r="S582" i="1" s="1"/>
  <c r="P581" i="1"/>
  <c r="R581" i="1" s="1"/>
  <c r="S581" i="1" s="1"/>
  <c r="P580" i="1"/>
  <c r="R580" i="1" s="1"/>
  <c r="S580" i="1" s="1"/>
  <c r="P579" i="1"/>
  <c r="R579" i="1" s="1"/>
  <c r="S579" i="1" s="1"/>
  <c r="P578" i="1"/>
  <c r="R578" i="1" s="1"/>
  <c r="S578" i="1" s="1"/>
  <c r="P574" i="1"/>
  <c r="R574" i="1" s="1"/>
  <c r="S574" i="1" s="1"/>
  <c r="J571" i="1"/>
  <c r="P571" i="1"/>
  <c r="P570" i="1"/>
  <c r="J570" i="1"/>
  <c r="P569" i="1"/>
  <c r="J569" i="1"/>
  <c r="P568" i="1"/>
  <c r="J568" i="1"/>
  <c r="P566" i="1"/>
  <c r="R566" i="1" s="1"/>
  <c r="S566" i="1" s="1"/>
  <c r="P565" i="1"/>
  <c r="R565" i="1" s="1"/>
  <c r="S565" i="1" s="1"/>
  <c r="P564" i="1"/>
  <c r="R564" i="1" s="1"/>
  <c r="S564" i="1" s="1"/>
  <c r="P563" i="1"/>
  <c r="R563" i="1" s="1"/>
  <c r="S563" i="1" s="1"/>
  <c r="P562" i="1"/>
  <c r="R562" i="1" s="1"/>
  <c r="S562" i="1" s="1"/>
  <c r="P561" i="1"/>
  <c r="R561" i="1" s="1"/>
  <c r="S561" i="1" s="1"/>
  <c r="P558" i="1"/>
  <c r="R558" i="1" s="1"/>
  <c r="S558" i="1" s="1"/>
  <c r="P555" i="1"/>
  <c r="R555" i="1" s="1"/>
  <c r="S555" i="1" s="1"/>
  <c r="P553" i="1"/>
  <c r="R553" i="1" s="1"/>
  <c r="S553" i="1" s="1"/>
  <c r="J550" i="1"/>
  <c r="P550" i="1"/>
  <c r="J549" i="1"/>
  <c r="P549" i="1"/>
  <c r="P548" i="1"/>
  <c r="J548" i="1"/>
  <c r="P546" i="1"/>
  <c r="J546" i="1"/>
  <c r="J543" i="1"/>
  <c r="P543" i="1"/>
  <c r="P542" i="1"/>
  <c r="J542" i="1"/>
  <c r="P541" i="1"/>
  <c r="J541" i="1"/>
  <c r="P539" i="1"/>
  <c r="J539" i="1"/>
  <c r="P538" i="1"/>
  <c r="J538" i="1"/>
  <c r="J537" i="1"/>
  <c r="P537" i="1"/>
  <c r="P536" i="1"/>
  <c r="J536" i="1"/>
  <c r="S535" i="1"/>
  <c r="P530" i="1"/>
  <c r="J530" i="1"/>
  <c r="P529" i="1"/>
  <c r="J529" i="1"/>
  <c r="J528" i="1"/>
  <c r="P528" i="1"/>
  <c r="P526" i="1"/>
  <c r="J526" i="1"/>
  <c r="P524" i="1"/>
  <c r="J524" i="1"/>
  <c r="P523" i="1"/>
  <c r="J523" i="1"/>
  <c r="P522" i="1"/>
  <c r="J522" i="1"/>
  <c r="P521" i="1"/>
  <c r="J521" i="1"/>
  <c r="P516" i="1"/>
  <c r="J516" i="1"/>
  <c r="P512" i="1"/>
  <c r="R512" i="1" s="1"/>
  <c r="S512" i="1" s="1"/>
  <c r="P509" i="1"/>
  <c r="J509" i="1"/>
  <c r="P508" i="1"/>
  <c r="J508" i="1"/>
  <c r="P507" i="1"/>
  <c r="J507" i="1"/>
  <c r="P501" i="1"/>
  <c r="J501" i="1"/>
  <c r="P500" i="1"/>
  <c r="J500" i="1"/>
  <c r="P498" i="1"/>
  <c r="R498" i="1" s="1"/>
  <c r="S498" i="1" s="1"/>
  <c r="P497" i="1"/>
  <c r="R497" i="1" s="1"/>
  <c r="S497" i="1" s="1"/>
  <c r="P496" i="1"/>
  <c r="R496" i="1" s="1"/>
  <c r="S496" i="1" s="1"/>
  <c r="P495" i="1"/>
  <c r="R495" i="1" s="1"/>
  <c r="S495" i="1" s="1"/>
  <c r="P494" i="1"/>
  <c r="R494" i="1" s="1"/>
  <c r="S494" i="1" s="1"/>
  <c r="P493" i="1"/>
  <c r="R493" i="1" s="1"/>
  <c r="S493" i="1" s="1"/>
  <c r="P492" i="1"/>
  <c r="R492" i="1" s="1"/>
  <c r="S492" i="1" s="1"/>
  <c r="P490" i="1"/>
  <c r="R490" i="1" s="1"/>
  <c r="S490" i="1" s="1"/>
  <c r="P489" i="1"/>
  <c r="R489" i="1" s="1"/>
  <c r="S489" i="1" s="1"/>
  <c r="P471" i="1"/>
  <c r="R471" i="1" s="1"/>
  <c r="S471" i="1" s="1"/>
  <c r="P470" i="1"/>
  <c r="R470" i="1" s="1"/>
  <c r="S470" i="1" s="1"/>
  <c r="P468" i="1"/>
  <c r="R468" i="1" s="1"/>
  <c r="S468" i="1" s="1"/>
  <c r="P467" i="1"/>
  <c r="R467" i="1" s="1"/>
  <c r="S467" i="1" s="1"/>
  <c r="P466" i="1"/>
  <c r="R466" i="1" s="1"/>
  <c r="S466" i="1" s="1"/>
  <c r="P465" i="1"/>
  <c r="R465" i="1" s="1"/>
  <c r="S465" i="1" s="1"/>
  <c r="P464" i="1"/>
  <c r="R464" i="1" s="1"/>
  <c r="S464" i="1" s="1"/>
  <c r="P461" i="1"/>
  <c r="R461" i="1" s="1"/>
  <c r="S461" i="1" s="1"/>
  <c r="P460" i="1"/>
  <c r="R460" i="1" s="1"/>
  <c r="S460" i="1" s="1"/>
  <c r="P458" i="1"/>
  <c r="R458" i="1" s="1"/>
  <c r="S458" i="1" s="1"/>
  <c r="P453" i="1"/>
  <c r="R453" i="1" s="1"/>
  <c r="S453" i="1" s="1"/>
  <c r="P451" i="1"/>
  <c r="J451" i="1"/>
  <c r="P446" i="1"/>
  <c r="J446" i="1"/>
  <c r="P445" i="1"/>
  <c r="J445" i="1"/>
  <c r="P442" i="1"/>
  <c r="J442" i="1"/>
  <c r="P441" i="1"/>
  <c r="J441" i="1"/>
  <c r="P440" i="1"/>
  <c r="J440" i="1"/>
  <c r="P439" i="1"/>
  <c r="J439" i="1"/>
  <c r="P437" i="1"/>
  <c r="R437" i="1" s="1"/>
  <c r="S437" i="1" s="1"/>
  <c r="P436" i="1"/>
  <c r="R436" i="1" s="1"/>
  <c r="S436" i="1" s="1"/>
  <c r="P435" i="1"/>
  <c r="R435" i="1" s="1"/>
  <c r="S435" i="1" s="1"/>
  <c r="P434" i="1"/>
  <c r="R434" i="1" s="1"/>
  <c r="S434" i="1" s="1"/>
  <c r="P433" i="1"/>
  <c r="R433" i="1" s="1"/>
  <c r="S433" i="1" s="1"/>
  <c r="P432" i="1"/>
  <c r="R432" i="1" s="1"/>
  <c r="S432" i="1" s="1"/>
  <c r="P428" i="1"/>
  <c r="R428" i="1" s="1"/>
  <c r="S428" i="1" s="1"/>
  <c r="P424" i="1"/>
  <c r="R424" i="1" s="1"/>
  <c r="S424" i="1" s="1"/>
  <c r="P422" i="1"/>
  <c r="R422" i="1" s="1"/>
  <c r="S422" i="1" s="1"/>
  <c r="P417" i="1"/>
  <c r="J417" i="1"/>
  <c r="P416" i="1"/>
  <c r="J416" i="1"/>
  <c r="P413" i="1"/>
  <c r="J413" i="1"/>
  <c r="P412" i="1"/>
  <c r="J412" i="1"/>
  <c r="P407" i="1"/>
  <c r="R407" i="1" s="1"/>
  <c r="S407" i="1" s="1"/>
  <c r="P406" i="1"/>
  <c r="R406" i="1" s="1"/>
  <c r="S406" i="1" s="1"/>
  <c r="P404" i="1"/>
  <c r="R404" i="1" s="1"/>
  <c r="S404" i="1" s="1"/>
  <c r="P403" i="1"/>
  <c r="R403" i="1" s="1"/>
  <c r="S403" i="1" s="1"/>
  <c r="P401" i="1"/>
  <c r="R401" i="1" s="1"/>
  <c r="S401" i="1" s="1"/>
  <c r="P399" i="1"/>
  <c r="R399" i="1" s="1"/>
  <c r="S399" i="1" s="1"/>
  <c r="P398" i="1"/>
  <c r="R398" i="1" s="1"/>
  <c r="S398" i="1" s="1"/>
  <c r="P397" i="1"/>
  <c r="R397" i="1" s="1"/>
  <c r="S397" i="1" s="1"/>
  <c r="P396" i="1"/>
  <c r="R396" i="1" s="1"/>
  <c r="S396" i="1" s="1"/>
  <c r="P395" i="1"/>
  <c r="R395" i="1" s="1"/>
  <c r="S395" i="1" s="1"/>
  <c r="P393" i="1"/>
  <c r="J393" i="1"/>
  <c r="P387" i="1"/>
  <c r="J387" i="1"/>
  <c r="P384" i="1"/>
  <c r="J384" i="1"/>
  <c r="P383" i="1"/>
  <c r="J383" i="1"/>
  <c r="P382" i="1"/>
  <c r="J382" i="1"/>
  <c r="P380" i="1"/>
  <c r="J380" i="1"/>
  <c r="P379" i="1"/>
  <c r="J379" i="1"/>
  <c r="P377" i="1"/>
  <c r="J377" i="1"/>
  <c r="P375" i="1"/>
  <c r="J375" i="1"/>
  <c r="P371" i="1"/>
  <c r="R371" i="1" s="1"/>
  <c r="S371" i="1" s="1"/>
  <c r="P368" i="1"/>
  <c r="R368" i="1" s="1"/>
  <c r="S368" i="1" s="1"/>
  <c r="P365" i="1"/>
  <c r="R365" i="1" s="1"/>
  <c r="S365" i="1" s="1"/>
  <c r="P361" i="1"/>
  <c r="J361" i="1"/>
  <c r="P360" i="1"/>
  <c r="J360" i="1"/>
  <c r="P357" i="1"/>
  <c r="R357" i="1" s="1"/>
  <c r="S357" i="1" s="1"/>
  <c r="P355" i="1"/>
  <c r="R355" i="1" s="1"/>
  <c r="S355" i="1" s="1"/>
  <c r="P354" i="1"/>
  <c r="R354" i="1" s="1"/>
  <c r="S354" i="1" s="1"/>
  <c r="P351" i="1"/>
  <c r="R351" i="1" s="1"/>
  <c r="S351" i="1" s="1"/>
  <c r="P348" i="1"/>
  <c r="J348" i="1"/>
  <c r="P347" i="1"/>
  <c r="J347" i="1"/>
  <c r="P345" i="1"/>
  <c r="J345" i="1"/>
  <c r="P343" i="1"/>
  <c r="R343" i="1" s="1"/>
  <c r="S343" i="1" s="1"/>
  <c r="P342" i="1"/>
  <c r="R342" i="1" s="1"/>
  <c r="S342" i="1" s="1"/>
  <c r="P341" i="1"/>
  <c r="R341" i="1" s="1"/>
  <c r="S341" i="1" s="1"/>
  <c r="P340" i="1"/>
  <c r="R340" i="1" s="1"/>
  <c r="S340" i="1" s="1"/>
  <c r="P337" i="1"/>
  <c r="J337" i="1"/>
  <c r="P336" i="1"/>
  <c r="J336" i="1"/>
  <c r="P334" i="1"/>
  <c r="R334" i="1" s="1"/>
  <c r="S334" i="1" s="1"/>
  <c r="P332" i="1"/>
  <c r="R332" i="1" s="1"/>
  <c r="S332" i="1" s="1"/>
  <c r="P328" i="1"/>
  <c r="J328" i="1"/>
  <c r="P327" i="1"/>
  <c r="R327" i="1" s="1"/>
  <c r="S327" i="1" s="1"/>
  <c r="P324" i="1"/>
  <c r="R324" i="1" s="1"/>
  <c r="S324" i="1" s="1"/>
  <c r="J322" i="1"/>
  <c r="P322" i="1"/>
  <c r="J321" i="1"/>
  <c r="J320" i="1"/>
  <c r="P320" i="1"/>
  <c r="P318" i="1"/>
  <c r="R318" i="1" s="1"/>
  <c r="S318" i="1" s="1"/>
  <c r="J317" i="1"/>
  <c r="H317" i="1"/>
  <c r="P317" i="1" s="1"/>
  <c r="P316" i="1"/>
  <c r="R316" i="1" s="1"/>
  <c r="S316" i="1" s="1"/>
  <c r="P315" i="1"/>
  <c r="R315" i="1" s="1"/>
  <c r="S315" i="1" s="1"/>
  <c r="P314" i="1"/>
  <c r="R314" i="1" s="1"/>
  <c r="S314" i="1" s="1"/>
  <c r="P313" i="1"/>
  <c r="R313" i="1" s="1"/>
  <c r="S313" i="1" s="1"/>
  <c r="P305" i="1"/>
  <c r="R305" i="1" s="1"/>
  <c r="S305" i="1" s="1"/>
  <c r="P304" i="1"/>
  <c r="R304" i="1" s="1"/>
  <c r="S304" i="1" s="1"/>
  <c r="P302" i="1"/>
  <c r="R302" i="1" s="1"/>
  <c r="S302" i="1" s="1"/>
  <c r="P299" i="1"/>
  <c r="R299" i="1" s="1"/>
  <c r="S299" i="1" s="1"/>
  <c r="P296" i="1"/>
  <c r="J296" i="1"/>
  <c r="P295" i="1"/>
  <c r="R295" i="1" s="1"/>
  <c r="S295" i="1" s="1"/>
  <c r="P294" i="1"/>
  <c r="J294" i="1"/>
  <c r="P291" i="1"/>
  <c r="R291" i="1" s="1"/>
  <c r="S291" i="1" s="1"/>
  <c r="P289" i="1"/>
  <c r="R289" i="1" s="1"/>
  <c r="S289" i="1" s="1"/>
  <c r="P287" i="1"/>
  <c r="R287" i="1" s="1"/>
  <c r="S287" i="1" s="1"/>
  <c r="P284" i="1"/>
  <c r="J284" i="1"/>
  <c r="P283" i="1"/>
  <c r="J283" i="1"/>
  <c r="J282" i="1"/>
  <c r="P282" i="1"/>
  <c r="J281" i="1"/>
  <c r="P281" i="1"/>
  <c r="P280" i="1"/>
  <c r="J280" i="1"/>
  <c r="P279" i="1"/>
  <c r="J279" i="1"/>
  <c r="P278" i="1"/>
  <c r="R278" i="1" s="1"/>
  <c r="S278" i="1" s="1"/>
  <c r="P277" i="1"/>
  <c r="R277" i="1" s="1"/>
  <c r="S277" i="1" s="1"/>
  <c r="P273" i="1"/>
  <c r="J273" i="1"/>
  <c r="P272" i="1"/>
  <c r="J272" i="1"/>
  <c r="P270" i="1"/>
  <c r="R270" i="1" s="1"/>
  <c r="S270" i="1" s="1"/>
  <c r="P269" i="1"/>
  <c r="R269" i="1" s="1"/>
  <c r="S269" i="1" s="1"/>
  <c r="P268" i="1"/>
  <c r="R268" i="1" s="1"/>
  <c r="S268" i="1" s="1"/>
  <c r="P267" i="1"/>
  <c r="R267" i="1" s="1"/>
  <c r="S267" i="1" s="1"/>
  <c r="P264" i="1"/>
  <c r="R264" i="1" s="1"/>
  <c r="S264" i="1" s="1"/>
  <c r="P262" i="1"/>
  <c r="R262" i="1" s="1"/>
  <c r="S262" i="1" s="1"/>
  <c r="P258" i="1"/>
  <c r="R258" i="1" s="1"/>
  <c r="S258" i="1" s="1"/>
  <c r="P254" i="1"/>
  <c r="R254" i="1" s="1"/>
  <c r="S254" i="1" s="1"/>
  <c r="J250" i="1"/>
  <c r="P250" i="1"/>
  <c r="P249" i="1"/>
  <c r="J249" i="1"/>
  <c r="P243" i="1"/>
  <c r="J243" i="1"/>
  <c r="P242" i="1"/>
  <c r="J242" i="1"/>
  <c r="P241" i="1"/>
  <c r="J241" i="1"/>
  <c r="P240" i="1"/>
  <c r="J240" i="1"/>
  <c r="J239" i="1"/>
  <c r="P239" i="1"/>
  <c r="P238" i="1"/>
  <c r="J238" i="1"/>
  <c r="P237" i="1"/>
  <c r="J237" i="1"/>
  <c r="P236" i="1"/>
  <c r="J236" i="1"/>
  <c r="P232" i="1"/>
  <c r="J232" i="1"/>
  <c r="P231" i="1"/>
  <c r="J231" i="1"/>
  <c r="P228" i="1"/>
  <c r="J228" i="1"/>
  <c r="P227" i="1"/>
  <c r="J227" i="1"/>
  <c r="P225" i="1"/>
  <c r="J225" i="1"/>
  <c r="P224" i="1"/>
  <c r="J224" i="1"/>
  <c r="P223" i="1"/>
  <c r="J223" i="1"/>
  <c r="P222" i="1"/>
  <c r="J222" i="1"/>
  <c r="J220" i="1"/>
  <c r="H220" i="1"/>
  <c r="P220" i="1" s="1"/>
  <c r="J219" i="1"/>
  <c r="H219" i="1"/>
  <c r="P219" i="1" s="1"/>
  <c r="P215" i="1"/>
  <c r="J215" i="1"/>
  <c r="P213" i="1"/>
  <c r="J213" i="1"/>
  <c r="P210" i="1"/>
  <c r="J210" i="1"/>
  <c r="P209" i="1"/>
  <c r="J209" i="1"/>
  <c r="J206" i="1"/>
  <c r="P206" i="1"/>
  <c r="P203" i="1"/>
  <c r="J203" i="1"/>
  <c r="J202" i="1"/>
  <c r="P202" i="1"/>
  <c r="P201" i="1"/>
  <c r="J201" i="1"/>
  <c r="P197" i="1"/>
  <c r="J197" i="1"/>
  <c r="J196" i="1"/>
  <c r="P196" i="1"/>
  <c r="P195" i="1"/>
  <c r="J195" i="1"/>
  <c r="P194" i="1"/>
  <c r="J194" i="1"/>
  <c r="J193" i="1"/>
  <c r="P193" i="1"/>
  <c r="J192" i="1"/>
  <c r="P191" i="1"/>
  <c r="J191" i="1"/>
  <c r="P190" i="1"/>
  <c r="J190" i="1"/>
  <c r="P185" i="1"/>
  <c r="R185" i="1" s="1"/>
  <c r="S185" i="1" s="1"/>
  <c r="P183" i="1"/>
  <c r="R183" i="1" s="1"/>
  <c r="S183" i="1" s="1"/>
  <c r="P181" i="1"/>
  <c r="J181" i="1"/>
  <c r="P180" i="1"/>
  <c r="R180" i="1" s="1"/>
  <c r="S180" i="1" s="1"/>
  <c r="P179" i="1"/>
  <c r="J179" i="1"/>
  <c r="P178" i="1"/>
  <c r="J178" i="1"/>
  <c r="P176" i="1"/>
  <c r="R176" i="1" s="1"/>
  <c r="S176" i="1" s="1"/>
  <c r="P175" i="1"/>
  <c r="R175" i="1" s="1"/>
  <c r="S175" i="1" s="1"/>
  <c r="P173" i="1"/>
  <c r="R173" i="1" s="1"/>
  <c r="S173" i="1" s="1"/>
  <c r="P172" i="1"/>
  <c r="R172" i="1" s="1"/>
  <c r="S172" i="1" s="1"/>
  <c r="P171" i="1"/>
  <c r="R171" i="1" s="1"/>
  <c r="S171" i="1" s="1"/>
  <c r="P170" i="1"/>
  <c r="R170" i="1" s="1"/>
  <c r="S170" i="1" s="1"/>
  <c r="P169" i="1"/>
  <c r="R169" i="1" s="1"/>
  <c r="S169" i="1" s="1"/>
  <c r="P168" i="1"/>
  <c r="R168" i="1" s="1"/>
  <c r="S168" i="1" s="1"/>
  <c r="P166" i="1"/>
  <c r="R166" i="1" s="1"/>
  <c r="S166" i="1" s="1"/>
  <c r="P161" i="1"/>
  <c r="J161" i="1"/>
  <c r="J160" i="1"/>
  <c r="P160" i="1"/>
  <c r="P159" i="1"/>
  <c r="J159" i="1"/>
  <c r="P158" i="1"/>
  <c r="J158" i="1"/>
  <c r="P156" i="1"/>
  <c r="R156" i="1" s="1"/>
  <c r="S156" i="1" s="1"/>
  <c r="P155" i="1"/>
  <c r="R155" i="1" s="1"/>
  <c r="S155" i="1" s="1"/>
  <c r="P154" i="1"/>
  <c r="R154" i="1" s="1"/>
  <c r="S154" i="1" s="1"/>
  <c r="P153" i="1"/>
  <c r="R153" i="1" s="1"/>
  <c r="S153" i="1" s="1"/>
  <c r="P149" i="1"/>
  <c r="J149" i="1"/>
  <c r="J147" i="1"/>
  <c r="P146" i="1"/>
  <c r="J146" i="1"/>
  <c r="J145" i="1"/>
  <c r="P145" i="1"/>
  <c r="J144" i="1"/>
  <c r="J143" i="1"/>
  <c r="P143" i="1"/>
  <c r="J142" i="1"/>
  <c r="P138" i="1"/>
  <c r="J138" i="1"/>
  <c r="P137" i="1"/>
  <c r="R137" i="1" s="1"/>
  <c r="S137" i="1" s="1"/>
  <c r="P136" i="1"/>
  <c r="R136" i="1" s="1"/>
  <c r="S136" i="1" s="1"/>
  <c r="P135" i="1"/>
  <c r="R135" i="1" s="1"/>
  <c r="S135" i="1" s="1"/>
  <c r="P134" i="1"/>
  <c r="R134" i="1" s="1"/>
  <c r="S134" i="1" s="1"/>
  <c r="P132" i="1"/>
  <c r="R132" i="1" s="1"/>
  <c r="S132" i="1" s="1"/>
  <c r="P131" i="1"/>
  <c r="R131" i="1" s="1"/>
  <c r="S131" i="1" s="1"/>
  <c r="P130" i="1"/>
  <c r="R130" i="1" s="1"/>
  <c r="S130" i="1" s="1"/>
  <c r="P129" i="1"/>
  <c r="R129" i="1" s="1"/>
  <c r="S129" i="1" s="1"/>
  <c r="P128" i="1"/>
  <c r="R128" i="1" s="1"/>
  <c r="S128" i="1" s="1"/>
  <c r="P127" i="1"/>
  <c r="R127" i="1" s="1"/>
  <c r="S127" i="1" s="1"/>
  <c r="P126" i="1"/>
  <c r="R126" i="1" s="1"/>
  <c r="S126" i="1" s="1"/>
  <c r="P125" i="1"/>
  <c r="R125" i="1" s="1"/>
  <c r="S125" i="1" s="1"/>
  <c r="P124" i="1"/>
  <c r="R124" i="1" s="1"/>
  <c r="S124" i="1" s="1"/>
  <c r="P120" i="1"/>
  <c r="R120" i="1" s="1"/>
  <c r="S120" i="1" s="1"/>
  <c r="P119" i="1"/>
  <c r="R119" i="1" s="1"/>
  <c r="S119" i="1" s="1"/>
  <c r="P114" i="1"/>
  <c r="R114" i="1" s="1"/>
  <c r="S114" i="1" s="1"/>
  <c r="P111" i="1"/>
  <c r="R111" i="1" s="1"/>
  <c r="S111" i="1" s="1"/>
  <c r="P109" i="1"/>
  <c r="R109" i="1" s="1"/>
  <c r="S109" i="1" s="1"/>
  <c r="P107" i="1"/>
  <c r="R107" i="1" s="1"/>
  <c r="S107" i="1" s="1"/>
  <c r="P106" i="1"/>
  <c r="R106" i="1" s="1"/>
  <c r="S106" i="1" s="1"/>
  <c r="P97" i="1"/>
  <c r="R97" i="1" s="1"/>
  <c r="S97" i="1" s="1"/>
  <c r="P93" i="1"/>
  <c r="R93" i="1" s="1"/>
  <c r="S93" i="1" s="1"/>
  <c r="P85" i="1"/>
  <c r="R85" i="1" s="1"/>
  <c r="S85" i="1" s="1"/>
  <c r="P83" i="1"/>
  <c r="R83" i="1" s="1"/>
  <c r="S83" i="1" s="1"/>
  <c r="P82" i="1"/>
  <c r="R82" i="1" s="1"/>
  <c r="S82" i="1" s="1"/>
  <c r="P81" i="1"/>
  <c r="R81" i="1" s="1"/>
  <c r="S81" i="1" s="1"/>
  <c r="P77" i="1"/>
  <c r="R77" i="1" s="1"/>
  <c r="S77" i="1" s="1"/>
  <c r="P76" i="1"/>
  <c r="R76" i="1" s="1"/>
  <c r="S76" i="1" s="1"/>
  <c r="P74" i="1"/>
  <c r="R74" i="1" s="1"/>
  <c r="S74" i="1" s="1"/>
  <c r="R71" i="1"/>
  <c r="S71" i="1" s="1"/>
  <c r="P68" i="1"/>
  <c r="R68" i="1" s="1"/>
  <c r="S68" i="1" s="1"/>
  <c r="P66" i="1"/>
  <c r="R66" i="1" s="1"/>
  <c r="S66" i="1" s="1"/>
  <c r="P65" i="1"/>
  <c r="R65" i="1" s="1"/>
  <c r="S65" i="1" s="1"/>
  <c r="P64" i="1"/>
  <c r="R64" i="1" s="1"/>
  <c r="S64" i="1" s="1"/>
  <c r="P57" i="1"/>
  <c r="R57" i="1" s="1"/>
  <c r="S57" i="1" s="1"/>
  <c r="P56" i="1"/>
  <c r="R56" i="1" s="1"/>
  <c r="S56" i="1" s="1"/>
  <c r="P55" i="1"/>
  <c r="R55" i="1" s="1"/>
  <c r="S55" i="1" s="1"/>
  <c r="J51" i="1"/>
  <c r="R51" i="1" s="1"/>
  <c r="S51" i="1" s="1"/>
  <c r="P50" i="1"/>
  <c r="J50" i="1"/>
  <c r="P49" i="1"/>
  <c r="J49" i="1"/>
  <c r="P47" i="1"/>
  <c r="J47" i="1"/>
  <c r="P45" i="1"/>
  <c r="R45" i="1" s="1"/>
  <c r="S45" i="1" s="1"/>
  <c r="P36" i="1"/>
  <c r="J36" i="1"/>
  <c r="P30" i="1"/>
  <c r="R30" i="1" s="1"/>
  <c r="S30" i="1" s="1"/>
  <c r="P28" i="1"/>
  <c r="R28" i="1" s="1"/>
  <c r="S28" i="1" s="1"/>
  <c r="P26" i="1"/>
  <c r="R26" i="1" s="1"/>
  <c r="S26" i="1" s="1"/>
  <c r="P23" i="1"/>
  <c r="R23" i="1" s="1"/>
  <c r="S23" i="1" s="1"/>
  <c r="P22" i="1"/>
  <c r="R22" i="1" s="1"/>
  <c r="S22" i="1" s="1"/>
  <c r="P21" i="1"/>
  <c r="R21" i="1" s="1"/>
  <c r="S21" i="1" s="1"/>
  <c r="P20" i="1"/>
  <c r="J20" i="1"/>
  <c r="P19" i="1"/>
  <c r="R19" i="1" s="1"/>
  <c r="S19" i="1" s="1"/>
  <c r="P18" i="1"/>
  <c r="J18" i="1"/>
  <c r="P17" i="1"/>
  <c r="R17" i="1" s="1"/>
  <c r="S17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38" i="1" l="1"/>
  <c r="S138" i="1" s="1"/>
  <c r="R1172" i="1"/>
  <c r="S1172" i="1" s="1"/>
  <c r="R586" i="1"/>
  <c r="S586" i="1" s="1"/>
  <c r="R1204" i="1"/>
  <c r="S1204" i="1" s="1"/>
  <c r="R1206" i="1"/>
  <c r="S1206" i="1" s="1"/>
  <c r="R1175" i="1"/>
  <c r="S1175" i="1" s="1"/>
  <c r="R1182" i="1"/>
  <c r="S1182" i="1" s="1"/>
  <c r="R1184" i="1"/>
  <c r="S1184" i="1" s="1"/>
  <c r="R1210" i="1"/>
  <c r="S1210" i="1" s="1"/>
  <c r="R1212" i="1"/>
  <c r="S1212" i="1" s="1"/>
  <c r="R1163" i="1"/>
  <c r="S1163" i="1" s="1"/>
  <c r="R1095" i="1"/>
  <c r="S1095" i="1" s="1"/>
  <c r="R1148" i="1"/>
  <c r="S1148" i="1" s="1"/>
  <c r="R1011" i="1"/>
  <c r="S1011" i="1" s="1"/>
  <c r="R1035" i="1"/>
  <c r="S1035" i="1" s="1"/>
  <c r="R1039" i="1"/>
  <c r="S1039" i="1" s="1"/>
  <c r="R607" i="1"/>
  <c r="S607" i="1" s="1"/>
  <c r="R635" i="1"/>
  <c r="S635" i="1" s="1"/>
  <c r="R746" i="1"/>
  <c r="S746" i="1" s="1"/>
  <c r="R859" i="1"/>
  <c r="S859" i="1" s="1"/>
  <c r="R900" i="1"/>
  <c r="S900" i="1" s="1"/>
  <c r="R537" i="1"/>
  <c r="S537" i="1" s="1"/>
  <c r="R549" i="1"/>
  <c r="S549" i="1" s="1"/>
  <c r="R587" i="1"/>
  <c r="S587" i="1" s="1"/>
  <c r="R594" i="1"/>
  <c r="S594" i="1" s="1"/>
  <c r="R606" i="1"/>
  <c r="S606" i="1" s="1"/>
  <c r="R636" i="1"/>
  <c r="S636" i="1" s="1"/>
  <c r="R1012" i="1"/>
  <c r="S1012" i="1" s="1"/>
  <c r="R1036" i="1"/>
  <c r="S1036" i="1" s="1"/>
  <c r="R672" i="1"/>
  <c r="S672" i="1" s="1"/>
  <c r="R906" i="1"/>
  <c r="S906" i="1" s="1"/>
  <c r="R215" i="1"/>
  <c r="S215" i="1" s="1"/>
  <c r="R322" i="1"/>
  <c r="S322" i="1" s="1"/>
  <c r="R691" i="1"/>
  <c r="S691" i="1" s="1"/>
  <c r="R439" i="1"/>
  <c r="S439" i="1" s="1"/>
  <c r="R440" i="1"/>
  <c r="S440" i="1" s="1"/>
  <c r="R442" i="1"/>
  <c r="S442" i="1" s="1"/>
  <c r="R446" i="1"/>
  <c r="S446" i="1" s="1"/>
  <c r="R692" i="1"/>
  <c r="S692" i="1" s="1"/>
  <c r="R317" i="1"/>
  <c r="S317" i="1" s="1"/>
  <c r="R360" i="1"/>
  <c r="S360" i="1" s="1"/>
  <c r="R814" i="1"/>
  <c r="S814" i="1" s="1"/>
  <c r="R145" i="1"/>
  <c r="S145" i="1" s="1"/>
  <c r="R239" i="1"/>
  <c r="S239" i="1" s="1"/>
  <c r="R242" i="1"/>
  <c r="S242" i="1" s="1"/>
  <c r="R249" i="1"/>
  <c r="S249" i="1" s="1"/>
  <c r="R375" i="1"/>
  <c r="S375" i="1" s="1"/>
  <c r="R522" i="1"/>
  <c r="S522" i="1" s="1"/>
  <c r="R524" i="1"/>
  <c r="S524" i="1" s="1"/>
  <c r="R213" i="1"/>
  <c r="S213" i="1" s="1"/>
  <c r="R441" i="1"/>
  <c r="S441" i="1" s="1"/>
  <c r="R445" i="1"/>
  <c r="S445" i="1" s="1"/>
  <c r="R451" i="1"/>
  <c r="S451" i="1" s="1"/>
  <c r="R758" i="1"/>
  <c r="S758" i="1" s="1"/>
  <c r="R764" i="1"/>
  <c r="S764" i="1" s="1"/>
  <c r="R774" i="1"/>
  <c r="S774" i="1" s="1"/>
  <c r="R811" i="1"/>
  <c r="S811" i="1" s="1"/>
  <c r="R818" i="1"/>
  <c r="S818" i="1" s="1"/>
  <c r="R857" i="1"/>
  <c r="S857" i="1" s="1"/>
  <c r="R158" i="1"/>
  <c r="S158" i="1" s="1"/>
  <c r="R149" i="1"/>
  <c r="S149" i="1" s="1"/>
  <c r="R159" i="1"/>
  <c r="S159" i="1" s="1"/>
  <c r="R210" i="1"/>
  <c r="S210" i="1" s="1"/>
  <c r="R220" i="1"/>
  <c r="S220" i="1" s="1"/>
  <c r="R250" i="1"/>
  <c r="S250" i="1" s="1"/>
  <c r="R379" i="1"/>
  <c r="S379" i="1" s="1"/>
  <c r="R521" i="1"/>
  <c r="S521" i="1" s="1"/>
  <c r="R523" i="1"/>
  <c r="S523" i="1" s="1"/>
  <c r="R526" i="1"/>
  <c r="S526" i="1" s="1"/>
  <c r="R543" i="1"/>
  <c r="S543" i="1" s="1"/>
  <c r="R550" i="1"/>
  <c r="S550" i="1" s="1"/>
  <c r="R812" i="1"/>
  <c r="S812" i="1" s="1"/>
  <c r="R1088" i="1"/>
  <c r="S1088" i="1" s="1"/>
  <c r="R18" i="1"/>
  <c r="S18" i="1" s="1"/>
  <c r="R195" i="1"/>
  <c r="S195" i="1" s="1"/>
  <c r="R197" i="1"/>
  <c r="S197" i="1" s="1"/>
  <c r="R222" i="1"/>
  <c r="S222" i="1" s="1"/>
  <c r="R224" i="1"/>
  <c r="S224" i="1" s="1"/>
  <c r="R585" i="1"/>
  <c r="S585" i="1" s="1"/>
  <c r="R755" i="1"/>
  <c r="S755" i="1" s="1"/>
  <c r="R773" i="1"/>
  <c r="S773" i="1" s="1"/>
  <c r="R779" i="1"/>
  <c r="S779" i="1" s="1"/>
  <c r="R821" i="1"/>
  <c r="S821" i="1" s="1"/>
  <c r="R826" i="1"/>
  <c r="S826" i="1" s="1"/>
  <c r="R905" i="1"/>
  <c r="S905" i="1" s="1"/>
  <c r="R907" i="1"/>
  <c r="S907" i="1" s="1"/>
  <c r="R909" i="1"/>
  <c r="S909" i="1" s="1"/>
  <c r="R979" i="1"/>
  <c r="S979" i="1" s="1"/>
  <c r="R993" i="1"/>
  <c r="S993" i="1" s="1"/>
  <c r="R997" i="1"/>
  <c r="S997" i="1" s="1"/>
  <c r="R1046" i="1"/>
  <c r="S1046" i="1" s="1"/>
  <c r="R1053" i="1"/>
  <c r="S1053" i="1" s="1"/>
  <c r="R1162" i="1"/>
  <c r="S1162" i="1" s="1"/>
  <c r="R1176" i="1"/>
  <c r="S1176" i="1" s="1"/>
  <c r="R1181" i="1"/>
  <c r="S1181" i="1" s="1"/>
  <c r="R1183" i="1"/>
  <c r="S1183" i="1" s="1"/>
  <c r="R1185" i="1"/>
  <c r="S1185" i="1" s="1"/>
  <c r="R673" i="1"/>
  <c r="S673" i="1" s="1"/>
  <c r="R747" i="1"/>
  <c r="S747" i="1" s="1"/>
  <c r="R754" i="1"/>
  <c r="S754" i="1" s="1"/>
  <c r="R901" i="1"/>
  <c r="S901" i="1" s="1"/>
  <c r="R1092" i="1"/>
  <c r="S1092" i="1" s="1"/>
  <c r="R1094" i="1"/>
  <c r="S1094" i="1" s="1"/>
  <c r="R1147" i="1"/>
  <c r="S1147" i="1" s="1"/>
  <c r="R194" i="1"/>
  <c r="S194" i="1" s="1"/>
  <c r="R201" i="1"/>
  <c r="S201" i="1" s="1"/>
  <c r="R219" i="1"/>
  <c r="S219" i="1" s="1"/>
  <c r="R223" i="1"/>
  <c r="S223" i="1" s="1"/>
  <c r="R225" i="1"/>
  <c r="S225" i="1" s="1"/>
  <c r="R282" i="1"/>
  <c r="S282" i="1" s="1"/>
  <c r="R294" i="1"/>
  <c r="S294" i="1" s="1"/>
  <c r="R516" i="1"/>
  <c r="S516" i="1" s="1"/>
  <c r="R700" i="1"/>
  <c r="S700" i="1" s="1"/>
  <c r="R822" i="1"/>
  <c r="S822" i="1" s="1"/>
  <c r="R908" i="1"/>
  <c r="S908" i="1" s="1"/>
  <c r="R910" i="1"/>
  <c r="S910" i="1" s="1"/>
  <c r="R994" i="1"/>
  <c r="S994" i="1" s="1"/>
  <c r="R998" i="1"/>
  <c r="S998" i="1" s="1"/>
  <c r="R1045" i="1"/>
  <c r="S1045" i="1" s="1"/>
  <c r="R20" i="1"/>
  <c r="S20" i="1" s="1"/>
  <c r="R49" i="1"/>
  <c r="S49" i="1" s="1"/>
  <c r="R146" i="1"/>
  <c r="S146" i="1" s="1"/>
  <c r="R160" i="1"/>
  <c r="S160" i="1" s="1"/>
  <c r="R179" i="1"/>
  <c r="S179" i="1" s="1"/>
  <c r="R190" i="1"/>
  <c r="S190" i="1" s="1"/>
  <c r="R193" i="1"/>
  <c r="S193" i="1" s="1"/>
  <c r="R202" i="1"/>
  <c r="S202" i="1" s="1"/>
  <c r="R206" i="1"/>
  <c r="S206" i="1" s="1"/>
  <c r="R209" i="1"/>
  <c r="S209" i="1" s="1"/>
  <c r="R227" i="1"/>
  <c r="S227" i="1" s="1"/>
  <c r="R232" i="1"/>
  <c r="S232" i="1" s="1"/>
  <c r="R237" i="1"/>
  <c r="S237" i="1" s="1"/>
  <c r="R280" i="1"/>
  <c r="S280" i="1" s="1"/>
  <c r="R284" i="1"/>
  <c r="S284" i="1" s="1"/>
  <c r="R320" i="1"/>
  <c r="S320" i="1" s="1"/>
  <c r="R345" i="1"/>
  <c r="S345" i="1" s="1"/>
  <c r="R348" i="1"/>
  <c r="S348" i="1" s="1"/>
  <c r="R380" i="1"/>
  <c r="S380" i="1" s="1"/>
  <c r="R384" i="1"/>
  <c r="S384" i="1" s="1"/>
  <c r="R393" i="1"/>
  <c r="S393" i="1" s="1"/>
  <c r="R412" i="1"/>
  <c r="S412" i="1" s="1"/>
  <c r="R416" i="1"/>
  <c r="S416" i="1" s="1"/>
  <c r="R528" i="1"/>
  <c r="S528" i="1" s="1"/>
  <c r="R530" i="1"/>
  <c r="S530" i="1" s="1"/>
  <c r="R536" i="1"/>
  <c r="S536" i="1" s="1"/>
  <c r="R548" i="1"/>
  <c r="S548" i="1" s="1"/>
  <c r="R569" i="1"/>
  <c r="S569" i="1" s="1"/>
  <c r="R596" i="1"/>
  <c r="S596" i="1" s="1"/>
  <c r="R679" i="1"/>
  <c r="S679" i="1" s="1"/>
  <c r="R683" i="1"/>
  <c r="S683" i="1" s="1"/>
  <c r="R688" i="1"/>
  <c r="S688" i="1" s="1"/>
  <c r="R694" i="1"/>
  <c r="S694" i="1" s="1"/>
  <c r="R698" i="1"/>
  <c r="S698" i="1" s="1"/>
  <c r="R702" i="1"/>
  <c r="S702" i="1" s="1"/>
  <c r="R704" i="1"/>
  <c r="S704" i="1" s="1"/>
  <c r="R809" i="1"/>
  <c r="S809" i="1" s="1"/>
  <c r="R827" i="1"/>
  <c r="S827" i="1" s="1"/>
  <c r="R853" i="1"/>
  <c r="S853" i="1" s="1"/>
  <c r="R903" i="1"/>
  <c r="S903" i="1" s="1"/>
  <c r="R992" i="1"/>
  <c r="S992" i="1" s="1"/>
  <c r="R999" i="1"/>
  <c r="S999" i="1" s="1"/>
  <c r="R1061" i="1"/>
  <c r="S1061" i="1" s="1"/>
  <c r="R1076" i="1"/>
  <c r="S1076" i="1" s="1"/>
  <c r="R1078" i="1"/>
  <c r="S1078" i="1" s="1"/>
  <c r="R1080" i="1"/>
  <c r="S1080" i="1" s="1"/>
  <c r="R1086" i="1"/>
  <c r="S1086" i="1" s="1"/>
  <c r="R1093" i="1"/>
  <c r="S1093" i="1" s="1"/>
  <c r="R1113" i="1"/>
  <c r="S1113" i="1" s="1"/>
  <c r="R1115" i="1"/>
  <c r="S1115" i="1" s="1"/>
  <c r="R1151" i="1"/>
  <c r="S1151" i="1" s="1"/>
  <c r="R1209" i="1"/>
  <c r="S1209" i="1" s="1"/>
  <c r="R1211" i="1"/>
  <c r="S1211" i="1" s="1"/>
  <c r="R1205" i="1"/>
  <c r="S1205" i="1" s="1"/>
  <c r="R1207" i="1"/>
  <c r="S1207" i="1" s="1"/>
  <c r="R50" i="1"/>
  <c r="S50" i="1" s="1"/>
  <c r="R143" i="1"/>
  <c r="S143" i="1" s="1"/>
  <c r="R178" i="1"/>
  <c r="S178" i="1" s="1"/>
  <c r="R191" i="1"/>
  <c r="S191" i="1" s="1"/>
  <c r="R196" i="1"/>
  <c r="S196" i="1" s="1"/>
  <c r="R228" i="1"/>
  <c r="S228" i="1" s="1"/>
  <c r="R231" i="1"/>
  <c r="S231" i="1" s="1"/>
  <c r="R236" i="1"/>
  <c r="S236" i="1" s="1"/>
  <c r="R238" i="1"/>
  <c r="S238" i="1" s="1"/>
  <c r="R279" i="1"/>
  <c r="S279" i="1" s="1"/>
  <c r="R283" i="1"/>
  <c r="S283" i="1" s="1"/>
  <c r="R347" i="1"/>
  <c r="S347" i="1" s="1"/>
  <c r="R387" i="1"/>
  <c r="S387" i="1" s="1"/>
  <c r="R413" i="1"/>
  <c r="S413" i="1" s="1"/>
  <c r="R417" i="1"/>
  <c r="S417" i="1" s="1"/>
  <c r="R500" i="1"/>
  <c r="S500" i="1" s="1"/>
  <c r="R501" i="1"/>
  <c r="S501" i="1" s="1"/>
  <c r="R546" i="1"/>
  <c r="S546" i="1" s="1"/>
  <c r="R568" i="1"/>
  <c r="S568" i="1" s="1"/>
  <c r="R570" i="1"/>
  <c r="S570" i="1" s="1"/>
  <c r="R680" i="1"/>
  <c r="S680" i="1" s="1"/>
  <c r="R690" i="1"/>
  <c r="S690" i="1" s="1"/>
  <c r="R697" i="1"/>
  <c r="S697" i="1" s="1"/>
  <c r="R699" i="1"/>
  <c r="S699" i="1" s="1"/>
  <c r="R701" i="1"/>
  <c r="S701" i="1" s="1"/>
  <c r="R753" i="1"/>
  <c r="S753" i="1" s="1"/>
  <c r="R810" i="1"/>
  <c r="S810" i="1" s="1"/>
  <c r="R817" i="1"/>
  <c r="S817" i="1" s="1"/>
  <c r="R819" i="1"/>
  <c r="S819" i="1" s="1"/>
  <c r="R902" i="1"/>
  <c r="S902" i="1" s="1"/>
  <c r="R1000" i="1"/>
  <c r="S1000" i="1" s="1"/>
  <c r="R1074" i="1"/>
  <c r="S1074" i="1" s="1"/>
  <c r="R1075" i="1"/>
  <c r="S1075" i="1" s="1"/>
  <c r="R1079" i="1"/>
  <c r="S1079" i="1" s="1"/>
  <c r="R1081" i="1"/>
  <c r="S1081" i="1" s="1"/>
  <c r="R1090" i="1"/>
  <c r="S1090" i="1" s="1"/>
  <c r="R1114" i="1"/>
  <c r="S1114" i="1" s="1"/>
  <c r="R1144" i="1"/>
  <c r="S1144" i="1" s="1"/>
  <c r="R933" i="1"/>
  <c r="S933" i="1" s="1"/>
  <c r="R161" i="1"/>
  <c r="S161" i="1" s="1"/>
  <c r="R538" i="1"/>
  <c r="S538" i="1" s="1"/>
  <c r="R541" i="1"/>
  <c r="S541" i="1" s="1"/>
  <c r="R695" i="1"/>
  <c r="S695" i="1" s="1"/>
  <c r="R272" i="1"/>
  <c r="S272" i="1" s="1"/>
  <c r="R1031" i="1"/>
  <c r="S1031" i="1" s="1"/>
  <c r="R1085" i="1"/>
  <c r="S1085" i="1" s="1"/>
  <c r="R377" i="1"/>
  <c r="S377" i="1" s="1"/>
  <c r="R529" i="1"/>
  <c r="S529" i="1" s="1"/>
  <c r="R36" i="1"/>
  <c r="S36" i="1" s="1"/>
  <c r="R181" i="1"/>
  <c r="S181" i="1" s="1"/>
  <c r="R203" i="1"/>
  <c r="S203" i="1" s="1"/>
  <c r="R382" i="1"/>
  <c r="S382" i="1" s="1"/>
  <c r="R539" i="1"/>
  <c r="S539" i="1" s="1"/>
  <c r="R542" i="1"/>
  <c r="S542" i="1" s="1"/>
  <c r="R240" i="1"/>
  <c r="S240" i="1" s="1"/>
  <c r="R241" i="1"/>
  <c r="S241" i="1" s="1"/>
  <c r="R243" i="1"/>
  <c r="S243" i="1" s="1"/>
  <c r="R273" i="1"/>
  <c r="S273" i="1" s="1"/>
  <c r="R296" i="1"/>
  <c r="S296" i="1" s="1"/>
  <c r="R361" i="1"/>
  <c r="S361" i="1" s="1"/>
  <c r="R507" i="1"/>
  <c r="S507" i="1" s="1"/>
  <c r="R509" i="1"/>
  <c r="S509" i="1" s="1"/>
  <c r="R807" i="1"/>
  <c r="S807" i="1" s="1"/>
  <c r="R823" i="1"/>
  <c r="S823" i="1" s="1"/>
  <c r="R991" i="1"/>
  <c r="S991" i="1" s="1"/>
  <c r="R1032" i="1"/>
  <c r="S1032" i="1" s="1"/>
  <c r="R1084" i="1"/>
  <c r="S1084" i="1" s="1"/>
  <c r="R328" i="1"/>
  <c r="S328" i="1" s="1"/>
  <c r="R508" i="1"/>
  <c r="S508" i="1" s="1"/>
  <c r="R631" i="1"/>
  <c r="S631" i="1" s="1"/>
  <c r="R703" i="1"/>
  <c r="S703" i="1" s="1"/>
  <c r="R813" i="1"/>
  <c r="S813" i="1" s="1"/>
  <c r="R824" i="1"/>
  <c r="S824" i="1" s="1"/>
  <c r="R828" i="1"/>
  <c r="S828" i="1" s="1"/>
  <c r="R855" i="1"/>
  <c r="S855" i="1" s="1"/>
  <c r="R1040" i="1"/>
  <c r="S1040" i="1" s="1"/>
  <c r="P192" i="1"/>
  <c r="R192" i="1" s="1"/>
  <c r="S192" i="1" s="1"/>
  <c r="R281" i="1"/>
  <c r="S281" i="1" s="1"/>
  <c r="P142" i="1"/>
  <c r="R142" i="1" s="1"/>
  <c r="S142" i="1" s="1"/>
  <c r="P321" i="1"/>
  <c r="R321" i="1" s="1"/>
  <c r="S321" i="1" s="1"/>
  <c r="R47" i="1"/>
  <c r="S47" i="1" s="1"/>
  <c r="P144" i="1"/>
  <c r="R144" i="1" s="1"/>
  <c r="S144" i="1" s="1"/>
  <c r="P147" i="1"/>
  <c r="R147" i="1" s="1"/>
  <c r="S147" i="1" s="1"/>
  <c r="R336" i="1"/>
  <c r="S336" i="1" s="1"/>
  <c r="R383" i="1"/>
  <c r="S383" i="1" s="1"/>
  <c r="P504" i="1"/>
  <c r="R504" i="1" s="1"/>
  <c r="S504" i="1" s="1"/>
  <c r="R595" i="1"/>
  <c r="S595" i="1" s="1"/>
  <c r="R337" i="1"/>
  <c r="S337" i="1" s="1"/>
  <c r="R571" i="1"/>
  <c r="S571" i="1" s="1"/>
  <c r="R676" i="1"/>
  <c r="S676" i="1" s="1"/>
  <c r="R675" i="1"/>
  <c r="S675" i="1" s="1"/>
  <c r="P796" i="1"/>
  <c r="R796" i="1" s="1"/>
  <c r="S796" i="1" s="1"/>
  <c r="R875" i="1"/>
  <c r="S875" i="1" s="1"/>
  <c r="R995" i="1"/>
  <c r="S995" i="1" s="1"/>
  <c r="R709" i="1"/>
  <c r="S709" i="1" s="1"/>
  <c r="R765" i="1"/>
  <c r="S765" i="1" s="1"/>
  <c r="R1143" i="1"/>
  <c r="S1143" i="1" s="1"/>
  <c r="R1077" i="1"/>
  <c r="S1077" i="1" s="1"/>
  <c r="P1133" i="1"/>
  <c r="R1133" i="1" s="1"/>
  <c r="S1133" i="1" s="1"/>
</calcChain>
</file>

<file path=xl/sharedStrings.xml><?xml version="1.0" encoding="utf-8"?>
<sst xmlns="http://schemas.openxmlformats.org/spreadsheetml/2006/main" count="7851" uniqueCount="1019">
  <si>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</si>
  <si>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</si>
  <si>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</si>
  <si>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</si>
  <si>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</si>
  <si>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</si>
  <si>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</si>
  <si>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</si>
  <si>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</si>
  <si>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</si>
  <si>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</si>
  <si>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</si>
  <si>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</si>
  <si>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</si>
  <si>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</si>
  <si>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</si>
  <si>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</si>
  <si>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</si>
  <si>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</si>
  <si>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</si>
  <si>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</si>
  <si>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</si>
  <si>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</si>
  <si>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</si>
  <si>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</si>
  <si>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</si>
  <si>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</si>
  <si>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</si>
  <si>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</si>
  <si>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</si>
  <si>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</si>
  <si>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</si>
  <si>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</si>
  <si>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</si>
  <si>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</si>
  <si>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</si>
  <si>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</si>
  <si>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</si>
  <si>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</si>
  <si>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</si>
  <si>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</si>
  <si>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</si>
  <si>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</si>
  <si>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</si>
  <si>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</si>
  <si>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</si>
  <si>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</si>
  <si>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</si>
  <si>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</si>
  <si>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</si>
  <si>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</si>
  <si>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</si>
  <si>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</si>
  <si>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</si>
  <si>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</si>
  <si>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</si>
  <si>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</si>
  <si>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</si>
  <si>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</si>
  <si>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</si>
  <si>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</si>
  <si>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</si>
  <si>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</si>
  <si>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</si>
  <si>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</si>
  <si>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</si>
  <si>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</si>
  <si>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</si>
  <si>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</si>
  <si>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</si>
  <si>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</si>
  <si>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</si>
  <si>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</si>
  <si>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</si>
  <si>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</si>
  <si>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</si>
  <si>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</si>
  <si>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</si>
  <si>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</si>
  <si>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</si>
  <si>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</si>
  <si>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</si>
  <si>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</si>
  <si>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</si>
  <si>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</si>
  <si>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</si>
  <si>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</si>
  <si>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</si>
  <si>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</si>
  <si>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</si>
  <si>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</si>
  <si>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</si>
  <si>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</si>
  <si>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</si>
  <si>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</si>
  <si>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</si>
  <si>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</si>
  <si>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</si>
  <si>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</si>
  <si>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</si>
  <si>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</si>
  <si>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</si>
  <si>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</si>
  <si>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</si>
  <si>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</si>
  <si>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</si>
  <si>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</si>
  <si>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</si>
  <si>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</si>
  <si>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</si>
  <si>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</si>
  <si>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</si>
  <si>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</si>
  <si>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</si>
  <si>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</si>
  <si>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</si>
  <si>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</si>
  <si>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</si>
  <si>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</si>
  <si>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</si>
  <si>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</si>
  <si>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</si>
  <si>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</si>
  <si>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</si>
  <si>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</si>
  <si>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</si>
  <si>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</si>
  <si>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</si>
  <si>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</si>
  <si>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</si>
  <si>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</si>
  <si>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</si>
  <si>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</si>
  <si>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</si>
  <si>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</si>
  <si>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</si>
  <si>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</si>
  <si>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</si>
  <si>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</si>
  <si>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</si>
  <si>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</si>
  <si>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</si>
  <si>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</si>
  <si>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</si>
  <si>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</si>
  <si>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</si>
  <si>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</si>
  <si>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</si>
  <si>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</si>
  <si>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</si>
  <si>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</si>
  <si>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</si>
  <si>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</si>
  <si>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</si>
  <si>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</si>
  <si>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</si>
  <si>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</si>
  <si>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</si>
  <si>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</si>
  <si>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</si>
  <si>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</si>
  <si>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</si>
  <si>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</si>
  <si>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</si>
  <si>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</si>
  <si>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</si>
  <si>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</si>
  <si>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</si>
  <si>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</si>
  <si>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</si>
  <si>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</si>
  <si>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</si>
  <si>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</si>
  <si>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</si>
  <si>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</si>
  <si>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</si>
  <si>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</si>
  <si>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</si>
  <si>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</si>
  <si>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</si>
  <si>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</si>
  <si>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</si>
  <si>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</si>
  <si>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</si>
  <si>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</si>
  <si>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</si>
  <si>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</si>
  <si>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</si>
  <si>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</si>
  <si>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</si>
  <si>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</si>
  <si>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</si>
  <si>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</si>
  <si>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</si>
  <si>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</si>
  <si>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</si>
  <si>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</si>
  <si>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</si>
  <si>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</si>
  <si>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</si>
  <si>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</si>
  <si>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</si>
  <si>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</si>
  <si>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</si>
  <si>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</si>
  <si>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</si>
  <si>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</si>
  <si>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</si>
  <si>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</si>
  <si>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</si>
  <si>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</si>
  <si>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</si>
  <si>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</si>
  <si>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</si>
  <si>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</si>
  <si>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</si>
  <si>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</si>
  <si>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</si>
  <si>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</si>
  <si>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</si>
  <si>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</si>
  <si>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</si>
  <si>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</si>
  <si>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</si>
  <si>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</si>
  <si>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</si>
  <si>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</si>
  <si>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</si>
  <si>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</si>
  <si>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</si>
  <si>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</si>
  <si>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</si>
  <si>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</si>
  <si>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</si>
  <si>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</si>
  <si>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</si>
  <si>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</si>
  <si>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</si>
  <si>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</si>
  <si>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</si>
  <si>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</si>
  <si>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</si>
  <si>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</si>
  <si>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</si>
  <si>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</si>
  <si>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</si>
  <si>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</si>
  <si>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</si>
  <si>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</si>
  <si>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</si>
  <si>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</si>
  <si>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</si>
  <si>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</si>
  <si>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</si>
  <si>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</si>
  <si>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</si>
  <si>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</si>
  <si>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</si>
  <si>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</si>
  <si>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</si>
  <si>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</si>
  <si>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</si>
  <si>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</si>
  <si>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</si>
  <si>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</si>
  <si>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</si>
  <si>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</si>
  <si>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</si>
  <si>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</si>
  <si>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</si>
  <si>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</si>
  <si>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</si>
  <si>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</si>
  <si>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</si>
  <si>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</si>
  <si>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</si>
  <si>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</si>
  <si>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</si>
  <si>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</si>
  <si>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</si>
  <si>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</si>
  <si>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</si>
  <si>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</si>
  <si>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</si>
  <si>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</si>
  <si>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</si>
  <si>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</si>
  <si>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</si>
  <si>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</si>
  <si>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</si>
  <si>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</si>
  <si>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</si>
  <si>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</si>
  <si>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</si>
  <si>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</si>
  <si>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</si>
  <si>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</si>
  <si>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</si>
  <si>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</si>
  <si>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</si>
  <si>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</si>
  <si>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</si>
  <si>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</si>
  <si>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</si>
  <si>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</si>
  <si>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</si>
  <si>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</si>
  <si>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</si>
  <si>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</si>
  <si>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</si>
  <si>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</si>
  <si>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</si>
  <si>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</si>
  <si>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</si>
  <si>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</si>
  <si>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</si>
  <si>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</si>
  <si>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</si>
  <si>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</si>
  <si>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</si>
  <si>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</si>
  <si>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</si>
  <si>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</si>
  <si>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</si>
  <si>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</si>
  <si>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</si>
  <si>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</si>
  <si>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</si>
  <si>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</si>
  <si>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</si>
  <si>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</si>
  <si>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</si>
  <si>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</si>
  <si>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</si>
  <si>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</si>
  <si>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</si>
  <si>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</si>
  <si>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</si>
  <si>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</si>
  <si>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</si>
  <si>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</si>
  <si>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</si>
  <si>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</si>
  <si>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</si>
  <si>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</si>
  <si>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</si>
  <si>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</si>
  <si>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</si>
  <si>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</si>
  <si>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</si>
  <si>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</si>
  <si>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</si>
  <si>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</si>
  <si>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</si>
  <si>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</si>
  <si>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</si>
  <si>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</si>
  <si>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</si>
  <si>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</si>
  <si>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</si>
  <si>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</si>
  <si>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</si>
  <si>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</si>
  <si>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</si>
  <si>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</si>
  <si>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</si>
  <si>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</si>
  <si>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</si>
  <si>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</si>
  <si>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</si>
  <si>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</si>
  <si>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</si>
  <si>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</si>
  <si>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</si>
  <si>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</si>
  <si>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</si>
  <si>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</si>
  <si>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</si>
  <si>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</si>
  <si>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</si>
  <si>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</si>
  <si>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</si>
  <si>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</si>
  <si>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</si>
  <si>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</si>
  <si>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</si>
  <si>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</si>
  <si>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</si>
  <si>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</si>
  <si>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</si>
  <si>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</si>
  <si>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</si>
  <si>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</si>
  <si>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</si>
  <si>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</si>
  <si>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</si>
  <si>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</si>
  <si>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</si>
  <si>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</si>
  <si>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</si>
  <si>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</si>
  <si>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</si>
  <si>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</si>
  <si>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</si>
  <si>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</si>
  <si>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</si>
  <si>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</si>
  <si>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</si>
  <si>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</si>
  <si>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</si>
  <si>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</si>
  <si>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</si>
  <si>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</si>
  <si>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</si>
  <si>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</si>
  <si>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</si>
  <si>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</si>
  <si>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</si>
  <si>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</si>
  <si>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</si>
  <si>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</si>
  <si>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</si>
  <si>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</si>
  <si>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</si>
  <si>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</si>
  <si>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</si>
  <si>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</si>
  <si>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</si>
  <si>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</si>
  <si>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</si>
  <si>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</si>
  <si>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</si>
  <si>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</si>
  <si>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</si>
  <si>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</si>
  <si>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</si>
  <si>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</si>
  <si>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</si>
  <si>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</si>
  <si>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</si>
  <si>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</si>
  <si>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</si>
  <si>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</si>
  <si>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</si>
  <si>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</si>
  <si>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</si>
  <si>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</si>
  <si>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</si>
  <si>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</si>
  <si>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</si>
  <si>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</si>
  <si>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</si>
  <si>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</si>
  <si>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</si>
  <si>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</si>
  <si>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</si>
  <si>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</si>
  <si>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</si>
  <si>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</si>
  <si>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</si>
  <si>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</si>
  <si>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</si>
  <si>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</si>
  <si>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</si>
  <si>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</si>
  <si>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</si>
  <si>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</si>
  <si>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</si>
  <si>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</si>
  <si>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</si>
  <si>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</si>
  <si>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</si>
  <si>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</si>
  <si>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</si>
  <si>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</si>
  <si>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</si>
  <si>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</si>
  <si>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</si>
  <si>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</si>
  <si>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</si>
  <si>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</si>
  <si>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</si>
  <si>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</si>
  <si>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</si>
  <si>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</si>
  <si>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</si>
  <si>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</si>
  <si>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</si>
  <si>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</si>
  <si>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</si>
  <si>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</si>
  <si>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</si>
  <si>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</si>
  <si>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</si>
  <si>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</si>
  <si>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</si>
  <si>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</si>
  <si>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</si>
  <si>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</si>
  <si>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</si>
  <si>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</si>
  <si>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</si>
  <si>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</si>
  <si>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</si>
  <si>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</si>
  <si>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</si>
  <si>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</si>
  <si>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</si>
  <si>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</si>
  <si>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</si>
  <si>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</si>
  <si>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</si>
  <si>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</si>
  <si>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</si>
  <si>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</si>
  <si>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</si>
  <si>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</si>
  <si>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</si>
  <si>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</si>
  <si>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</si>
  <si>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</si>
  <si>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</si>
  <si>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</si>
  <si>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</si>
  <si>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</si>
  <si>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</si>
  <si>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</si>
  <si>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</si>
  <si>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</si>
  <si>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</si>
  <si>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</si>
  <si>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</si>
  <si>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</si>
  <si>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</si>
  <si>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</si>
  <si>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</si>
  <si>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</si>
  <si>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</si>
  <si>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</si>
  <si>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</si>
  <si>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</si>
  <si>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</si>
  <si>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</si>
  <si>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</si>
  <si>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</si>
  <si>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</si>
  <si>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</si>
  <si>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</si>
  <si>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</si>
  <si>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</si>
  <si>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</si>
  <si>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</si>
  <si>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</si>
  <si>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</si>
  <si>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</si>
  <si>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</si>
  <si>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</si>
  <si>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</si>
  <si>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</si>
  <si>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</si>
  <si>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</si>
  <si>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</si>
  <si>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</si>
  <si>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</si>
  <si>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</si>
  <si>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</si>
  <si>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</si>
  <si>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</si>
  <si>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</si>
  <si>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</si>
  <si>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</si>
  <si>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</si>
  <si>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</si>
  <si>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</si>
  <si>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</si>
  <si>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</si>
  <si>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</si>
  <si>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</si>
  <si>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</si>
  <si>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</si>
  <si>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</si>
  <si>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</si>
  <si>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</si>
  <si>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</si>
  <si>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</si>
  <si>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</si>
  <si>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</si>
  <si>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</si>
  <si>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</si>
  <si>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</si>
  <si>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</si>
  <si>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</si>
  <si>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</si>
  <si>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</si>
  <si>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</si>
  <si>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</si>
  <si>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</si>
  <si>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</si>
  <si>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</si>
  <si>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</si>
  <si>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</si>
  <si>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</si>
  <si>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</si>
  <si>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</si>
  <si>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</si>
  <si>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</si>
  <si>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</si>
  <si>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</si>
  <si>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</si>
  <si>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</si>
  <si>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</si>
  <si>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</si>
  <si>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</si>
  <si>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</si>
  <si>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</si>
  <si>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</si>
  <si>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</si>
  <si>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</si>
  <si>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</si>
  <si>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</si>
  <si>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</si>
  <si>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</si>
  <si>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</si>
  <si>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</si>
  <si>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</si>
  <si>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</si>
  <si>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</si>
  <si>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</si>
  <si>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</si>
  <si>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</si>
  <si>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</si>
  <si>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</si>
  <si>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</si>
  <si>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</si>
  <si>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</si>
  <si>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</si>
  <si>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</si>
  <si>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</si>
  <si>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</si>
  <si>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</si>
  <si>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</si>
  <si>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</si>
  <si>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</si>
  <si>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</si>
  <si>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</si>
  <si>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</si>
  <si>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</si>
  <si>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</si>
  <si>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</si>
  <si>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</si>
  <si>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</si>
  <si>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</si>
  <si>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</si>
  <si>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</si>
  <si>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</si>
  <si>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</si>
  <si>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</si>
  <si>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</si>
  <si>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</si>
  <si>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</si>
  <si>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</si>
  <si>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</si>
  <si>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</si>
  <si>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</si>
  <si>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</si>
  <si>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</si>
  <si>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</si>
  <si>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</si>
  <si>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</si>
  <si>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</si>
  <si>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</si>
  <si>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</si>
  <si>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</si>
  <si>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</si>
  <si>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</si>
  <si>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</si>
  <si>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</si>
  <si>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</si>
  <si>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</si>
  <si>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</si>
  <si>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</si>
  <si>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</si>
  <si>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</si>
  <si>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</si>
  <si>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</si>
  <si>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</si>
  <si>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</si>
  <si>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</si>
  <si>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</si>
  <si>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</si>
  <si>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</si>
  <si>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</si>
  <si>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</si>
  <si>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</si>
  <si>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</si>
  <si>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</si>
  <si>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</si>
  <si>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</si>
  <si>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</si>
  <si>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</si>
  <si>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</si>
  <si>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</si>
  <si>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</si>
  <si>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</si>
  <si>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</si>
  <si>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</si>
  <si>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</si>
  <si>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</si>
  <si>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</si>
  <si>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</si>
  <si>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</si>
  <si>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</si>
  <si>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</si>
  <si>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</si>
  <si>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</si>
  <si>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</si>
  <si>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</si>
  <si>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</si>
  <si>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</si>
  <si>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</si>
  <si>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</si>
  <si>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</si>
  <si>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</si>
  <si>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</si>
  <si>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</si>
  <si>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</si>
  <si>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</si>
  <si>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</si>
  <si>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</si>
  <si>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</si>
  <si>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</si>
  <si>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</si>
  <si>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</si>
  <si>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</si>
  <si>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</si>
  <si>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</si>
  <si>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</si>
  <si>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</si>
  <si>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</si>
  <si>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</si>
  <si>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</si>
  <si>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</si>
  <si>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</si>
  <si>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</si>
  <si>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</si>
  <si>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</si>
  <si>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</si>
  <si>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</si>
  <si>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</si>
  <si>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</si>
  <si>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</si>
  <si>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</si>
  <si>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</si>
  <si>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</si>
  <si>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</si>
  <si>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</si>
  <si>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</si>
  <si>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</si>
  <si>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</si>
  <si>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</si>
  <si>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</si>
  <si>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</si>
  <si>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</si>
  <si>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</si>
  <si>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</si>
  <si>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</si>
  <si>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</si>
  <si>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</si>
  <si>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</si>
  <si>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</si>
  <si>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</si>
  <si>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</si>
  <si>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</si>
  <si>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</si>
  <si>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</si>
  <si>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</si>
  <si>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</si>
  <si>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</si>
  <si>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</si>
  <si>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</si>
  <si>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</si>
  <si>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</si>
  <si>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</si>
  <si>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</si>
  <si>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</si>
  <si>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</si>
  <si>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</si>
  <si>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</si>
  <si>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</si>
  <si>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</si>
  <si>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</si>
  <si>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</si>
  <si>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</si>
  <si>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</si>
  <si>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</si>
  <si>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</si>
  <si>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</si>
  <si>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</si>
  <si>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</si>
  <si>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</si>
  <si>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</si>
  <si>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</si>
  <si>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ISI STAPLER (STAPLES) SDI 1204 NO. 3</t>
  </si>
  <si>
    <t>PENSIL WARNA JOYKO CP-104 (24W)</t>
  </si>
  <si>
    <t>Stok 2023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</si>
  <si>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</si>
  <si>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</si>
  <si>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</si>
  <si>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</si>
  <si>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</si>
  <si>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</si>
  <si>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</si>
  <si>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</si>
  <si>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</si>
  <si>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</si>
  <si>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</si>
  <si>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</si>
  <si>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</si>
  <si>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</si>
  <si>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</si>
  <si>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</si>
  <si>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</si>
  <si>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</si>
  <si>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</si>
  <si>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</si>
  <si>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</si>
  <si>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</si>
  <si>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</si>
  <si>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</si>
  <si>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</si>
  <si>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</si>
  <si>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</si>
  <si>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</si>
  <si>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</si>
  <si>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</si>
  <si>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</si>
  <si>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</si>
  <si>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</si>
  <si>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</si>
  <si>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</si>
  <si>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</si>
  <si>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</si>
  <si>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</si>
  <si>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</si>
  <si>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</si>
  <si>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</si>
  <si>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</si>
  <si>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</si>
  <si>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</si>
  <si>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</si>
  <si>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</si>
  <si>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</si>
  <si>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</si>
  <si>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</si>
  <si>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</si>
  <si>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</si>
  <si>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</si>
  <si>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</si>
  <si>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</si>
  <si>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</si>
  <si>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</si>
  <si>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</si>
  <si>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</si>
  <si>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</si>
  <si>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</si>
  <si>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</si>
  <si>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</si>
  <si>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</si>
  <si>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</si>
  <si>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</si>
  <si>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</si>
  <si>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</si>
  <si>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</si>
  <si>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</si>
  <si>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</si>
  <si>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</si>
  <si>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</si>
  <si>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</si>
  <si>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</si>
  <si>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</si>
  <si>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</si>
  <si>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</si>
  <si>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</si>
  <si>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</si>
  <si>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</si>
  <si>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</si>
  <si>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</si>
  <si>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</si>
  <si>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</si>
  <si>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</si>
  <si>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</si>
  <si>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</si>
  <si>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</si>
  <si>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</si>
  <si>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</si>
  <si>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</si>
  <si>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</si>
  <si>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</si>
  <si>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</si>
  <si>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</si>
  <si>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</si>
  <si>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</si>
  <si>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</si>
  <si>
    <t>BUKU TAMU KENKO BT-3224-01/02 (BUNGA/KEMBANG)</t>
  </si>
  <si>
    <r>
      <t xml:space="preserve">ISI CUTTER 18 MM JOYKO L-150 AM/MH (BESAR) </t>
    </r>
    <r>
      <rPr>
        <sz val="10"/>
        <color rgb="FFFF0000"/>
        <rFont val="Arial Narrow"/>
        <family val="2"/>
      </rPr>
      <t>(BONUS)</t>
    </r>
  </si>
  <si>
    <t>CALCULATOR JOYKO CC-868CH</t>
  </si>
  <si>
    <t>BULLDOG CLIP JOYKO 6-145</t>
  </si>
  <si>
    <t>BINDER CLIP JOYKO 300</t>
  </si>
  <si>
    <t>BINDER CLIP KENKO NO. 300</t>
  </si>
  <si>
    <t>CALCULATOR JOYKO CC-27</t>
  </si>
  <si>
    <t>CAT AIR / WATER COLOR JOYKO WC-4-12</t>
  </si>
  <si>
    <t>CAT AIR / WATER COLOR JOYKO WC-4-24</t>
  </si>
  <si>
    <t>COLOR BRUSH PEN KENKO DBP-24 DUAL TIP  (24 WARNA)</t>
  </si>
  <si>
    <t>CORRECTION FLUID JOYKO CF-S210</t>
  </si>
  <si>
    <t>CORRECTION TAPE JOYKO CT-522 PTL</t>
  </si>
  <si>
    <t>CRAYON / OIL PASTEL PUTAR JOYKO TWCR-24MINI (PENDEK)</t>
  </si>
  <si>
    <t>FLASHLIGHT</t>
  </si>
  <si>
    <t>GEL PEN JOYKO GP-182 ITECH</t>
  </si>
  <si>
    <t>GUNTING JOYKO SC-858</t>
  </si>
  <si>
    <t>GEL PEN JOYKO GP-285 TRIGO</t>
  </si>
  <si>
    <t>GEL PEN KENKO HI-TECH-H 0.4 MM BIRU</t>
  </si>
  <si>
    <t>GEL PEN KENKO K-1 MINI</t>
  </si>
  <si>
    <t>JANGKA (MATH SET) JOYKO MS-18</t>
  </si>
  <si>
    <t>JANGKA (MATH SET) JOYKO MS-85</t>
  </si>
  <si>
    <t>JANGKA (MATH SET) JOYKO MS-87</t>
  </si>
  <si>
    <t>KUAS SET JOYKO BR-6 NO.00</t>
  </si>
  <si>
    <t>LEM STICK JOYKO 8 GR GS-105 isi 24 pc</t>
  </si>
  <si>
    <t>PENCIL CASE JOYKO PC-0719PL-32</t>
  </si>
  <si>
    <t>PENSIL JOYKO 2B 6161</t>
  </si>
  <si>
    <t>PENSIL WARNA JOYKO CP-8 (12W)</t>
  </si>
  <si>
    <t>TAPE CUTTER JOYKO TC-110</t>
  </si>
  <si>
    <t>LSN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</si>
  <si>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</si>
  <si>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</si>
  <si>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</si>
  <si>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</si>
  <si>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PREMIUM OIL COLOR PENCIL CP-TC126-48 JK (Bonus)</t>
  </si>
  <si>
    <t>FLASHLIGHT FL-91 JK (Bonus)</t>
  </si>
  <si>
    <t>KAOS</t>
  </si>
  <si>
    <t>KAOS JOYKO (Bonus)</t>
  </si>
  <si>
    <t>TINTA / INK</t>
  </si>
  <si>
    <t>TINTA HERO K 1054</t>
  </si>
  <si>
    <t>JANGKA (MATH SET) JOYKO MS-100</t>
  </si>
  <si>
    <r>
      <t xml:space="preserve">SPIDOL PERMANENT JOYKO PM-34 </t>
    </r>
    <r>
      <rPr>
        <sz val="10"/>
        <color rgb="FFFF0000"/>
        <rFont val="Arial Narrow"/>
        <family val="2"/>
      </rPr>
      <t>(bonus)</t>
    </r>
  </si>
  <si>
    <t>GEL PEN TIZO TG-FANCY BONUS</t>
  </si>
  <si>
    <t>PENSIL ZHONG HUA 6925-2B/B OVAL</t>
  </si>
  <si>
    <t>GEL PEN ZHIXIN MINI COLOR G-212C + ISI</t>
  </si>
  <si>
    <t>ASAHAN JOYKO A-18 PENGUIN</t>
  </si>
  <si>
    <t>ASAHAN JOYKO A-30 PENGUIN</t>
  </si>
  <si>
    <t>ASAHAN JOYKO A-71 MIRING</t>
  </si>
  <si>
    <t>BALLPEN JOYKO BP-288 QUACO 3 (4 WARNA)</t>
  </si>
  <si>
    <t>BINDER NOTE JOYKO A5-TP-P519</t>
  </si>
  <si>
    <t>CALCULATOR JOYKO CC-47CO (BONUS)</t>
  </si>
  <si>
    <t>CORRECTION FLUID JOYKO CF-P211</t>
  </si>
  <si>
    <t>CORRECTION FLUID JOYKO CF-S201 PT</t>
  </si>
  <si>
    <t>CORRECTION FLUID JOYKO CF-S203</t>
  </si>
  <si>
    <t>CORRECTION FLUID JOYKO CF-S232</t>
  </si>
  <si>
    <t>CORRECTION TAPE KENKO CT-309 NR (8M x 5MM)</t>
  </si>
  <si>
    <t>GARISAN SET PVC ZO-235</t>
  </si>
  <si>
    <t>GEL PEN DEBOZZ 0.7 MM DB-G07</t>
  </si>
  <si>
    <t>GEL PEN TECHJOB TG-313</t>
  </si>
  <si>
    <t>GEL PEN VC-1609</t>
  </si>
  <si>
    <t>HIGHLIGHTER / STABILO KENKO OVALINER</t>
  </si>
  <si>
    <t>ISI CUTTER 18 MM JOYKO A-100M (MH) (KECIL)</t>
  </si>
  <si>
    <t>MECHANICAL PENCIL 2.0 MM TIZO TM-030</t>
  </si>
  <si>
    <t>MECHANICAL PENCIL TIZO G-9003 A</t>
  </si>
  <si>
    <t xml:space="preserve">PENCIL CASE 21 x 6.5 KALENG TY-552 (MOBIL + ANAK) </t>
  </si>
  <si>
    <t>PENCIL CASE 22 x 10 MAGNET FX-2210 METALIK LEBAR</t>
  </si>
  <si>
    <t>PENCIL CASE 22 x 7.5 MAGNET AC-1762</t>
  </si>
  <si>
    <t>PENCIL CASE 22 x 7.5 MAGNET C-1755-1</t>
  </si>
  <si>
    <t>PENCIL CASE 22 x 8 MAGNET B-511-1</t>
  </si>
  <si>
    <t>PENCIL CASE 23 x 10 MAGNET FC-6295</t>
  </si>
  <si>
    <t>PENCIL CASE 23 x 8 MAGNET LPY-6</t>
  </si>
  <si>
    <t>PENCIL CASE 23 x 8.5 MAGNET 3D C-5212</t>
  </si>
  <si>
    <t>PENCIL CASE 23 x 8.5 MAGNET 3D FC-5223</t>
  </si>
  <si>
    <t>PENCIL CASE 23 x 8.5 MAGNET FY-6823</t>
  </si>
  <si>
    <t>PENSIL JOYKO 2B P-92 (BLACK WOOD)</t>
  </si>
  <si>
    <t>PENSIL WARNA CP-12L PANJANG</t>
  </si>
  <si>
    <t>STAND PEN JOYKO PSGP-300</t>
  </si>
  <si>
    <t>STAPLER JOYKO HD-30</t>
  </si>
  <si>
    <t>STIP / PENGHAPUS JOYKO ERT-117 CAKE (isi 32 pc)</t>
  </si>
  <si>
    <t>STIP / PENGHAPUS JOYKO ERT-118 ICE CREAM (isi 24 pc)</t>
  </si>
  <si>
    <t>TAPE CUTTER JOYKO TC-107</t>
  </si>
  <si>
    <t xml:space="preserve">PENCIL CASE/ STUDY SET 20.5 x 7 KALENG K-597 MOBIL </t>
  </si>
  <si>
    <t>GARISAN SET PVC PS-9810</t>
  </si>
  <si>
    <t>HOOK</t>
  </si>
  <si>
    <t>ADHESIVE HOOK JOYKO ADHK-3010</t>
  </si>
  <si>
    <t>ADHESIVE HOOK JOYKO ADHK-3020</t>
  </si>
  <si>
    <t>ASAHAN JOYKO A-63 ROBOT</t>
  </si>
  <si>
    <t>ASAHAN JOYKO B-24 (isi 12 pc)</t>
  </si>
  <si>
    <t>BALLPEN JOYKO BP-336 MY PASTEL</t>
  </si>
  <si>
    <t>BALLPEN JOYKO BP-342 VOKUS PTL</t>
  </si>
  <si>
    <t>BALLPEN JOYKO BP-363 VOCUS TRANS PTL HITAM</t>
  </si>
  <si>
    <t>BALLPEN KENKO BP-39 N HITAM</t>
  </si>
  <si>
    <t>BINDER CLIP KENKO NO.300 (6 PCS / BOX)</t>
  </si>
  <si>
    <t>CRAYON / OIL PASTEL PUTAR TITI TI-CP-24T TWIST</t>
  </si>
  <si>
    <t>CUTTER 18 MM ZRM L-500 (BESAR)</t>
  </si>
  <si>
    <t>GLUPEN KENKO GLP-01</t>
  </si>
  <si>
    <t>HIGHLIGHTER / STABILLO JOYKO HL-14 GREY</t>
  </si>
  <si>
    <t>PENCIL CASE 22 x 7.5 MAGNET C-2755</t>
  </si>
  <si>
    <t>PENCIL CASE 22 x 7.5 MAGNET FY-6822</t>
  </si>
  <si>
    <t>PENCIL CASE 23 x 8.5 MAGNET JH-220A</t>
  </si>
  <si>
    <t>PENSIL KAYAGI KY-OF122B-2 2B COKLAT</t>
  </si>
  <si>
    <t>PENSIL KAYAGI KY-PF2025 2B SKIN</t>
  </si>
  <si>
    <t>PENSIL KAYAGI KY-PF3051 2B FANCY</t>
  </si>
  <si>
    <t>PENSIL KAYAGI KY-PF3060 2B FANCY</t>
  </si>
  <si>
    <t>PENSIL KAYAGI KY-PF3063 2B FANCY</t>
  </si>
  <si>
    <t>PENSIL KAYAGI KY-PF3065 2B FANCY</t>
  </si>
  <si>
    <t>PENSIL KENKO 2B-6120 DOODLE</t>
  </si>
  <si>
    <t>PENSIL KENKO 2B-6393 FLUORESCENT</t>
  </si>
  <si>
    <t>SAMPUL</t>
  </si>
  <si>
    <t>PARAMA</t>
  </si>
  <si>
    <t>SAMPUL SAMSON BOXY BATIK</t>
  </si>
  <si>
    <t>SAMPUL SAMSON KWARTO BATIK</t>
  </si>
  <si>
    <t>SPIDOL P.MARKER P500-VP</t>
  </si>
  <si>
    <t>CTN</t>
  </si>
  <si>
    <t>ASAHAN JOYKO A-33</t>
  </si>
  <si>
    <t>BALLPEN KENKO OIL GEL K-5</t>
  </si>
  <si>
    <t>TINTA STAMP PAD JOYKO SPI-12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</si>
</sst>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86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3" fillId="0" borderId="0" xfId="0" applyNumberFormat="1" applyFont="1" applyFill="1" applyBorder="1"/>
    <xf numFmtId="0" fontId="3" fillId="3" borderId="0" xfId="0" applyFont="1" applyFill="1" applyBorder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4" fillId="0" borderId="0" xfId="1" applyNumberFormat="1" applyFont="1" applyFill="1" applyAlignment="1">
      <alignment vertical="center"/>
    </xf>
    <xf numFmtId="43" fontId="14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3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6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7" fillId="0" borderId="0" xfId="0" applyFont="1"/>
    <xf numFmtId="166" fontId="10" fillId="0" borderId="0" xfId="0" applyNumberFormat="1" applyFont="1" applyFill="1" applyAlignment="1"/>
    <xf numFmtId="0" fontId="17" fillId="0" borderId="0" xfId="0" applyFont="1" applyFill="1" applyBorder="1"/>
    <xf numFmtId="3" fontId="17" fillId="0" borderId="0" xfId="0" applyNumberFormat="1" applyFont="1"/>
    <xf numFmtId="0" fontId="17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7" fillId="0" borderId="0" xfId="0" applyNumberFormat="1" applyFont="1" applyAlignment="1"/>
    <xf numFmtId="0" fontId="17" fillId="0" borderId="0" xfId="0" applyFont="1" applyAlignment="1"/>
    <xf numFmtId="4" fontId="17" fillId="0" borderId="0" xfId="0" applyNumberFormat="1" applyFont="1"/>
    <xf numFmtId="10" fontId="17" fillId="0" borderId="0" xfId="0" applyNumberFormat="1" applyFont="1" applyAlignment="1">
      <alignment horizontal="center"/>
    </xf>
    <xf numFmtId="0" fontId="17" fillId="0" borderId="0" xfId="0" applyFont="1" applyFill="1"/>
    <xf numFmtId="3" fontId="17" fillId="0" borderId="0" xfId="0" applyNumberFormat="1" applyFont="1" applyFill="1"/>
    <xf numFmtId="0" fontId="17" fillId="0" borderId="0" xfId="0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3" fontId="17" fillId="0" borderId="0" xfId="0" applyNumberFormat="1" applyFont="1" applyFill="1" applyAlignment="1"/>
    <xf numFmtId="0" fontId="17" fillId="0" borderId="0" xfId="0" applyFont="1" applyFill="1" applyAlignment="1"/>
    <xf numFmtId="4" fontId="17" fillId="0" borderId="0" xfId="0" applyNumberFormat="1" applyFont="1" applyFill="1"/>
    <xf numFmtId="10" fontId="17" fillId="0" borderId="0" xfId="0" applyNumberFormat="1" applyFont="1" applyFill="1" applyAlignment="1">
      <alignment horizontal="center"/>
    </xf>
    <xf numFmtId="166" fontId="17" fillId="0" borderId="0" xfId="0" applyNumberFormat="1" applyFont="1" applyFill="1" applyAlignment="1"/>
    <xf numFmtId="0" fontId="17" fillId="0" borderId="0" xfId="0" applyFont="1" applyBorder="1"/>
    <xf numFmtId="0" fontId="17" fillId="3" borderId="0" xfId="0" applyFont="1" applyFill="1" applyBorder="1"/>
    <xf numFmtId="4" fontId="17" fillId="3" borderId="0" xfId="0" applyNumberFormat="1" applyFont="1" applyFill="1"/>
    <xf numFmtId="10" fontId="17" fillId="3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3" fontId="15" fillId="0" borderId="0" xfId="0" quotePrefix="1" applyNumberFormat="1" applyFont="1" applyFill="1"/>
    <xf numFmtId="0" fontId="10" fillId="0" borderId="9" xfId="0" applyFont="1" applyFill="1" applyBorder="1" applyAlignment="1"/>
    <xf numFmtId="0" fontId="10" fillId="0" borderId="9" xfId="2" applyFont="1" applyFill="1" applyBorder="1"/>
    <xf numFmtId="3" fontId="16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7" fillId="0" borderId="0" xfId="2" applyFont="1" applyFill="1" applyBorder="1"/>
    <xf numFmtId="0" fontId="17" fillId="0" borderId="9" xfId="0" applyFont="1" applyFill="1" applyBorder="1" applyAlignment="1"/>
    <xf numFmtId="0" fontId="17" fillId="0" borderId="0" xfId="2" applyFont="1" applyFill="1" applyBorder="1" applyAlignment="1">
      <alignment horizontal="left"/>
    </xf>
    <xf numFmtId="0" fontId="17" fillId="0" borderId="9" xfId="2" applyFont="1" applyFill="1" applyBorder="1"/>
    <xf numFmtId="0" fontId="17" fillId="0" borderId="9" xfId="0" applyFont="1" applyFill="1" applyBorder="1" applyAlignment="1">
      <alignment vertical="center"/>
    </xf>
    <xf numFmtId="10" fontId="3" fillId="4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17" fillId="4" borderId="0" xfId="0" applyFont="1" applyFill="1" applyBorder="1"/>
    <xf numFmtId="10" fontId="17" fillId="4" borderId="0" xfId="0" applyNumberFormat="1" applyFont="1" applyFill="1" applyAlignment="1">
      <alignment horizontal="center"/>
    </xf>
    <xf numFmtId="4" fontId="17" fillId="4" borderId="0" xfId="0" applyNumberFormat="1" applyFont="1" applyFill="1"/>
    <xf numFmtId="4" fontId="3" fillId="4" borderId="0" xfId="0" applyNumberFormat="1" applyFont="1" applyFill="1"/>
    <xf numFmtId="0" fontId="17" fillId="4" borderId="0" xfId="2" applyFont="1" applyFill="1" applyBorder="1"/>
    <xf numFmtId="0" fontId="3" fillId="4" borderId="0" xfId="2" applyFont="1" applyFill="1" applyBorder="1"/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left"/>
    </xf>
    <xf numFmtId="0" fontId="3" fillId="5" borderId="0" xfId="0" applyFont="1" applyFill="1" applyBorder="1"/>
    <xf numFmtId="0" fontId="3" fillId="5" borderId="0" xfId="0" applyFont="1" applyFill="1"/>
    <xf numFmtId="3" fontId="3" fillId="5" borderId="0" xfId="0" applyNumberFormat="1" applyFont="1" applyFill="1"/>
    <xf numFmtId="0" fontId="3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3" fillId="5" borderId="0" xfId="0" applyNumberFormat="1" applyFont="1" applyFill="1" applyAlignment="1"/>
    <xf numFmtId="0" fontId="3" fillId="5" borderId="0" xfId="0" applyFont="1" applyFill="1" applyAlignment="1"/>
    <xf numFmtId="4" fontId="3" fillId="5" borderId="0" xfId="0" applyNumberFormat="1" applyFont="1" applyFill="1"/>
    <xf numFmtId="10" fontId="3" fillId="5" borderId="0" xfId="0" applyNumberFormat="1" applyFont="1" applyFill="1" applyAlignment="1">
      <alignment horizontal="center"/>
    </xf>
    <xf numFmtId="0" fontId="17" fillId="3" borderId="0" xfId="2" applyFont="1" applyFill="1" applyBorder="1"/>
    <xf numFmtId="0" fontId="3" fillId="0" borderId="0" xfId="0" applyFont="1" applyFill="1" applyBorder="1" applyAlignment="1">
      <alignment horizontal="left"/>
    </xf>
    <xf numFmtId="3" fontId="17" fillId="0" borderId="0" xfId="0" applyNumberFormat="1" applyFont="1" applyBorder="1"/>
    <xf numFmtId="0" fontId="17" fillId="0" borderId="0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3" fontId="17" fillId="0" borderId="0" xfId="0" applyNumberFormat="1" applyFont="1" applyBorder="1" applyAlignment="1"/>
    <xf numFmtId="0" fontId="17" fillId="0" borderId="0" xfId="0" applyFont="1" applyBorder="1" applyAlignment="1"/>
    <xf numFmtId="4" fontId="17" fillId="0" borderId="0" xfId="0" applyNumberFormat="1" applyFont="1" applyBorder="1"/>
    <xf numFmtId="10" fontId="17" fillId="0" borderId="0" xfId="0" applyNumberFormat="1" applyFont="1" applyBorder="1" applyAlignment="1">
      <alignment horizontal="center"/>
    </xf>
    <xf numFmtId="0" fontId="17" fillId="6" borderId="0" xfId="0" applyFont="1" applyFill="1" applyBorder="1"/>
    <xf numFmtId="0" fontId="3" fillId="6" borderId="0" xfId="0" applyFont="1" applyFill="1" applyBorder="1"/>
    <xf numFmtId="0" fontId="3" fillId="7" borderId="0" xfId="0" applyFont="1" applyFill="1"/>
    <xf numFmtId="3" fontId="3" fillId="7" borderId="0" xfId="0" applyNumberFormat="1" applyFont="1" applyFill="1"/>
    <xf numFmtId="0" fontId="3" fillId="7" borderId="0" xfId="0" applyFont="1" applyFill="1" applyAlignment="1">
      <alignment horizontal="center"/>
    </xf>
    <xf numFmtId="3" fontId="4" fillId="7" borderId="0" xfId="0" applyNumberFormat="1" applyFont="1" applyFill="1" applyAlignment="1">
      <alignment horizontal="center"/>
    </xf>
    <xf numFmtId="3" fontId="3" fillId="7" borderId="0" xfId="0" applyNumberFormat="1" applyFont="1" applyFill="1" applyAlignment="1"/>
    <xf numFmtId="0" fontId="3" fillId="7" borderId="0" xfId="0" applyFont="1" applyFill="1" applyAlignment="1"/>
    <xf numFmtId="4" fontId="3" fillId="7" borderId="0" xfId="0" applyNumberFormat="1" applyFont="1" applyFill="1"/>
    <xf numFmtId="10" fontId="3" fillId="7" borderId="0" xfId="0" applyNumberFormat="1" applyFont="1" applyFill="1" applyAlignment="1">
      <alignment horizontal="center"/>
    </xf>
    <xf numFmtId="0" fontId="3" fillId="6" borderId="0" xfId="2" applyFont="1" applyFill="1" applyBorder="1"/>
    <xf numFmtId="3" fontId="19" fillId="0" borderId="0" xfId="0" quotePrefix="1" applyNumberFormat="1" applyFont="1" applyFill="1"/>
    <xf numFmtId="0" fontId="3" fillId="6" borderId="0" xfId="0" applyFont="1" applyFill="1" applyBorder="1" applyAlignment="1"/>
    <xf numFmtId="0" fontId="17" fillId="6" borderId="0" xfId="2" applyFont="1" applyFill="1" applyBorder="1"/>
    <xf numFmtId="0" fontId="3" fillId="6" borderId="9" xfId="2" applyFont="1" applyFill="1" applyBorder="1"/>
    <xf numFmtId="0" fontId="3" fillId="6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6464"/>
      <color rgb="FFFF3232"/>
      <color rgb="FFFF00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3"/>
  <sheetViews>
    <sheetView tabSelected="1" zoomScaleNormal="100" workbookViewId="0">
      <pane xSplit="1" ySplit="3" topLeftCell="B708" activePane="bottomRight" state="frozen"/>
      <selection pane="topRight" activeCell="B1" sqref="B1"/>
      <selection pane="bottomLeft" activeCell="A4" sqref="A4"/>
      <selection pane="bottomRight" activeCell="E733" sqref="E733"/>
    </sheetView>
  </sheetViews>
  <sheetFormatPr defaultRowHeight="12.75"/>
  <cols>
    <col min="1" max="1" width="51.8554687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804</v>
      </c>
    </row>
    <row r="2" spans="1:19" s="10" customFormat="1">
      <c r="A2" s="174" t="s">
        <v>0</v>
      </c>
      <c r="B2" s="175" t="s">
        <v>1</v>
      </c>
      <c r="C2" s="176" t="s">
        <v>2</v>
      </c>
      <c r="D2" s="176"/>
      <c r="E2" s="177" t="s">
        <v>648</v>
      </c>
      <c r="F2" s="178" t="s">
        <v>3</v>
      </c>
      <c r="G2" s="178"/>
      <c r="H2" s="178"/>
      <c r="I2" s="178"/>
      <c r="J2" s="184" t="s">
        <v>4</v>
      </c>
      <c r="K2" s="185"/>
      <c r="L2" s="185"/>
      <c r="M2" s="175"/>
      <c r="N2" s="179" t="s">
        <v>5</v>
      </c>
      <c r="O2" s="180"/>
      <c r="P2" s="176" t="s">
        <v>6</v>
      </c>
      <c r="Q2" s="176"/>
      <c r="R2" s="183" t="s">
        <v>7</v>
      </c>
      <c r="S2" s="183" t="s">
        <v>8</v>
      </c>
    </row>
    <row r="3" spans="1:19" s="10" customFormat="1">
      <c r="A3" s="174"/>
      <c r="B3" s="175"/>
      <c r="C3" s="176"/>
      <c r="D3" s="176"/>
      <c r="E3" s="177"/>
      <c r="F3" s="178" t="s">
        <v>9</v>
      </c>
      <c r="G3" s="178"/>
      <c r="H3" s="178" t="s">
        <v>10</v>
      </c>
      <c r="I3" s="178"/>
      <c r="J3" s="11" t="s">
        <v>11</v>
      </c>
      <c r="K3" s="12" t="s">
        <v>12</v>
      </c>
      <c r="L3" s="13" t="s">
        <v>13</v>
      </c>
      <c r="M3" s="13" t="s">
        <v>14</v>
      </c>
      <c r="N3" s="181"/>
      <c r="O3" s="182"/>
      <c r="P3" s="176"/>
      <c r="Q3" s="176"/>
      <c r="R3" s="183"/>
      <c r="S3" s="183"/>
    </row>
    <row r="4" spans="1:19" ht="15.75">
      <c r="A4" s="14" t="s">
        <v>15</v>
      </c>
    </row>
    <row r="5" spans="1:19">
      <c r="A5" s="15" t="s">
        <v>16</v>
      </c>
    </row>
    <row r="6" spans="1:19" s="69" customFormat="1">
      <c r="A6" s="68" t="s">
        <v>17</v>
      </c>
      <c r="B6" s="69" t="s">
        <v>18</v>
      </c>
      <c r="C6" s="70"/>
      <c r="D6" s="71" t="s">
        <v>19</v>
      </c>
      <c r="E6" s="72"/>
      <c r="F6" s="73">
        <v>1</v>
      </c>
      <c r="G6" s="74" t="s">
        <v>20</v>
      </c>
      <c r="H6" s="73">
        <v>60</v>
      </c>
      <c r="I6" s="74" t="s">
        <v>19</v>
      </c>
      <c r="J6" s="16">
        <v>45500</v>
      </c>
      <c r="K6" s="71" t="s">
        <v>19</v>
      </c>
      <c r="L6" s="75">
        <v>0.125</v>
      </c>
      <c r="M6" s="75">
        <v>0.05</v>
      </c>
      <c r="N6" s="73"/>
      <c r="O6" s="74" t="s">
        <v>19</v>
      </c>
      <c r="P6" s="70">
        <f>(C6+(E6*F6*H6))-N6</f>
        <v>0</v>
      </c>
      <c r="Q6" s="74" t="s">
        <v>19</v>
      </c>
      <c r="R6" s="16">
        <f>P6*(J6-(J6*L6)-((J6-(J6*L6))*M6))</f>
        <v>0</v>
      </c>
      <c r="S6" s="16">
        <f>R6/1.11</f>
        <v>0</v>
      </c>
    </row>
    <row r="7" spans="1:19" s="69" customFormat="1">
      <c r="A7" s="68" t="s">
        <v>732</v>
      </c>
      <c r="B7" s="69" t="s">
        <v>18</v>
      </c>
      <c r="C7" s="70"/>
      <c r="D7" s="71" t="s">
        <v>19</v>
      </c>
      <c r="E7" s="72"/>
      <c r="F7" s="73">
        <v>1</v>
      </c>
      <c r="G7" s="74" t="s">
        <v>20</v>
      </c>
      <c r="H7" s="73">
        <v>48</v>
      </c>
      <c r="I7" s="74" t="s">
        <v>19</v>
      </c>
      <c r="J7" s="16">
        <v>26000</v>
      </c>
      <c r="K7" s="71" t="s">
        <v>19</v>
      </c>
      <c r="L7" s="75">
        <v>0.125</v>
      </c>
      <c r="M7" s="75">
        <v>0.05</v>
      </c>
      <c r="N7" s="73"/>
      <c r="O7" s="74" t="s">
        <v>19</v>
      </c>
      <c r="P7" s="70">
        <f>(C7+(E7*F7*H7))-N7</f>
        <v>0</v>
      </c>
      <c r="Q7" s="74" t="s">
        <v>19</v>
      </c>
      <c r="R7" s="16">
        <f>P7*(J7-(J7*L7)-((J7-(J7*L7))*M7))</f>
        <v>0</v>
      </c>
      <c r="S7" s="16">
        <f t="shared" ref="S7:S130" si="0">R7/1.11</f>
        <v>0</v>
      </c>
    </row>
    <row r="8" spans="1:19" s="69" customFormat="1">
      <c r="A8" s="68" t="s">
        <v>21</v>
      </c>
      <c r="B8" s="69" t="s">
        <v>18</v>
      </c>
      <c r="C8" s="70"/>
      <c r="D8" s="71" t="s">
        <v>19</v>
      </c>
      <c r="E8" s="72"/>
      <c r="F8" s="73">
        <v>1</v>
      </c>
      <c r="G8" s="74" t="s">
        <v>20</v>
      </c>
      <c r="H8" s="73">
        <v>48</v>
      </c>
      <c r="I8" s="74" t="s">
        <v>19</v>
      </c>
      <c r="J8" s="16">
        <v>28000</v>
      </c>
      <c r="K8" s="71" t="s">
        <v>19</v>
      </c>
      <c r="L8" s="75">
        <v>0.125</v>
      </c>
      <c r="M8" s="75">
        <v>0.05</v>
      </c>
      <c r="N8" s="73"/>
      <c r="O8" s="74" t="s">
        <v>19</v>
      </c>
      <c r="P8" s="70">
        <f>(C8+(E8*F8*H8))-N8</f>
        <v>0</v>
      </c>
      <c r="Q8" s="74" t="s">
        <v>19</v>
      </c>
      <c r="R8" s="16">
        <f>P8*(J8-(J8*L8)-((J8-(J8*L8))*M8))</f>
        <v>0</v>
      </c>
      <c r="S8" s="16">
        <f t="shared" si="0"/>
        <v>0</v>
      </c>
    </row>
    <row r="9" spans="1:19" s="69" customFormat="1">
      <c r="A9" s="68" t="s">
        <v>22</v>
      </c>
      <c r="B9" s="69" t="s">
        <v>18</v>
      </c>
      <c r="C9" s="70"/>
      <c r="D9" s="71" t="s">
        <v>19</v>
      </c>
      <c r="E9" s="72"/>
      <c r="F9" s="73">
        <v>1</v>
      </c>
      <c r="G9" s="74" t="s">
        <v>20</v>
      </c>
      <c r="H9" s="73">
        <v>48</v>
      </c>
      <c r="I9" s="74" t="s">
        <v>19</v>
      </c>
      <c r="J9" s="16">
        <v>31700</v>
      </c>
      <c r="K9" s="71" t="s">
        <v>19</v>
      </c>
      <c r="L9" s="75">
        <v>0.125</v>
      </c>
      <c r="M9" s="75">
        <v>0.05</v>
      </c>
      <c r="N9" s="73"/>
      <c r="O9" s="74" t="s">
        <v>19</v>
      </c>
      <c r="P9" s="70">
        <f>(C9+(E9*F9*H9))-N9</f>
        <v>0</v>
      </c>
      <c r="Q9" s="74" t="s">
        <v>19</v>
      </c>
      <c r="R9" s="16">
        <f>P9*(J9-(J9*L9)-((J9-(J9*L9))*M9))</f>
        <v>0</v>
      </c>
      <c r="S9" s="16">
        <f t="shared" si="0"/>
        <v>0</v>
      </c>
    </row>
    <row r="10" spans="1:19" s="69" customFormat="1">
      <c r="A10" s="68" t="s">
        <v>23</v>
      </c>
      <c r="B10" s="69" t="s">
        <v>18</v>
      </c>
      <c r="C10" s="70"/>
      <c r="D10" s="71" t="s">
        <v>19</v>
      </c>
      <c r="E10" s="72"/>
      <c r="F10" s="73">
        <v>1</v>
      </c>
      <c r="G10" s="74" t="s">
        <v>20</v>
      </c>
      <c r="H10" s="73">
        <v>48</v>
      </c>
      <c r="I10" s="74" t="s">
        <v>19</v>
      </c>
      <c r="J10" s="16">
        <v>25000</v>
      </c>
      <c r="K10" s="71" t="s">
        <v>19</v>
      </c>
      <c r="L10" s="75">
        <v>0.125</v>
      </c>
      <c r="M10" s="75">
        <v>0.05</v>
      </c>
      <c r="N10" s="73"/>
      <c r="O10" s="74" t="s">
        <v>19</v>
      </c>
      <c r="P10" s="70">
        <f>(C10+(E10*F10*H10))-N10</f>
        <v>0</v>
      </c>
      <c r="Q10" s="74" t="s">
        <v>19</v>
      </c>
      <c r="R10" s="16">
        <f>P10*(J10-(J10*L10)-((J10-(J10*L10))*M10))</f>
        <v>0</v>
      </c>
      <c r="S10" s="16">
        <f t="shared" si="0"/>
        <v>0</v>
      </c>
    </row>
    <row r="11" spans="1:19">
      <c r="A11" s="17" t="s">
        <v>947</v>
      </c>
      <c r="B11" s="85" t="s">
        <v>18</v>
      </c>
      <c r="D11" s="89" t="s">
        <v>19</v>
      </c>
      <c r="E11" s="90">
        <v>1</v>
      </c>
      <c r="F11" s="91">
        <v>1</v>
      </c>
      <c r="G11" s="92" t="s">
        <v>20</v>
      </c>
      <c r="H11" s="91">
        <v>48</v>
      </c>
      <c r="I11" s="92" t="s">
        <v>19</v>
      </c>
      <c r="J11" s="93">
        <v>27500</v>
      </c>
      <c r="K11" s="89" t="s">
        <v>19</v>
      </c>
      <c r="L11" s="94">
        <v>0.125</v>
      </c>
      <c r="M11" s="94">
        <v>0.05</v>
      </c>
      <c r="N11" s="91"/>
      <c r="O11" s="92" t="s">
        <v>19</v>
      </c>
      <c r="P11" s="88">
        <f t="shared" ref="P11:P14" si="1">(C11+(E11*F11*H11))-N11</f>
        <v>48</v>
      </c>
      <c r="Q11" s="92" t="s">
        <v>19</v>
      </c>
      <c r="R11" s="93">
        <f t="shared" ref="R11:R14" si="2">P11*(J11-(J11*L11)-((J11-(J11*L11))*M11))</f>
        <v>1097250</v>
      </c>
      <c r="S11" s="93">
        <f t="shared" ref="S11:S14" si="3">R11/1.11</f>
        <v>988513.51351351338</v>
      </c>
    </row>
    <row r="12" spans="1:19">
      <c r="A12" s="17" t="s">
        <v>948</v>
      </c>
      <c r="B12" s="85" t="s">
        <v>18</v>
      </c>
      <c r="D12" s="89" t="s">
        <v>19</v>
      </c>
      <c r="E12" s="90">
        <v>1</v>
      </c>
      <c r="F12" s="91">
        <v>1</v>
      </c>
      <c r="G12" s="92" t="s">
        <v>20</v>
      </c>
      <c r="H12" s="91">
        <v>48</v>
      </c>
      <c r="I12" s="92" t="s">
        <v>19</v>
      </c>
      <c r="J12" s="93">
        <v>26600</v>
      </c>
      <c r="K12" s="89" t="s">
        <v>19</v>
      </c>
      <c r="L12" s="94">
        <v>0.125</v>
      </c>
      <c r="M12" s="94">
        <v>0.05</v>
      </c>
      <c r="N12" s="91"/>
      <c r="O12" s="92" t="s">
        <v>19</v>
      </c>
      <c r="P12" s="88">
        <f t="shared" si="1"/>
        <v>48</v>
      </c>
      <c r="Q12" s="92" t="s">
        <v>19</v>
      </c>
      <c r="R12" s="93">
        <f t="shared" si="2"/>
        <v>1061340</v>
      </c>
      <c r="S12" s="93">
        <f t="shared" si="3"/>
        <v>956162.16216216213</v>
      </c>
    </row>
    <row r="13" spans="1:19">
      <c r="A13" s="17" t="s">
        <v>1016</v>
      </c>
      <c r="B13" s="2" t="s">
        <v>18</v>
      </c>
      <c r="D13" s="4" t="s">
        <v>19</v>
      </c>
      <c r="E13" s="5">
        <v>1</v>
      </c>
      <c r="F13" s="6">
        <v>1</v>
      </c>
      <c r="G13" s="7" t="s">
        <v>20</v>
      </c>
      <c r="H13" s="6">
        <v>60</v>
      </c>
      <c r="I13" s="7" t="s">
        <v>19</v>
      </c>
      <c r="J13" s="8">
        <v>27500</v>
      </c>
      <c r="K13" s="4" t="s">
        <v>19</v>
      </c>
      <c r="L13" s="9">
        <v>0.125</v>
      </c>
      <c r="M13" s="9">
        <v>0.05</v>
      </c>
      <c r="O13" s="7" t="s">
        <v>19</v>
      </c>
      <c r="P13" s="3">
        <f t="shared" ref="P13" si="4">(C13+(E13*F13*H13))-N13</f>
        <v>60</v>
      </c>
      <c r="Q13" s="7" t="s">
        <v>19</v>
      </c>
      <c r="R13" s="8">
        <f t="shared" ref="R13" si="5">P13*(J13-(J13*L13)-((J13-(J13*L13))*M13))</f>
        <v>1371562.5</v>
      </c>
      <c r="S13" s="8">
        <f t="shared" ref="S13" si="6">R13/1.11</f>
        <v>1235641.8918918918</v>
      </c>
    </row>
    <row r="14" spans="1:19">
      <c r="A14" s="17" t="s">
        <v>949</v>
      </c>
      <c r="B14" s="85" t="s">
        <v>18</v>
      </c>
      <c r="D14" s="89" t="s">
        <v>19</v>
      </c>
      <c r="E14" s="90">
        <v>1</v>
      </c>
      <c r="F14" s="91">
        <v>1</v>
      </c>
      <c r="G14" s="92" t="s">
        <v>20</v>
      </c>
      <c r="H14" s="91">
        <v>96</v>
      </c>
      <c r="I14" s="92" t="s">
        <v>19</v>
      </c>
      <c r="J14" s="93">
        <v>26500</v>
      </c>
      <c r="K14" s="89" t="s">
        <v>19</v>
      </c>
      <c r="L14" s="94">
        <v>0.125</v>
      </c>
      <c r="M14" s="94">
        <v>0.05</v>
      </c>
      <c r="N14" s="91"/>
      <c r="O14" s="92" t="s">
        <v>19</v>
      </c>
      <c r="P14" s="88">
        <f t="shared" si="1"/>
        <v>96</v>
      </c>
      <c r="Q14" s="92" t="s">
        <v>19</v>
      </c>
      <c r="R14" s="93">
        <f t="shared" si="2"/>
        <v>2114700</v>
      </c>
      <c r="S14" s="93">
        <f t="shared" si="3"/>
        <v>1905135.1351351349</v>
      </c>
    </row>
    <row r="15" spans="1:19">
      <c r="A15" s="159" t="s">
        <v>988</v>
      </c>
      <c r="B15" s="85" t="s">
        <v>18</v>
      </c>
      <c r="D15" s="89" t="s">
        <v>19</v>
      </c>
      <c r="E15" s="90">
        <v>1</v>
      </c>
      <c r="F15" s="91">
        <v>1</v>
      </c>
      <c r="G15" s="92" t="s">
        <v>20</v>
      </c>
      <c r="H15" s="91">
        <v>72</v>
      </c>
      <c r="I15" s="92" t="s">
        <v>19</v>
      </c>
      <c r="J15" s="93">
        <v>46000</v>
      </c>
      <c r="K15" s="89" t="s">
        <v>19</v>
      </c>
      <c r="L15" s="94">
        <v>0.125</v>
      </c>
      <c r="M15" s="94">
        <v>0.05</v>
      </c>
      <c r="N15" s="91"/>
      <c r="O15" s="92" t="s">
        <v>19</v>
      </c>
      <c r="P15" s="88">
        <f t="shared" ref="P15" si="7">(C15+(E15*F15*H15))-N15</f>
        <v>72</v>
      </c>
      <c r="Q15" s="92" t="s">
        <v>19</v>
      </c>
      <c r="R15" s="93">
        <f t="shared" ref="R15" si="8">P15*(J15-(J15*L15)-((J15-(J15*L15))*M15))</f>
        <v>2753100</v>
      </c>
      <c r="S15" s="93">
        <f t="shared" ref="S15" si="9">R15/1.11</f>
        <v>2480270.2702702698</v>
      </c>
    </row>
    <row r="16" spans="1:19">
      <c r="E16" s="72"/>
    </row>
    <row r="17" spans="1:19" s="69" customFormat="1">
      <c r="A17" s="68" t="s">
        <v>24</v>
      </c>
      <c r="B17" s="69" t="s">
        <v>25</v>
      </c>
      <c r="C17" s="70"/>
      <c r="D17" s="71" t="s">
        <v>19</v>
      </c>
      <c r="E17" s="72"/>
      <c r="F17" s="73">
        <v>1</v>
      </c>
      <c r="G17" s="74" t="s">
        <v>20</v>
      </c>
      <c r="H17" s="73">
        <v>60</v>
      </c>
      <c r="I17" s="74" t="s">
        <v>19</v>
      </c>
      <c r="J17" s="16">
        <v>23800</v>
      </c>
      <c r="K17" s="71" t="s">
        <v>19</v>
      </c>
      <c r="L17" s="75"/>
      <c r="M17" s="75">
        <v>0.17</v>
      </c>
      <c r="N17" s="73"/>
      <c r="O17" s="74" t="s">
        <v>19</v>
      </c>
      <c r="P17" s="70">
        <f t="shared" ref="P17:P23" si="10">(C17+(E17*F17*H17))-N17</f>
        <v>0</v>
      </c>
      <c r="Q17" s="74" t="s">
        <v>19</v>
      </c>
      <c r="R17" s="16">
        <f t="shared" ref="R17:R23" si="11">P17*(J17-(J17*L17)-((J17-(J17*L17))*M17))</f>
        <v>0</v>
      </c>
      <c r="S17" s="16">
        <f t="shared" si="0"/>
        <v>0</v>
      </c>
    </row>
    <row r="18" spans="1:19">
      <c r="A18" s="17" t="s">
        <v>26</v>
      </c>
      <c r="B18" s="2" t="s">
        <v>25</v>
      </c>
      <c r="C18" s="3">
        <v>42</v>
      </c>
      <c r="D18" s="4" t="s">
        <v>19</v>
      </c>
      <c r="F18" s="6">
        <v>1</v>
      </c>
      <c r="G18" s="7" t="s">
        <v>20</v>
      </c>
      <c r="H18" s="6">
        <v>60</v>
      </c>
      <c r="I18" s="7" t="s">
        <v>19</v>
      </c>
      <c r="J18" s="8">
        <f>1500000/60</f>
        <v>25000</v>
      </c>
      <c r="K18" s="4" t="s">
        <v>19</v>
      </c>
      <c r="M18" s="9">
        <v>0.17</v>
      </c>
      <c r="O18" s="7" t="s">
        <v>19</v>
      </c>
      <c r="P18" s="3">
        <f t="shared" si="10"/>
        <v>42</v>
      </c>
      <c r="Q18" s="7" t="s">
        <v>19</v>
      </c>
      <c r="R18" s="8">
        <f t="shared" si="11"/>
        <v>871500</v>
      </c>
      <c r="S18" s="8">
        <f t="shared" si="0"/>
        <v>785135.13513513503</v>
      </c>
    </row>
    <row r="19" spans="1:19" s="69" customFormat="1">
      <c r="A19" s="68" t="s">
        <v>27</v>
      </c>
      <c r="B19" s="69" t="s">
        <v>25</v>
      </c>
      <c r="C19" s="76"/>
      <c r="D19" s="71" t="s">
        <v>19</v>
      </c>
      <c r="E19" s="72"/>
      <c r="F19" s="73">
        <v>1</v>
      </c>
      <c r="G19" s="74" t="s">
        <v>20</v>
      </c>
      <c r="H19" s="73">
        <v>60</v>
      </c>
      <c r="I19" s="74" t="s">
        <v>19</v>
      </c>
      <c r="J19" s="16">
        <v>27500</v>
      </c>
      <c r="K19" s="71" t="s">
        <v>19</v>
      </c>
      <c r="L19" s="75"/>
      <c r="M19" s="75">
        <v>0.17</v>
      </c>
      <c r="N19" s="73"/>
      <c r="O19" s="74" t="s">
        <v>19</v>
      </c>
      <c r="P19" s="70">
        <f t="shared" si="10"/>
        <v>0</v>
      </c>
      <c r="Q19" s="74" t="s">
        <v>19</v>
      </c>
      <c r="R19" s="16">
        <f t="shared" si="11"/>
        <v>0</v>
      </c>
      <c r="S19" s="16">
        <f t="shared" si="0"/>
        <v>0</v>
      </c>
    </row>
    <row r="20" spans="1:19" s="69" customFormat="1">
      <c r="A20" s="68" t="s">
        <v>706</v>
      </c>
      <c r="B20" s="69" t="s">
        <v>25</v>
      </c>
      <c r="C20" s="76"/>
      <c r="D20" s="71" t="s">
        <v>19</v>
      </c>
      <c r="E20" s="72"/>
      <c r="F20" s="73">
        <v>1</v>
      </c>
      <c r="G20" s="74" t="s">
        <v>20</v>
      </c>
      <c r="H20" s="73">
        <v>36</v>
      </c>
      <c r="I20" s="74" t="s">
        <v>19</v>
      </c>
      <c r="J20" s="16">
        <f>2520000/36</f>
        <v>70000</v>
      </c>
      <c r="K20" s="71" t="s">
        <v>19</v>
      </c>
      <c r="L20" s="75"/>
      <c r="M20" s="75">
        <v>0.17</v>
      </c>
      <c r="N20" s="73"/>
      <c r="O20" s="74" t="s">
        <v>19</v>
      </c>
      <c r="P20" s="70">
        <f t="shared" si="10"/>
        <v>0</v>
      </c>
      <c r="Q20" s="74" t="s">
        <v>19</v>
      </c>
      <c r="R20" s="16">
        <f t="shared" si="11"/>
        <v>0</v>
      </c>
      <c r="S20" s="16">
        <f t="shared" si="0"/>
        <v>0</v>
      </c>
    </row>
    <row r="21" spans="1:19" s="69" customFormat="1">
      <c r="A21" s="68" t="s">
        <v>28</v>
      </c>
      <c r="B21" s="69" t="s">
        <v>25</v>
      </c>
      <c r="C21" s="76"/>
      <c r="D21" s="71" t="s">
        <v>19</v>
      </c>
      <c r="E21" s="72"/>
      <c r="F21" s="73">
        <v>1</v>
      </c>
      <c r="G21" s="74" t="s">
        <v>20</v>
      </c>
      <c r="H21" s="73">
        <v>36</v>
      </c>
      <c r="I21" s="74" t="s">
        <v>19</v>
      </c>
      <c r="J21" s="16">
        <v>50500</v>
      </c>
      <c r="K21" s="71" t="s">
        <v>19</v>
      </c>
      <c r="L21" s="75"/>
      <c r="M21" s="75">
        <v>0.17</v>
      </c>
      <c r="N21" s="73"/>
      <c r="O21" s="74" t="s">
        <v>19</v>
      </c>
      <c r="P21" s="70">
        <f t="shared" si="10"/>
        <v>0</v>
      </c>
      <c r="Q21" s="74" t="s">
        <v>19</v>
      </c>
      <c r="R21" s="16">
        <f t="shared" si="11"/>
        <v>0</v>
      </c>
      <c r="S21" s="16">
        <f t="shared" si="0"/>
        <v>0</v>
      </c>
    </row>
    <row r="22" spans="1:19" s="78" customFormat="1">
      <c r="A22" s="77" t="s">
        <v>29</v>
      </c>
      <c r="B22" s="78" t="s">
        <v>25</v>
      </c>
      <c r="C22" s="76"/>
      <c r="D22" s="79" t="s">
        <v>19</v>
      </c>
      <c r="E22" s="80"/>
      <c r="F22" s="81">
        <v>1</v>
      </c>
      <c r="G22" s="82" t="s">
        <v>20</v>
      </c>
      <c r="H22" s="81">
        <v>72</v>
      </c>
      <c r="I22" s="82" t="s">
        <v>19</v>
      </c>
      <c r="J22" s="83">
        <v>37000</v>
      </c>
      <c r="K22" s="79" t="s">
        <v>19</v>
      </c>
      <c r="L22" s="84"/>
      <c r="M22" s="84">
        <v>0.17</v>
      </c>
      <c r="N22" s="81"/>
      <c r="O22" s="82" t="s">
        <v>19</v>
      </c>
      <c r="P22" s="76">
        <f t="shared" si="10"/>
        <v>0</v>
      </c>
      <c r="Q22" s="82" t="s">
        <v>19</v>
      </c>
      <c r="R22" s="83">
        <f t="shared" si="11"/>
        <v>0</v>
      </c>
      <c r="S22" s="83">
        <f t="shared" si="0"/>
        <v>0</v>
      </c>
    </row>
    <row r="23" spans="1:19" s="69" customFormat="1">
      <c r="A23" s="68" t="s">
        <v>30</v>
      </c>
      <c r="B23" s="69" t="s">
        <v>25</v>
      </c>
      <c r="C23" s="76"/>
      <c r="D23" s="71" t="s">
        <v>19</v>
      </c>
      <c r="E23" s="72"/>
      <c r="F23" s="73">
        <v>1</v>
      </c>
      <c r="G23" s="74" t="s">
        <v>20</v>
      </c>
      <c r="H23" s="73">
        <v>72</v>
      </c>
      <c r="I23" s="74" t="s">
        <v>19</v>
      </c>
      <c r="J23" s="16">
        <v>30000</v>
      </c>
      <c r="K23" s="71" t="s">
        <v>19</v>
      </c>
      <c r="L23" s="75"/>
      <c r="M23" s="75">
        <v>0.17</v>
      </c>
      <c r="N23" s="73"/>
      <c r="O23" s="74" t="s">
        <v>19</v>
      </c>
      <c r="P23" s="70">
        <f t="shared" si="10"/>
        <v>0</v>
      </c>
      <c r="Q23" s="74" t="s">
        <v>19</v>
      </c>
      <c r="R23" s="16">
        <f t="shared" si="11"/>
        <v>0</v>
      </c>
      <c r="S23" s="16">
        <f t="shared" si="0"/>
        <v>0</v>
      </c>
    </row>
    <row r="25" spans="1:19">
      <c r="A25" s="15" t="s">
        <v>31</v>
      </c>
    </row>
    <row r="26" spans="1:19">
      <c r="A26" s="17" t="s">
        <v>32</v>
      </c>
      <c r="B26" s="2" t="s">
        <v>18</v>
      </c>
      <c r="C26" s="3">
        <v>117</v>
      </c>
      <c r="D26" s="4" t="s">
        <v>33</v>
      </c>
      <c r="E26" s="5">
        <v>6</v>
      </c>
      <c r="F26" s="6">
        <v>1</v>
      </c>
      <c r="G26" s="7" t="s">
        <v>20</v>
      </c>
      <c r="H26" s="6">
        <v>60</v>
      </c>
      <c r="I26" s="7" t="s">
        <v>33</v>
      </c>
      <c r="J26" s="8">
        <v>22200</v>
      </c>
      <c r="K26" s="4" t="s">
        <v>33</v>
      </c>
      <c r="L26" s="9">
        <v>0.125</v>
      </c>
      <c r="M26" s="9">
        <v>0.05</v>
      </c>
      <c r="O26" s="7" t="s">
        <v>33</v>
      </c>
      <c r="P26" s="3">
        <f t="shared" ref="P26:P33" si="12">(C26+(E26*F26*H26))-N26</f>
        <v>477</v>
      </c>
      <c r="Q26" s="7" t="s">
        <v>33</v>
      </c>
      <c r="R26" s="8">
        <f t="shared" ref="R26:R33" si="13">P26*(J26-(J26*L26)-((J26-(J26*L26))*M26))</f>
        <v>8802438.75</v>
      </c>
      <c r="S26" s="8">
        <f t="shared" si="0"/>
        <v>7930124.9999999991</v>
      </c>
    </row>
    <row r="27" spans="1:19">
      <c r="A27" s="159" t="s">
        <v>989</v>
      </c>
      <c r="B27" s="2" t="s">
        <v>18</v>
      </c>
      <c r="D27" s="4" t="s">
        <v>33</v>
      </c>
      <c r="E27" s="5">
        <v>2</v>
      </c>
      <c r="F27" s="6">
        <v>1</v>
      </c>
      <c r="G27" s="7" t="s">
        <v>20</v>
      </c>
      <c r="H27" s="6">
        <v>60</v>
      </c>
      <c r="I27" s="7" t="s">
        <v>33</v>
      </c>
      <c r="J27" s="8">
        <v>31500</v>
      </c>
      <c r="K27" s="4" t="s">
        <v>33</v>
      </c>
      <c r="L27" s="9">
        <v>0.125</v>
      </c>
      <c r="M27" s="9">
        <v>0.05</v>
      </c>
      <c r="O27" s="7" t="s">
        <v>33</v>
      </c>
      <c r="P27" s="3">
        <f t="shared" ref="P27" si="14">(C27+(E27*F27*H27))-N27</f>
        <v>120</v>
      </c>
      <c r="Q27" s="7" t="s">
        <v>33</v>
      </c>
      <c r="R27" s="8">
        <f t="shared" ref="R27" si="15">P27*(J27-(J27*L27)-((J27-(J27*L27))*M27))</f>
        <v>3142125</v>
      </c>
      <c r="S27" s="8">
        <f t="shared" ref="S27" si="16">R27/1.11</f>
        <v>2830743.2432432431</v>
      </c>
    </row>
    <row r="28" spans="1:19">
      <c r="A28" s="17" t="s">
        <v>826</v>
      </c>
      <c r="B28" s="2" t="s">
        <v>18</v>
      </c>
      <c r="C28" s="3">
        <v>60</v>
      </c>
      <c r="D28" s="4" t="s">
        <v>33</v>
      </c>
      <c r="E28" s="5">
        <v>3</v>
      </c>
      <c r="F28" s="6">
        <v>1</v>
      </c>
      <c r="G28" s="7" t="s">
        <v>20</v>
      </c>
      <c r="H28" s="6">
        <v>60</v>
      </c>
      <c r="I28" s="7" t="s">
        <v>33</v>
      </c>
      <c r="J28" s="8">
        <v>31500</v>
      </c>
      <c r="K28" s="4" t="s">
        <v>33</v>
      </c>
      <c r="L28" s="9">
        <v>0.125</v>
      </c>
      <c r="M28" s="9">
        <v>0.05</v>
      </c>
      <c r="O28" s="7" t="s">
        <v>33</v>
      </c>
      <c r="P28" s="3">
        <f t="shared" si="12"/>
        <v>240</v>
      </c>
      <c r="Q28" s="7" t="s">
        <v>33</v>
      </c>
      <c r="R28" s="8">
        <f t="shared" si="13"/>
        <v>6284250</v>
      </c>
      <c r="S28" s="8">
        <f t="shared" si="0"/>
        <v>5661486.4864864862</v>
      </c>
    </row>
    <row r="29" spans="1:19" s="69" customFormat="1">
      <c r="A29" s="68" t="s">
        <v>839</v>
      </c>
      <c r="B29" s="69" t="s">
        <v>18</v>
      </c>
      <c r="C29" s="70"/>
      <c r="D29" s="71" t="s">
        <v>33</v>
      </c>
      <c r="E29" s="72">
        <v>1</v>
      </c>
      <c r="F29" s="73">
        <v>1</v>
      </c>
      <c r="G29" s="74" t="s">
        <v>20</v>
      </c>
      <c r="H29" s="73">
        <v>60</v>
      </c>
      <c r="I29" s="74" t="s">
        <v>33</v>
      </c>
      <c r="J29" s="16">
        <v>31200</v>
      </c>
      <c r="K29" s="71" t="s">
        <v>33</v>
      </c>
      <c r="L29" s="75">
        <v>0.125</v>
      </c>
      <c r="M29" s="75">
        <v>0.05</v>
      </c>
      <c r="N29" s="73"/>
      <c r="O29" s="74" t="s">
        <v>33</v>
      </c>
      <c r="P29" s="70">
        <f t="shared" si="12"/>
        <v>60</v>
      </c>
      <c r="Q29" s="74" t="s">
        <v>33</v>
      </c>
      <c r="R29" s="16">
        <f t="shared" si="13"/>
        <v>1556100</v>
      </c>
      <c r="S29" s="16">
        <f t="shared" si="0"/>
        <v>1401891.8918918918</v>
      </c>
    </row>
    <row r="30" spans="1:19" s="69" customFormat="1">
      <c r="A30" s="68" t="s">
        <v>694</v>
      </c>
      <c r="B30" s="69" t="s">
        <v>18</v>
      </c>
      <c r="C30" s="70"/>
      <c r="D30" s="71" t="s">
        <v>33</v>
      </c>
      <c r="E30" s="72"/>
      <c r="F30" s="73">
        <v>1</v>
      </c>
      <c r="G30" s="74" t="s">
        <v>20</v>
      </c>
      <c r="H30" s="73">
        <v>50</v>
      </c>
      <c r="I30" s="74" t="s">
        <v>33</v>
      </c>
      <c r="J30" s="16">
        <v>66000</v>
      </c>
      <c r="K30" s="71" t="s">
        <v>33</v>
      </c>
      <c r="L30" s="75">
        <v>0.125</v>
      </c>
      <c r="M30" s="75">
        <v>0.05</v>
      </c>
      <c r="N30" s="73"/>
      <c r="O30" s="74" t="s">
        <v>33</v>
      </c>
      <c r="P30" s="70">
        <f t="shared" si="12"/>
        <v>0</v>
      </c>
      <c r="Q30" s="74" t="s">
        <v>33</v>
      </c>
      <c r="R30" s="16">
        <f t="shared" si="13"/>
        <v>0</v>
      </c>
      <c r="S30" s="16">
        <f t="shared" si="0"/>
        <v>0</v>
      </c>
    </row>
    <row r="31" spans="1:19" s="19" customFormat="1">
      <c r="A31" s="18" t="s">
        <v>835</v>
      </c>
      <c r="B31" s="19" t="s">
        <v>18</v>
      </c>
      <c r="C31" s="20"/>
      <c r="D31" s="21" t="s">
        <v>33</v>
      </c>
      <c r="E31" s="26">
        <v>1</v>
      </c>
      <c r="F31" s="22">
        <v>1</v>
      </c>
      <c r="G31" s="23" t="s">
        <v>20</v>
      </c>
      <c r="H31" s="22">
        <v>60</v>
      </c>
      <c r="I31" s="23" t="s">
        <v>33</v>
      </c>
      <c r="J31" s="24">
        <v>31800</v>
      </c>
      <c r="K31" s="21" t="s">
        <v>33</v>
      </c>
      <c r="L31" s="25">
        <v>0.125</v>
      </c>
      <c r="M31" s="25">
        <v>0.05</v>
      </c>
      <c r="N31" s="22"/>
      <c r="O31" s="23" t="s">
        <v>33</v>
      </c>
      <c r="P31" s="20">
        <f t="shared" ref="P31" si="17">(C31+(E31*F31*H31))-N31</f>
        <v>60</v>
      </c>
      <c r="Q31" s="23" t="s">
        <v>33</v>
      </c>
      <c r="R31" s="24">
        <f t="shared" ref="R31" si="18">P31*(J31-(J31*L31)-((J31-(J31*L31))*M31))</f>
        <v>1586025</v>
      </c>
      <c r="S31" s="24">
        <f t="shared" ref="S31" si="19">R31/1.11</f>
        <v>1428851.3513513512</v>
      </c>
    </row>
    <row r="32" spans="1:19" s="95" customFormat="1">
      <c r="A32" s="87" t="s">
        <v>34</v>
      </c>
      <c r="B32" s="95" t="s">
        <v>18</v>
      </c>
      <c r="C32" s="96"/>
      <c r="D32" s="97" t="s">
        <v>33</v>
      </c>
      <c r="E32" s="98">
        <v>3</v>
      </c>
      <c r="F32" s="99">
        <v>1</v>
      </c>
      <c r="G32" s="100" t="s">
        <v>20</v>
      </c>
      <c r="H32" s="99">
        <v>180</v>
      </c>
      <c r="I32" s="100" t="s">
        <v>33</v>
      </c>
      <c r="J32" s="101">
        <v>9000</v>
      </c>
      <c r="K32" s="97" t="s">
        <v>33</v>
      </c>
      <c r="L32" s="102">
        <v>0.125</v>
      </c>
      <c r="M32" s="102">
        <v>0.05</v>
      </c>
      <c r="N32" s="99"/>
      <c r="O32" s="100" t="s">
        <v>33</v>
      </c>
      <c r="P32" s="96">
        <f t="shared" ref="P32" si="20">(C32+(E32*F32*H32))-N32</f>
        <v>540</v>
      </c>
      <c r="Q32" s="100" t="s">
        <v>33</v>
      </c>
      <c r="R32" s="101">
        <f t="shared" ref="R32" si="21">P32*(J32-(J32*L32)-((J32-(J32*L32))*M32))</f>
        <v>4039875</v>
      </c>
      <c r="S32" s="101">
        <f t="shared" ref="S32" si="22">R32/1.11</f>
        <v>3639527.0270270268</v>
      </c>
    </row>
    <row r="33" spans="1:19" s="69" customFormat="1">
      <c r="A33" s="68" t="s">
        <v>35</v>
      </c>
      <c r="B33" s="69" t="s">
        <v>18</v>
      </c>
      <c r="C33" s="70"/>
      <c r="D33" s="71" t="s">
        <v>33</v>
      </c>
      <c r="E33" s="72"/>
      <c r="F33" s="73">
        <v>1</v>
      </c>
      <c r="G33" s="74" t="s">
        <v>20</v>
      </c>
      <c r="H33" s="73">
        <v>32</v>
      </c>
      <c r="I33" s="74" t="s">
        <v>33</v>
      </c>
      <c r="J33" s="16">
        <v>64800</v>
      </c>
      <c r="K33" s="71" t="s">
        <v>33</v>
      </c>
      <c r="L33" s="75">
        <v>0.125</v>
      </c>
      <c r="M33" s="75">
        <v>0.05</v>
      </c>
      <c r="N33" s="73"/>
      <c r="O33" s="74" t="s">
        <v>33</v>
      </c>
      <c r="P33" s="70">
        <f t="shared" si="12"/>
        <v>0</v>
      </c>
      <c r="Q33" s="74" t="s">
        <v>33</v>
      </c>
      <c r="R33" s="16">
        <f t="shared" si="13"/>
        <v>0</v>
      </c>
      <c r="S33" s="16">
        <f t="shared" si="0"/>
        <v>0</v>
      </c>
    </row>
    <row r="34" spans="1:19" s="69" customFormat="1">
      <c r="A34" s="68"/>
      <c r="C34" s="70"/>
      <c r="D34" s="71"/>
      <c r="E34" s="72"/>
      <c r="F34" s="73"/>
      <c r="G34" s="74"/>
      <c r="H34" s="73"/>
      <c r="I34" s="74"/>
      <c r="J34" s="16"/>
      <c r="K34" s="71"/>
      <c r="L34" s="75"/>
      <c r="M34" s="75"/>
      <c r="N34" s="73"/>
      <c r="O34" s="74"/>
      <c r="P34" s="70"/>
      <c r="Q34" s="74"/>
      <c r="R34" s="16"/>
      <c r="S34" s="16"/>
    </row>
    <row r="36" spans="1:19">
      <c r="A36" s="17" t="s">
        <v>762</v>
      </c>
      <c r="B36" s="2" t="s">
        <v>25</v>
      </c>
      <c r="C36" s="3">
        <v>60</v>
      </c>
      <c r="D36" s="4" t="s">
        <v>33</v>
      </c>
      <c r="F36" s="6">
        <v>2</v>
      </c>
      <c r="G36" s="7" t="s">
        <v>98</v>
      </c>
      <c r="H36" s="6">
        <v>30</v>
      </c>
      <c r="I36" s="7" t="s">
        <v>33</v>
      </c>
      <c r="J36" s="8">
        <f>1800000/2/30</f>
        <v>30000</v>
      </c>
      <c r="K36" s="4" t="s">
        <v>33</v>
      </c>
      <c r="M36" s="9">
        <v>0.17</v>
      </c>
      <c r="O36" s="7" t="s">
        <v>33</v>
      </c>
      <c r="P36" s="3">
        <f>(C36+(E36*F36*H36))-N36</f>
        <v>60</v>
      </c>
      <c r="Q36" s="7" t="s">
        <v>33</v>
      </c>
      <c r="R36" s="8">
        <f>P36*(J36-(J36*L36)-((J36-(J36*L36))*M36))</f>
        <v>1494000</v>
      </c>
      <c r="S36" s="8">
        <f t="shared" ref="S36:S40" si="23">R36/1.11</f>
        <v>1345945.9459459458</v>
      </c>
    </row>
    <row r="37" spans="1:19" s="69" customFormat="1">
      <c r="A37" s="68" t="s">
        <v>751</v>
      </c>
      <c r="B37" s="69" t="s">
        <v>25</v>
      </c>
      <c r="C37" s="70"/>
      <c r="D37" s="71" t="s">
        <v>40</v>
      </c>
      <c r="E37" s="72"/>
      <c r="F37" s="73">
        <v>1</v>
      </c>
      <c r="G37" s="74" t="s">
        <v>20</v>
      </c>
      <c r="H37" s="73">
        <v>60</v>
      </c>
      <c r="I37" s="74" t="s">
        <v>40</v>
      </c>
      <c r="J37" s="16">
        <f>1080000/60</f>
        <v>18000</v>
      </c>
      <c r="K37" s="71" t="s">
        <v>40</v>
      </c>
      <c r="L37" s="75"/>
      <c r="M37" s="75">
        <v>0.17</v>
      </c>
      <c r="N37" s="73"/>
      <c r="O37" s="74" t="s">
        <v>33</v>
      </c>
      <c r="P37" s="70">
        <f>(C37+(E37*F37*H37))-N37</f>
        <v>0</v>
      </c>
      <c r="Q37" s="74" t="s">
        <v>40</v>
      </c>
      <c r="R37" s="16">
        <f>P37*(J37-(J37*L37)-((J37-(J37*L37))*M37))</f>
        <v>0</v>
      </c>
      <c r="S37" s="16">
        <f t="shared" si="23"/>
        <v>0</v>
      </c>
    </row>
    <row r="38" spans="1:19" s="69" customFormat="1">
      <c r="A38" s="68" t="s">
        <v>840</v>
      </c>
      <c r="B38" s="69" t="s">
        <v>25</v>
      </c>
      <c r="C38" s="70"/>
      <c r="D38" s="71" t="s">
        <v>40</v>
      </c>
      <c r="E38" s="72"/>
      <c r="F38" s="73">
        <v>1</v>
      </c>
      <c r="G38" s="74" t="s">
        <v>20</v>
      </c>
      <c r="H38" s="73">
        <v>120</v>
      </c>
      <c r="I38" s="74" t="s">
        <v>40</v>
      </c>
      <c r="J38" s="16">
        <f>1908000/120</f>
        <v>15900</v>
      </c>
      <c r="K38" s="71" t="s">
        <v>40</v>
      </c>
      <c r="L38" s="75"/>
      <c r="M38" s="75">
        <v>0.17</v>
      </c>
      <c r="N38" s="73"/>
      <c r="O38" s="74" t="s">
        <v>33</v>
      </c>
      <c r="P38" s="70">
        <f>(C38+(E38*F38*H38))-N38</f>
        <v>0</v>
      </c>
      <c r="Q38" s="74" t="s">
        <v>40</v>
      </c>
      <c r="R38" s="16">
        <f>P38*(J38-(J38*L38)-((J38-(J38*L38))*M38))</f>
        <v>0</v>
      </c>
      <c r="S38" s="16">
        <f t="shared" si="23"/>
        <v>0</v>
      </c>
    </row>
    <row r="39" spans="1:19" s="69" customFormat="1">
      <c r="A39" s="68" t="s">
        <v>841</v>
      </c>
      <c r="B39" s="69" t="s">
        <v>25</v>
      </c>
      <c r="C39" s="70"/>
      <c r="D39" s="71" t="s">
        <v>40</v>
      </c>
      <c r="E39" s="72"/>
      <c r="F39" s="73">
        <v>1</v>
      </c>
      <c r="G39" s="74" t="s">
        <v>20</v>
      </c>
      <c r="H39" s="73">
        <v>60</v>
      </c>
      <c r="I39" s="74" t="s">
        <v>40</v>
      </c>
      <c r="J39" s="16">
        <f>1728000/60</f>
        <v>28800</v>
      </c>
      <c r="K39" s="71" t="s">
        <v>40</v>
      </c>
      <c r="L39" s="75"/>
      <c r="M39" s="75">
        <v>0.17</v>
      </c>
      <c r="N39" s="73"/>
      <c r="O39" s="74" t="s">
        <v>33</v>
      </c>
      <c r="P39" s="70">
        <f>(C39+(E39*F39*H39))-N39</f>
        <v>0</v>
      </c>
      <c r="Q39" s="74" t="s">
        <v>40</v>
      </c>
      <c r="R39" s="16">
        <f>P39*(J39-(J39*L39)-((J39-(J39*L39))*M39))</f>
        <v>0</v>
      </c>
      <c r="S39" s="16">
        <f t="shared" si="23"/>
        <v>0</v>
      </c>
    </row>
    <row r="40" spans="1:19" s="69" customFormat="1">
      <c r="A40" s="68" t="s">
        <v>679</v>
      </c>
      <c r="B40" s="69" t="s">
        <v>25</v>
      </c>
      <c r="C40" s="70"/>
      <c r="D40" s="71" t="s">
        <v>33</v>
      </c>
      <c r="E40" s="72"/>
      <c r="F40" s="73">
        <v>1</v>
      </c>
      <c r="G40" s="74" t="s">
        <v>20</v>
      </c>
      <c r="H40" s="73">
        <v>32</v>
      </c>
      <c r="I40" s="74" t="s">
        <v>33</v>
      </c>
      <c r="J40" s="16">
        <f>1113600/32</f>
        <v>34800</v>
      </c>
      <c r="K40" s="71" t="s">
        <v>33</v>
      </c>
      <c r="L40" s="75"/>
      <c r="M40" s="75">
        <v>0.17</v>
      </c>
      <c r="N40" s="73"/>
      <c r="O40" s="74" t="s">
        <v>33</v>
      </c>
      <c r="P40" s="70">
        <f>(C40+(E40*F40*H40))-N40</f>
        <v>0</v>
      </c>
      <c r="Q40" s="74" t="s">
        <v>33</v>
      </c>
      <c r="R40" s="16">
        <f>P40*(J40-(J40*L40)-((J40-(J40*L40))*M40))</f>
        <v>0</v>
      </c>
      <c r="S40" s="16">
        <f t="shared" si="23"/>
        <v>0</v>
      </c>
    </row>
    <row r="42" spans="1:19" ht="15.75">
      <c r="A42" s="14" t="s">
        <v>36</v>
      </c>
    </row>
    <row r="43" spans="1:19">
      <c r="A43" s="15" t="s">
        <v>37</v>
      </c>
    </row>
    <row r="44" spans="1:19" s="19" customFormat="1">
      <c r="A44" s="18" t="s">
        <v>809</v>
      </c>
      <c r="B44" s="19" t="s">
        <v>18</v>
      </c>
      <c r="C44" s="20"/>
      <c r="D44" s="21" t="s">
        <v>19</v>
      </c>
      <c r="E44" s="26">
        <v>2</v>
      </c>
      <c r="F44" s="22">
        <v>1</v>
      </c>
      <c r="G44" s="23" t="s">
        <v>20</v>
      </c>
      <c r="H44" s="22">
        <v>60</v>
      </c>
      <c r="I44" s="23" t="s">
        <v>19</v>
      </c>
      <c r="J44" s="24">
        <v>20800</v>
      </c>
      <c r="K44" s="21" t="s">
        <v>19</v>
      </c>
      <c r="L44" s="25">
        <v>0.125</v>
      </c>
      <c r="M44" s="25">
        <v>0.05</v>
      </c>
      <c r="N44" s="22"/>
      <c r="O44" s="23" t="s">
        <v>19</v>
      </c>
      <c r="P44" s="20">
        <f>(C44+(E44*F44*H44))-N44</f>
        <v>120</v>
      </c>
      <c r="Q44" s="23" t="s">
        <v>19</v>
      </c>
      <c r="R44" s="24">
        <f>P44*(J44-(J44*L44)-((J44-(J44*L44))*M44))</f>
        <v>2074800</v>
      </c>
      <c r="S44" s="24">
        <f t="shared" ref="S44" si="24">R44/1.11</f>
        <v>1869189.1891891891</v>
      </c>
    </row>
    <row r="45" spans="1:19" s="69" customFormat="1">
      <c r="A45" s="68" t="s">
        <v>38</v>
      </c>
      <c r="B45" s="69" t="s">
        <v>18</v>
      </c>
      <c r="C45" s="70"/>
      <c r="D45" s="71" t="s">
        <v>19</v>
      </c>
      <c r="E45" s="72"/>
      <c r="F45" s="73">
        <v>1</v>
      </c>
      <c r="G45" s="74" t="s">
        <v>20</v>
      </c>
      <c r="H45" s="73">
        <v>60</v>
      </c>
      <c r="I45" s="74" t="s">
        <v>19</v>
      </c>
      <c r="J45" s="16">
        <v>18500</v>
      </c>
      <c r="K45" s="71" t="s">
        <v>19</v>
      </c>
      <c r="L45" s="75">
        <v>0.125</v>
      </c>
      <c r="M45" s="75">
        <v>0.05</v>
      </c>
      <c r="N45" s="73"/>
      <c r="O45" s="74" t="s">
        <v>19</v>
      </c>
      <c r="P45" s="70">
        <f>(C45+(E45*F45*H45))-N45</f>
        <v>0</v>
      </c>
      <c r="Q45" s="74" t="s">
        <v>19</v>
      </c>
      <c r="R45" s="16">
        <f>P45*(J45-(J45*L45)-((J45-(J45*L45))*M45))</f>
        <v>0</v>
      </c>
      <c r="S45" s="16">
        <f t="shared" si="0"/>
        <v>0</v>
      </c>
    </row>
    <row r="47" spans="1:19" s="95" customFormat="1">
      <c r="A47" s="87" t="s">
        <v>39</v>
      </c>
      <c r="B47" s="95" t="s">
        <v>25</v>
      </c>
      <c r="C47" s="96"/>
      <c r="D47" s="97" t="s">
        <v>40</v>
      </c>
      <c r="E47" s="98">
        <v>6</v>
      </c>
      <c r="F47" s="99">
        <v>1</v>
      </c>
      <c r="G47" s="100" t="s">
        <v>20</v>
      </c>
      <c r="H47" s="99">
        <v>5</v>
      </c>
      <c r="I47" s="100" t="s">
        <v>40</v>
      </c>
      <c r="J47" s="101">
        <f>780000/5</f>
        <v>156000</v>
      </c>
      <c r="K47" s="97" t="s">
        <v>40</v>
      </c>
      <c r="L47" s="102"/>
      <c r="M47" s="102">
        <v>0.17</v>
      </c>
      <c r="N47" s="99"/>
      <c r="O47" s="103" t="s">
        <v>40</v>
      </c>
      <c r="P47" s="96">
        <f t="shared" ref="P47:P50" si="25">(C47+(E47*F47*H47))-N47</f>
        <v>30</v>
      </c>
      <c r="Q47" s="100" t="s">
        <v>40</v>
      </c>
      <c r="R47" s="101">
        <f t="shared" ref="R47:R50" si="26">P47*(J47-(J47*L47)-((J47-(J47*L47))*M47))</f>
        <v>3884400</v>
      </c>
      <c r="S47" s="101">
        <f t="shared" si="0"/>
        <v>3499459.4594594589</v>
      </c>
    </row>
    <row r="48" spans="1:19" s="78" customFormat="1">
      <c r="A48" s="28" t="s">
        <v>41</v>
      </c>
      <c r="B48" s="19" t="s">
        <v>25</v>
      </c>
      <c r="C48" s="20"/>
      <c r="D48" s="21" t="s">
        <v>40</v>
      </c>
      <c r="E48" s="26">
        <v>5</v>
      </c>
      <c r="F48" s="22">
        <v>1</v>
      </c>
      <c r="G48" s="23" t="s">
        <v>20</v>
      </c>
      <c r="H48" s="22">
        <v>5</v>
      </c>
      <c r="I48" s="23" t="s">
        <v>40</v>
      </c>
      <c r="J48" s="29">
        <v>153600</v>
      </c>
      <c r="K48" s="21" t="s">
        <v>40</v>
      </c>
      <c r="L48" s="25"/>
      <c r="M48" s="25">
        <v>0.17</v>
      </c>
      <c r="N48" s="22"/>
      <c r="O48" s="38" t="s">
        <v>40</v>
      </c>
      <c r="P48" s="20">
        <f t="shared" ref="P48" si="27">(C48+(E48*F48*H48))-N48</f>
        <v>25</v>
      </c>
      <c r="Q48" s="23" t="s">
        <v>40</v>
      </c>
      <c r="R48" s="24">
        <f t="shared" ref="R48" si="28">P48*(J48-(J48*L48)-((J48-(J48*L48))*M48))</f>
        <v>3187200</v>
      </c>
      <c r="S48" s="24">
        <f t="shared" ref="S48" si="29">R48/1.11</f>
        <v>2871351.351351351</v>
      </c>
    </row>
    <row r="49" spans="1:21" s="19" customFormat="1">
      <c r="A49" s="28" t="s">
        <v>41</v>
      </c>
      <c r="B49" s="19" t="s">
        <v>25</v>
      </c>
      <c r="C49" s="20">
        <v>17</v>
      </c>
      <c r="D49" s="21" t="s">
        <v>40</v>
      </c>
      <c r="E49" s="26"/>
      <c r="F49" s="22">
        <v>1</v>
      </c>
      <c r="G49" s="23" t="s">
        <v>20</v>
      </c>
      <c r="H49" s="22">
        <v>5</v>
      </c>
      <c r="I49" s="23" t="s">
        <v>40</v>
      </c>
      <c r="J49" s="29">
        <f>708000/5</f>
        <v>141600</v>
      </c>
      <c r="K49" s="21" t="s">
        <v>40</v>
      </c>
      <c r="L49" s="25"/>
      <c r="M49" s="25">
        <v>0.17</v>
      </c>
      <c r="N49" s="22"/>
      <c r="O49" s="38" t="s">
        <v>40</v>
      </c>
      <c r="P49" s="20">
        <f t="shared" si="25"/>
        <v>17</v>
      </c>
      <c r="Q49" s="23" t="s">
        <v>40</v>
      </c>
      <c r="R49" s="24">
        <f t="shared" si="26"/>
        <v>1997976</v>
      </c>
      <c r="S49" s="24">
        <f t="shared" si="0"/>
        <v>1799978.3783783782</v>
      </c>
    </row>
    <row r="50" spans="1:21" s="95" customFormat="1">
      <c r="A50" s="87" t="s">
        <v>903</v>
      </c>
      <c r="B50" s="95" t="s">
        <v>25</v>
      </c>
      <c r="C50" s="96"/>
      <c r="D50" s="97" t="s">
        <v>40</v>
      </c>
      <c r="E50" s="98">
        <v>2</v>
      </c>
      <c r="F50" s="99">
        <v>1</v>
      </c>
      <c r="G50" s="100" t="s">
        <v>20</v>
      </c>
      <c r="H50" s="99">
        <v>5</v>
      </c>
      <c r="I50" s="100" t="s">
        <v>40</v>
      </c>
      <c r="J50" s="101">
        <f>990000/5</f>
        <v>198000</v>
      </c>
      <c r="K50" s="97" t="s">
        <v>40</v>
      </c>
      <c r="L50" s="102"/>
      <c r="M50" s="102">
        <v>0.17</v>
      </c>
      <c r="N50" s="99"/>
      <c r="O50" s="103" t="s">
        <v>40</v>
      </c>
      <c r="P50" s="96">
        <f t="shared" si="25"/>
        <v>10</v>
      </c>
      <c r="Q50" s="100" t="s">
        <v>40</v>
      </c>
      <c r="R50" s="101">
        <f t="shared" si="26"/>
        <v>1643400</v>
      </c>
      <c r="S50" s="101">
        <f t="shared" si="0"/>
        <v>1480540.5405405404</v>
      </c>
    </row>
    <row r="51" spans="1:21" s="95" customFormat="1">
      <c r="A51" s="87" t="s">
        <v>42</v>
      </c>
      <c r="B51" s="95" t="s">
        <v>25</v>
      </c>
      <c r="C51" s="96"/>
      <c r="D51" s="97" t="s">
        <v>40</v>
      </c>
      <c r="E51" s="98">
        <v>1</v>
      </c>
      <c r="F51" s="99">
        <v>1</v>
      </c>
      <c r="G51" s="100" t="s">
        <v>20</v>
      </c>
      <c r="H51" s="99">
        <v>5</v>
      </c>
      <c r="I51" s="100" t="s">
        <v>40</v>
      </c>
      <c r="J51" s="101">
        <f>975000/5</f>
        <v>195000</v>
      </c>
      <c r="K51" s="97" t="s">
        <v>40</v>
      </c>
      <c r="L51" s="102"/>
      <c r="M51" s="102">
        <v>0.17</v>
      </c>
      <c r="N51" s="99"/>
      <c r="O51" s="103" t="s">
        <v>40</v>
      </c>
      <c r="P51" s="96">
        <f t="shared" ref="P51" si="30">(C51+(E51*F51*H51))-N51</f>
        <v>5</v>
      </c>
      <c r="Q51" s="100" t="s">
        <v>40</v>
      </c>
      <c r="R51" s="101">
        <f t="shared" ref="R51" si="31">P51*(J51-(J51*L51)-((J51-(J51*L51))*M51))</f>
        <v>809250</v>
      </c>
      <c r="S51" s="101">
        <f t="shared" ref="S51" si="32">R51/1.11</f>
        <v>729054.05405405397</v>
      </c>
    </row>
    <row r="52" spans="1:21" s="19" customFormat="1">
      <c r="A52" s="18"/>
      <c r="C52" s="20"/>
      <c r="D52" s="21"/>
      <c r="E52" s="26"/>
      <c r="F52" s="22"/>
      <c r="G52" s="23"/>
      <c r="H52" s="22"/>
      <c r="I52" s="23"/>
      <c r="J52" s="24"/>
      <c r="K52" s="21"/>
      <c r="L52" s="25"/>
      <c r="M52" s="25"/>
      <c r="N52" s="22"/>
      <c r="O52" s="38"/>
      <c r="P52" s="20"/>
      <c r="Q52" s="23"/>
      <c r="R52" s="24"/>
      <c r="S52" s="24"/>
    </row>
    <row r="53" spans="1:21" s="19" customFormat="1">
      <c r="A53" s="62" t="s">
        <v>697</v>
      </c>
      <c r="C53" s="20"/>
      <c r="D53" s="21"/>
      <c r="E53" s="26"/>
      <c r="F53" s="22"/>
      <c r="G53" s="23"/>
      <c r="H53" s="22"/>
      <c r="I53" s="23"/>
      <c r="J53" s="24"/>
      <c r="K53" s="21"/>
      <c r="L53" s="25"/>
      <c r="M53" s="25"/>
      <c r="N53" s="22"/>
      <c r="O53" s="23"/>
      <c r="P53" s="20"/>
      <c r="Q53" s="23"/>
      <c r="R53" s="24"/>
      <c r="S53" s="24"/>
    </row>
    <row r="54" spans="1:21" s="85" customFormat="1">
      <c r="A54" s="87" t="s">
        <v>842</v>
      </c>
      <c r="B54" s="85" t="s">
        <v>700</v>
      </c>
      <c r="C54" s="88">
        <v>520</v>
      </c>
      <c r="D54" s="89" t="s">
        <v>19</v>
      </c>
      <c r="E54" s="90">
        <v>26</v>
      </c>
      <c r="F54" s="91">
        <v>1</v>
      </c>
      <c r="G54" s="92" t="s">
        <v>20</v>
      </c>
      <c r="H54" s="91">
        <v>100</v>
      </c>
      <c r="I54" s="92" t="s">
        <v>19</v>
      </c>
      <c r="J54" s="93">
        <v>6610</v>
      </c>
      <c r="K54" s="89" t="s">
        <v>19</v>
      </c>
      <c r="L54" s="94"/>
      <c r="M54" s="94"/>
      <c r="N54" s="91"/>
      <c r="O54" s="92" t="s">
        <v>19</v>
      </c>
      <c r="P54" s="88">
        <f>(C54+(E54*F54*H54))-N54</f>
        <v>3120</v>
      </c>
      <c r="Q54" s="92" t="s">
        <v>19</v>
      </c>
      <c r="R54" s="93">
        <f>P54*(J54-(J54*L54)-((J54-(J54*L54))*M54))</f>
        <v>20623200</v>
      </c>
      <c r="S54" s="93">
        <f t="shared" ref="S54" si="33">R54/1.11</f>
        <v>18579459.459459458</v>
      </c>
    </row>
    <row r="55" spans="1:21" s="19" customFormat="1">
      <c r="A55" s="18" t="s">
        <v>757</v>
      </c>
      <c r="B55" s="19" t="s">
        <v>700</v>
      </c>
      <c r="C55" s="20">
        <v>75</v>
      </c>
      <c r="D55" s="21" t="s">
        <v>19</v>
      </c>
      <c r="E55" s="26">
        <v>23</v>
      </c>
      <c r="F55" s="22">
        <v>1</v>
      </c>
      <c r="G55" s="23" t="s">
        <v>20</v>
      </c>
      <c r="H55" s="22">
        <v>50</v>
      </c>
      <c r="I55" s="23" t="s">
        <v>19</v>
      </c>
      <c r="J55" s="24">
        <v>12870</v>
      </c>
      <c r="K55" s="21" t="s">
        <v>19</v>
      </c>
      <c r="L55" s="25"/>
      <c r="M55" s="25"/>
      <c r="N55" s="22"/>
      <c r="O55" s="23" t="s">
        <v>19</v>
      </c>
      <c r="P55" s="20">
        <f>(C55+(E55*F55*H55))-N55</f>
        <v>1225</v>
      </c>
      <c r="Q55" s="23" t="s">
        <v>19</v>
      </c>
      <c r="R55" s="24">
        <f>P55*(J55-(J55*L55)-((J55-(J55*L55))*M55))</f>
        <v>15765750</v>
      </c>
      <c r="S55" s="24">
        <f t="shared" ref="S55:S57" si="34">R55/1.11</f>
        <v>14203378.378378376</v>
      </c>
    </row>
    <row r="56" spans="1:21" s="78" customFormat="1">
      <c r="A56" s="77" t="s">
        <v>698</v>
      </c>
      <c r="B56" s="78" t="s">
        <v>700</v>
      </c>
      <c r="C56" s="76"/>
      <c r="D56" s="79" t="s">
        <v>19</v>
      </c>
      <c r="E56" s="80"/>
      <c r="F56" s="81">
        <v>1</v>
      </c>
      <c r="G56" s="82" t="s">
        <v>20</v>
      </c>
      <c r="H56" s="81">
        <v>50</v>
      </c>
      <c r="I56" s="82" t="s">
        <v>19</v>
      </c>
      <c r="J56" s="83">
        <v>12870</v>
      </c>
      <c r="K56" s="79" t="s">
        <v>19</v>
      </c>
      <c r="L56" s="84"/>
      <c r="M56" s="84"/>
      <c r="N56" s="81"/>
      <c r="O56" s="82" t="s">
        <v>19</v>
      </c>
      <c r="P56" s="76">
        <f>(C56+(E56*F56*H56))-N56</f>
        <v>0</v>
      </c>
      <c r="Q56" s="82" t="s">
        <v>19</v>
      </c>
      <c r="R56" s="83">
        <f>P56*(J56-(J56*L56)-((J56-(J56*L56))*M56))</f>
        <v>0</v>
      </c>
      <c r="S56" s="83">
        <f t="shared" si="34"/>
        <v>0</v>
      </c>
    </row>
    <row r="57" spans="1:21" s="19" customFormat="1">
      <c r="A57" s="18" t="s">
        <v>699</v>
      </c>
      <c r="B57" s="19" t="s">
        <v>700</v>
      </c>
      <c r="C57" s="20">
        <v>5</v>
      </c>
      <c r="D57" s="21" t="s">
        <v>19</v>
      </c>
      <c r="E57" s="26"/>
      <c r="F57" s="22">
        <v>1</v>
      </c>
      <c r="G57" s="23" t="s">
        <v>20</v>
      </c>
      <c r="H57" s="22">
        <v>50</v>
      </c>
      <c r="I57" s="23" t="s">
        <v>19</v>
      </c>
      <c r="J57" s="24">
        <v>12870</v>
      </c>
      <c r="K57" s="21" t="s">
        <v>19</v>
      </c>
      <c r="L57" s="25"/>
      <c r="M57" s="25"/>
      <c r="N57" s="22"/>
      <c r="O57" s="23" t="s">
        <v>19</v>
      </c>
      <c r="P57" s="20">
        <f>(C57+(E57*F57*H57))-N57</f>
        <v>5</v>
      </c>
      <c r="Q57" s="23" t="s">
        <v>19</v>
      </c>
      <c r="R57" s="24">
        <f>P57*(J57-(J57*L57)-((J57-(J57*L57))*M57))</f>
        <v>64350</v>
      </c>
      <c r="S57" s="24">
        <f t="shared" si="34"/>
        <v>57972.972972972966</v>
      </c>
    </row>
    <row r="58" spans="1:21" s="95" customFormat="1">
      <c r="A58" s="87"/>
      <c r="C58" s="96"/>
      <c r="D58" s="97"/>
      <c r="E58" s="98"/>
      <c r="F58" s="99"/>
      <c r="G58" s="100"/>
      <c r="H58" s="99"/>
      <c r="I58" s="100"/>
      <c r="J58" s="101"/>
      <c r="K58" s="97"/>
      <c r="L58" s="102"/>
      <c r="M58" s="102"/>
      <c r="N58" s="99"/>
      <c r="O58" s="103"/>
      <c r="P58" s="96"/>
      <c r="Q58" s="100"/>
      <c r="R58" s="101"/>
      <c r="S58" s="101"/>
    </row>
    <row r="59" spans="1:21">
      <c r="A59" s="15" t="s">
        <v>843</v>
      </c>
      <c r="S59" s="16"/>
    </row>
    <row r="60" spans="1:21" s="85" customFormat="1">
      <c r="A60" s="87" t="s">
        <v>844</v>
      </c>
      <c r="B60" s="85" t="s">
        <v>700</v>
      </c>
      <c r="C60" s="88">
        <v>80</v>
      </c>
      <c r="D60" s="89" t="s">
        <v>98</v>
      </c>
      <c r="E60" s="90">
        <v>21</v>
      </c>
      <c r="F60" s="91">
        <v>1</v>
      </c>
      <c r="G60" s="92" t="s">
        <v>20</v>
      </c>
      <c r="H60" s="91">
        <v>20</v>
      </c>
      <c r="I60" s="92" t="s">
        <v>98</v>
      </c>
      <c r="J60" s="93">
        <v>14900</v>
      </c>
      <c r="K60" s="89" t="s">
        <v>98</v>
      </c>
      <c r="L60" s="94"/>
      <c r="M60" s="94"/>
      <c r="N60" s="91"/>
      <c r="O60" s="92" t="s">
        <v>98</v>
      </c>
      <c r="P60" s="88">
        <f>(C60+(E60*F60*H60))-N60</f>
        <v>500</v>
      </c>
      <c r="Q60" s="92" t="s">
        <v>98</v>
      </c>
      <c r="R60" s="93">
        <f>P60*(J60-(J60*L60)-((J60-(J60*L60))*M60))</f>
        <v>7450000</v>
      </c>
      <c r="S60" s="93">
        <f t="shared" ref="S60:S61" si="35">R60/1.11</f>
        <v>6711711.7117117113</v>
      </c>
    </row>
    <row r="61" spans="1:21" s="85" customFormat="1">
      <c r="A61" s="87" t="s">
        <v>845</v>
      </c>
      <c r="B61" s="85" t="s">
        <v>700</v>
      </c>
      <c r="C61" s="88">
        <v>20</v>
      </c>
      <c r="D61" s="89" t="s">
        <v>98</v>
      </c>
      <c r="E61" s="90">
        <v>38</v>
      </c>
      <c r="F61" s="91">
        <v>1</v>
      </c>
      <c r="G61" s="92" t="s">
        <v>20</v>
      </c>
      <c r="H61" s="91">
        <v>10</v>
      </c>
      <c r="I61" s="92" t="s">
        <v>98</v>
      </c>
      <c r="J61" s="93">
        <v>29900</v>
      </c>
      <c r="K61" s="89" t="s">
        <v>98</v>
      </c>
      <c r="L61" s="94"/>
      <c r="M61" s="94"/>
      <c r="N61" s="91"/>
      <c r="O61" s="92" t="s">
        <v>98</v>
      </c>
      <c r="P61" s="88">
        <f>(C61+(E61*F61*H61))-N61</f>
        <v>400</v>
      </c>
      <c r="Q61" s="92" t="s">
        <v>98</v>
      </c>
      <c r="R61" s="93">
        <f>P61*(J61-(J61*L61)-((J61-(J61*L61))*M61))</f>
        <v>11960000</v>
      </c>
      <c r="S61" s="93">
        <f t="shared" si="35"/>
        <v>10774774.774774773</v>
      </c>
    </row>
    <row r="62" spans="1:21" s="19" customFormat="1">
      <c r="A62" s="18"/>
      <c r="C62" s="20"/>
      <c r="D62" s="21"/>
      <c r="E62" s="26"/>
      <c r="F62" s="22"/>
      <c r="G62" s="23"/>
      <c r="H62" s="22"/>
      <c r="I62" s="23"/>
      <c r="J62" s="24"/>
      <c r="K62" s="21"/>
      <c r="L62" s="25"/>
      <c r="M62" s="25"/>
      <c r="N62" s="22"/>
      <c r="O62" s="23"/>
      <c r="P62" s="20"/>
      <c r="Q62" s="23"/>
      <c r="R62" s="24"/>
      <c r="S62" s="24"/>
    </row>
    <row r="63" spans="1:21" s="19" customFormat="1" ht="15.75">
      <c r="A63" s="35" t="s">
        <v>43</v>
      </c>
      <c r="C63" s="20"/>
      <c r="D63" s="21"/>
      <c r="E63" s="26"/>
      <c r="F63" s="22"/>
      <c r="G63" s="23"/>
      <c r="H63" s="22"/>
      <c r="I63" s="23"/>
      <c r="J63" s="24"/>
      <c r="K63" s="21"/>
      <c r="L63" s="25"/>
      <c r="M63" s="25"/>
      <c r="N63" s="22"/>
      <c r="O63" s="23"/>
      <c r="P63" s="20"/>
      <c r="Q63" s="23"/>
      <c r="R63" s="24"/>
      <c r="S63" s="24"/>
    </row>
    <row r="64" spans="1:21" s="19" customFormat="1">
      <c r="A64" s="77" t="s">
        <v>44</v>
      </c>
      <c r="B64" s="78" t="s">
        <v>45</v>
      </c>
      <c r="C64" s="76"/>
      <c r="D64" s="79" t="s">
        <v>19</v>
      </c>
      <c r="E64" s="80"/>
      <c r="F64" s="81">
        <v>2</v>
      </c>
      <c r="G64" s="82" t="s">
        <v>33</v>
      </c>
      <c r="H64" s="81">
        <v>20</v>
      </c>
      <c r="I64" s="82" t="s">
        <v>19</v>
      </c>
      <c r="J64" s="83">
        <v>64000</v>
      </c>
      <c r="K64" s="79" t="s">
        <v>19</v>
      </c>
      <c r="L64" s="84">
        <v>0.125</v>
      </c>
      <c r="M64" s="84">
        <v>0.05</v>
      </c>
      <c r="N64" s="81"/>
      <c r="O64" s="82" t="s">
        <v>19</v>
      </c>
      <c r="P64" s="76">
        <f t="shared" ref="P64:P114" si="36">(C64+(E64*F64*H64))-N64</f>
        <v>0</v>
      </c>
      <c r="Q64" s="82" t="s">
        <v>19</v>
      </c>
      <c r="R64" s="83">
        <f t="shared" ref="R64:R114" si="37">P64*(J64-(J64*L64)-((J64-(J64*L64))*M64))</f>
        <v>0</v>
      </c>
      <c r="S64" s="83">
        <f t="shared" ref="S64:S114" si="38">R64/1.11</f>
        <v>0</v>
      </c>
      <c r="T64" s="78"/>
      <c r="U64" s="78"/>
    </row>
    <row r="65" spans="1:21" s="95" customFormat="1">
      <c r="A65" s="18" t="s">
        <v>46</v>
      </c>
      <c r="B65" s="19" t="s">
        <v>45</v>
      </c>
      <c r="C65" s="20">
        <v>35</v>
      </c>
      <c r="D65" s="21" t="s">
        <v>19</v>
      </c>
      <c r="E65" s="26">
        <v>4</v>
      </c>
      <c r="F65" s="22">
        <v>6</v>
      </c>
      <c r="G65" s="23" t="s">
        <v>33</v>
      </c>
      <c r="H65" s="22">
        <v>20</v>
      </c>
      <c r="I65" s="23" t="s">
        <v>19</v>
      </c>
      <c r="J65" s="24">
        <v>47000</v>
      </c>
      <c r="K65" s="21" t="s">
        <v>19</v>
      </c>
      <c r="L65" s="25">
        <v>0.125</v>
      </c>
      <c r="M65" s="25">
        <v>0.05</v>
      </c>
      <c r="N65" s="22"/>
      <c r="O65" s="23" t="s">
        <v>19</v>
      </c>
      <c r="P65" s="20">
        <f t="shared" si="36"/>
        <v>515</v>
      </c>
      <c r="Q65" s="23" t="s">
        <v>19</v>
      </c>
      <c r="R65" s="24">
        <f t="shared" si="37"/>
        <v>20120406.25</v>
      </c>
      <c r="S65" s="24">
        <f t="shared" si="38"/>
        <v>18126492.117117114</v>
      </c>
      <c r="T65" s="19"/>
      <c r="U65" s="19"/>
    </row>
    <row r="66" spans="1:21" s="19" customFormat="1">
      <c r="A66" s="131" t="s">
        <v>47</v>
      </c>
      <c r="B66" s="19" t="s">
        <v>45</v>
      </c>
      <c r="C66" s="20"/>
      <c r="D66" s="21" t="s">
        <v>19</v>
      </c>
      <c r="E66" s="26">
        <v>6</v>
      </c>
      <c r="F66" s="22">
        <v>6</v>
      </c>
      <c r="G66" s="23" t="s">
        <v>33</v>
      </c>
      <c r="H66" s="22">
        <v>20</v>
      </c>
      <c r="I66" s="23" t="s">
        <v>19</v>
      </c>
      <c r="J66" s="24">
        <v>47000</v>
      </c>
      <c r="K66" s="21" t="s">
        <v>19</v>
      </c>
      <c r="L66" s="25">
        <v>0.125</v>
      </c>
      <c r="M66" s="130">
        <v>0.05</v>
      </c>
      <c r="N66" s="22"/>
      <c r="O66" s="23" t="s">
        <v>19</v>
      </c>
      <c r="P66" s="20">
        <f t="shared" si="36"/>
        <v>720</v>
      </c>
      <c r="Q66" s="23" t="s">
        <v>19</v>
      </c>
      <c r="R66" s="24">
        <f t="shared" si="37"/>
        <v>28129500</v>
      </c>
      <c r="S66" s="24">
        <f t="shared" si="38"/>
        <v>25341891.891891889</v>
      </c>
    </row>
    <row r="67" spans="1:21" s="95" customFormat="1">
      <c r="A67" s="131" t="s">
        <v>47</v>
      </c>
      <c r="B67" s="19" t="s">
        <v>45</v>
      </c>
      <c r="C67" s="20"/>
      <c r="D67" s="21" t="s">
        <v>19</v>
      </c>
      <c r="E67" s="26">
        <v>3</v>
      </c>
      <c r="F67" s="22">
        <v>6</v>
      </c>
      <c r="G67" s="23" t="s">
        <v>33</v>
      </c>
      <c r="H67" s="22">
        <v>20</v>
      </c>
      <c r="I67" s="23" t="s">
        <v>19</v>
      </c>
      <c r="J67" s="24">
        <v>47000</v>
      </c>
      <c r="K67" s="21" t="s">
        <v>19</v>
      </c>
      <c r="L67" s="25">
        <v>0.125</v>
      </c>
      <c r="M67" s="130">
        <v>0.1</v>
      </c>
      <c r="N67" s="22"/>
      <c r="O67" s="23" t="s">
        <v>19</v>
      </c>
      <c r="P67" s="20">
        <f t="shared" si="36"/>
        <v>360</v>
      </c>
      <c r="Q67" s="23" t="s">
        <v>19</v>
      </c>
      <c r="R67" s="24">
        <f t="shared" si="37"/>
        <v>13324500</v>
      </c>
      <c r="S67" s="24">
        <f t="shared" si="38"/>
        <v>12004054.054054054</v>
      </c>
      <c r="T67" s="19"/>
      <c r="U67" s="19"/>
    </row>
    <row r="68" spans="1:21" s="78" customFormat="1">
      <c r="A68" s="87" t="s">
        <v>48</v>
      </c>
      <c r="B68" s="95" t="s">
        <v>45</v>
      </c>
      <c r="C68" s="96"/>
      <c r="D68" s="97" t="s">
        <v>19</v>
      </c>
      <c r="E68" s="98">
        <v>1</v>
      </c>
      <c r="F68" s="99">
        <v>6</v>
      </c>
      <c r="G68" s="100" t="s">
        <v>33</v>
      </c>
      <c r="H68" s="99">
        <v>20</v>
      </c>
      <c r="I68" s="100" t="s">
        <v>19</v>
      </c>
      <c r="J68" s="101">
        <v>49000</v>
      </c>
      <c r="K68" s="97" t="s">
        <v>19</v>
      </c>
      <c r="L68" s="102">
        <v>0.125</v>
      </c>
      <c r="M68" s="102">
        <v>0.05</v>
      </c>
      <c r="N68" s="99"/>
      <c r="O68" s="100" t="s">
        <v>19</v>
      </c>
      <c r="P68" s="96">
        <f t="shared" si="36"/>
        <v>120</v>
      </c>
      <c r="Q68" s="100" t="s">
        <v>19</v>
      </c>
      <c r="R68" s="101">
        <f t="shared" si="37"/>
        <v>4887750</v>
      </c>
      <c r="S68" s="101">
        <f t="shared" si="38"/>
        <v>4403378.3783783782</v>
      </c>
      <c r="T68" s="95"/>
      <c r="U68" s="95"/>
    </row>
    <row r="69" spans="1:21" s="19" customFormat="1">
      <c r="A69" s="132" t="s">
        <v>49</v>
      </c>
      <c r="B69" s="95" t="s">
        <v>45</v>
      </c>
      <c r="C69" s="96"/>
      <c r="D69" s="97" t="s">
        <v>19</v>
      </c>
      <c r="E69" s="98">
        <v>5</v>
      </c>
      <c r="F69" s="99">
        <v>4</v>
      </c>
      <c r="G69" s="100" t="s">
        <v>33</v>
      </c>
      <c r="H69" s="99">
        <v>20</v>
      </c>
      <c r="I69" s="100" t="s">
        <v>19</v>
      </c>
      <c r="J69" s="101">
        <v>56000</v>
      </c>
      <c r="K69" s="97" t="s">
        <v>19</v>
      </c>
      <c r="L69" s="102">
        <v>0.125</v>
      </c>
      <c r="M69" s="133">
        <v>0.1</v>
      </c>
      <c r="N69" s="99"/>
      <c r="O69" s="100" t="s">
        <v>19</v>
      </c>
      <c r="P69" s="20">
        <f t="shared" si="36"/>
        <v>400</v>
      </c>
      <c r="Q69" s="100" t="s">
        <v>19</v>
      </c>
      <c r="R69" s="24">
        <f t="shared" si="37"/>
        <v>17640000</v>
      </c>
      <c r="S69" s="24">
        <f t="shared" si="38"/>
        <v>15891891.891891891</v>
      </c>
      <c r="T69" s="95"/>
      <c r="U69" s="95"/>
    </row>
    <row r="70" spans="1:21" s="19" customFormat="1">
      <c r="A70" s="131" t="s">
        <v>49</v>
      </c>
      <c r="B70" s="19" t="s">
        <v>45</v>
      </c>
      <c r="C70" s="20"/>
      <c r="D70" s="21" t="s">
        <v>19</v>
      </c>
      <c r="E70" s="26">
        <v>1</v>
      </c>
      <c r="F70" s="22">
        <v>4</v>
      </c>
      <c r="G70" s="23" t="s">
        <v>33</v>
      </c>
      <c r="H70" s="22">
        <v>20</v>
      </c>
      <c r="I70" s="23" t="s">
        <v>19</v>
      </c>
      <c r="J70" s="24">
        <v>56000</v>
      </c>
      <c r="K70" s="21" t="s">
        <v>19</v>
      </c>
      <c r="L70" s="25">
        <v>0.125</v>
      </c>
      <c r="M70" s="130">
        <v>0.05</v>
      </c>
      <c r="N70" s="22"/>
      <c r="O70" s="23" t="s">
        <v>19</v>
      </c>
      <c r="P70" s="20">
        <f t="shared" si="36"/>
        <v>80</v>
      </c>
      <c r="Q70" s="23" t="s">
        <v>19</v>
      </c>
      <c r="R70" s="24">
        <f t="shared" si="37"/>
        <v>3724000</v>
      </c>
      <c r="S70" s="24">
        <f t="shared" si="38"/>
        <v>3354954.9549549548</v>
      </c>
    </row>
    <row r="71" spans="1:21" s="19" customFormat="1">
      <c r="A71" s="28" t="s">
        <v>50</v>
      </c>
      <c r="B71" s="19" t="s">
        <v>45</v>
      </c>
      <c r="C71" s="20">
        <v>55</v>
      </c>
      <c r="D71" s="21" t="s">
        <v>19</v>
      </c>
      <c r="E71" s="26">
        <v>2</v>
      </c>
      <c r="F71" s="22">
        <v>6</v>
      </c>
      <c r="G71" s="23" t="s">
        <v>33</v>
      </c>
      <c r="H71" s="22">
        <v>20</v>
      </c>
      <c r="I71" s="23" t="s">
        <v>19</v>
      </c>
      <c r="J71" s="24">
        <v>47000</v>
      </c>
      <c r="K71" s="21" t="s">
        <v>19</v>
      </c>
      <c r="L71" s="25">
        <v>0.125</v>
      </c>
      <c r="M71" s="30">
        <v>0.05</v>
      </c>
      <c r="N71" s="22"/>
      <c r="O71" s="23" t="s">
        <v>19</v>
      </c>
      <c r="P71" s="20">
        <f t="shared" si="36"/>
        <v>295</v>
      </c>
      <c r="Q71" s="23" t="s">
        <v>19</v>
      </c>
      <c r="R71" s="24">
        <f t="shared" si="37"/>
        <v>11525281.25</v>
      </c>
      <c r="S71" s="24">
        <f t="shared" si="38"/>
        <v>10383136.26126126</v>
      </c>
    </row>
    <row r="72" spans="1:21" s="95" customFormat="1">
      <c r="A72" s="28" t="s">
        <v>50</v>
      </c>
      <c r="B72" s="19" t="s">
        <v>45</v>
      </c>
      <c r="C72" s="20"/>
      <c r="D72" s="21" t="s">
        <v>19</v>
      </c>
      <c r="E72" s="26">
        <v>3</v>
      </c>
      <c r="F72" s="22">
        <v>6</v>
      </c>
      <c r="G72" s="23" t="s">
        <v>33</v>
      </c>
      <c r="H72" s="22">
        <v>20</v>
      </c>
      <c r="I72" s="23" t="s">
        <v>19</v>
      </c>
      <c r="J72" s="24">
        <v>47000</v>
      </c>
      <c r="K72" s="21" t="s">
        <v>19</v>
      </c>
      <c r="L72" s="25">
        <v>0.125</v>
      </c>
      <c r="M72" s="30">
        <v>0.1</v>
      </c>
      <c r="N72" s="22"/>
      <c r="O72" s="23" t="s">
        <v>19</v>
      </c>
      <c r="P72" s="20">
        <f t="shared" si="36"/>
        <v>360</v>
      </c>
      <c r="Q72" s="23" t="s">
        <v>19</v>
      </c>
      <c r="R72" s="24">
        <f t="shared" si="37"/>
        <v>13324500</v>
      </c>
      <c r="S72" s="24">
        <f t="shared" si="38"/>
        <v>12004054.054054054</v>
      </c>
      <c r="T72" s="19"/>
      <c r="U72" s="19"/>
    </row>
    <row r="73" spans="1:21" s="95" customFormat="1">
      <c r="A73" s="18" t="s">
        <v>810</v>
      </c>
      <c r="B73" s="19" t="s">
        <v>45</v>
      </c>
      <c r="C73" s="20"/>
      <c r="D73" s="21" t="s">
        <v>19</v>
      </c>
      <c r="E73" s="26">
        <v>2</v>
      </c>
      <c r="F73" s="22">
        <v>4</v>
      </c>
      <c r="G73" s="23" t="s">
        <v>33</v>
      </c>
      <c r="H73" s="22">
        <v>20</v>
      </c>
      <c r="I73" s="23" t="s">
        <v>19</v>
      </c>
      <c r="J73" s="24">
        <v>60000</v>
      </c>
      <c r="K73" s="21" t="s">
        <v>19</v>
      </c>
      <c r="L73" s="25">
        <v>0.125</v>
      </c>
      <c r="M73" s="25">
        <v>0.1</v>
      </c>
      <c r="N73" s="22"/>
      <c r="O73" s="23" t="s">
        <v>19</v>
      </c>
      <c r="P73" s="20">
        <f t="shared" si="36"/>
        <v>160</v>
      </c>
      <c r="Q73" s="23" t="s">
        <v>19</v>
      </c>
      <c r="R73" s="24">
        <f t="shared" si="37"/>
        <v>7560000</v>
      </c>
      <c r="S73" s="24">
        <f t="shared" si="38"/>
        <v>6810810.81081081</v>
      </c>
      <c r="T73" s="19"/>
      <c r="U73" s="19"/>
    </row>
    <row r="74" spans="1:21" s="19" customFormat="1">
      <c r="A74" s="77" t="s">
        <v>51</v>
      </c>
      <c r="B74" s="78" t="s">
        <v>45</v>
      </c>
      <c r="C74" s="76"/>
      <c r="D74" s="79" t="s">
        <v>19</v>
      </c>
      <c r="E74" s="80"/>
      <c r="F74" s="81">
        <v>4</v>
      </c>
      <c r="G74" s="82" t="s">
        <v>33</v>
      </c>
      <c r="H74" s="81">
        <v>40</v>
      </c>
      <c r="I74" s="82" t="s">
        <v>19</v>
      </c>
      <c r="J74" s="83">
        <v>37000</v>
      </c>
      <c r="K74" s="79" t="s">
        <v>19</v>
      </c>
      <c r="L74" s="84">
        <v>0.125</v>
      </c>
      <c r="M74" s="84">
        <v>0.05</v>
      </c>
      <c r="N74" s="81"/>
      <c r="O74" s="82" t="s">
        <v>19</v>
      </c>
      <c r="P74" s="76">
        <f t="shared" si="36"/>
        <v>0</v>
      </c>
      <c r="Q74" s="82" t="s">
        <v>19</v>
      </c>
      <c r="R74" s="83">
        <f t="shared" si="37"/>
        <v>0</v>
      </c>
      <c r="S74" s="83">
        <f t="shared" si="38"/>
        <v>0</v>
      </c>
      <c r="T74" s="78"/>
      <c r="U74" s="78"/>
    </row>
    <row r="75" spans="1:21" s="19" customFormat="1">
      <c r="A75" s="131" t="s">
        <v>52</v>
      </c>
      <c r="B75" s="19" t="s">
        <v>45</v>
      </c>
      <c r="C75" s="20"/>
      <c r="D75" s="21" t="s">
        <v>19</v>
      </c>
      <c r="E75" s="26">
        <v>3</v>
      </c>
      <c r="F75" s="22">
        <v>4</v>
      </c>
      <c r="G75" s="23" t="s">
        <v>33</v>
      </c>
      <c r="H75" s="22">
        <v>20</v>
      </c>
      <c r="I75" s="23" t="s">
        <v>19</v>
      </c>
      <c r="J75" s="24">
        <v>50000</v>
      </c>
      <c r="K75" s="21" t="s">
        <v>19</v>
      </c>
      <c r="L75" s="25">
        <v>0.125</v>
      </c>
      <c r="M75" s="130">
        <v>0.1</v>
      </c>
      <c r="N75" s="22"/>
      <c r="O75" s="23" t="s">
        <v>19</v>
      </c>
      <c r="P75" s="20">
        <f t="shared" si="36"/>
        <v>240</v>
      </c>
      <c r="Q75" s="23" t="s">
        <v>19</v>
      </c>
      <c r="R75" s="24">
        <f t="shared" si="37"/>
        <v>9450000</v>
      </c>
      <c r="S75" s="24">
        <f t="shared" si="38"/>
        <v>8513513.5135135129</v>
      </c>
    </row>
    <row r="76" spans="1:21" s="19" customFormat="1">
      <c r="A76" s="132" t="s">
        <v>52</v>
      </c>
      <c r="B76" s="95" t="s">
        <v>45</v>
      </c>
      <c r="C76" s="96"/>
      <c r="D76" s="97" t="s">
        <v>19</v>
      </c>
      <c r="E76" s="98">
        <v>2</v>
      </c>
      <c r="F76" s="99">
        <v>4</v>
      </c>
      <c r="G76" s="100" t="s">
        <v>33</v>
      </c>
      <c r="H76" s="99">
        <v>20</v>
      </c>
      <c r="I76" s="100" t="s">
        <v>19</v>
      </c>
      <c r="J76" s="101">
        <v>50000</v>
      </c>
      <c r="K76" s="97" t="s">
        <v>19</v>
      </c>
      <c r="L76" s="102">
        <v>0.125</v>
      </c>
      <c r="M76" s="133">
        <v>0.05</v>
      </c>
      <c r="N76" s="99"/>
      <c r="O76" s="100" t="s">
        <v>19</v>
      </c>
      <c r="P76" s="96">
        <f t="shared" si="36"/>
        <v>160</v>
      </c>
      <c r="Q76" s="100" t="s">
        <v>19</v>
      </c>
      <c r="R76" s="101">
        <f t="shared" si="37"/>
        <v>6650000</v>
      </c>
      <c r="S76" s="101">
        <f t="shared" si="38"/>
        <v>5990990.9909909908</v>
      </c>
      <c r="T76" s="95"/>
      <c r="U76" s="95"/>
    </row>
    <row r="77" spans="1:21" s="95" customFormat="1">
      <c r="A77" s="87" t="s">
        <v>767</v>
      </c>
      <c r="B77" s="95" t="s">
        <v>45</v>
      </c>
      <c r="C77" s="96"/>
      <c r="D77" s="97" t="s">
        <v>19</v>
      </c>
      <c r="E77" s="98">
        <v>1</v>
      </c>
      <c r="F77" s="99">
        <v>4</v>
      </c>
      <c r="G77" s="100" t="s">
        <v>33</v>
      </c>
      <c r="H77" s="99">
        <v>20</v>
      </c>
      <c r="I77" s="100" t="s">
        <v>19</v>
      </c>
      <c r="J77" s="101">
        <v>50000</v>
      </c>
      <c r="K77" s="97" t="s">
        <v>19</v>
      </c>
      <c r="L77" s="102">
        <v>0.125</v>
      </c>
      <c r="M77" s="102">
        <v>0.05</v>
      </c>
      <c r="N77" s="99"/>
      <c r="O77" s="100" t="s">
        <v>19</v>
      </c>
      <c r="P77" s="96">
        <f t="shared" si="36"/>
        <v>80</v>
      </c>
      <c r="Q77" s="100" t="s">
        <v>19</v>
      </c>
      <c r="R77" s="101">
        <f t="shared" si="37"/>
        <v>3325000</v>
      </c>
      <c r="S77" s="101">
        <f t="shared" si="38"/>
        <v>2995495.4954954954</v>
      </c>
    </row>
    <row r="78" spans="1:21" s="19" customFormat="1">
      <c r="A78" s="131" t="s">
        <v>53</v>
      </c>
      <c r="B78" s="19" t="s">
        <v>45</v>
      </c>
      <c r="C78" s="20"/>
      <c r="D78" s="21" t="s">
        <v>19</v>
      </c>
      <c r="E78" s="26">
        <v>3</v>
      </c>
      <c r="F78" s="22">
        <v>4</v>
      </c>
      <c r="G78" s="23" t="s">
        <v>33</v>
      </c>
      <c r="H78" s="22">
        <v>20</v>
      </c>
      <c r="I78" s="23" t="s">
        <v>19</v>
      </c>
      <c r="J78" s="24">
        <v>67000</v>
      </c>
      <c r="K78" s="21" t="s">
        <v>19</v>
      </c>
      <c r="L78" s="25">
        <v>0.125</v>
      </c>
      <c r="M78" s="130">
        <v>0.1</v>
      </c>
      <c r="N78" s="22"/>
      <c r="O78" s="23" t="s">
        <v>19</v>
      </c>
      <c r="P78" s="20">
        <f t="shared" ref="P78" si="39">(C78+(E78*F78*H78))-N78</f>
        <v>240</v>
      </c>
      <c r="Q78" s="23" t="s">
        <v>19</v>
      </c>
      <c r="R78" s="24">
        <f t="shared" ref="R78" si="40">P78*(J78-(J78*L78)-((J78-(J78*L78))*M78))</f>
        <v>12663000</v>
      </c>
      <c r="S78" s="24">
        <f t="shared" ref="S78" si="41">R78/1.11</f>
        <v>11408108.108108107</v>
      </c>
    </row>
    <row r="79" spans="1:21" s="19" customFormat="1">
      <c r="A79" s="131" t="s">
        <v>53</v>
      </c>
      <c r="B79" s="19" t="s">
        <v>45</v>
      </c>
      <c r="C79" s="20"/>
      <c r="D79" s="21" t="s">
        <v>19</v>
      </c>
      <c r="E79" s="26">
        <v>1</v>
      </c>
      <c r="F79" s="22">
        <v>4</v>
      </c>
      <c r="G79" s="23" t="s">
        <v>33</v>
      </c>
      <c r="H79" s="22">
        <v>20</v>
      </c>
      <c r="I79" s="23" t="s">
        <v>19</v>
      </c>
      <c r="J79" s="24">
        <v>67000</v>
      </c>
      <c r="K79" s="21" t="s">
        <v>19</v>
      </c>
      <c r="L79" s="25">
        <v>0.125</v>
      </c>
      <c r="M79" s="130">
        <v>0.05</v>
      </c>
      <c r="N79" s="22"/>
      <c r="O79" s="23" t="s">
        <v>19</v>
      </c>
      <c r="P79" s="20">
        <f t="shared" si="36"/>
        <v>80</v>
      </c>
      <c r="Q79" s="23" t="s">
        <v>19</v>
      </c>
      <c r="R79" s="24">
        <f t="shared" si="37"/>
        <v>4455500</v>
      </c>
      <c r="S79" s="24">
        <f t="shared" si="38"/>
        <v>4013963.9639639636</v>
      </c>
    </row>
    <row r="80" spans="1:21" s="19" customFormat="1">
      <c r="A80" s="140" t="s">
        <v>909</v>
      </c>
      <c r="B80" s="141" t="s">
        <v>45</v>
      </c>
      <c r="C80" s="142"/>
      <c r="D80" s="143" t="s">
        <v>19</v>
      </c>
      <c r="E80" s="144">
        <v>1</v>
      </c>
      <c r="F80" s="145">
        <v>4</v>
      </c>
      <c r="G80" s="146" t="s">
        <v>33</v>
      </c>
      <c r="H80" s="145">
        <v>20</v>
      </c>
      <c r="I80" s="146" t="s">
        <v>19</v>
      </c>
      <c r="J80" s="147">
        <v>50000</v>
      </c>
      <c r="K80" s="143" t="s">
        <v>19</v>
      </c>
      <c r="L80" s="148">
        <v>0.125</v>
      </c>
      <c r="M80" s="148">
        <v>0.05</v>
      </c>
      <c r="N80" s="145"/>
      <c r="O80" s="146" t="s">
        <v>19</v>
      </c>
      <c r="P80" s="142">
        <f t="shared" ref="P80" si="42">(C80+(E80*F80*H80))-N80</f>
        <v>80</v>
      </c>
      <c r="Q80" s="146" t="s">
        <v>19</v>
      </c>
      <c r="R80" s="147">
        <f t="shared" ref="R80" si="43">P80*(J80-(J80*L80)-((J80-(J80*L80))*M80))</f>
        <v>3325000</v>
      </c>
      <c r="S80" s="147">
        <f t="shared" ref="S80" si="44">R80/1.11</f>
        <v>2995495.4954954954</v>
      </c>
    </row>
    <row r="81" spans="1:21" s="19" customFormat="1">
      <c r="A81" s="77" t="s">
        <v>766</v>
      </c>
      <c r="B81" s="78" t="s">
        <v>45</v>
      </c>
      <c r="C81" s="76"/>
      <c r="D81" s="79" t="s">
        <v>19</v>
      </c>
      <c r="E81" s="80"/>
      <c r="F81" s="81">
        <v>6</v>
      </c>
      <c r="G81" s="82" t="s">
        <v>33</v>
      </c>
      <c r="H81" s="81">
        <v>10</v>
      </c>
      <c r="I81" s="82" t="s">
        <v>19</v>
      </c>
      <c r="J81" s="83">
        <v>77000</v>
      </c>
      <c r="K81" s="79" t="s">
        <v>19</v>
      </c>
      <c r="L81" s="84">
        <v>0.125</v>
      </c>
      <c r="M81" s="84">
        <v>0.05</v>
      </c>
      <c r="N81" s="81"/>
      <c r="O81" s="82" t="s">
        <v>19</v>
      </c>
      <c r="P81" s="76">
        <f t="shared" si="36"/>
        <v>0</v>
      </c>
      <c r="Q81" s="82" t="s">
        <v>19</v>
      </c>
      <c r="R81" s="83">
        <f t="shared" si="37"/>
        <v>0</v>
      </c>
      <c r="S81" s="83">
        <f t="shared" si="38"/>
        <v>0</v>
      </c>
      <c r="T81" s="78"/>
      <c r="U81" s="78"/>
    </row>
    <row r="82" spans="1:21" s="19" customFormat="1">
      <c r="A82" s="77" t="s">
        <v>54</v>
      </c>
      <c r="B82" s="78" t="s">
        <v>45</v>
      </c>
      <c r="C82" s="76"/>
      <c r="D82" s="79" t="s">
        <v>19</v>
      </c>
      <c r="E82" s="80"/>
      <c r="F82" s="81">
        <v>6</v>
      </c>
      <c r="G82" s="82" t="s">
        <v>33</v>
      </c>
      <c r="H82" s="81">
        <v>10</v>
      </c>
      <c r="I82" s="82" t="s">
        <v>19</v>
      </c>
      <c r="J82" s="83">
        <v>73000</v>
      </c>
      <c r="K82" s="79" t="s">
        <v>19</v>
      </c>
      <c r="L82" s="84">
        <v>0.125</v>
      </c>
      <c r="M82" s="84">
        <v>0.05</v>
      </c>
      <c r="N82" s="81"/>
      <c r="O82" s="82" t="s">
        <v>19</v>
      </c>
      <c r="P82" s="76">
        <f t="shared" si="36"/>
        <v>0</v>
      </c>
      <c r="Q82" s="82" t="s">
        <v>19</v>
      </c>
      <c r="R82" s="83">
        <f t="shared" si="37"/>
        <v>0</v>
      </c>
      <c r="S82" s="83">
        <f t="shared" si="38"/>
        <v>0</v>
      </c>
      <c r="T82" s="78"/>
      <c r="U82" s="78"/>
    </row>
    <row r="83" spans="1:21" s="19" customFormat="1">
      <c r="A83" s="77" t="s">
        <v>55</v>
      </c>
      <c r="B83" s="78" t="s">
        <v>45</v>
      </c>
      <c r="C83" s="76"/>
      <c r="D83" s="79" t="s">
        <v>19</v>
      </c>
      <c r="E83" s="80"/>
      <c r="F83" s="81">
        <v>8</v>
      </c>
      <c r="G83" s="82" t="s">
        <v>33</v>
      </c>
      <c r="H83" s="81">
        <v>10</v>
      </c>
      <c r="I83" s="82" t="s">
        <v>19</v>
      </c>
      <c r="J83" s="83">
        <v>56000</v>
      </c>
      <c r="K83" s="79" t="s">
        <v>19</v>
      </c>
      <c r="L83" s="84">
        <v>0.125</v>
      </c>
      <c r="M83" s="84">
        <v>0.05</v>
      </c>
      <c r="N83" s="81"/>
      <c r="O83" s="82" t="s">
        <v>19</v>
      </c>
      <c r="P83" s="76">
        <f t="shared" si="36"/>
        <v>0</v>
      </c>
      <c r="Q83" s="82" t="s">
        <v>19</v>
      </c>
      <c r="R83" s="83">
        <f t="shared" si="37"/>
        <v>0</v>
      </c>
      <c r="S83" s="83">
        <f t="shared" si="38"/>
        <v>0</v>
      </c>
      <c r="T83" s="78"/>
      <c r="U83" s="78"/>
    </row>
    <row r="84" spans="1:21" s="95" customFormat="1">
      <c r="A84" s="158" t="s">
        <v>55</v>
      </c>
      <c r="B84" s="95" t="s">
        <v>45</v>
      </c>
      <c r="C84" s="96"/>
      <c r="D84" s="97" t="s">
        <v>19</v>
      </c>
      <c r="E84" s="98">
        <v>1</v>
      </c>
      <c r="F84" s="99">
        <v>8</v>
      </c>
      <c r="G84" s="100" t="s">
        <v>33</v>
      </c>
      <c r="H84" s="99">
        <v>10</v>
      </c>
      <c r="I84" s="100" t="s">
        <v>19</v>
      </c>
      <c r="J84" s="101">
        <v>58000</v>
      </c>
      <c r="K84" s="97" t="s">
        <v>19</v>
      </c>
      <c r="L84" s="102">
        <v>0.125</v>
      </c>
      <c r="M84" s="102">
        <v>0.05</v>
      </c>
      <c r="N84" s="99"/>
      <c r="O84" s="100" t="s">
        <v>19</v>
      </c>
      <c r="P84" s="96">
        <f t="shared" ref="P84" si="45">(C84+(E84*F84*H84))-N84</f>
        <v>80</v>
      </c>
      <c r="Q84" s="100" t="s">
        <v>19</v>
      </c>
      <c r="R84" s="101">
        <f t="shared" ref="R84" si="46">P84*(J84-(J84*L84)-((J84-(J84*L84))*M84))</f>
        <v>3857000</v>
      </c>
      <c r="S84" s="101">
        <f t="shared" ref="S84" si="47">R84/1.11</f>
        <v>3474774.7747747744</v>
      </c>
    </row>
    <row r="85" spans="1:21" s="19" customFormat="1">
      <c r="A85" s="18" t="s">
        <v>56</v>
      </c>
      <c r="B85" s="19" t="s">
        <v>45</v>
      </c>
      <c r="C85" s="20">
        <v>112</v>
      </c>
      <c r="D85" s="21" t="s">
        <v>19</v>
      </c>
      <c r="E85" s="26">
        <v>1</v>
      </c>
      <c r="F85" s="22">
        <v>6</v>
      </c>
      <c r="G85" s="23" t="s">
        <v>33</v>
      </c>
      <c r="H85" s="22">
        <v>20</v>
      </c>
      <c r="I85" s="23" t="s">
        <v>19</v>
      </c>
      <c r="J85" s="24">
        <v>47000</v>
      </c>
      <c r="K85" s="21" t="s">
        <v>19</v>
      </c>
      <c r="L85" s="25">
        <v>0.125</v>
      </c>
      <c r="M85" s="25">
        <v>0.05</v>
      </c>
      <c r="N85" s="22"/>
      <c r="O85" s="23" t="s">
        <v>19</v>
      </c>
      <c r="P85" s="20">
        <f t="shared" si="36"/>
        <v>232</v>
      </c>
      <c r="Q85" s="23" t="s">
        <v>19</v>
      </c>
      <c r="R85" s="24">
        <f t="shared" si="37"/>
        <v>9063950</v>
      </c>
      <c r="S85" s="24">
        <f t="shared" si="38"/>
        <v>8165720.7207207195</v>
      </c>
    </row>
    <row r="86" spans="1:21" s="19" customFormat="1">
      <c r="A86" s="132" t="s">
        <v>57</v>
      </c>
      <c r="B86" s="95" t="s">
        <v>45</v>
      </c>
      <c r="C86" s="96">
        <v>82</v>
      </c>
      <c r="D86" s="97" t="s">
        <v>19</v>
      </c>
      <c r="E86" s="98">
        <v>3</v>
      </c>
      <c r="F86" s="99">
        <v>8</v>
      </c>
      <c r="G86" s="100" t="s">
        <v>33</v>
      </c>
      <c r="H86" s="99">
        <v>20</v>
      </c>
      <c r="I86" s="100" t="s">
        <v>19</v>
      </c>
      <c r="J86" s="101">
        <v>32000</v>
      </c>
      <c r="K86" s="97" t="s">
        <v>19</v>
      </c>
      <c r="L86" s="102">
        <v>0.125</v>
      </c>
      <c r="M86" s="133">
        <v>0.05</v>
      </c>
      <c r="N86" s="99"/>
      <c r="O86" s="100" t="s">
        <v>19</v>
      </c>
      <c r="P86" s="96">
        <f t="shared" si="36"/>
        <v>562</v>
      </c>
      <c r="Q86" s="100" t="s">
        <v>19</v>
      </c>
      <c r="R86" s="101">
        <f t="shared" si="37"/>
        <v>14949200</v>
      </c>
      <c r="S86" s="101">
        <f t="shared" si="38"/>
        <v>13467747.747747747</v>
      </c>
      <c r="T86" s="95"/>
      <c r="U86" s="95"/>
    </row>
    <row r="87" spans="1:21" s="78" customFormat="1">
      <c r="A87" s="131" t="s">
        <v>57</v>
      </c>
      <c r="B87" s="19" t="s">
        <v>45</v>
      </c>
      <c r="C87" s="20"/>
      <c r="D87" s="21" t="s">
        <v>19</v>
      </c>
      <c r="E87" s="26">
        <v>1</v>
      </c>
      <c r="F87" s="22">
        <v>8</v>
      </c>
      <c r="G87" s="23" t="s">
        <v>33</v>
      </c>
      <c r="H87" s="22">
        <v>20</v>
      </c>
      <c r="I87" s="23" t="s">
        <v>19</v>
      </c>
      <c r="J87" s="24">
        <v>32000</v>
      </c>
      <c r="K87" s="21" t="s">
        <v>19</v>
      </c>
      <c r="L87" s="25">
        <v>0.125</v>
      </c>
      <c r="M87" s="130">
        <v>0.1</v>
      </c>
      <c r="N87" s="22"/>
      <c r="O87" s="23" t="s">
        <v>19</v>
      </c>
      <c r="P87" s="20">
        <f t="shared" si="36"/>
        <v>160</v>
      </c>
      <c r="Q87" s="23" t="s">
        <v>19</v>
      </c>
      <c r="R87" s="24">
        <f t="shared" si="37"/>
        <v>4032000</v>
      </c>
      <c r="S87" s="24">
        <f t="shared" si="38"/>
        <v>3632432.4324324322</v>
      </c>
      <c r="T87" s="19"/>
      <c r="U87" s="19"/>
    </row>
    <row r="88" spans="1:21" s="95" customFormat="1">
      <c r="A88" s="105" t="s">
        <v>58</v>
      </c>
      <c r="B88" s="95" t="s">
        <v>45</v>
      </c>
      <c r="C88" s="96">
        <v>3</v>
      </c>
      <c r="D88" s="97" t="s">
        <v>19</v>
      </c>
      <c r="E88" s="98">
        <v>3</v>
      </c>
      <c r="F88" s="99">
        <v>8</v>
      </c>
      <c r="G88" s="100" t="s">
        <v>33</v>
      </c>
      <c r="H88" s="99">
        <v>20</v>
      </c>
      <c r="I88" s="100" t="s">
        <v>19</v>
      </c>
      <c r="J88" s="101">
        <v>27500</v>
      </c>
      <c r="K88" s="97" t="s">
        <v>19</v>
      </c>
      <c r="L88" s="102">
        <v>0.125</v>
      </c>
      <c r="M88" s="107">
        <v>0.05</v>
      </c>
      <c r="N88" s="99"/>
      <c r="O88" s="100" t="s">
        <v>19</v>
      </c>
      <c r="P88" s="96">
        <f t="shared" si="36"/>
        <v>483</v>
      </c>
      <c r="Q88" s="100" t="s">
        <v>19</v>
      </c>
      <c r="R88" s="101">
        <f t="shared" si="37"/>
        <v>11041078.125</v>
      </c>
      <c r="S88" s="101">
        <f t="shared" si="38"/>
        <v>9946917.2297297288</v>
      </c>
    </row>
    <row r="89" spans="1:21" s="78" customFormat="1">
      <c r="A89" s="28" t="s">
        <v>58</v>
      </c>
      <c r="B89" s="19" t="s">
        <v>45</v>
      </c>
      <c r="C89" s="20"/>
      <c r="D89" s="21" t="s">
        <v>19</v>
      </c>
      <c r="E89" s="26">
        <v>1</v>
      </c>
      <c r="F89" s="22">
        <v>8</v>
      </c>
      <c r="G89" s="23" t="s">
        <v>33</v>
      </c>
      <c r="H89" s="22">
        <v>20</v>
      </c>
      <c r="I89" s="23" t="s">
        <v>19</v>
      </c>
      <c r="J89" s="24">
        <v>27500</v>
      </c>
      <c r="K89" s="21" t="s">
        <v>19</v>
      </c>
      <c r="L89" s="25">
        <v>0.125</v>
      </c>
      <c r="M89" s="30">
        <v>0.1</v>
      </c>
      <c r="N89" s="22"/>
      <c r="O89" s="23" t="s">
        <v>19</v>
      </c>
      <c r="P89" s="20">
        <f t="shared" si="36"/>
        <v>160</v>
      </c>
      <c r="Q89" s="23" t="s">
        <v>19</v>
      </c>
      <c r="R89" s="24">
        <f t="shared" si="37"/>
        <v>3465000</v>
      </c>
      <c r="S89" s="24">
        <f t="shared" si="38"/>
        <v>3121621.6216216213</v>
      </c>
      <c r="T89" s="19"/>
      <c r="U89" s="19"/>
    </row>
    <row r="90" spans="1:21" s="78" customFormat="1">
      <c r="A90" s="132" t="s">
        <v>59</v>
      </c>
      <c r="B90" s="95" t="s">
        <v>45</v>
      </c>
      <c r="C90" s="96">
        <v>9</v>
      </c>
      <c r="D90" s="97" t="s">
        <v>19</v>
      </c>
      <c r="E90" s="98"/>
      <c r="F90" s="99">
        <v>4</v>
      </c>
      <c r="G90" s="100" t="s">
        <v>33</v>
      </c>
      <c r="H90" s="99">
        <v>20</v>
      </c>
      <c r="I90" s="100" t="s">
        <v>19</v>
      </c>
      <c r="J90" s="134">
        <v>54000</v>
      </c>
      <c r="K90" s="97" t="s">
        <v>19</v>
      </c>
      <c r="L90" s="102">
        <v>0.125</v>
      </c>
      <c r="M90" s="102">
        <v>0.05</v>
      </c>
      <c r="N90" s="99"/>
      <c r="O90" s="100" t="s">
        <v>19</v>
      </c>
      <c r="P90" s="96">
        <f t="shared" si="36"/>
        <v>9</v>
      </c>
      <c r="Q90" s="100" t="s">
        <v>19</v>
      </c>
      <c r="R90" s="101">
        <f t="shared" si="37"/>
        <v>403987.5</v>
      </c>
      <c r="S90" s="101">
        <f t="shared" si="38"/>
        <v>363952.70270270266</v>
      </c>
      <c r="T90" s="95"/>
      <c r="U90" s="95"/>
    </row>
    <row r="91" spans="1:21" s="78" customFormat="1">
      <c r="A91" s="131" t="s">
        <v>59</v>
      </c>
      <c r="B91" s="19" t="s">
        <v>45</v>
      </c>
      <c r="C91" s="20"/>
      <c r="D91" s="21" t="s">
        <v>19</v>
      </c>
      <c r="E91" s="26">
        <v>3</v>
      </c>
      <c r="F91" s="22">
        <v>4</v>
      </c>
      <c r="G91" s="23" t="s">
        <v>33</v>
      </c>
      <c r="H91" s="22">
        <v>20</v>
      </c>
      <c r="I91" s="23" t="s">
        <v>19</v>
      </c>
      <c r="J91" s="135">
        <v>55000</v>
      </c>
      <c r="K91" s="21" t="s">
        <v>19</v>
      </c>
      <c r="L91" s="25">
        <v>0.125</v>
      </c>
      <c r="M91" s="25">
        <v>0.05</v>
      </c>
      <c r="N91" s="22"/>
      <c r="O91" s="23" t="s">
        <v>19</v>
      </c>
      <c r="P91" s="20">
        <f t="shared" si="36"/>
        <v>240</v>
      </c>
      <c r="Q91" s="23" t="s">
        <v>19</v>
      </c>
      <c r="R91" s="24">
        <f t="shared" si="37"/>
        <v>10972500</v>
      </c>
      <c r="S91" s="24">
        <f t="shared" si="38"/>
        <v>9885135.1351351347</v>
      </c>
      <c r="T91" s="19"/>
      <c r="U91" s="19"/>
    </row>
    <row r="92" spans="1:21" s="78" customFormat="1">
      <c r="A92" s="28" t="s">
        <v>60</v>
      </c>
      <c r="B92" s="19" t="s">
        <v>45</v>
      </c>
      <c r="C92" s="20"/>
      <c r="D92" s="21" t="s">
        <v>19</v>
      </c>
      <c r="E92" s="26">
        <v>2</v>
      </c>
      <c r="F92" s="22">
        <v>6</v>
      </c>
      <c r="G92" s="23" t="s">
        <v>33</v>
      </c>
      <c r="H92" s="22">
        <v>10</v>
      </c>
      <c r="I92" s="23" t="s">
        <v>19</v>
      </c>
      <c r="J92" s="24">
        <v>74000</v>
      </c>
      <c r="K92" s="21" t="s">
        <v>19</v>
      </c>
      <c r="L92" s="25">
        <v>0.125</v>
      </c>
      <c r="M92" s="30">
        <v>0.1</v>
      </c>
      <c r="N92" s="22"/>
      <c r="O92" s="23" t="s">
        <v>19</v>
      </c>
      <c r="P92" s="20">
        <f t="shared" si="36"/>
        <v>120</v>
      </c>
      <c r="Q92" s="23" t="s">
        <v>19</v>
      </c>
      <c r="R92" s="24">
        <f t="shared" si="37"/>
        <v>6993000</v>
      </c>
      <c r="S92" s="24">
        <f t="shared" si="38"/>
        <v>6299999.9999999991</v>
      </c>
      <c r="T92" s="19"/>
      <c r="U92" s="19"/>
    </row>
    <row r="93" spans="1:21" s="78" customFormat="1">
      <c r="A93" s="28" t="s">
        <v>60</v>
      </c>
      <c r="B93" s="19" t="s">
        <v>45</v>
      </c>
      <c r="C93" s="20">
        <v>20</v>
      </c>
      <c r="D93" s="21" t="s">
        <v>19</v>
      </c>
      <c r="E93" s="26">
        <v>2</v>
      </c>
      <c r="F93" s="22">
        <v>6</v>
      </c>
      <c r="G93" s="23" t="s">
        <v>33</v>
      </c>
      <c r="H93" s="22">
        <v>10</v>
      </c>
      <c r="I93" s="23" t="s">
        <v>19</v>
      </c>
      <c r="J93" s="24">
        <v>74000</v>
      </c>
      <c r="K93" s="21" t="s">
        <v>19</v>
      </c>
      <c r="L93" s="25">
        <v>0.125</v>
      </c>
      <c r="M93" s="30">
        <v>0.05</v>
      </c>
      <c r="N93" s="22"/>
      <c r="O93" s="23" t="s">
        <v>19</v>
      </c>
      <c r="P93" s="20">
        <f t="shared" si="36"/>
        <v>140</v>
      </c>
      <c r="Q93" s="23" t="s">
        <v>19</v>
      </c>
      <c r="R93" s="24">
        <f t="shared" si="37"/>
        <v>8611750</v>
      </c>
      <c r="S93" s="24">
        <f t="shared" si="38"/>
        <v>7758333.333333333</v>
      </c>
      <c r="T93" s="19"/>
      <c r="U93" s="19"/>
    </row>
    <row r="94" spans="1:21" s="19" customFormat="1">
      <c r="A94" s="132" t="s">
        <v>61</v>
      </c>
      <c r="B94" s="95" t="s">
        <v>45</v>
      </c>
      <c r="C94" s="96">
        <v>4</v>
      </c>
      <c r="D94" s="97" t="s">
        <v>19</v>
      </c>
      <c r="E94" s="98"/>
      <c r="F94" s="99">
        <v>6</v>
      </c>
      <c r="G94" s="100" t="s">
        <v>33</v>
      </c>
      <c r="H94" s="99">
        <v>20</v>
      </c>
      <c r="I94" s="100" t="s">
        <v>19</v>
      </c>
      <c r="J94" s="101">
        <v>52000</v>
      </c>
      <c r="K94" s="97" t="s">
        <v>19</v>
      </c>
      <c r="L94" s="102">
        <v>0.125</v>
      </c>
      <c r="M94" s="133">
        <v>0.1</v>
      </c>
      <c r="N94" s="99"/>
      <c r="O94" s="100" t="s">
        <v>19</v>
      </c>
      <c r="P94" s="96">
        <f t="shared" si="36"/>
        <v>4</v>
      </c>
      <c r="Q94" s="100" t="s">
        <v>19</v>
      </c>
      <c r="R94" s="101">
        <f t="shared" si="37"/>
        <v>163800</v>
      </c>
      <c r="S94" s="101">
        <f t="shared" si="38"/>
        <v>147567.56756756754</v>
      </c>
      <c r="T94" s="95"/>
      <c r="U94" s="95"/>
    </row>
    <row r="95" spans="1:21" s="95" customFormat="1">
      <c r="A95" s="131" t="s">
        <v>61</v>
      </c>
      <c r="B95" s="19" t="s">
        <v>45</v>
      </c>
      <c r="C95" s="20"/>
      <c r="D95" s="21" t="s">
        <v>19</v>
      </c>
      <c r="E95" s="26">
        <v>2</v>
      </c>
      <c r="F95" s="22">
        <v>6</v>
      </c>
      <c r="G95" s="23" t="s">
        <v>33</v>
      </c>
      <c r="H95" s="22">
        <v>20</v>
      </c>
      <c r="I95" s="23" t="s">
        <v>19</v>
      </c>
      <c r="J95" s="24">
        <v>52000</v>
      </c>
      <c r="K95" s="21" t="s">
        <v>19</v>
      </c>
      <c r="L95" s="25">
        <v>0.125</v>
      </c>
      <c r="M95" s="130">
        <v>0.05</v>
      </c>
      <c r="N95" s="22"/>
      <c r="O95" s="23" t="s">
        <v>19</v>
      </c>
      <c r="P95" s="20">
        <f t="shared" si="36"/>
        <v>240</v>
      </c>
      <c r="Q95" s="23" t="s">
        <v>19</v>
      </c>
      <c r="R95" s="24">
        <f t="shared" si="37"/>
        <v>10374000</v>
      </c>
      <c r="S95" s="24">
        <f t="shared" si="38"/>
        <v>9345945.9459459446</v>
      </c>
      <c r="T95" s="19"/>
      <c r="U95" s="19"/>
    </row>
    <row r="96" spans="1:21" s="19" customFormat="1">
      <c r="A96" s="28" t="s">
        <v>62</v>
      </c>
      <c r="B96" s="19" t="s">
        <v>45</v>
      </c>
      <c r="C96" s="20"/>
      <c r="D96" s="21" t="s">
        <v>19</v>
      </c>
      <c r="E96" s="26">
        <v>3</v>
      </c>
      <c r="F96" s="22">
        <v>6</v>
      </c>
      <c r="G96" s="23" t="s">
        <v>33</v>
      </c>
      <c r="H96" s="22">
        <v>20</v>
      </c>
      <c r="I96" s="23" t="s">
        <v>19</v>
      </c>
      <c r="J96" s="24">
        <v>32500</v>
      </c>
      <c r="K96" s="21" t="s">
        <v>19</v>
      </c>
      <c r="L96" s="25">
        <v>0.125</v>
      </c>
      <c r="M96" s="30">
        <v>0.1</v>
      </c>
      <c r="N96" s="22"/>
      <c r="O96" s="23" t="s">
        <v>19</v>
      </c>
      <c r="P96" s="20">
        <f t="shared" si="36"/>
        <v>360</v>
      </c>
      <c r="Q96" s="23" t="s">
        <v>19</v>
      </c>
      <c r="R96" s="24">
        <f t="shared" si="37"/>
        <v>9213750</v>
      </c>
      <c r="S96" s="24">
        <f t="shared" si="38"/>
        <v>8300675.6756756753</v>
      </c>
    </row>
    <row r="97" spans="1:21" s="95" customFormat="1">
      <c r="A97" s="28" t="s">
        <v>62</v>
      </c>
      <c r="B97" s="19" t="s">
        <v>45</v>
      </c>
      <c r="C97" s="20">
        <v>330</v>
      </c>
      <c r="D97" s="21" t="s">
        <v>19</v>
      </c>
      <c r="E97" s="26">
        <v>1</v>
      </c>
      <c r="F97" s="22">
        <v>6</v>
      </c>
      <c r="G97" s="23" t="s">
        <v>33</v>
      </c>
      <c r="H97" s="22">
        <v>20</v>
      </c>
      <c r="I97" s="23" t="s">
        <v>19</v>
      </c>
      <c r="J97" s="24">
        <v>32500</v>
      </c>
      <c r="K97" s="21" t="s">
        <v>19</v>
      </c>
      <c r="L97" s="25">
        <v>0.125</v>
      </c>
      <c r="M97" s="30">
        <v>0.05</v>
      </c>
      <c r="N97" s="22"/>
      <c r="O97" s="23" t="s">
        <v>19</v>
      </c>
      <c r="P97" s="20">
        <f t="shared" si="36"/>
        <v>450</v>
      </c>
      <c r="Q97" s="23" t="s">
        <v>19</v>
      </c>
      <c r="R97" s="24">
        <f t="shared" si="37"/>
        <v>12157031.25</v>
      </c>
      <c r="S97" s="24">
        <f t="shared" si="38"/>
        <v>10952280.405405404</v>
      </c>
      <c r="T97" s="19"/>
      <c r="U97" s="19"/>
    </row>
    <row r="98" spans="1:21" s="95" customFormat="1">
      <c r="A98" s="159" t="s">
        <v>952</v>
      </c>
      <c r="B98" s="19" t="s">
        <v>45</v>
      </c>
      <c r="C98" s="20">
        <v>2</v>
      </c>
      <c r="D98" s="21" t="s">
        <v>19</v>
      </c>
      <c r="E98" s="26"/>
      <c r="F98" s="22">
        <v>6</v>
      </c>
      <c r="G98" s="23" t="s">
        <v>33</v>
      </c>
      <c r="H98" s="22">
        <v>20</v>
      </c>
      <c r="I98" s="23" t="s">
        <v>19</v>
      </c>
      <c r="J98" s="24">
        <v>32500</v>
      </c>
      <c r="K98" s="21" t="s">
        <v>19</v>
      </c>
      <c r="L98" s="25">
        <v>0.1</v>
      </c>
      <c r="M98" s="25">
        <v>0.05</v>
      </c>
      <c r="N98" s="22"/>
      <c r="O98" s="23" t="s">
        <v>19</v>
      </c>
      <c r="P98" s="20">
        <f t="shared" ref="P98" si="48">(C98+(E98*F98*H98))-N98</f>
        <v>2</v>
      </c>
      <c r="Q98" s="23" t="s">
        <v>19</v>
      </c>
      <c r="R98" s="24">
        <f t="shared" ref="R98" si="49">P98*(J98-(J98*L98)-((J98-(J98*L98))*M98))</f>
        <v>55575</v>
      </c>
      <c r="S98" s="24">
        <f t="shared" ref="S98" si="50">R98/1.11</f>
        <v>50067.567567567567</v>
      </c>
      <c r="T98" s="19"/>
      <c r="U98" s="19"/>
    </row>
    <row r="99" spans="1:21" s="19" customFormat="1">
      <c r="A99" s="18" t="s">
        <v>811</v>
      </c>
      <c r="B99" s="19" t="s">
        <v>45</v>
      </c>
      <c r="C99" s="20"/>
      <c r="D99" s="21" t="s">
        <v>19</v>
      </c>
      <c r="E99" s="26">
        <v>2</v>
      </c>
      <c r="F99" s="22">
        <v>8</v>
      </c>
      <c r="G99" s="23" t="s">
        <v>33</v>
      </c>
      <c r="H99" s="22">
        <v>10</v>
      </c>
      <c r="I99" s="23" t="s">
        <v>19</v>
      </c>
      <c r="J99" s="24">
        <v>62000</v>
      </c>
      <c r="K99" s="21" t="s">
        <v>19</v>
      </c>
      <c r="L99" s="25">
        <v>0.125</v>
      </c>
      <c r="M99" s="25">
        <v>0.1</v>
      </c>
      <c r="N99" s="22"/>
      <c r="O99" s="23" t="s">
        <v>19</v>
      </c>
      <c r="P99" s="20">
        <f t="shared" si="36"/>
        <v>160</v>
      </c>
      <c r="Q99" s="23" t="s">
        <v>19</v>
      </c>
      <c r="R99" s="24">
        <f t="shared" si="37"/>
        <v>7812000</v>
      </c>
      <c r="S99" s="24">
        <f t="shared" si="38"/>
        <v>7037837.8378378376</v>
      </c>
    </row>
    <row r="100" spans="1:21" s="95" customFormat="1">
      <c r="A100" s="18" t="s">
        <v>812</v>
      </c>
      <c r="B100" s="19" t="s">
        <v>45</v>
      </c>
      <c r="C100" s="20"/>
      <c r="D100" s="21" t="s">
        <v>19</v>
      </c>
      <c r="E100" s="26">
        <v>2</v>
      </c>
      <c r="F100" s="22">
        <v>6</v>
      </c>
      <c r="G100" s="23" t="s">
        <v>33</v>
      </c>
      <c r="H100" s="22">
        <v>10</v>
      </c>
      <c r="I100" s="23" t="s">
        <v>19</v>
      </c>
      <c r="J100" s="24">
        <v>88000</v>
      </c>
      <c r="K100" s="21" t="s">
        <v>19</v>
      </c>
      <c r="L100" s="25">
        <v>0.125</v>
      </c>
      <c r="M100" s="25">
        <v>0.1</v>
      </c>
      <c r="N100" s="22"/>
      <c r="O100" s="23" t="s">
        <v>19</v>
      </c>
      <c r="P100" s="20">
        <f t="shared" si="36"/>
        <v>120</v>
      </c>
      <c r="Q100" s="23" t="s">
        <v>19</v>
      </c>
      <c r="R100" s="24">
        <f t="shared" si="37"/>
        <v>8316000</v>
      </c>
      <c r="S100" s="24">
        <f t="shared" si="38"/>
        <v>7491891.8918918911</v>
      </c>
      <c r="T100" s="19"/>
      <c r="U100" s="19"/>
    </row>
    <row r="101" spans="1:21" s="19" customFormat="1">
      <c r="A101" s="87" t="s">
        <v>63</v>
      </c>
      <c r="B101" s="95" t="s">
        <v>45</v>
      </c>
      <c r="C101" s="96"/>
      <c r="D101" s="97" t="s">
        <v>19</v>
      </c>
      <c r="E101" s="98">
        <v>1</v>
      </c>
      <c r="F101" s="99">
        <v>6</v>
      </c>
      <c r="G101" s="100" t="s">
        <v>33</v>
      </c>
      <c r="H101" s="99">
        <v>10</v>
      </c>
      <c r="I101" s="100" t="s">
        <v>19</v>
      </c>
      <c r="J101" s="101">
        <v>75000</v>
      </c>
      <c r="K101" s="97" t="s">
        <v>19</v>
      </c>
      <c r="L101" s="102">
        <v>0.125</v>
      </c>
      <c r="M101" s="102">
        <v>0.05</v>
      </c>
      <c r="N101" s="99"/>
      <c r="O101" s="100" t="s">
        <v>19</v>
      </c>
      <c r="P101" s="96">
        <f t="shared" si="36"/>
        <v>60</v>
      </c>
      <c r="Q101" s="100" t="s">
        <v>19</v>
      </c>
      <c r="R101" s="101">
        <f t="shared" si="37"/>
        <v>3740625</v>
      </c>
      <c r="S101" s="101">
        <f t="shared" si="38"/>
        <v>3369932.4324324322</v>
      </c>
      <c r="T101" s="95"/>
      <c r="U101" s="95"/>
    </row>
    <row r="102" spans="1:21" s="19" customFormat="1">
      <c r="A102" s="131" t="s">
        <v>64</v>
      </c>
      <c r="B102" s="19" t="s">
        <v>45</v>
      </c>
      <c r="C102" s="20"/>
      <c r="D102" s="21" t="s">
        <v>19</v>
      </c>
      <c r="E102" s="26">
        <v>2</v>
      </c>
      <c r="F102" s="22">
        <v>6</v>
      </c>
      <c r="G102" s="23" t="s">
        <v>33</v>
      </c>
      <c r="H102" s="22">
        <v>10</v>
      </c>
      <c r="I102" s="23" t="s">
        <v>19</v>
      </c>
      <c r="J102" s="24">
        <v>79000</v>
      </c>
      <c r="K102" s="21" t="s">
        <v>19</v>
      </c>
      <c r="L102" s="25">
        <v>0.125</v>
      </c>
      <c r="M102" s="130">
        <v>0.1</v>
      </c>
      <c r="N102" s="22"/>
      <c r="O102" s="23" t="s">
        <v>19</v>
      </c>
      <c r="P102" s="20">
        <f t="shared" si="36"/>
        <v>120</v>
      </c>
      <c r="Q102" s="23" t="s">
        <v>19</v>
      </c>
      <c r="R102" s="24">
        <f t="shared" si="37"/>
        <v>7465500</v>
      </c>
      <c r="S102" s="24">
        <f t="shared" si="38"/>
        <v>6725675.6756756753</v>
      </c>
    </row>
    <row r="103" spans="1:21" s="95" customFormat="1">
      <c r="A103" s="131" t="s">
        <v>64</v>
      </c>
      <c r="B103" s="19" t="s">
        <v>45</v>
      </c>
      <c r="C103" s="20"/>
      <c r="D103" s="21" t="s">
        <v>19</v>
      </c>
      <c r="E103" s="26">
        <v>1</v>
      </c>
      <c r="F103" s="22">
        <v>6</v>
      </c>
      <c r="G103" s="23" t="s">
        <v>33</v>
      </c>
      <c r="H103" s="22">
        <v>10</v>
      </c>
      <c r="I103" s="23" t="s">
        <v>19</v>
      </c>
      <c r="J103" s="24">
        <v>79000</v>
      </c>
      <c r="K103" s="21" t="s">
        <v>19</v>
      </c>
      <c r="L103" s="25">
        <v>0.125</v>
      </c>
      <c r="M103" s="130">
        <v>0.05</v>
      </c>
      <c r="N103" s="22"/>
      <c r="O103" s="23" t="s">
        <v>19</v>
      </c>
      <c r="P103" s="20">
        <f t="shared" si="36"/>
        <v>60</v>
      </c>
      <c r="Q103" s="23" t="s">
        <v>19</v>
      </c>
      <c r="R103" s="24">
        <f t="shared" si="37"/>
        <v>3940125</v>
      </c>
      <c r="S103" s="24">
        <f t="shared" si="38"/>
        <v>3549662.1621621619</v>
      </c>
      <c r="T103" s="19"/>
      <c r="U103" s="19"/>
    </row>
    <row r="104" spans="1:21" s="19" customFormat="1">
      <c r="A104" s="105" t="s">
        <v>65</v>
      </c>
      <c r="B104" s="95" t="s">
        <v>45</v>
      </c>
      <c r="C104" s="96">
        <v>83</v>
      </c>
      <c r="D104" s="97" t="s">
        <v>19</v>
      </c>
      <c r="E104" s="98"/>
      <c r="F104" s="99">
        <v>6</v>
      </c>
      <c r="G104" s="100" t="s">
        <v>33</v>
      </c>
      <c r="H104" s="99">
        <v>10</v>
      </c>
      <c r="I104" s="100" t="s">
        <v>19</v>
      </c>
      <c r="J104" s="106">
        <v>75000</v>
      </c>
      <c r="K104" s="97" t="s">
        <v>19</v>
      </c>
      <c r="L104" s="102">
        <v>0.125</v>
      </c>
      <c r="M104" s="102">
        <v>0.05</v>
      </c>
      <c r="N104" s="99"/>
      <c r="O104" s="100" t="s">
        <v>19</v>
      </c>
      <c r="P104" s="96">
        <f t="shared" si="36"/>
        <v>83</v>
      </c>
      <c r="Q104" s="100" t="s">
        <v>19</v>
      </c>
      <c r="R104" s="101">
        <f t="shared" si="37"/>
        <v>5174531.25</v>
      </c>
      <c r="S104" s="101">
        <f t="shared" si="38"/>
        <v>4661739.8648648644</v>
      </c>
      <c r="T104" s="95"/>
      <c r="U104" s="95"/>
    </row>
    <row r="105" spans="1:21" s="19" customFormat="1">
      <c r="A105" s="28" t="s">
        <v>65</v>
      </c>
      <c r="B105" s="19" t="s">
        <v>45</v>
      </c>
      <c r="C105" s="20"/>
      <c r="D105" s="21" t="s">
        <v>19</v>
      </c>
      <c r="E105" s="26">
        <v>2</v>
      </c>
      <c r="F105" s="22">
        <v>6</v>
      </c>
      <c r="G105" s="23" t="s">
        <v>33</v>
      </c>
      <c r="H105" s="22">
        <v>10</v>
      </c>
      <c r="I105" s="23" t="s">
        <v>19</v>
      </c>
      <c r="J105" s="29">
        <v>82000</v>
      </c>
      <c r="K105" s="21" t="s">
        <v>19</v>
      </c>
      <c r="L105" s="25">
        <v>0.125</v>
      </c>
      <c r="M105" s="25">
        <v>0.05</v>
      </c>
      <c r="N105" s="22"/>
      <c r="O105" s="23" t="s">
        <v>19</v>
      </c>
      <c r="P105" s="20">
        <f t="shared" si="36"/>
        <v>120</v>
      </c>
      <c r="Q105" s="23" t="s">
        <v>19</v>
      </c>
      <c r="R105" s="24">
        <f t="shared" si="37"/>
        <v>8179500</v>
      </c>
      <c r="S105" s="24">
        <f t="shared" si="38"/>
        <v>7368918.9189189179</v>
      </c>
    </row>
    <row r="106" spans="1:21" s="19" customFormat="1">
      <c r="A106" s="18" t="s">
        <v>66</v>
      </c>
      <c r="B106" s="19" t="s">
        <v>45</v>
      </c>
      <c r="C106" s="20">
        <v>27</v>
      </c>
      <c r="D106" s="21" t="s">
        <v>19</v>
      </c>
      <c r="E106" s="26">
        <v>1</v>
      </c>
      <c r="F106" s="22">
        <v>6</v>
      </c>
      <c r="G106" s="23" t="s">
        <v>33</v>
      </c>
      <c r="H106" s="22">
        <v>10</v>
      </c>
      <c r="I106" s="23" t="s">
        <v>19</v>
      </c>
      <c r="J106" s="24">
        <v>54000</v>
      </c>
      <c r="K106" s="21" t="s">
        <v>19</v>
      </c>
      <c r="L106" s="25">
        <v>0.125</v>
      </c>
      <c r="M106" s="25">
        <v>0.05</v>
      </c>
      <c r="N106" s="22"/>
      <c r="O106" s="23" t="s">
        <v>19</v>
      </c>
      <c r="P106" s="20">
        <f t="shared" si="36"/>
        <v>87</v>
      </c>
      <c r="Q106" s="23" t="s">
        <v>19</v>
      </c>
      <c r="R106" s="24">
        <f t="shared" si="37"/>
        <v>3905212.5</v>
      </c>
      <c r="S106" s="24">
        <f t="shared" si="38"/>
        <v>3518209.4594594589</v>
      </c>
    </row>
    <row r="107" spans="1:21" s="19" customFormat="1">
      <c r="A107" s="18" t="s">
        <v>905</v>
      </c>
      <c r="B107" s="19" t="s">
        <v>45</v>
      </c>
      <c r="C107" s="20">
        <v>4</v>
      </c>
      <c r="D107" s="21" t="s">
        <v>19</v>
      </c>
      <c r="E107" s="26"/>
      <c r="F107" s="22">
        <v>6</v>
      </c>
      <c r="G107" s="23" t="s">
        <v>33</v>
      </c>
      <c r="H107" s="22">
        <v>10</v>
      </c>
      <c r="I107" s="23" t="s">
        <v>19</v>
      </c>
      <c r="J107" s="24">
        <v>56000</v>
      </c>
      <c r="K107" s="21" t="s">
        <v>19</v>
      </c>
      <c r="L107" s="25">
        <v>0.125</v>
      </c>
      <c r="M107" s="25">
        <v>0.05</v>
      </c>
      <c r="N107" s="22"/>
      <c r="O107" s="23" t="s">
        <v>19</v>
      </c>
      <c r="P107" s="20">
        <f t="shared" si="36"/>
        <v>4</v>
      </c>
      <c r="Q107" s="23" t="s">
        <v>19</v>
      </c>
      <c r="R107" s="24">
        <f t="shared" si="37"/>
        <v>186200</v>
      </c>
      <c r="S107" s="24">
        <f t="shared" si="38"/>
        <v>167747.74774774772</v>
      </c>
    </row>
    <row r="108" spans="1:21" s="19" customFormat="1">
      <c r="A108" s="28" t="s">
        <v>67</v>
      </c>
      <c r="B108" s="19" t="s">
        <v>45</v>
      </c>
      <c r="C108" s="20"/>
      <c r="D108" s="21" t="s">
        <v>19</v>
      </c>
      <c r="E108" s="26">
        <v>4</v>
      </c>
      <c r="F108" s="22">
        <v>6</v>
      </c>
      <c r="G108" s="23" t="s">
        <v>33</v>
      </c>
      <c r="H108" s="22">
        <v>20</v>
      </c>
      <c r="I108" s="23" t="s">
        <v>19</v>
      </c>
      <c r="J108" s="24">
        <v>40000</v>
      </c>
      <c r="K108" s="21" t="s">
        <v>19</v>
      </c>
      <c r="L108" s="25">
        <v>0.125</v>
      </c>
      <c r="M108" s="30">
        <v>0.1</v>
      </c>
      <c r="N108" s="22"/>
      <c r="O108" s="23" t="s">
        <v>19</v>
      </c>
      <c r="P108" s="20">
        <f t="shared" si="36"/>
        <v>480</v>
      </c>
      <c r="Q108" s="23" t="s">
        <v>19</v>
      </c>
      <c r="R108" s="24">
        <f t="shared" si="37"/>
        <v>15120000</v>
      </c>
      <c r="S108" s="24">
        <f t="shared" si="38"/>
        <v>13621621.62162162</v>
      </c>
    </row>
    <row r="109" spans="1:21" s="19" customFormat="1">
      <c r="A109" s="28" t="s">
        <v>67</v>
      </c>
      <c r="B109" s="19" t="s">
        <v>45</v>
      </c>
      <c r="C109" s="20">
        <v>311</v>
      </c>
      <c r="D109" s="21" t="s">
        <v>19</v>
      </c>
      <c r="E109" s="26">
        <v>6</v>
      </c>
      <c r="F109" s="22">
        <v>6</v>
      </c>
      <c r="G109" s="23" t="s">
        <v>33</v>
      </c>
      <c r="H109" s="22">
        <v>20</v>
      </c>
      <c r="I109" s="23" t="s">
        <v>19</v>
      </c>
      <c r="J109" s="24">
        <v>40000</v>
      </c>
      <c r="K109" s="21" t="s">
        <v>19</v>
      </c>
      <c r="L109" s="25">
        <v>0.125</v>
      </c>
      <c r="M109" s="30">
        <v>0.05</v>
      </c>
      <c r="N109" s="22"/>
      <c r="O109" s="23" t="s">
        <v>19</v>
      </c>
      <c r="P109" s="20">
        <f t="shared" si="36"/>
        <v>1031</v>
      </c>
      <c r="Q109" s="23" t="s">
        <v>19</v>
      </c>
      <c r="R109" s="24">
        <f t="shared" si="37"/>
        <v>34280750</v>
      </c>
      <c r="S109" s="24">
        <f t="shared" si="38"/>
        <v>30883558.558558557</v>
      </c>
    </row>
    <row r="110" spans="1:21" s="19" customFormat="1">
      <c r="A110" s="131" t="s">
        <v>68</v>
      </c>
      <c r="B110" s="19" t="s">
        <v>45</v>
      </c>
      <c r="C110" s="20"/>
      <c r="D110" s="21" t="s">
        <v>19</v>
      </c>
      <c r="E110" s="26">
        <v>2</v>
      </c>
      <c r="F110" s="22">
        <v>1</v>
      </c>
      <c r="G110" s="23" t="s">
        <v>20</v>
      </c>
      <c r="H110" s="22">
        <v>60</v>
      </c>
      <c r="I110" s="23" t="s">
        <v>19</v>
      </c>
      <c r="J110" s="135">
        <v>74000</v>
      </c>
      <c r="K110" s="21" t="s">
        <v>19</v>
      </c>
      <c r="L110" s="25">
        <v>0.125</v>
      </c>
      <c r="M110" s="25">
        <v>0.1</v>
      </c>
      <c r="N110" s="22"/>
      <c r="O110" s="23" t="s">
        <v>19</v>
      </c>
      <c r="P110" s="20">
        <f t="shared" si="36"/>
        <v>120</v>
      </c>
      <c r="Q110" s="23" t="s">
        <v>19</v>
      </c>
      <c r="R110" s="24">
        <f t="shared" si="37"/>
        <v>6993000</v>
      </c>
      <c r="S110" s="24">
        <f t="shared" si="38"/>
        <v>6299999.9999999991</v>
      </c>
    </row>
    <row r="111" spans="1:21" s="19" customFormat="1">
      <c r="A111" s="131" t="s">
        <v>68</v>
      </c>
      <c r="B111" s="19" t="s">
        <v>45</v>
      </c>
      <c r="C111" s="20">
        <v>114</v>
      </c>
      <c r="D111" s="21" t="s">
        <v>19</v>
      </c>
      <c r="E111" s="26"/>
      <c r="F111" s="22">
        <v>6</v>
      </c>
      <c r="G111" s="23" t="s">
        <v>33</v>
      </c>
      <c r="H111" s="22">
        <v>10</v>
      </c>
      <c r="I111" s="23" t="s">
        <v>19</v>
      </c>
      <c r="J111" s="135">
        <v>66000</v>
      </c>
      <c r="K111" s="21" t="s">
        <v>19</v>
      </c>
      <c r="L111" s="25">
        <v>0.125</v>
      </c>
      <c r="M111" s="25">
        <v>0.1</v>
      </c>
      <c r="N111" s="22"/>
      <c r="O111" s="23" t="s">
        <v>19</v>
      </c>
      <c r="P111" s="20">
        <f t="shared" si="36"/>
        <v>114</v>
      </c>
      <c r="Q111" s="23" t="s">
        <v>19</v>
      </c>
      <c r="R111" s="24">
        <f t="shared" si="37"/>
        <v>5925150</v>
      </c>
      <c r="S111" s="24">
        <f t="shared" si="38"/>
        <v>5337972.9729729723</v>
      </c>
    </row>
    <row r="112" spans="1:21" s="19" customFormat="1">
      <c r="A112" s="18" t="s">
        <v>69</v>
      </c>
      <c r="B112" s="19" t="s">
        <v>45</v>
      </c>
      <c r="C112" s="20"/>
      <c r="D112" s="21" t="s">
        <v>19</v>
      </c>
      <c r="E112" s="26">
        <v>1</v>
      </c>
      <c r="F112" s="22">
        <v>4</v>
      </c>
      <c r="G112" s="23" t="s">
        <v>33</v>
      </c>
      <c r="H112" s="22">
        <v>40</v>
      </c>
      <c r="I112" s="23" t="s">
        <v>19</v>
      </c>
      <c r="J112" s="24">
        <v>28000</v>
      </c>
      <c r="K112" s="21" t="s">
        <v>19</v>
      </c>
      <c r="L112" s="25">
        <v>0.125</v>
      </c>
      <c r="M112" s="25">
        <v>0.05</v>
      </c>
      <c r="N112" s="22"/>
      <c r="O112" s="23" t="s">
        <v>19</v>
      </c>
      <c r="P112" s="20">
        <f t="shared" ref="P112" si="51">(C112+(E112*F112*H112))-N112</f>
        <v>160</v>
      </c>
      <c r="Q112" s="23" t="s">
        <v>19</v>
      </c>
      <c r="R112" s="24">
        <f t="shared" ref="R112" si="52">P112*(J112-(J112*L112)-((J112-(J112*L112))*M112))</f>
        <v>3724000</v>
      </c>
      <c r="S112" s="24">
        <f t="shared" ref="S112" si="53">R112/1.11</f>
        <v>3354954.9549549548</v>
      </c>
    </row>
    <row r="113" spans="1:19" s="19" customFormat="1">
      <c r="A113" s="28" t="s">
        <v>69</v>
      </c>
      <c r="B113" s="19" t="s">
        <v>45</v>
      </c>
      <c r="C113" s="20"/>
      <c r="D113" s="21" t="s">
        <v>19</v>
      </c>
      <c r="E113" s="26">
        <v>2</v>
      </c>
      <c r="F113" s="22">
        <v>4</v>
      </c>
      <c r="G113" s="23" t="s">
        <v>33</v>
      </c>
      <c r="H113" s="22">
        <v>40</v>
      </c>
      <c r="I113" s="23" t="s">
        <v>19</v>
      </c>
      <c r="J113" s="29">
        <v>28000</v>
      </c>
      <c r="K113" s="21" t="s">
        <v>19</v>
      </c>
      <c r="L113" s="25">
        <v>0.125</v>
      </c>
      <c r="M113" s="30">
        <v>0.1</v>
      </c>
      <c r="N113" s="22"/>
      <c r="O113" s="23" t="s">
        <v>19</v>
      </c>
      <c r="P113" s="20">
        <f t="shared" si="36"/>
        <v>320</v>
      </c>
      <c r="Q113" s="23" t="s">
        <v>19</v>
      </c>
      <c r="R113" s="24">
        <f t="shared" si="37"/>
        <v>7056000</v>
      </c>
      <c r="S113" s="24">
        <f t="shared" si="38"/>
        <v>6356756.7567567565</v>
      </c>
    </row>
    <row r="114" spans="1:19" s="19" customFormat="1">
      <c r="A114" s="28" t="s">
        <v>69</v>
      </c>
      <c r="B114" s="19" t="s">
        <v>45</v>
      </c>
      <c r="C114" s="20">
        <v>281</v>
      </c>
      <c r="D114" s="21" t="s">
        <v>19</v>
      </c>
      <c r="E114" s="26"/>
      <c r="F114" s="22">
        <v>4</v>
      </c>
      <c r="G114" s="23" t="s">
        <v>33</v>
      </c>
      <c r="H114" s="22">
        <v>40</v>
      </c>
      <c r="I114" s="23" t="s">
        <v>19</v>
      </c>
      <c r="J114" s="29">
        <v>27000</v>
      </c>
      <c r="K114" s="21" t="s">
        <v>19</v>
      </c>
      <c r="L114" s="25">
        <v>0.125</v>
      </c>
      <c r="M114" s="30">
        <v>0.05</v>
      </c>
      <c r="N114" s="22"/>
      <c r="O114" s="23" t="s">
        <v>19</v>
      </c>
      <c r="P114" s="20">
        <f t="shared" si="36"/>
        <v>281</v>
      </c>
      <c r="Q114" s="23" t="s">
        <v>19</v>
      </c>
      <c r="R114" s="24">
        <f t="shared" si="37"/>
        <v>6306693.75</v>
      </c>
      <c r="S114" s="24">
        <f t="shared" si="38"/>
        <v>5681706.0810810803</v>
      </c>
    </row>
    <row r="115" spans="1:19" s="19" customFormat="1">
      <c r="A115" s="18"/>
      <c r="C115" s="20"/>
      <c r="D115" s="21"/>
      <c r="E115" s="26"/>
      <c r="F115" s="22"/>
      <c r="G115" s="23"/>
      <c r="H115" s="22"/>
      <c r="I115" s="23"/>
      <c r="J115" s="24"/>
      <c r="K115" s="21"/>
      <c r="L115" s="25"/>
      <c r="M115" s="25"/>
      <c r="N115" s="22"/>
      <c r="O115" s="23"/>
      <c r="P115" s="20"/>
      <c r="Q115" s="23"/>
      <c r="R115" s="24"/>
      <c r="S115" s="24"/>
    </row>
    <row r="116" spans="1:19" s="19" customFormat="1" ht="15.75">
      <c r="A116" s="35" t="s">
        <v>70</v>
      </c>
      <c r="C116" s="20"/>
      <c r="D116" s="21"/>
      <c r="E116" s="26"/>
      <c r="F116" s="22"/>
      <c r="G116" s="23"/>
      <c r="H116" s="22"/>
      <c r="I116" s="23"/>
      <c r="J116" s="24"/>
      <c r="K116" s="21"/>
      <c r="L116" s="25"/>
      <c r="M116" s="25"/>
      <c r="N116" s="22"/>
      <c r="O116" s="23"/>
      <c r="P116" s="20"/>
      <c r="Q116" s="23"/>
      <c r="R116" s="24"/>
      <c r="S116" s="24"/>
    </row>
    <row r="117" spans="1:19" s="19" customFormat="1">
      <c r="A117" s="18" t="s">
        <v>827</v>
      </c>
      <c r="B117" s="19" t="s">
        <v>18</v>
      </c>
      <c r="C117" s="20"/>
      <c r="D117" s="21" t="s">
        <v>19</v>
      </c>
      <c r="E117" s="26">
        <v>1</v>
      </c>
      <c r="F117" s="22">
        <v>1</v>
      </c>
      <c r="G117" s="23" t="s">
        <v>20</v>
      </c>
      <c r="H117" s="22">
        <v>20</v>
      </c>
      <c r="I117" s="23" t="s">
        <v>19</v>
      </c>
      <c r="J117" s="24">
        <v>160000</v>
      </c>
      <c r="K117" s="21" t="s">
        <v>19</v>
      </c>
      <c r="L117" s="25">
        <v>0.125</v>
      </c>
      <c r="M117" s="25">
        <v>0.05</v>
      </c>
      <c r="N117" s="22"/>
      <c r="O117" s="23" t="s">
        <v>19</v>
      </c>
      <c r="P117" s="20">
        <f t="shared" ref="P117:P118" si="54">(C117+(E117*F117*H117))-N117</f>
        <v>20</v>
      </c>
      <c r="Q117" s="23" t="s">
        <v>19</v>
      </c>
      <c r="R117" s="24">
        <f t="shared" ref="R117:R118" si="55">P117*(J117-(J117*L117)-((J117-(J117*L117))*M117))</f>
        <v>2660000</v>
      </c>
      <c r="S117" s="24">
        <f t="shared" ref="S117:S118" si="56">R117/1.11</f>
        <v>2396396.3963963962</v>
      </c>
    </row>
    <row r="118" spans="1:19" s="19" customFormat="1">
      <c r="A118" s="18" t="s">
        <v>828</v>
      </c>
      <c r="B118" s="19" t="s">
        <v>18</v>
      </c>
      <c r="C118" s="20"/>
      <c r="D118" s="21" t="s">
        <v>19</v>
      </c>
      <c r="E118" s="26">
        <v>1</v>
      </c>
      <c r="F118" s="22">
        <v>1</v>
      </c>
      <c r="G118" s="23" t="s">
        <v>20</v>
      </c>
      <c r="H118" s="22">
        <v>16</v>
      </c>
      <c r="I118" s="23" t="s">
        <v>19</v>
      </c>
      <c r="J118" s="24">
        <v>187000</v>
      </c>
      <c r="K118" s="21" t="s">
        <v>19</v>
      </c>
      <c r="L118" s="25">
        <v>0.125</v>
      </c>
      <c r="M118" s="25">
        <v>0.05</v>
      </c>
      <c r="N118" s="22"/>
      <c r="O118" s="23" t="s">
        <v>19</v>
      </c>
      <c r="P118" s="20">
        <f t="shared" si="54"/>
        <v>16</v>
      </c>
      <c r="Q118" s="23" t="s">
        <v>19</v>
      </c>
      <c r="R118" s="24">
        <f t="shared" si="55"/>
        <v>2487100</v>
      </c>
      <c r="S118" s="24">
        <f t="shared" si="56"/>
        <v>2240630.6306306305</v>
      </c>
    </row>
    <row r="119" spans="1:19" s="78" customFormat="1">
      <c r="A119" s="77" t="s">
        <v>71</v>
      </c>
      <c r="B119" s="78" t="s">
        <v>18</v>
      </c>
      <c r="C119" s="76"/>
      <c r="D119" s="79" t="s">
        <v>19</v>
      </c>
      <c r="E119" s="80"/>
      <c r="F119" s="81">
        <v>1</v>
      </c>
      <c r="G119" s="82" t="s">
        <v>20</v>
      </c>
      <c r="H119" s="81">
        <v>6</v>
      </c>
      <c r="I119" s="82" t="s">
        <v>19</v>
      </c>
      <c r="J119" s="83">
        <v>390000</v>
      </c>
      <c r="K119" s="79" t="s">
        <v>19</v>
      </c>
      <c r="L119" s="84">
        <v>0.125</v>
      </c>
      <c r="M119" s="84">
        <v>0.05</v>
      </c>
      <c r="N119" s="81"/>
      <c r="O119" s="82" t="s">
        <v>19</v>
      </c>
      <c r="P119" s="76">
        <f>(C119+(E119*F119*H119))-N119</f>
        <v>0</v>
      </c>
      <c r="Q119" s="82" t="s">
        <v>19</v>
      </c>
      <c r="R119" s="83">
        <f>P119*(J119-(J119*L119)-((J119-(J119*L119))*M119))</f>
        <v>0</v>
      </c>
      <c r="S119" s="83">
        <f t="shared" si="0"/>
        <v>0</v>
      </c>
    </row>
    <row r="120" spans="1:19" s="78" customFormat="1">
      <c r="A120" s="77" t="s">
        <v>72</v>
      </c>
      <c r="B120" s="78" t="s">
        <v>18</v>
      </c>
      <c r="C120" s="76"/>
      <c r="D120" s="79" t="s">
        <v>19</v>
      </c>
      <c r="E120" s="80">
        <v>1</v>
      </c>
      <c r="F120" s="81">
        <v>1</v>
      </c>
      <c r="G120" s="82" t="s">
        <v>20</v>
      </c>
      <c r="H120" s="81">
        <v>6</v>
      </c>
      <c r="I120" s="82" t="s">
        <v>19</v>
      </c>
      <c r="J120" s="83">
        <v>500000</v>
      </c>
      <c r="K120" s="79" t="s">
        <v>19</v>
      </c>
      <c r="L120" s="84">
        <v>0.125</v>
      </c>
      <c r="M120" s="84">
        <v>0.05</v>
      </c>
      <c r="N120" s="81"/>
      <c r="O120" s="82" t="s">
        <v>19</v>
      </c>
      <c r="P120" s="76">
        <f>(C120+(E120*F120*H120))-N120</f>
        <v>6</v>
      </c>
      <c r="Q120" s="82" t="s">
        <v>19</v>
      </c>
      <c r="R120" s="83">
        <f>P120*(J120-(J120*L120)-((J120-(J120*L120))*M120))</f>
        <v>2493750</v>
      </c>
      <c r="S120" s="83">
        <f t="shared" si="0"/>
        <v>2246621.6216216213</v>
      </c>
    </row>
    <row r="121" spans="1:19" s="19" customFormat="1">
      <c r="A121" s="18"/>
      <c r="C121" s="20"/>
      <c r="D121" s="21"/>
      <c r="E121" s="26"/>
      <c r="F121" s="22"/>
      <c r="G121" s="23"/>
      <c r="H121" s="22"/>
      <c r="I121" s="23"/>
      <c r="J121" s="24"/>
      <c r="K121" s="21"/>
      <c r="L121" s="25"/>
      <c r="M121" s="25"/>
      <c r="N121" s="22"/>
      <c r="O121" s="23"/>
      <c r="P121" s="20"/>
      <c r="Q121" s="23"/>
      <c r="R121" s="24"/>
      <c r="S121" s="24"/>
    </row>
    <row r="122" spans="1:19" s="19" customFormat="1" ht="15.75">
      <c r="A122" s="35" t="s">
        <v>73</v>
      </c>
      <c r="C122" s="20"/>
      <c r="D122" s="21"/>
      <c r="E122" s="26"/>
      <c r="F122" s="22"/>
      <c r="G122" s="23"/>
      <c r="H122" s="22"/>
      <c r="I122" s="23"/>
      <c r="J122" s="24"/>
      <c r="K122" s="21"/>
      <c r="L122" s="25"/>
      <c r="M122" s="25"/>
      <c r="N122" s="22"/>
      <c r="O122" s="23"/>
      <c r="P122" s="20"/>
      <c r="Q122" s="23"/>
      <c r="R122" s="24"/>
      <c r="S122" s="24"/>
    </row>
    <row r="123" spans="1:19" s="19" customFormat="1">
      <c r="A123" s="62" t="s">
        <v>74</v>
      </c>
      <c r="C123" s="20"/>
      <c r="D123" s="21"/>
      <c r="E123" s="26"/>
      <c r="F123" s="22"/>
      <c r="G123" s="23"/>
      <c r="H123" s="22"/>
      <c r="I123" s="23"/>
      <c r="J123" s="24"/>
      <c r="K123" s="21"/>
      <c r="L123" s="25"/>
      <c r="M123" s="25"/>
      <c r="N123" s="22"/>
      <c r="O123" s="23"/>
      <c r="P123" s="20"/>
      <c r="Q123" s="23"/>
      <c r="R123" s="24"/>
      <c r="S123" s="24"/>
    </row>
    <row r="124" spans="1:19" s="78" customFormat="1">
      <c r="A124" s="108" t="s">
        <v>75</v>
      </c>
      <c r="B124" s="78" t="s">
        <v>18</v>
      </c>
      <c r="C124" s="76"/>
      <c r="D124" s="79" t="s">
        <v>76</v>
      </c>
      <c r="E124" s="80">
        <v>2</v>
      </c>
      <c r="F124" s="81">
        <v>1</v>
      </c>
      <c r="G124" s="82" t="s">
        <v>20</v>
      </c>
      <c r="H124" s="81">
        <v>48</v>
      </c>
      <c r="I124" s="82" t="s">
        <v>76</v>
      </c>
      <c r="J124" s="83">
        <v>14500</v>
      </c>
      <c r="K124" s="79" t="s">
        <v>76</v>
      </c>
      <c r="L124" s="84">
        <v>0.125</v>
      </c>
      <c r="M124" s="84">
        <v>0.05</v>
      </c>
      <c r="N124" s="81"/>
      <c r="O124" s="82" t="s">
        <v>76</v>
      </c>
      <c r="P124" s="76">
        <f t="shared" ref="P124:P138" si="57">(C124+(E124*F124*H124))-N124</f>
        <v>96</v>
      </c>
      <c r="Q124" s="82" t="s">
        <v>76</v>
      </c>
      <c r="R124" s="83">
        <f t="shared" ref="R124:R134" si="58">P124*(J124-(J124*L124)-((J124-(J124*L124))*M124))</f>
        <v>1157100</v>
      </c>
      <c r="S124" s="83">
        <f t="shared" si="0"/>
        <v>1042432.4324324323</v>
      </c>
    </row>
    <row r="125" spans="1:19" s="78" customFormat="1">
      <c r="A125" s="108" t="s">
        <v>795</v>
      </c>
      <c r="B125" s="78" t="s">
        <v>18</v>
      </c>
      <c r="C125" s="76"/>
      <c r="D125" s="79" t="s">
        <v>76</v>
      </c>
      <c r="E125" s="80"/>
      <c r="F125" s="81">
        <v>1</v>
      </c>
      <c r="G125" s="82" t="s">
        <v>20</v>
      </c>
      <c r="H125" s="81">
        <v>96</v>
      </c>
      <c r="I125" s="82" t="s">
        <v>76</v>
      </c>
      <c r="J125" s="83">
        <v>15500</v>
      </c>
      <c r="K125" s="79" t="s">
        <v>76</v>
      </c>
      <c r="L125" s="84">
        <v>0.125</v>
      </c>
      <c r="M125" s="84">
        <v>0.05</v>
      </c>
      <c r="N125" s="81"/>
      <c r="O125" s="82" t="s">
        <v>76</v>
      </c>
      <c r="P125" s="76">
        <f t="shared" si="57"/>
        <v>0</v>
      </c>
      <c r="Q125" s="82" t="s">
        <v>76</v>
      </c>
      <c r="R125" s="83">
        <f t="shared" si="58"/>
        <v>0</v>
      </c>
      <c r="S125" s="83">
        <f t="shared" si="0"/>
        <v>0</v>
      </c>
    </row>
    <row r="126" spans="1:19" s="78" customFormat="1">
      <c r="A126" s="108" t="s">
        <v>77</v>
      </c>
      <c r="B126" s="78" t="s">
        <v>18</v>
      </c>
      <c r="C126" s="76"/>
      <c r="D126" s="79" t="s">
        <v>76</v>
      </c>
      <c r="E126" s="80">
        <v>1</v>
      </c>
      <c r="F126" s="81">
        <v>1</v>
      </c>
      <c r="G126" s="82" t="s">
        <v>20</v>
      </c>
      <c r="H126" s="81">
        <v>96</v>
      </c>
      <c r="I126" s="82" t="s">
        <v>76</v>
      </c>
      <c r="J126" s="83">
        <v>12000</v>
      </c>
      <c r="K126" s="79" t="s">
        <v>76</v>
      </c>
      <c r="L126" s="84">
        <v>0.125</v>
      </c>
      <c r="M126" s="84">
        <v>0.05</v>
      </c>
      <c r="N126" s="81"/>
      <c r="O126" s="82" t="s">
        <v>76</v>
      </c>
      <c r="P126" s="76">
        <f t="shared" si="57"/>
        <v>96</v>
      </c>
      <c r="Q126" s="82" t="s">
        <v>76</v>
      </c>
      <c r="R126" s="83">
        <f t="shared" si="58"/>
        <v>957600</v>
      </c>
      <c r="S126" s="83">
        <f t="shared" si="0"/>
        <v>862702.70270270261</v>
      </c>
    </row>
    <row r="127" spans="1:19" s="78" customFormat="1">
      <c r="A127" s="108" t="s">
        <v>78</v>
      </c>
      <c r="B127" s="78" t="s">
        <v>18</v>
      </c>
      <c r="C127" s="76"/>
      <c r="D127" s="79" t="s">
        <v>76</v>
      </c>
      <c r="E127" s="80"/>
      <c r="F127" s="81">
        <v>1</v>
      </c>
      <c r="G127" s="82" t="s">
        <v>20</v>
      </c>
      <c r="H127" s="81">
        <v>48</v>
      </c>
      <c r="I127" s="82" t="s">
        <v>76</v>
      </c>
      <c r="J127" s="83">
        <v>19500</v>
      </c>
      <c r="K127" s="79" t="s">
        <v>76</v>
      </c>
      <c r="L127" s="84">
        <v>0.125</v>
      </c>
      <c r="M127" s="84">
        <v>0.05</v>
      </c>
      <c r="N127" s="81"/>
      <c r="O127" s="82" t="s">
        <v>76</v>
      </c>
      <c r="P127" s="76">
        <f t="shared" si="57"/>
        <v>0</v>
      </c>
      <c r="Q127" s="82" t="s">
        <v>76</v>
      </c>
      <c r="R127" s="83">
        <f t="shared" si="58"/>
        <v>0</v>
      </c>
      <c r="S127" s="83">
        <f t="shared" si="0"/>
        <v>0</v>
      </c>
    </row>
    <row r="128" spans="1:19" s="78" customFormat="1">
      <c r="A128" s="108" t="s">
        <v>79</v>
      </c>
      <c r="B128" s="78" t="s">
        <v>18</v>
      </c>
      <c r="C128" s="76"/>
      <c r="D128" s="79" t="s">
        <v>76</v>
      </c>
      <c r="E128" s="80"/>
      <c r="F128" s="81">
        <v>1</v>
      </c>
      <c r="G128" s="82" t="s">
        <v>20</v>
      </c>
      <c r="H128" s="81">
        <v>48</v>
      </c>
      <c r="I128" s="82" t="s">
        <v>76</v>
      </c>
      <c r="J128" s="83">
        <v>14800</v>
      </c>
      <c r="K128" s="79" t="s">
        <v>76</v>
      </c>
      <c r="L128" s="84">
        <v>0.125</v>
      </c>
      <c r="M128" s="84">
        <v>0.05</v>
      </c>
      <c r="N128" s="81"/>
      <c r="O128" s="82" t="s">
        <v>76</v>
      </c>
      <c r="P128" s="76">
        <f t="shared" si="57"/>
        <v>0</v>
      </c>
      <c r="Q128" s="82" t="s">
        <v>76</v>
      </c>
      <c r="R128" s="83">
        <f t="shared" si="58"/>
        <v>0</v>
      </c>
      <c r="S128" s="83">
        <f t="shared" si="0"/>
        <v>0</v>
      </c>
    </row>
    <row r="129" spans="1:19" s="78" customFormat="1">
      <c r="A129" s="109" t="s">
        <v>80</v>
      </c>
      <c r="B129" s="78" t="s">
        <v>18</v>
      </c>
      <c r="C129" s="76"/>
      <c r="D129" s="79" t="s">
        <v>76</v>
      </c>
      <c r="E129" s="80"/>
      <c r="F129" s="81">
        <v>1</v>
      </c>
      <c r="G129" s="82" t="s">
        <v>20</v>
      </c>
      <c r="H129" s="81">
        <v>24</v>
      </c>
      <c r="I129" s="82" t="s">
        <v>76</v>
      </c>
      <c r="J129" s="83">
        <v>25200</v>
      </c>
      <c r="K129" s="79" t="s">
        <v>76</v>
      </c>
      <c r="L129" s="84">
        <v>0.125</v>
      </c>
      <c r="M129" s="84">
        <v>0.05</v>
      </c>
      <c r="N129" s="81"/>
      <c r="O129" s="82" t="s">
        <v>76</v>
      </c>
      <c r="P129" s="76">
        <f t="shared" si="57"/>
        <v>0</v>
      </c>
      <c r="Q129" s="82" t="s">
        <v>76</v>
      </c>
      <c r="R129" s="83">
        <f t="shared" si="58"/>
        <v>0</v>
      </c>
      <c r="S129" s="83">
        <f t="shared" si="0"/>
        <v>0</v>
      </c>
    </row>
    <row r="130" spans="1:19" s="78" customFormat="1">
      <c r="A130" s="109" t="s">
        <v>81</v>
      </c>
      <c r="B130" s="78" t="s">
        <v>18</v>
      </c>
      <c r="C130" s="76"/>
      <c r="D130" s="79" t="s">
        <v>76</v>
      </c>
      <c r="E130" s="80">
        <v>1</v>
      </c>
      <c r="F130" s="81">
        <v>1</v>
      </c>
      <c r="G130" s="82" t="s">
        <v>20</v>
      </c>
      <c r="H130" s="81">
        <v>24</v>
      </c>
      <c r="I130" s="82" t="s">
        <v>76</v>
      </c>
      <c r="J130" s="83">
        <v>20200</v>
      </c>
      <c r="K130" s="79" t="s">
        <v>76</v>
      </c>
      <c r="L130" s="84">
        <v>0.125</v>
      </c>
      <c r="M130" s="84">
        <v>0.05</v>
      </c>
      <c r="N130" s="81"/>
      <c r="O130" s="82" t="s">
        <v>76</v>
      </c>
      <c r="P130" s="76">
        <f t="shared" si="57"/>
        <v>24</v>
      </c>
      <c r="Q130" s="82" t="s">
        <v>76</v>
      </c>
      <c r="R130" s="83">
        <f t="shared" si="58"/>
        <v>402990</v>
      </c>
      <c r="S130" s="83">
        <f t="shared" si="0"/>
        <v>363054.05405405402</v>
      </c>
    </row>
    <row r="131" spans="1:19" s="95" customFormat="1">
      <c r="A131" s="127" t="s">
        <v>796</v>
      </c>
      <c r="B131" s="95" t="s">
        <v>18</v>
      </c>
      <c r="C131" s="96"/>
      <c r="D131" s="97" t="s">
        <v>76</v>
      </c>
      <c r="E131" s="98">
        <v>2</v>
      </c>
      <c r="F131" s="99">
        <v>1</v>
      </c>
      <c r="G131" s="100" t="s">
        <v>20</v>
      </c>
      <c r="H131" s="99">
        <v>96</v>
      </c>
      <c r="I131" s="100" t="s">
        <v>76</v>
      </c>
      <c r="J131" s="101">
        <v>16500</v>
      </c>
      <c r="K131" s="97" t="s">
        <v>76</v>
      </c>
      <c r="L131" s="102">
        <v>0.125</v>
      </c>
      <c r="M131" s="102">
        <v>0.05</v>
      </c>
      <c r="N131" s="99"/>
      <c r="O131" s="100" t="s">
        <v>76</v>
      </c>
      <c r="P131" s="96">
        <f t="shared" si="57"/>
        <v>192</v>
      </c>
      <c r="Q131" s="100" t="s">
        <v>76</v>
      </c>
      <c r="R131" s="101">
        <f t="shared" si="58"/>
        <v>2633400</v>
      </c>
      <c r="S131" s="101">
        <f t="shared" ref="S131:S232" si="59">R131/1.11</f>
        <v>2372432.4324324322</v>
      </c>
    </row>
    <row r="132" spans="1:19" s="19" customFormat="1">
      <c r="A132" s="18" t="s">
        <v>82</v>
      </c>
      <c r="B132" s="19" t="s">
        <v>18</v>
      </c>
      <c r="C132" s="20">
        <v>53</v>
      </c>
      <c r="D132" s="21" t="s">
        <v>83</v>
      </c>
      <c r="E132" s="26">
        <v>8</v>
      </c>
      <c r="F132" s="22">
        <v>1</v>
      </c>
      <c r="G132" s="23" t="s">
        <v>20</v>
      </c>
      <c r="H132" s="22">
        <v>60</v>
      </c>
      <c r="I132" s="23" t="s">
        <v>83</v>
      </c>
      <c r="J132" s="24">
        <v>27600</v>
      </c>
      <c r="K132" s="21" t="s">
        <v>83</v>
      </c>
      <c r="L132" s="25">
        <v>0.125</v>
      </c>
      <c r="M132" s="25">
        <v>0.05</v>
      </c>
      <c r="N132" s="22"/>
      <c r="O132" s="23" t="s">
        <v>83</v>
      </c>
      <c r="P132" s="20">
        <f t="shared" si="57"/>
        <v>533</v>
      </c>
      <c r="Q132" s="23" t="s">
        <v>83</v>
      </c>
      <c r="R132" s="24">
        <f t="shared" si="58"/>
        <v>12228352.5</v>
      </c>
      <c r="S132" s="24">
        <f t="shared" si="59"/>
        <v>11016533.783783782</v>
      </c>
    </row>
    <row r="133" spans="1:19" s="95" customFormat="1">
      <c r="A133" s="87" t="s">
        <v>84</v>
      </c>
      <c r="B133" s="95" t="s">
        <v>18</v>
      </c>
      <c r="C133" s="96"/>
      <c r="D133" s="97" t="s">
        <v>83</v>
      </c>
      <c r="E133" s="98">
        <v>7</v>
      </c>
      <c r="F133" s="99">
        <v>1</v>
      </c>
      <c r="G133" s="100" t="s">
        <v>20</v>
      </c>
      <c r="H133" s="99">
        <v>50</v>
      </c>
      <c r="I133" s="100" t="s">
        <v>83</v>
      </c>
      <c r="J133" s="101">
        <v>31200</v>
      </c>
      <c r="K133" s="97" t="s">
        <v>83</v>
      </c>
      <c r="L133" s="102">
        <v>0.125</v>
      </c>
      <c r="M133" s="102">
        <v>0.05</v>
      </c>
      <c r="N133" s="99"/>
      <c r="O133" s="100" t="s">
        <v>83</v>
      </c>
      <c r="P133" s="96">
        <f t="shared" ref="P133" si="60">(C133+(E133*F133*H133))-N133</f>
        <v>350</v>
      </c>
      <c r="Q133" s="100" t="s">
        <v>83</v>
      </c>
      <c r="R133" s="101">
        <f t="shared" ref="R133" si="61">P133*(J133-(J133*L133)-((J133-(J133*L133))*M133))</f>
        <v>9077250</v>
      </c>
      <c r="S133" s="101">
        <f t="shared" ref="S133" si="62">R133/1.11</f>
        <v>8177702.702702702</v>
      </c>
    </row>
    <row r="134" spans="1:19" s="95" customFormat="1">
      <c r="A134" s="87" t="s">
        <v>85</v>
      </c>
      <c r="B134" s="95" t="s">
        <v>18</v>
      </c>
      <c r="C134" s="96"/>
      <c r="D134" s="97" t="s">
        <v>83</v>
      </c>
      <c r="E134" s="98">
        <v>10</v>
      </c>
      <c r="F134" s="99">
        <v>1</v>
      </c>
      <c r="G134" s="100" t="s">
        <v>20</v>
      </c>
      <c r="H134" s="99">
        <v>30</v>
      </c>
      <c r="I134" s="100" t="s">
        <v>83</v>
      </c>
      <c r="J134" s="101">
        <v>48600</v>
      </c>
      <c r="K134" s="97" t="s">
        <v>83</v>
      </c>
      <c r="L134" s="102">
        <v>0.125</v>
      </c>
      <c r="M134" s="102">
        <v>0.05</v>
      </c>
      <c r="N134" s="99"/>
      <c r="O134" s="100" t="s">
        <v>83</v>
      </c>
      <c r="P134" s="96">
        <f t="shared" si="57"/>
        <v>300</v>
      </c>
      <c r="Q134" s="100" t="s">
        <v>83</v>
      </c>
      <c r="R134" s="101">
        <f t="shared" si="58"/>
        <v>12119625</v>
      </c>
      <c r="S134" s="101">
        <f t="shared" si="59"/>
        <v>10918581.081081079</v>
      </c>
    </row>
    <row r="135" spans="1:19" s="19" customFormat="1">
      <c r="A135" s="18" t="s">
        <v>86</v>
      </c>
      <c r="B135" s="19" t="s">
        <v>18</v>
      </c>
      <c r="C135" s="20"/>
      <c r="D135" s="21" t="s">
        <v>83</v>
      </c>
      <c r="E135" s="26">
        <v>15</v>
      </c>
      <c r="F135" s="22">
        <v>1</v>
      </c>
      <c r="G135" s="23" t="s">
        <v>20</v>
      </c>
      <c r="H135" s="22">
        <v>20</v>
      </c>
      <c r="I135" s="23" t="s">
        <v>83</v>
      </c>
      <c r="J135" s="24">
        <v>67800</v>
      </c>
      <c r="K135" s="21" t="s">
        <v>83</v>
      </c>
      <c r="L135" s="25">
        <v>0.125</v>
      </c>
      <c r="M135" s="25">
        <v>0.05</v>
      </c>
      <c r="N135" s="22"/>
      <c r="O135" s="23" t="s">
        <v>83</v>
      </c>
      <c r="P135" s="20">
        <f t="shared" si="57"/>
        <v>300</v>
      </c>
      <c r="Q135" s="23" t="s">
        <v>83</v>
      </c>
      <c r="R135" s="24">
        <f t="shared" ref="R135:R140" si="63">P135*(J135-(J135*L135)-((J135-(J135*L135))*M135))</f>
        <v>16907625</v>
      </c>
      <c r="S135" s="24">
        <f t="shared" ref="S135:S140" si="64">R135/1.11</f>
        <v>15232094.594594594</v>
      </c>
    </row>
    <row r="136" spans="1:19" s="95" customFormat="1">
      <c r="A136" s="87" t="s">
        <v>87</v>
      </c>
      <c r="B136" s="95" t="s">
        <v>18</v>
      </c>
      <c r="C136" s="96"/>
      <c r="D136" s="97" t="s">
        <v>83</v>
      </c>
      <c r="E136" s="98">
        <v>16</v>
      </c>
      <c r="F136" s="99">
        <v>1</v>
      </c>
      <c r="G136" s="100" t="s">
        <v>20</v>
      </c>
      <c r="H136" s="99">
        <v>10</v>
      </c>
      <c r="I136" s="100" t="s">
        <v>83</v>
      </c>
      <c r="J136" s="101">
        <v>115800</v>
      </c>
      <c r="K136" s="97" t="s">
        <v>83</v>
      </c>
      <c r="L136" s="102">
        <v>0.125</v>
      </c>
      <c r="M136" s="102">
        <v>0.05</v>
      </c>
      <c r="N136" s="99"/>
      <c r="O136" s="100" t="s">
        <v>83</v>
      </c>
      <c r="P136" s="96">
        <f t="shared" si="57"/>
        <v>160</v>
      </c>
      <c r="Q136" s="100" t="s">
        <v>83</v>
      </c>
      <c r="R136" s="101">
        <f t="shared" si="63"/>
        <v>15401400</v>
      </c>
      <c r="S136" s="101">
        <f t="shared" si="64"/>
        <v>13875135.135135135</v>
      </c>
    </row>
    <row r="137" spans="1:19" s="19" customFormat="1">
      <c r="A137" s="18" t="s">
        <v>88</v>
      </c>
      <c r="B137" s="19" t="s">
        <v>18</v>
      </c>
      <c r="C137" s="20">
        <v>11</v>
      </c>
      <c r="D137" s="21" t="s">
        <v>83</v>
      </c>
      <c r="E137" s="26">
        <v>30</v>
      </c>
      <c r="F137" s="22">
        <v>1</v>
      </c>
      <c r="G137" s="23" t="s">
        <v>20</v>
      </c>
      <c r="H137" s="22">
        <v>5</v>
      </c>
      <c r="I137" s="23" t="s">
        <v>83</v>
      </c>
      <c r="J137" s="24">
        <v>177000</v>
      </c>
      <c r="K137" s="21" t="s">
        <v>83</v>
      </c>
      <c r="L137" s="25">
        <v>0.125</v>
      </c>
      <c r="M137" s="25">
        <v>0.05</v>
      </c>
      <c r="N137" s="22"/>
      <c r="O137" s="23" t="s">
        <v>83</v>
      </c>
      <c r="P137" s="20">
        <f t="shared" si="57"/>
        <v>161</v>
      </c>
      <c r="Q137" s="23" t="s">
        <v>83</v>
      </c>
      <c r="R137" s="24">
        <f t="shared" si="63"/>
        <v>23688131.25</v>
      </c>
      <c r="S137" s="24">
        <f t="shared" si="64"/>
        <v>21340658.783783782</v>
      </c>
    </row>
    <row r="138" spans="1:19" s="19" customFormat="1">
      <c r="A138" s="18" t="s">
        <v>89</v>
      </c>
      <c r="B138" s="19" t="s">
        <v>18</v>
      </c>
      <c r="C138" s="20">
        <v>105</v>
      </c>
      <c r="D138" s="21" t="s">
        <v>40</v>
      </c>
      <c r="E138" s="26">
        <v>10</v>
      </c>
      <c r="F138" s="22">
        <v>3</v>
      </c>
      <c r="G138" s="23" t="s">
        <v>83</v>
      </c>
      <c r="H138" s="22">
        <v>12</v>
      </c>
      <c r="I138" s="23" t="s">
        <v>40</v>
      </c>
      <c r="J138" s="24">
        <f>507600/12</f>
        <v>42300</v>
      </c>
      <c r="K138" s="21" t="s">
        <v>40</v>
      </c>
      <c r="L138" s="25">
        <v>0.125</v>
      </c>
      <c r="M138" s="25">
        <v>0.05</v>
      </c>
      <c r="N138" s="22"/>
      <c r="O138" s="23" t="s">
        <v>40</v>
      </c>
      <c r="P138" s="20">
        <f t="shared" si="57"/>
        <v>465</v>
      </c>
      <c r="Q138" s="23" t="s">
        <v>40</v>
      </c>
      <c r="R138" s="24">
        <f t="shared" si="63"/>
        <v>16350271.875</v>
      </c>
      <c r="S138" s="24">
        <f t="shared" si="64"/>
        <v>14729974.662162161</v>
      </c>
    </row>
    <row r="139" spans="1:19" s="19" customFormat="1">
      <c r="A139" s="140" t="s">
        <v>907</v>
      </c>
      <c r="B139" s="141" t="s">
        <v>18</v>
      </c>
      <c r="C139" s="142"/>
      <c r="D139" s="143" t="s">
        <v>40</v>
      </c>
      <c r="E139" s="144">
        <v>2</v>
      </c>
      <c r="F139" s="145">
        <v>2</v>
      </c>
      <c r="G139" s="146" t="s">
        <v>83</v>
      </c>
      <c r="H139" s="145">
        <v>12</v>
      </c>
      <c r="I139" s="146" t="s">
        <v>40</v>
      </c>
      <c r="J139" s="147">
        <v>85800</v>
      </c>
      <c r="K139" s="143" t="s">
        <v>40</v>
      </c>
      <c r="L139" s="148">
        <v>0.125</v>
      </c>
      <c r="M139" s="148">
        <v>0.05</v>
      </c>
      <c r="N139" s="145"/>
      <c r="O139" s="146" t="s">
        <v>40</v>
      </c>
      <c r="P139" s="142">
        <f t="shared" ref="P139" si="65">(C139+(E139*F139*H139))-N139</f>
        <v>48</v>
      </c>
      <c r="Q139" s="146" t="s">
        <v>40</v>
      </c>
      <c r="R139" s="147">
        <f t="shared" ref="R139" si="66">P139*(J139-(J139*L139)-((J139-(J139*L139))*M139))</f>
        <v>3423420</v>
      </c>
      <c r="S139" s="147">
        <f t="shared" ref="S139" si="67">R139/1.11</f>
        <v>3084162.1621621619</v>
      </c>
    </row>
    <row r="140" spans="1:19" s="19" customFormat="1">
      <c r="A140" s="18" t="s">
        <v>906</v>
      </c>
      <c r="B140" s="19" t="s">
        <v>18</v>
      </c>
      <c r="C140" s="20"/>
      <c r="D140" s="21" t="s">
        <v>40</v>
      </c>
      <c r="E140" s="26">
        <v>4</v>
      </c>
      <c r="F140" s="22">
        <v>1</v>
      </c>
      <c r="G140" s="23" t="s">
        <v>20</v>
      </c>
      <c r="H140" s="22">
        <v>20</v>
      </c>
      <c r="I140" s="23" t="s">
        <v>40</v>
      </c>
      <c r="J140" s="24">
        <v>108900</v>
      </c>
      <c r="K140" s="21" t="s">
        <v>40</v>
      </c>
      <c r="L140" s="25">
        <v>0.125</v>
      </c>
      <c r="M140" s="25">
        <v>0.05</v>
      </c>
      <c r="N140" s="22"/>
      <c r="O140" s="23" t="s">
        <v>40</v>
      </c>
      <c r="P140" s="20">
        <f t="shared" ref="P140" si="68">(C140+(E140*F140*H140))-N140</f>
        <v>80</v>
      </c>
      <c r="Q140" s="23" t="s">
        <v>40</v>
      </c>
      <c r="R140" s="24">
        <f t="shared" si="63"/>
        <v>7241850</v>
      </c>
      <c r="S140" s="24">
        <f t="shared" si="64"/>
        <v>6524189.1891891882</v>
      </c>
    </row>
    <row r="141" spans="1:19" s="19" customFormat="1">
      <c r="A141" s="18"/>
      <c r="C141" s="20"/>
      <c r="D141" s="21"/>
      <c r="E141" s="26"/>
      <c r="F141" s="22"/>
      <c r="G141" s="23"/>
      <c r="H141" s="22"/>
      <c r="I141" s="23"/>
      <c r="J141" s="24"/>
      <c r="K141" s="21"/>
      <c r="L141" s="25"/>
      <c r="M141" s="25"/>
      <c r="N141" s="22"/>
      <c r="O141" s="23"/>
      <c r="P141" s="20"/>
      <c r="Q141" s="23"/>
      <c r="R141" s="24"/>
      <c r="S141" s="24"/>
    </row>
    <row r="142" spans="1:19" s="19" customFormat="1">
      <c r="A142" s="18" t="s">
        <v>90</v>
      </c>
      <c r="B142" s="19" t="s">
        <v>25</v>
      </c>
      <c r="C142" s="20"/>
      <c r="D142" s="21" t="s">
        <v>83</v>
      </c>
      <c r="E142" s="26">
        <v>15</v>
      </c>
      <c r="F142" s="22">
        <v>1</v>
      </c>
      <c r="G142" s="23" t="s">
        <v>20</v>
      </c>
      <c r="H142" s="22">
        <v>50</v>
      </c>
      <c r="I142" s="23" t="s">
        <v>83</v>
      </c>
      <c r="J142" s="24">
        <f>1440000/50</f>
        <v>28800</v>
      </c>
      <c r="K142" s="21" t="s">
        <v>83</v>
      </c>
      <c r="L142" s="25"/>
      <c r="M142" s="25">
        <v>0.17</v>
      </c>
      <c r="N142" s="22"/>
      <c r="O142" s="23" t="s">
        <v>83</v>
      </c>
      <c r="P142" s="20">
        <f t="shared" ref="P142:P149" si="69">(C142+(E142*F142*H142))-N142</f>
        <v>750</v>
      </c>
      <c r="Q142" s="23" t="s">
        <v>83</v>
      </c>
      <c r="R142" s="24">
        <f t="shared" ref="R142:R149" si="70">P142*(J142-(J142*L142)-((J142-(J142*L142))*M142))</f>
        <v>17928000</v>
      </c>
      <c r="S142" s="24">
        <f t="shared" si="59"/>
        <v>16151351.351351351</v>
      </c>
    </row>
    <row r="143" spans="1:19" s="19" customFormat="1">
      <c r="A143" s="18" t="s">
        <v>91</v>
      </c>
      <c r="B143" s="19" t="s">
        <v>25</v>
      </c>
      <c r="C143" s="20">
        <v>43</v>
      </c>
      <c r="D143" s="21" t="s">
        <v>83</v>
      </c>
      <c r="E143" s="26">
        <v>20</v>
      </c>
      <c r="F143" s="22">
        <v>1</v>
      </c>
      <c r="G143" s="23" t="s">
        <v>20</v>
      </c>
      <c r="H143" s="22">
        <v>50</v>
      </c>
      <c r="I143" s="23" t="s">
        <v>83</v>
      </c>
      <c r="J143" s="24">
        <f>1590000/50</f>
        <v>31800</v>
      </c>
      <c r="K143" s="21" t="s">
        <v>83</v>
      </c>
      <c r="L143" s="25"/>
      <c r="M143" s="25">
        <v>0.17</v>
      </c>
      <c r="N143" s="22"/>
      <c r="O143" s="23" t="s">
        <v>83</v>
      </c>
      <c r="P143" s="20">
        <f t="shared" si="69"/>
        <v>1043</v>
      </c>
      <c r="Q143" s="23" t="s">
        <v>83</v>
      </c>
      <c r="R143" s="24">
        <f t="shared" si="70"/>
        <v>27528942</v>
      </c>
      <c r="S143" s="24">
        <f t="shared" si="59"/>
        <v>24800848.648648646</v>
      </c>
    </row>
    <row r="144" spans="1:19" s="19" customFormat="1">
      <c r="A144" s="18" t="s">
        <v>92</v>
      </c>
      <c r="B144" s="19" t="s">
        <v>25</v>
      </c>
      <c r="C144" s="20">
        <v>57</v>
      </c>
      <c r="D144" s="21" t="s">
        <v>83</v>
      </c>
      <c r="E144" s="26">
        <v>21</v>
      </c>
      <c r="F144" s="22">
        <v>1</v>
      </c>
      <c r="G144" s="23" t="s">
        <v>20</v>
      </c>
      <c r="H144" s="22">
        <v>30</v>
      </c>
      <c r="I144" s="23" t="s">
        <v>83</v>
      </c>
      <c r="J144" s="24">
        <f>1476000/30</f>
        <v>49200</v>
      </c>
      <c r="K144" s="21" t="s">
        <v>83</v>
      </c>
      <c r="L144" s="25"/>
      <c r="M144" s="25">
        <v>0.17</v>
      </c>
      <c r="N144" s="22"/>
      <c r="O144" s="23" t="s">
        <v>83</v>
      </c>
      <c r="P144" s="20">
        <f t="shared" si="69"/>
        <v>687</v>
      </c>
      <c r="Q144" s="23" t="s">
        <v>83</v>
      </c>
      <c r="R144" s="24">
        <f t="shared" si="70"/>
        <v>28054332</v>
      </c>
      <c r="S144" s="24">
        <f t="shared" si="59"/>
        <v>25274172.97297297</v>
      </c>
    </row>
    <row r="145" spans="1:19" s="19" customFormat="1">
      <c r="A145" s="18" t="s">
        <v>93</v>
      </c>
      <c r="B145" s="19" t="s">
        <v>25</v>
      </c>
      <c r="C145" s="20">
        <v>71</v>
      </c>
      <c r="D145" s="21" t="s">
        <v>83</v>
      </c>
      <c r="E145" s="26">
        <v>31</v>
      </c>
      <c r="F145" s="22">
        <v>1</v>
      </c>
      <c r="G145" s="23" t="s">
        <v>20</v>
      </c>
      <c r="H145" s="22">
        <v>20</v>
      </c>
      <c r="I145" s="23" t="s">
        <v>83</v>
      </c>
      <c r="J145" s="24">
        <f>1380000/20</f>
        <v>69000</v>
      </c>
      <c r="K145" s="21" t="s">
        <v>83</v>
      </c>
      <c r="L145" s="25"/>
      <c r="M145" s="25">
        <v>0.17</v>
      </c>
      <c r="N145" s="22"/>
      <c r="O145" s="23" t="s">
        <v>83</v>
      </c>
      <c r="P145" s="20">
        <f t="shared" si="69"/>
        <v>691</v>
      </c>
      <c r="Q145" s="23" t="s">
        <v>83</v>
      </c>
      <c r="R145" s="24">
        <f t="shared" si="70"/>
        <v>39573570</v>
      </c>
      <c r="S145" s="24">
        <f t="shared" si="59"/>
        <v>35651864.864864863</v>
      </c>
    </row>
    <row r="146" spans="1:19" s="19" customFormat="1">
      <c r="A146" s="18" t="s">
        <v>94</v>
      </c>
      <c r="B146" s="19" t="s">
        <v>25</v>
      </c>
      <c r="C146" s="20">
        <v>52</v>
      </c>
      <c r="D146" s="21" t="s">
        <v>83</v>
      </c>
      <c r="E146" s="26">
        <v>32</v>
      </c>
      <c r="F146" s="22">
        <v>1</v>
      </c>
      <c r="G146" s="23" t="s">
        <v>20</v>
      </c>
      <c r="H146" s="22">
        <v>10</v>
      </c>
      <c r="I146" s="23" t="s">
        <v>83</v>
      </c>
      <c r="J146" s="24">
        <f>1200000/10</f>
        <v>120000</v>
      </c>
      <c r="K146" s="21" t="s">
        <v>83</v>
      </c>
      <c r="L146" s="25"/>
      <c r="M146" s="25">
        <v>0.17</v>
      </c>
      <c r="N146" s="22"/>
      <c r="O146" s="23" t="s">
        <v>83</v>
      </c>
      <c r="P146" s="20">
        <f t="shared" si="69"/>
        <v>372</v>
      </c>
      <c r="Q146" s="23" t="s">
        <v>83</v>
      </c>
      <c r="R146" s="24">
        <f t="shared" si="70"/>
        <v>37051200</v>
      </c>
      <c r="S146" s="24">
        <f t="shared" si="59"/>
        <v>33379459.459459458</v>
      </c>
    </row>
    <row r="147" spans="1:19" s="19" customFormat="1">
      <c r="A147" s="18" t="s">
        <v>95</v>
      </c>
      <c r="B147" s="19" t="s">
        <v>25</v>
      </c>
      <c r="C147" s="20"/>
      <c r="D147" s="21" t="s">
        <v>83</v>
      </c>
      <c r="E147" s="26">
        <v>54</v>
      </c>
      <c r="F147" s="22">
        <v>1</v>
      </c>
      <c r="G147" s="23" t="s">
        <v>20</v>
      </c>
      <c r="H147" s="22">
        <v>5</v>
      </c>
      <c r="I147" s="23" t="s">
        <v>83</v>
      </c>
      <c r="J147" s="24">
        <f>900000/5</f>
        <v>180000</v>
      </c>
      <c r="K147" s="21" t="s">
        <v>83</v>
      </c>
      <c r="L147" s="25"/>
      <c r="M147" s="25">
        <v>0.17</v>
      </c>
      <c r="N147" s="22"/>
      <c r="O147" s="23" t="s">
        <v>83</v>
      </c>
      <c r="P147" s="20">
        <f t="shared" si="69"/>
        <v>270</v>
      </c>
      <c r="Q147" s="23" t="s">
        <v>83</v>
      </c>
      <c r="R147" s="24">
        <f t="shared" si="70"/>
        <v>40338000</v>
      </c>
      <c r="S147" s="24">
        <f t="shared" si="59"/>
        <v>36340540.540540539</v>
      </c>
    </row>
    <row r="148" spans="1:19" s="19" customFormat="1">
      <c r="A148" s="140" t="s">
        <v>908</v>
      </c>
      <c r="B148" s="141" t="s">
        <v>25</v>
      </c>
      <c r="C148" s="142"/>
      <c r="D148" s="143" t="s">
        <v>33</v>
      </c>
      <c r="E148" s="144">
        <v>3</v>
      </c>
      <c r="F148" s="145">
        <v>48</v>
      </c>
      <c r="G148" s="146" t="s">
        <v>33</v>
      </c>
      <c r="H148" s="145">
        <v>6</v>
      </c>
      <c r="I148" s="146" t="s">
        <v>833</v>
      </c>
      <c r="J148" s="147">
        <v>7150</v>
      </c>
      <c r="K148" s="143" t="s">
        <v>833</v>
      </c>
      <c r="L148" s="148"/>
      <c r="M148" s="148">
        <v>0.17</v>
      </c>
      <c r="N148" s="145"/>
      <c r="O148" s="146" t="s">
        <v>33</v>
      </c>
      <c r="P148" s="142">
        <f t="shared" ref="P148" si="71">(C148+(E148*F148*H148))-N148</f>
        <v>864</v>
      </c>
      <c r="Q148" s="146" t="s">
        <v>833</v>
      </c>
      <c r="R148" s="147">
        <f t="shared" ref="R148" si="72">P148*(J148-(J148*L148)-((J148-(J148*L148))*M148))</f>
        <v>5127408</v>
      </c>
      <c r="S148" s="147">
        <f t="shared" ref="S148" si="73">R148/1.11</f>
        <v>4619286.4864864862</v>
      </c>
    </row>
    <row r="149" spans="1:19" s="19" customFormat="1">
      <c r="A149" s="18" t="s">
        <v>707</v>
      </c>
      <c r="B149" s="19" t="s">
        <v>25</v>
      </c>
      <c r="C149" s="20">
        <v>345</v>
      </c>
      <c r="D149" s="21" t="s">
        <v>33</v>
      </c>
      <c r="E149" s="26">
        <v>9</v>
      </c>
      <c r="F149" s="22">
        <v>1</v>
      </c>
      <c r="G149" s="23" t="s">
        <v>20</v>
      </c>
      <c r="H149" s="22">
        <v>72</v>
      </c>
      <c r="I149" s="23" t="s">
        <v>33</v>
      </c>
      <c r="J149" s="24">
        <f>1548000/72</f>
        <v>21500</v>
      </c>
      <c r="K149" s="21" t="s">
        <v>33</v>
      </c>
      <c r="L149" s="25"/>
      <c r="M149" s="25">
        <v>0.17</v>
      </c>
      <c r="N149" s="22"/>
      <c r="O149" s="23" t="s">
        <v>33</v>
      </c>
      <c r="P149" s="20">
        <f t="shared" si="69"/>
        <v>993</v>
      </c>
      <c r="Q149" s="23" t="s">
        <v>33</v>
      </c>
      <c r="R149" s="24">
        <f t="shared" si="70"/>
        <v>17720085</v>
      </c>
      <c r="S149" s="24">
        <f t="shared" si="59"/>
        <v>15964040.540540539</v>
      </c>
    </row>
    <row r="150" spans="1:19" s="19" customFormat="1">
      <c r="A150" s="18" t="s">
        <v>994</v>
      </c>
      <c r="B150" s="19" t="s">
        <v>25</v>
      </c>
      <c r="C150" s="20"/>
      <c r="D150" s="21" t="s">
        <v>33</v>
      </c>
      <c r="E150" s="26">
        <v>2</v>
      </c>
      <c r="F150" s="22">
        <v>1</v>
      </c>
      <c r="G150" s="23" t="s">
        <v>20</v>
      </c>
      <c r="H150" s="22">
        <v>48</v>
      </c>
      <c r="I150" s="23" t="s">
        <v>33</v>
      </c>
      <c r="J150" s="24">
        <v>42900</v>
      </c>
      <c r="K150" s="21" t="s">
        <v>33</v>
      </c>
      <c r="L150" s="25"/>
      <c r="M150" s="25">
        <v>0.17</v>
      </c>
      <c r="N150" s="22"/>
      <c r="O150" s="23" t="s">
        <v>33</v>
      </c>
      <c r="P150" s="20">
        <f t="shared" ref="P150" si="74">(C150+(E150*F150*H150))-N150</f>
        <v>96</v>
      </c>
      <c r="Q150" s="23" t="s">
        <v>33</v>
      </c>
      <c r="R150" s="24">
        <f t="shared" ref="R150" si="75">P150*(J150-(J150*L150)-((J150-(J150*L150))*M150))</f>
        <v>3418272</v>
      </c>
      <c r="S150" s="24">
        <f t="shared" ref="S150" si="76">R150/1.11</f>
        <v>3079524.3243243243</v>
      </c>
    </row>
    <row r="151" spans="1:19" s="19" customFormat="1">
      <c r="A151" s="18"/>
      <c r="C151" s="20"/>
      <c r="D151" s="21"/>
      <c r="E151" s="26"/>
      <c r="F151" s="22"/>
      <c r="G151" s="23"/>
      <c r="H151" s="22"/>
      <c r="I151" s="23"/>
      <c r="J151" s="24"/>
      <c r="K151" s="21"/>
      <c r="L151" s="25"/>
      <c r="M151" s="25"/>
      <c r="N151" s="22"/>
      <c r="O151" s="23"/>
      <c r="P151" s="20"/>
      <c r="Q151" s="23"/>
      <c r="R151" s="24"/>
      <c r="S151" s="24"/>
    </row>
    <row r="152" spans="1:19" s="19" customFormat="1">
      <c r="A152" s="62" t="s">
        <v>96</v>
      </c>
      <c r="C152" s="20"/>
      <c r="D152" s="21"/>
      <c r="E152" s="26"/>
      <c r="F152" s="22"/>
      <c r="G152" s="23"/>
      <c r="H152" s="22"/>
      <c r="I152" s="23"/>
      <c r="J152" s="24"/>
      <c r="K152" s="21"/>
      <c r="L152" s="25"/>
      <c r="M152" s="25"/>
      <c r="N152" s="22"/>
      <c r="O152" s="23"/>
      <c r="P152" s="20"/>
      <c r="Q152" s="23"/>
      <c r="R152" s="24"/>
      <c r="S152" s="24"/>
    </row>
    <row r="153" spans="1:19" s="19" customFormat="1">
      <c r="A153" s="18" t="s">
        <v>97</v>
      </c>
      <c r="B153" s="19" t="s">
        <v>18</v>
      </c>
      <c r="C153" s="20"/>
      <c r="D153" s="21" t="s">
        <v>33</v>
      </c>
      <c r="E153" s="26">
        <v>5</v>
      </c>
      <c r="F153" s="22">
        <v>50</v>
      </c>
      <c r="G153" s="23" t="s">
        <v>98</v>
      </c>
      <c r="H153" s="22">
        <v>10</v>
      </c>
      <c r="I153" s="23" t="s">
        <v>33</v>
      </c>
      <c r="J153" s="24">
        <v>1850</v>
      </c>
      <c r="K153" s="21" t="s">
        <v>33</v>
      </c>
      <c r="L153" s="25">
        <v>0.125</v>
      </c>
      <c r="M153" s="25">
        <v>0.05</v>
      </c>
      <c r="N153" s="22"/>
      <c r="O153" s="23" t="s">
        <v>33</v>
      </c>
      <c r="P153" s="20">
        <f>(C153+(E153*F153*H153))-N153</f>
        <v>2500</v>
      </c>
      <c r="Q153" s="23" t="s">
        <v>33</v>
      </c>
      <c r="R153" s="24">
        <f>P153*(J153-(J153*L153)-((J153-(J153*L153))*M153))</f>
        <v>3844531.25</v>
      </c>
      <c r="S153" s="24">
        <f t="shared" si="59"/>
        <v>3463541.6666666665</v>
      </c>
    </row>
    <row r="154" spans="1:19" s="19" customFormat="1">
      <c r="A154" s="18" t="s">
        <v>99</v>
      </c>
      <c r="B154" s="19" t="s">
        <v>18</v>
      </c>
      <c r="C154" s="20"/>
      <c r="D154" s="21" t="s">
        <v>33</v>
      </c>
      <c r="E154" s="26">
        <v>25</v>
      </c>
      <c r="F154" s="22">
        <v>50</v>
      </c>
      <c r="G154" s="23" t="s">
        <v>98</v>
      </c>
      <c r="H154" s="22">
        <v>10</v>
      </c>
      <c r="I154" s="23" t="s">
        <v>33</v>
      </c>
      <c r="J154" s="24">
        <v>1625</v>
      </c>
      <c r="K154" s="21" t="s">
        <v>33</v>
      </c>
      <c r="L154" s="25">
        <v>0.125</v>
      </c>
      <c r="M154" s="25">
        <v>0.05</v>
      </c>
      <c r="N154" s="22"/>
      <c r="O154" s="23" t="s">
        <v>33</v>
      </c>
      <c r="P154" s="20">
        <f>(C154+(E154*F154*H154))-N154</f>
        <v>12500</v>
      </c>
      <c r="Q154" s="23" t="s">
        <v>33</v>
      </c>
      <c r="R154" s="24">
        <f>P154*(J154-(J154*L154)-((J154-(J154*L154))*M154))</f>
        <v>16884765.625</v>
      </c>
      <c r="S154" s="24">
        <f t="shared" si="59"/>
        <v>15211500.563063061</v>
      </c>
    </row>
    <row r="155" spans="1:19" s="95" customFormat="1">
      <c r="A155" s="87" t="s">
        <v>100</v>
      </c>
      <c r="B155" s="95" t="s">
        <v>18</v>
      </c>
      <c r="C155" s="96"/>
      <c r="D155" s="97" t="s">
        <v>33</v>
      </c>
      <c r="E155" s="98">
        <v>11</v>
      </c>
      <c r="F155" s="99">
        <v>20</v>
      </c>
      <c r="G155" s="100" t="s">
        <v>98</v>
      </c>
      <c r="H155" s="99">
        <v>10</v>
      </c>
      <c r="I155" s="100" t="s">
        <v>33</v>
      </c>
      <c r="J155" s="101">
        <v>4400</v>
      </c>
      <c r="K155" s="97" t="s">
        <v>33</v>
      </c>
      <c r="L155" s="102">
        <v>0.125</v>
      </c>
      <c r="M155" s="102">
        <v>0.05</v>
      </c>
      <c r="N155" s="99"/>
      <c r="O155" s="100" t="s">
        <v>33</v>
      </c>
      <c r="P155" s="96">
        <f>(C155+(E155*F155*H155))-N155</f>
        <v>2200</v>
      </c>
      <c r="Q155" s="100" t="s">
        <v>33</v>
      </c>
      <c r="R155" s="101">
        <f>P155*(J155-(J155*L155)-((J155-(J155*L155))*M155))</f>
        <v>8046500</v>
      </c>
      <c r="S155" s="101">
        <f t="shared" si="59"/>
        <v>7249099.0990990987</v>
      </c>
    </row>
    <row r="156" spans="1:19" s="19" customFormat="1">
      <c r="A156" s="18" t="s">
        <v>101</v>
      </c>
      <c r="B156" s="19" t="s">
        <v>18</v>
      </c>
      <c r="C156" s="20">
        <v>792</v>
      </c>
      <c r="D156" s="21" t="s">
        <v>102</v>
      </c>
      <c r="E156" s="26">
        <v>4</v>
      </c>
      <c r="F156" s="22">
        <v>24</v>
      </c>
      <c r="G156" s="23" t="s">
        <v>33</v>
      </c>
      <c r="H156" s="22">
        <v>12</v>
      </c>
      <c r="I156" s="23" t="s">
        <v>102</v>
      </c>
      <c r="J156" s="24">
        <v>3100</v>
      </c>
      <c r="K156" s="21" t="s">
        <v>102</v>
      </c>
      <c r="L156" s="25">
        <v>0.125</v>
      </c>
      <c r="M156" s="25">
        <v>0.05</v>
      </c>
      <c r="N156" s="22"/>
      <c r="O156" s="23" t="s">
        <v>102</v>
      </c>
      <c r="P156" s="20">
        <f>(C156+(E156*F156*H156))-N156</f>
        <v>1944</v>
      </c>
      <c r="Q156" s="23" t="s">
        <v>102</v>
      </c>
      <c r="R156" s="24">
        <f>P156*(J156-(J156*L156)-((J156-(J156*L156))*M156))</f>
        <v>5009445</v>
      </c>
      <c r="S156" s="24">
        <f t="shared" si="59"/>
        <v>4513013.5135135129</v>
      </c>
    </row>
    <row r="157" spans="1:19" s="19" customFormat="1">
      <c r="A157" s="18"/>
      <c r="C157" s="20"/>
      <c r="D157" s="21"/>
      <c r="E157" s="26"/>
      <c r="F157" s="22"/>
      <c r="G157" s="23"/>
      <c r="H157" s="22"/>
      <c r="I157" s="23"/>
      <c r="J157" s="24"/>
      <c r="K157" s="21"/>
      <c r="L157" s="25"/>
      <c r="M157" s="25"/>
      <c r="N157" s="22"/>
      <c r="O157" s="23"/>
      <c r="P157" s="20"/>
      <c r="Q157" s="23"/>
      <c r="R157" s="24"/>
      <c r="S157" s="24"/>
    </row>
    <row r="158" spans="1:19" s="19" customFormat="1">
      <c r="A158" s="18" t="s">
        <v>103</v>
      </c>
      <c r="B158" s="19" t="s">
        <v>25</v>
      </c>
      <c r="C158" s="20">
        <v>390</v>
      </c>
      <c r="D158" s="21" t="s">
        <v>33</v>
      </c>
      <c r="E158" s="26">
        <v>13</v>
      </c>
      <c r="F158" s="22">
        <v>50</v>
      </c>
      <c r="G158" s="23" t="s">
        <v>98</v>
      </c>
      <c r="H158" s="22">
        <v>10</v>
      </c>
      <c r="I158" s="23" t="s">
        <v>33</v>
      </c>
      <c r="J158" s="24">
        <f>850000/50/10</f>
        <v>1700</v>
      </c>
      <c r="K158" s="21" t="s">
        <v>33</v>
      </c>
      <c r="L158" s="25"/>
      <c r="M158" s="25">
        <v>0.17</v>
      </c>
      <c r="N158" s="22"/>
      <c r="O158" s="23" t="s">
        <v>33</v>
      </c>
      <c r="P158" s="20">
        <f>(C158+(E158*F158*H158))-N158</f>
        <v>6890</v>
      </c>
      <c r="Q158" s="23" t="s">
        <v>33</v>
      </c>
      <c r="R158" s="24">
        <f>P158*(J158-(J158*L158)-((J158-(J158*L158))*M158))</f>
        <v>9721790</v>
      </c>
      <c r="S158" s="24">
        <f t="shared" si="59"/>
        <v>8758369.369369369</v>
      </c>
    </row>
    <row r="159" spans="1:19" s="19" customFormat="1">
      <c r="A159" s="18" t="s">
        <v>104</v>
      </c>
      <c r="B159" s="19" t="s">
        <v>25</v>
      </c>
      <c r="C159" s="20">
        <v>1510</v>
      </c>
      <c r="D159" s="21" t="s">
        <v>33</v>
      </c>
      <c r="E159" s="26">
        <v>20</v>
      </c>
      <c r="F159" s="22">
        <v>50</v>
      </c>
      <c r="G159" s="23" t="s">
        <v>98</v>
      </c>
      <c r="H159" s="22">
        <v>10</v>
      </c>
      <c r="I159" s="23" t="s">
        <v>33</v>
      </c>
      <c r="J159" s="24">
        <f>800000/50/10</f>
        <v>1600</v>
      </c>
      <c r="K159" s="21" t="s">
        <v>33</v>
      </c>
      <c r="L159" s="25"/>
      <c r="M159" s="25">
        <v>0.17</v>
      </c>
      <c r="N159" s="22"/>
      <c r="O159" s="23" t="s">
        <v>33</v>
      </c>
      <c r="P159" s="20">
        <f>(C159+(E159*F159*H159))-N159</f>
        <v>11510</v>
      </c>
      <c r="Q159" s="23" t="s">
        <v>33</v>
      </c>
      <c r="R159" s="24">
        <f>P159*(J159-(J159*L159)-((J159-(J159*L159))*M159))</f>
        <v>15285280</v>
      </c>
      <c r="S159" s="24">
        <f t="shared" si="59"/>
        <v>13770522.522522522</v>
      </c>
    </row>
    <row r="160" spans="1:19" s="19" customFormat="1">
      <c r="A160" s="18" t="s">
        <v>105</v>
      </c>
      <c r="B160" s="19" t="s">
        <v>25</v>
      </c>
      <c r="C160" s="20">
        <v>810</v>
      </c>
      <c r="D160" s="21" t="s">
        <v>33</v>
      </c>
      <c r="E160" s="26">
        <v>25</v>
      </c>
      <c r="F160" s="22">
        <v>20</v>
      </c>
      <c r="G160" s="23" t="s">
        <v>98</v>
      </c>
      <c r="H160" s="22">
        <v>10</v>
      </c>
      <c r="I160" s="23" t="s">
        <v>33</v>
      </c>
      <c r="J160" s="24">
        <f>860000/20/10</f>
        <v>4300</v>
      </c>
      <c r="K160" s="21" t="s">
        <v>33</v>
      </c>
      <c r="L160" s="25"/>
      <c r="M160" s="25">
        <v>0.17</v>
      </c>
      <c r="N160" s="22"/>
      <c r="O160" s="23" t="s">
        <v>33</v>
      </c>
      <c r="P160" s="20">
        <f>(C160+(E160*F160*H160))-N160</f>
        <v>5810</v>
      </c>
      <c r="Q160" s="23" t="s">
        <v>33</v>
      </c>
      <c r="R160" s="24">
        <f>P160*(J160-(J160*L160)-((J160-(J160*L160))*M160))</f>
        <v>20735890</v>
      </c>
      <c r="S160" s="24">
        <f t="shared" si="59"/>
        <v>18680981.981981982</v>
      </c>
    </row>
    <row r="161" spans="1:19" s="19" customFormat="1">
      <c r="A161" s="18" t="s">
        <v>106</v>
      </c>
      <c r="B161" s="19" t="s">
        <v>25</v>
      </c>
      <c r="C161" s="20">
        <v>16</v>
      </c>
      <c r="D161" s="21" t="s">
        <v>40</v>
      </c>
      <c r="E161" s="26">
        <v>17</v>
      </c>
      <c r="F161" s="22">
        <v>1</v>
      </c>
      <c r="G161" s="23" t="s">
        <v>20</v>
      </c>
      <c r="H161" s="22">
        <v>48</v>
      </c>
      <c r="I161" s="23" t="s">
        <v>40</v>
      </c>
      <c r="J161" s="24">
        <f>1987200/48</f>
        <v>41400</v>
      </c>
      <c r="K161" s="21" t="s">
        <v>40</v>
      </c>
      <c r="L161" s="25"/>
      <c r="M161" s="25">
        <v>0.17</v>
      </c>
      <c r="N161" s="22"/>
      <c r="O161" s="23" t="s">
        <v>40</v>
      </c>
      <c r="P161" s="20">
        <f>(C161+(E161*F161*H161))-N161</f>
        <v>832</v>
      </c>
      <c r="Q161" s="23" t="s">
        <v>40</v>
      </c>
      <c r="R161" s="24">
        <f>P161*(J161-(J161*L161)-((J161-(J161*L161))*M161))</f>
        <v>28589184</v>
      </c>
      <c r="S161" s="24">
        <f t="shared" si="59"/>
        <v>25756021.62162162</v>
      </c>
    </row>
    <row r="162" spans="1:19" s="19" customFormat="1">
      <c r="A162" s="18"/>
      <c r="C162" s="20"/>
      <c r="D162" s="21"/>
      <c r="E162" s="26"/>
      <c r="F162" s="22"/>
      <c r="G162" s="23"/>
      <c r="H162" s="22"/>
      <c r="I162" s="23"/>
      <c r="J162" s="24"/>
      <c r="K162" s="21"/>
      <c r="L162" s="25"/>
      <c r="M162" s="25"/>
      <c r="N162" s="22"/>
      <c r="O162" s="23"/>
      <c r="P162" s="20"/>
      <c r="Q162" s="23"/>
      <c r="R162" s="24"/>
      <c r="S162" s="24"/>
    </row>
    <row r="163" spans="1:19" s="19" customFormat="1" ht="15.75">
      <c r="A163" s="35" t="s">
        <v>107</v>
      </c>
      <c r="C163" s="20"/>
      <c r="D163" s="21"/>
      <c r="E163" s="26"/>
      <c r="F163" s="22"/>
      <c r="G163" s="23"/>
      <c r="H163" s="22"/>
      <c r="I163" s="23"/>
      <c r="J163" s="24"/>
      <c r="K163" s="21"/>
      <c r="L163" s="25"/>
      <c r="M163" s="25"/>
      <c r="N163" s="22"/>
      <c r="O163" s="23"/>
      <c r="P163" s="20"/>
      <c r="Q163" s="23"/>
      <c r="R163" s="24"/>
      <c r="S163" s="24"/>
    </row>
    <row r="164" spans="1:19" s="19" customFormat="1">
      <c r="A164" s="62" t="s">
        <v>108</v>
      </c>
      <c r="C164" s="20"/>
      <c r="D164" s="21"/>
      <c r="E164" s="26"/>
      <c r="F164" s="22"/>
      <c r="G164" s="23"/>
      <c r="H164" s="22"/>
      <c r="I164" s="23"/>
      <c r="J164" s="24"/>
      <c r="K164" s="21"/>
      <c r="L164" s="25"/>
      <c r="M164" s="25"/>
      <c r="N164" s="22"/>
      <c r="O164" s="23"/>
      <c r="P164" s="20"/>
      <c r="Q164" s="23"/>
      <c r="R164" s="24"/>
      <c r="S164" s="24"/>
    </row>
    <row r="165" spans="1:19" s="19" customFormat="1">
      <c r="A165" s="131" t="s">
        <v>109</v>
      </c>
      <c r="B165" s="19" t="s">
        <v>18</v>
      </c>
      <c r="C165" s="20"/>
      <c r="D165" s="21" t="s">
        <v>40</v>
      </c>
      <c r="E165" s="26">
        <v>30</v>
      </c>
      <c r="F165" s="22">
        <v>1</v>
      </c>
      <c r="G165" s="23" t="s">
        <v>20</v>
      </c>
      <c r="H165" s="22">
        <v>48</v>
      </c>
      <c r="I165" s="23" t="s">
        <v>40</v>
      </c>
      <c r="J165" s="24">
        <v>36000</v>
      </c>
      <c r="K165" s="21" t="s">
        <v>40</v>
      </c>
      <c r="L165" s="25">
        <v>0.125</v>
      </c>
      <c r="M165" s="130">
        <v>0.08</v>
      </c>
      <c r="N165" s="22"/>
      <c r="O165" s="23" t="s">
        <v>40</v>
      </c>
      <c r="P165" s="20">
        <f t="shared" ref="P165" si="77">(C165+(E165*F165*H165))-N165</f>
        <v>1440</v>
      </c>
      <c r="Q165" s="23" t="s">
        <v>40</v>
      </c>
      <c r="R165" s="24">
        <f t="shared" ref="R165" si="78">P165*(J165-(J165*L165)-((J165-(J165*L165))*M165))</f>
        <v>41731200</v>
      </c>
      <c r="S165" s="24">
        <f t="shared" ref="S165" si="79">R165/1.11</f>
        <v>37595675.675675675</v>
      </c>
    </row>
    <row r="166" spans="1:19" s="19" customFormat="1">
      <c r="A166" s="131" t="s">
        <v>109</v>
      </c>
      <c r="B166" s="19" t="s">
        <v>18</v>
      </c>
      <c r="C166" s="20">
        <v>145</v>
      </c>
      <c r="D166" s="21" t="s">
        <v>40</v>
      </c>
      <c r="E166" s="26">
        <v>12</v>
      </c>
      <c r="F166" s="22">
        <v>1</v>
      </c>
      <c r="G166" s="23" t="s">
        <v>20</v>
      </c>
      <c r="H166" s="22">
        <v>48</v>
      </c>
      <c r="I166" s="23" t="s">
        <v>40</v>
      </c>
      <c r="J166" s="24">
        <v>36000</v>
      </c>
      <c r="K166" s="21" t="s">
        <v>40</v>
      </c>
      <c r="L166" s="25">
        <v>0.125</v>
      </c>
      <c r="M166" s="130">
        <v>0.05</v>
      </c>
      <c r="N166" s="22"/>
      <c r="O166" s="23" t="s">
        <v>40</v>
      </c>
      <c r="P166" s="20">
        <f t="shared" ref="P166:P185" si="80">(C166+(E166*F166*H166))-N166</f>
        <v>721</v>
      </c>
      <c r="Q166" s="23" t="s">
        <v>40</v>
      </c>
      <c r="R166" s="24">
        <f t="shared" ref="R166:R185" si="81">P166*(J166-(J166*L166)-((J166-(J166*L166))*M166))</f>
        <v>21575925</v>
      </c>
      <c r="S166" s="24">
        <f t="shared" si="59"/>
        <v>19437770.270270269</v>
      </c>
    </row>
    <row r="167" spans="1:19" s="19" customFormat="1">
      <c r="A167" s="28" t="s">
        <v>110</v>
      </c>
      <c r="B167" s="19" t="s">
        <v>18</v>
      </c>
      <c r="C167" s="20">
        <v>480</v>
      </c>
      <c r="D167" s="21" t="s">
        <v>40</v>
      </c>
      <c r="E167" s="26"/>
      <c r="F167" s="22">
        <v>1</v>
      </c>
      <c r="G167" s="23" t="s">
        <v>20</v>
      </c>
      <c r="H167" s="22">
        <v>48</v>
      </c>
      <c r="I167" s="23" t="s">
        <v>40</v>
      </c>
      <c r="J167" s="24">
        <v>36000</v>
      </c>
      <c r="K167" s="21" t="s">
        <v>40</v>
      </c>
      <c r="L167" s="25">
        <v>0.125</v>
      </c>
      <c r="M167" s="30">
        <v>0.1</v>
      </c>
      <c r="N167" s="22"/>
      <c r="O167" s="23" t="s">
        <v>40</v>
      </c>
      <c r="P167" s="20">
        <f t="shared" ref="P167" si="82">(C167+(E167*F167*H167))-N167</f>
        <v>480</v>
      </c>
      <c r="Q167" s="23" t="s">
        <v>40</v>
      </c>
      <c r="R167" s="24">
        <f t="shared" ref="R167" si="83">P167*(J167-(J167*L167)-((J167-(J167*L167))*M167))</f>
        <v>13608000</v>
      </c>
      <c r="S167" s="24">
        <f t="shared" ref="S167" si="84">R167/1.11</f>
        <v>12259459.459459458</v>
      </c>
    </row>
    <row r="168" spans="1:19" s="19" customFormat="1">
      <c r="A168" s="28" t="s">
        <v>110</v>
      </c>
      <c r="B168" s="19" t="s">
        <v>18</v>
      </c>
      <c r="C168" s="20">
        <v>24</v>
      </c>
      <c r="D168" s="21" t="s">
        <v>40</v>
      </c>
      <c r="E168" s="26">
        <v>22</v>
      </c>
      <c r="F168" s="22">
        <v>1</v>
      </c>
      <c r="G168" s="23" t="s">
        <v>20</v>
      </c>
      <c r="H168" s="22">
        <v>48</v>
      </c>
      <c r="I168" s="23" t="s">
        <v>40</v>
      </c>
      <c r="J168" s="24">
        <v>36000</v>
      </c>
      <c r="K168" s="21" t="s">
        <v>40</v>
      </c>
      <c r="L168" s="25">
        <v>0.125</v>
      </c>
      <c r="M168" s="30">
        <v>0.05</v>
      </c>
      <c r="N168" s="22"/>
      <c r="O168" s="23" t="s">
        <v>40</v>
      </c>
      <c r="P168" s="20">
        <f>(C168+(E168*F168*H168))-N168</f>
        <v>1080</v>
      </c>
      <c r="Q168" s="23" t="s">
        <v>40</v>
      </c>
      <c r="R168" s="24">
        <f>P168*(J168-(J168*L168)-((J168-(J168*L168))*M168))</f>
        <v>32319000</v>
      </c>
      <c r="S168" s="24">
        <f>R168/1.11</f>
        <v>29116216.216216214</v>
      </c>
    </row>
    <row r="169" spans="1:19" s="19" customFormat="1">
      <c r="A169" s="18" t="s">
        <v>724</v>
      </c>
      <c r="B169" s="19" t="s">
        <v>18</v>
      </c>
      <c r="C169" s="20">
        <v>96</v>
      </c>
      <c r="D169" s="21" t="s">
        <v>40</v>
      </c>
      <c r="E169" s="26">
        <v>14</v>
      </c>
      <c r="F169" s="22">
        <v>1</v>
      </c>
      <c r="G169" s="23" t="s">
        <v>20</v>
      </c>
      <c r="H169" s="22">
        <v>48</v>
      </c>
      <c r="I169" s="23" t="s">
        <v>40</v>
      </c>
      <c r="J169" s="24">
        <v>36000</v>
      </c>
      <c r="K169" s="21" t="s">
        <v>40</v>
      </c>
      <c r="L169" s="25">
        <v>0.125</v>
      </c>
      <c r="M169" s="25">
        <v>0.05</v>
      </c>
      <c r="N169" s="22"/>
      <c r="O169" s="23" t="s">
        <v>40</v>
      </c>
      <c r="P169" s="20">
        <f t="shared" si="80"/>
        <v>768</v>
      </c>
      <c r="Q169" s="23" t="s">
        <v>40</v>
      </c>
      <c r="R169" s="24">
        <f t="shared" si="81"/>
        <v>22982400</v>
      </c>
      <c r="S169" s="24">
        <f t="shared" si="59"/>
        <v>20704864.864864863</v>
      </c>
    </row>
    <row r="170" spans="1:19" s="78" customFormat="1">
      <c r="A170" s="77" t="s">
        <v>111</v>
      </c>
      <c r="B170" s="78" t="s">
        <v>18</v>
      </c>
      <c r="C170" s="76"/>
      <c r="D170" s="79" t="s">
        <v>40</v>
      </c>
      <c r="E170" s="80">
        <v>3</v>
      </c>
      <c r="F170" s="81">
        <v>1</v>
      </c>
      <c r="G170" s="82" t="s">
        <v>20</v>
      </c>
      <c r="H170" s="81">
        <v>48</v>
      </c>
      <c r="I170" s="82" t="s">
        <v>40</v>
      </c>
      <c r="J170" s="83">
        <v>39000</v>
      </c>
      <c r="K170" s="79" t="s">
        <v>40</v>
      </c>
      <c r="L170" s="84">
        <v>0.125</v>
      </c>
      <c r="M170" s="84">
        <v>0.05</v>
      </c>
      <c r="N170" s="81"/>
      <c r="O170" s="82" t="s">
        <v>40</v>
      </c>
      <c r="P170" s="76">
        <f t="shared" si="80"/>
        <v>144</v>
      </c>
      <c r="Q170" s="82" t="s">
        <v>40</v>
      </c>
      <c r="R170" s="83">
        <f t="shared" si="81"/>
        <v>4668300</v>
      </c>
      <c r="S170" s="83">
        <f t="shared" si="59"/>
        <v>4205675.6756756753</v>
      </c>
    </row>
    <row r="171" spans="1:19" s="19" customFormat="1">
      <c r="A171" s="18" t="s">
        <v>112</v>
      </c>
      <c r="B171" s="19" t="s">
        <v>18</v>
      </c>
      <c r="C171" s="20">
        <v>144</v>
      </c>
      <c r="D171" s="21" t="s">
        <v>40</v>
      </c>
      <c r="E171" s="26"/>
      <c r="F171" s="22">
        <v>1</v>
      </c>
      <c r="G171" s="23" t="s">
        <v>20</v>
      </c>
      <c r="H171" s="22">
        <v>48</v>
      </c>
      <c r="I171" s="23" t="s">
        <v>40</v>
      </c>
      <c r="J171" s="24">
        <v>54600</v>
      </c>
      <c r="K171" s="21" t="s">
        <v>40</v>
      </c>
      <c r="L171" s="25">
        <v>0.125</v>
      </c>
      <c r="M171" s="25">
        <v>0.05</v>
      </c>
      <c r="N171" s="22"/>
      <c r="O171" s="23" t="s">
        <v>40</v>
      </c>
      <c r="P171" s="20">
        <f t="shared" si="80"/>
        <v>144</v>
      </c>
      <c r="Q171" s="23" t="s">
        <v>40</v>
      </c>
      <c r="R171" s="24">
        <f t="shared" si="81"/>
        <v>6535620</v>
      </c>
      <c r="S171" s="24">
        <f t="shared" si="59"/>
        <v>5887945.9459459456</v>
      </c>
    </row>
    <row r="172" spans="1:19" s="19" customFormat="1">
      <c r="A172" s="18" t="s">
        <v>113</v>
      </c>
      <c r="B172" s="19" t="s">
        <v>18</v>
      </c>
      <c r="C172" s="20">
        <v>144</v>
      </c>
      <c r="D172" s="21" t="s">
        <v>40</v>
      </c>
      <c r="E172" s="26"/>
      <c r="F172" s="22">
        <v>1</v>
      </c>
      <c r="G172" s="23" t="s">
        <v>20</v>
      </c>
      <c r="H172" s="22">
        <v>48</v>
      </c>
      <c r="I172" s="23" t="s">
        <v>40</v>
      </c>
      <c r="J172" s="24">
        <v>30000</v>
      </c>
      <c r="K172" s="21" t="s">
        <v>40</v>
      </c>
      <c r="L172" s="25">
        <v>0.125</v>
      </c>
      <c r="M172" s="25">
        <v>0.05</v>
      </c>
      <c r="N172" s="22"/>
      <c r="O172" s="23" t="s">
        <v>40</v>
      </c>
      <c r="P172" s="20">
        <f t="shared" si="80"/>
        <v>144</v>
      </c>
      <c r="Q172" s="23" t="s">
        <v>40</v>
      </c>
      <c r="R172" s="24">
        <f t="shared" si="81"/>
        <v>3591000</v>
      </c>
      <c r="S172" s="24">
        <f t="shared" si="59"/>
        <v>3235135.1351351347</v>
      </c>
    </row>
    <row r="173" spans="1:19" s="19" customFormat="1">
      <c r="A173" s="18" t="s">
        <v>692</v>
      </c>
      <c r="B173" s="19" t="s">
        <v>18</v>
      </c>
      <c r="C173" s="20">
        <v>144</v>
      </c>
      <c r="D173" s="21" t="s">
        <v>40</v>
      </c>
      <c r="E173" s="26">
        <v>2</v>
      </c>
      <c r="F173" s="22">
        <v>1</v>
      </c>
      <c r="G173" s="23" t="s">
        <v>20</v>
      </c>
      <c r="H173" s="22">
        <v>48</v>
      </c>
      <c r="I173" s="23" t="s">
        <v>40</v>
      </c>
      <c r="J173" s="24">
        <v>48000</v>
      </c>
      <c r="K173" s="21" t="s">
        <v>40</v>
      </c>
      <c r="L173" s="25">
        <v>0.125</v>
      </c>
      <c r="M173" s="25">
        <v>0.05</v>
      </c>
      <c r="N173" s="22"/>
      <c r="O173" s="23" t="s">
        <v>40</v>
      </c>
      <c r="P173" s="20">
        <f t="shared" si="80"/>
        <v>240</v>
      </c>
      <c r="Q173" s="23" t="s">
        <v>40</v>
      </c>
      <c r="R173" s="24">
        <f t="shared" si="81"/>
        <v>9576000</v>
      </c>
      <c r="S173" s="24">
        <f t="shared" si="59"/>
        <v>8627027.0270270258</v>
      </c>
    </row>
    <row r="174" spans="1:19" s="19" customFormat="1">
      <c r="A174" s="132" t="s">
        <v>114</v>
      </c>
      <c r="B174" s="19" t="s">
        <v>18</v>
      </c>
      <c r="C174" s="20"/>
      <c r="D174" s="21" t="s">
        <v>40</v>
      </c>
      <c r="E174" s="26">
        <v>15</v>
      </c>
      <c r="F174" s="22">
        <v>1</v>
      </c>
      <c r="G174" s="23" t="s">
        <v>20</v>
      </c>
      <c r="H174" s="22">
        <v>36</v>
      </c>
      <c r="I174" s="23" t="s">
        <v>40</v>
      </c>
      <c r="J174" s="24">
        <v>41400</v>
      </c>
      <c r="K174" s="21" t="s">
        <v>40</v>
      </c>
      <c r="L174" s="25">
        <v>0.125</v>
      </c>
      <c r="M174" s="130">
        <v>0.05</v>
      </c>
      <c r="N174" s="22"/>
      <c r="O174" s="23" t="s">
        <v>40</v>
      </c>
      <c r="P174" s="20">
        <f t="shared" ref="P174" si="85">(C174+(E174*F174*H174))-N174</f>
        <v>540</v>
      </c>
      <c r="Q174" s="23" t="s">
        <v>40</v>
      </c>
      <c r="R174" s="24">
        <f t="shared" ref="R174" si="86">P174*(J174-(J174*L174)-((J174-(J174*L174))*M174))</f>
        <v>18583425</v>
      </c>
      <c r="S174" s="24">
        <f t="shared" ref="S174" si="87">R174/1.11</f>
        <v>16741824.324324323</v>
      </c>
    </row>
    <row r="175" spans="1:19" s="19" customFormat="1">
      <c r="A175" s="131" t="s">
        <v>114</v>
      </c>
      <c r="B175" s="19" t="s">
        <v>18</v>
      </c>
      <c r="C175" s="20">
        <v>108</v>
      </c>
      <c r="D175" s="21" t="s">
        <v>40</v>
      </c>
      <c r="E175" s="26"/>
      <c r="F175" s="22">
        <v>1</v>
      </c>
      <c r="G175" s="23" t="s">
        <v>20</v>
      </c>
      <c r="H175" s="22">
        <v>36</v>
      </c>
      <c r="I175" s="23" t="s">
        <v>40</v>
      </c>
      <c r="J175" s="24">
        <v>41400</v>
      </c>
      <c r="K175" s="21" t="s">
        <v>40</v>
      </c>
      <c r="L175" s="25">
        <v>0.125</v>
      </c>
      <c r="M175" s="130">
        <v>0.1</v>
      </c>
      <c r="N175" s="22"/>
      <c r="O175" s="23" t="s">
        <v>40</v>
      </c>
      <c r="P175" s="20">
        <f t="shared" si="80"/>
        <v>108</v>
      </c>
      <c r="Q175" s="23" t="s">
        <v>40</v>
      </c>
      <c r="R175" s="24">
        <f t="shared" si="81"/>
        <v>3521070</v>
      </c>
      <c r="S175" s="24">
        <f t="shared" si="59"/>
        <v>3172135.1351351347</v>
      </c>
    </row>
    <row r="176" spans="1:19" s="19" customFormat="1">
      <c r="A176" s="18" t="s">
        <v>115</v>
      </c>
      <c r="B176" s="19" t="s">
        <v>18</v>
      </c>
      <c r="C176" s="20">
        <v>36</v>
      </c>
      <c r="D176" s="21" t="s">
        <v>40</v>
      </c>
      <c r="E176" s="26">
        <v>7</v>
      </c>
      <c r="F176" s="22">
        <v>1</v>
      </c>
      <c r="G176" s="23" t="s">
        <v>20</v>
      </c>
      <c r="H176" s="22">
        <v>36</v>
      </c>
      <c r="I176" s="23" t="s">
        <v>40</v>
      </c>
      <c r="J176" s="24">
        <v>41400</v>
      </c>
      <c r="K176" s="21" t="s">
        <v>40</v>
      </c>
      <c r="L176" s="25">
        <v>0.125</v>
      </c>
      <c r="M176" s="25">
        <v>0.05</v>
      </c>
      <c r="N176" s="22"/>
      <c r="O176" s="23" t="s">
        <v>40</v>
      </c>
      <c r="P176" s="20">
        <f t="shared" si="80"/>
        <v>288</v>
      </c>
      <c r="Q176" s="23" t="s">
        <v>40</v>
      </c>
      <c r="R176" s="24">
        <f t="shared" si="81"/>
        <v>9911160</v>
      </c>
      <c r="S176" s="24">
        <f t="shared" si="59"/>
        <v>8928972.9729729723</v>
      </c>
    </row>
    <row r="177" spans="1:19" s="19" customFormat="1">
      <c r="A177" s="18" t="s">
        <v>913</v>
      </c>
      <c r="B177" s="19" t="s">
        <v>18</v>
      </c>
      <c r="C177" s="20"/>
      <c r="D177" s="21" t="s">
        <v>40</v>
      </c>
      <c r="E177" s="26">
        <v>10</v>
      </c>
      <c r="F177" s="22">
        <v>1</v>
      </c>
      <c r="G177" s="23" t="s">
        <v>20</v>
      </c>
      <c r="H177" s="22">
        <v>36</v>
      </c>
      <c r="I177" s="23" t="s">
        <v>40</v>
      </c>
      <c r="J177" s="24">
        <v>43200</v>
      </c>
      <c r="K177" s="21" t="s">
        <v>40</v>
      </c>
      <c r="L177" s="25">
        <v>0.125</v>
      </c>
      <c r="M177" s="25">
        <v>0.05</v>
      </c>
      <c r="N177" s="22"/>
      <c r="O177" s="23" t="s">
        <v>40</v>
      </c>
      <c r="P177" s="20">
        <f t="shared" ref="P177" si="88">(C177+(E177*F177*H177))-N177</f>
        <v>360</v>
      </c>
      <c r="Q177" s="23" t="s">
        <v>40</v>
      </c>
      <c r="R177" s="24">
        <f t="shared" ref="R177" si="89">P177*(J177-(J177*L177)-((J177-(J177*L177))*M177))</f>
        <v>12927600</v>
      </c>
      <c r="S177" s="24">
        <f t="shared" ref="S177" si="90">R177/1.11</f>
        <v>11646486.486486485</v>
      </c>
    </row>
    <row r="178" spans="1:19" s="19" customFormat="1">
      <c r="A178" s="18" t="s">
        <v>116</v>
      </c>
      <c r="B178" s="19" t="s">
        <v>18</v>
      </c>
      <c r="C178" s="20">
        <v>528</v>
      </c>
      <c r="D178" s="21" t="s">
        <v>40</v>
      </c>
      <c r="E178" s="26">
        <v>20</v>
      </c>
      <c r="F178" s="22">
        <v>24</v>
      </c>
      <c r="G178" s="23" t="s">
        <v>33</v>
      </c>
      <c r="H178" s="22">
        <v>2</v>
      </c>
      <c r="I178" s="23" t="s">
        <v>40</v>
      </c>
      <c r="J178" s="24">
        <f>70800/2</f>
        <v>35400</v>
      </c>
      <c r="K178" s="21" t="s">
        <v>40</v>
      </c>
      <c r="L178" s="25">
        <v>0.125</v>
      </c>
      <c r="M178" s="25">
        <v>0.05</v>
      </c>
      <c r="N178" s="22"/>
      <c r="O178" s="23" t="s">
        <v>40</v>
      </c>
      <c r="P178" s="20">
        <f t="shared" si="80"/>
        <v>1488</v>
      </c>
      <c r="Q178" s="23" t="s">
        <v>40</v>
      </c>
      <c r="R178" s="24">
        <f t="shared" si="81"/>
        <v>43786260</v>
      </c>
      <c r="S178" s="24">
        <f t="shared" si="59"/>
        <v>39447081.081081077</v>
      </c>
    </row>
    <row r="179" spans="1:19" s="19" customFormat="1">
      <c r="A179" s="18" t="s">
        <v>117</v>
      </c>
      <c r="B179" s="19" t="s">
        <v>18</v>
      </c>
      <c r="C179" s="20">
        <v>240</v>
      </c>
      <c r="D179" s="21" t="s">
        <v>40</v>
      </c>
      <c r="E179" s="26">
        <v>20</v>
      </c>
      <c r="F179" s="22">
        <v>24</v>
      </c>
      <c r="G179" s="23" t="s">
        <v>33</v>
      </c>
      <c r="H179" s="22">
        <v>2</v>
      </c>
      <c r="I179" s="23" t="s">
        <v>40</v>
      </c>
      <c r="J179" s="24">
        <f>70800/2</f>
        <v>35400</v>
      </c>
      <c r="K179" s="21" t="s">
        <v>40</v>
      </c>
      <c r="L179" s="25">
        <v>0.125</v>
      </c>
      <c r="M179" s="25">
        <v>0.05</v>
      </c>
      <c r="N179" s="22"/>
      <c r="O179" s="23" t="s">
        <v>40</v>
      </c>
      <c r="P179" s="20">
        <f t="shared" si="80"/>
        <v>1200</v>
      </c>
      <c r="Q179" s="23" t="s">
        <v>40</v>
      </c>
      <c r="R179" s="24">
        <f t="shared" si="81"/>
        <v>35311500</v>
      </c>
      <c r="S179" s="24">
        <f t="shared" si="59"/>
        <v>31812162.162162159</v>
      </c>
    </row>
    <row r="180" spans="1:19" s="19" customFormat="1">
      <c r="A180" s="18" t="s">
        <v>118</v>
      </c>
      <c r="B180" s="19" t="s">
        <v>18</v>
      </c>
      <c r="C180" s="20">
        <v>29</v>
      </c>
      <c r="D180" s="21" t="s">
        <v>40</v>
      </c>
      <c r="E180" s="26">
        <v>11</v>
      </c>
      <c r="F180" s="22">
        <v>1</v>
      </c>
      <c r="G180" s="23" t="s">
        <v>20</v>
      </c>
      <c r="H180" s="22">
        <v>36</v>
      </c>
      <c r="I180" s="23" t="s">
        <v>40</v>
      </c>
      <c r="J180" s="24">
        <v>34200</v>
      </c>
      <c r="K180" s="21" t="s">
        <v>40</v>
      </c>
      <c r="L180" s="25">
        <v>0.125</v>
      </c>
      <c r="M180" s="25">
        <v>0.05</v>
      </c>
      <c r="N180" s="22"/>
      <c r="O180" s="23" t="s">
        <v>40</v>
      </c>
      <c r="P180" s="20">
        <f t="shared" si="80"/>
        <v>425</v>
      </c>
      <c r="Q180" s="23" t="s">
        <v>40</v>
      </c>
      <c r="R180" s="24">
        <f t="shared" si="81"/>
        <v>12082218.75</v>
      </c>
      <c r="S180" s="24">
        <f t="shared" si="59"/>
        <v>10884881.756756756</v>
      </c>
    </row>
    <row r="181" spans="1:19" s="19" customFormat="1">
      <c r="A181" s="18" t="s">
        <v>119</v>
      </c>
      <c r="B181" s="19" t="s">
        <v>18</v>
      </c>
      <c r="C181" s="20">
        <v>48</v>
      </c>
      <c r="D181" s="21" t="s">
        <v>40</v>
      </c>
      <c r="E181" s="26"/>
      <c r="F181" s="22">
        <v>24</v>
      </c>
      <c r="G181" s="23" t="s">
        <v>33</v>
      </c>
      <c r="H181" s="22">
        <v>2</v>
      </c>
      <c r="I181" s="23" t="s">
        <v>40</v>
      </c>
      <c r="J181" s="24">
        <f>46800/2</f>
        <v>23400</v>
      </c>
      <c r="K181" s="21" t="s">
        <v>40</v>
      </c>
      <c r="L181" s="25">
        <v>0.125</v>
      </c>
      <c r="M181" s="25">
        <v>0.05</v>
      </c>
      <c r="N181" s="22"/>
      <c r="O181" s="23" t="s">
        <v>40</v>
      </c>
      <c r="P181" s="20">
        <f t="shared" si="80"/>
        <v>48</v>
      </c>
      <c r="Q181" s="23" t="s">
        <v>40</v>
      </c>
      <c r="R181" s="24">
        <f t="shared" si="81"/>
        <v>933660</v>
      </c>
      <c r="S181" s="24">
        <f t="shared" si="59"/>
        <v>841135.13513513503</v>
      </c>
    </row>
    <row r="182" spans="1:19" s="95" customFormat="1">
      <c r="A182" s="158" t="s">
        <v>956</v>
      </c>
      <c r="B182" s="95" t="s">
        <v>18</v>
      </c>
      <c r="C182" s="96"/>
      <c r="D182" s="97" t="s">
        <v>40</v>
      </c>
      <c r="E182" s="98">
        <v>2</v>
      </c>
      <c r="F182" s="99">
        <v>48</v>
      </c>
      <c r="G182" s="100" t="s">
        <v>33</v>
      </c>
      <c r="H182" s="99">
        <v>1</v>
      </c>
      <c r="I182" s="100" t="s">
        <v>40</v>
      </c>
      <c r="J182" s="101">
        <v>37200</v>
      </c>
      <c r="K182" s="97" t="s">
        <v>40</v>
      </c>
      <c r="L182" s="102">
        <v>0.125</v>
      </c>
      <c r="M182" s="102">
        <v>0.05</v>
      </c>
      <c r="N182" s="99"/>
      <c r="O182" s="100" t="s">
        <v>40</v>
      </c>
      <c r="P182" s="96">
        <f t="shared" si="80"/>
        <v>96</v>
      </c>
      <c r="Q182" s="100" t="s">
        <v>40</v>
      </c>
      <c r="R182" s="101">
        <f t="shared" si="81"/>
        <v>2968560</v>
      </c>
      <c r="S182" s="101">
        <f t="shared" si="59"/>
        <v>2674378.3783783782</v>
      </c>
    </row>
    <row r="183" spans="1:19" s="78" customFormat="1">
      <c r="A183" s="77" t="s">
        <v>120</v>
      </c>
      <c r="B183" s="78" t="s">
        <v>18</v>
      </c>
      <c r="C183" s="76"/>
      <c r="D183" s="79" t="s">
        <v>40</v>
      </c>
      <c r="E183" s="80"/>
      <c r="F183" s="81">
        <v>60</v>
      </c>
      <c r="G183" s="82" t="s">
        <v>33</v>
      </c>
      <c r="H183" s="81">
        <v>1</v>
      </c>
      <c r="I183" s="82" t="s">
        <v>40</v>
      </c>
      <c r="J183" s="83">
        <v>43200</v>
      </c>
      <c r="K183" s="79" t="s">
        <v>40</v>
      </c>
      <c r="L183" s="84">
        <v>0.125</v>
      </c>
      <c r="M183" s="84">
        <v>0.05</v>
      </c>
      <c r="N183" s="81"/>
      <c r="O183" s="82" t="s">
        <v>40</v>
      </c>
      <c r="P183" s="76">
        <f t="shared" si="80"/>
        <v>0</v>
      </c>
      <c r="Q183" s="82" t="s">
        <v>40</v>
      </c>
      <c r="R183" s="83">
        <f t="shared" si="81"/>
        <v>0</v>
      </c>
      <c r="S183" s="83">
        <f t="shared" si="59"/>
        <v>0</v>
      </c>
    </row>
    <row r="184" spans="1:19" s="95" customFormat="1">
      <c r="A184" s="158" t="s">
        <v>120</v>
      </c>
      <c r="B184" s="95" t="s">
        <v>18</v>
      </c>
      <c r="C184" s="96"/>
      <c r="D184" s="97" t="s">
        <v>40</v>
      </c>
      <c r="E184" s="98">
        <v>2</v>
      </c>
      <c r="F184" s="99">
        <v>60</v>
      </c>
      <c r="G184" s="100" t="s">
        <v>33</v>
      </c>
      <c r="H184" s="99">
        <v>1</v>
      </c>
      <c r="I184" s="100" t="s">
        <v>40</v>
      </c>
      <c r="J184" s="101">
        <v>45000</v>
      </c>
      <c r="K184" s="97" t="s">
        <v>40</v>
      </c>
      <c r="L184" s="102">
        <v>0.125</v>
      </c>
      <c r="M184" s="102">
        <v>0.05</v>
      </c>
      <c r="N184" s="99"/>
      <c r="O184" s="100" t="s">
        <v>40</v>
      </c>
      <c r="P184" s="96">
        <f t="shared" ref="P184" si="91">(C184+(E184*F184*H184))-N184</f>
        <v>120</v>
      </c>
      <c r="Q184" s="100" t="s">
        <v>40</v>
      </c>
      <c r="R184" s="101">
        <f t="shared" ref="R184" si="92">P184*(J184-(J184*L184)-((J184-(J184*L184))*M184))</f>
        <v>4488750</v>
      </c>
      <c r="S184" s="101">
        <f t="shared" ref="S184" si="93">R184/1.11</f>
        <v>4043918.9189189184</v>
      </c>
    </row>
    <row r="185" spans="1:19" s="19" customFormat="1">
      <c r="A185" s="18" t="s">
        <v>686</v>
      </c>
      <c r="B185" s="19" t="s">
        <v>18</v>
      </c>
      <c r="C185" s="20">
        <v>209</v>
      </c>
      <c r="D185" s="21" t="s">
        <v>40</v>
      </c>
      <c r="E185" s="26"/>
      <c r="F185" s="22">
        <v>120</v>
      </c>
      <c r="G185" s="23" t="s">
        <v>33</v>
      </c>
      <c r="H185" s="22">
        <v>1</v>
      </c>
      <c r="I185" s="23" t="s">
        <v>40</v>
      </c>
      <c r="J185" s="24">
        <v>17400</v>
      </c>
      <c r="K185" s="21" t="s">
        <v>40</v>
      </c>
      <c r="L185" s="25">
        <v>0.125</v>
      </c>
      <c r="M185" s="25">
        <v>0.05</v>
      </c>
      <c r="N185" s="22"/>
      <c r="O185" s="23" t="s">
        <v>40</v>
      </c>
      <c r="P185" s="20">
        <f t="shared" si="80"/>
        <v>209</v>
      </c>
      <c r="Q185" s="23" t="s">
        <v>40</v>
      </c>
      <c r="R185" s="24">
        <f t="shared" si="81"/>
        <v>3022923.75</v>
      </c>
      <c r="S185" s="24">
        <f t="shared" si="59"/>
        <v>2723354.7297297297</v>
      </c>
    </row>
    <row r="186" spans="1:19" s="19" customFormat="1">
      <c r="A186" s="159" t="s">
        <v>953</v>
      </c>
      <c r="B186" s="19" t="s">
        <v>18</v>
      </c>
      <c r="D186" s="21" t="s">
        <v>40</v>
      </c>
      <c r="E186" s="26">
        <v>2</v>
      </c>
      <c r="F186" s="22">
        <v>48</v>
      </c>
      <c r="G186" s="23" t="s">
        <v>33</v>
      </c>
      <c r="H186" s="22">
        <v>1</v>
      </c>
      <c r="I186" s="23" t="s">
        <v>40</v>
      </c>
      <c r="J186" s="24">
        <v>37200</v>
      </c>
      <c r="K186" s="21" t="s">
        <v>40</v>
      </c>
      <c r="L186" s="25">
        <v>0.125</v>
      </c>
      <c r="M186" s="25">
        <v>0.05</v>
      </c>
      <c r="N186" s="22"/>
      <c r="O186" s="23" t="s">
        <v>40</v>
      </c>
      <c r="P186" s="20">
        <f t="shared" ref="P186:P188" si="94">(C186+(E186*F186*H186))-N186</f>
        <v>96</v>
      </c>
      <c r="Q186" s="23" t="s">
        <v>40</v>
      </c>
      <c r="R186" s="24">
        <f t="shared" ref="R186:R188" si="95">P186*(J186-(J186*L186)-((J186-(J186*L186))*M186))</f>
        <v>2968560</v>
      </c>
      <c r="S186" s="24">
        <f t="shared" ref="S186:S188" si="96">R186/1.11</f>
        <v>2674378.3783783782</v>
      </c>
    </row>
    <row r="187" spans="1:19" s="19" customFormat="1">
      <c r="A187" s="159" t="s">
        <v>954</v>
      </c>
      <c r="B187" s="19" t="s">
        <v>18</v>
      </c>
      <c r="D187" s="21" t="s">
        <v>40</v>
      </c>
      <c r="E187" s="26">
        <v>1</v>
      </c>
      <c r="F187" s="22">
        <v>48</v>
      </c>
      <c r="G187" s="23" t="s">
        <v>33</v>
      </c>
      <c r="H187" s="22">
        <v>1</v>
      </c>
      <c r="I187" s="23" t="s">
        <v>40</v>
      </c>
      <c r="J187" s="24">
        <v>54600</v>
      </c>
      <c r="K187" s="21" t="s">
        <v>40</v>
      </c>
      <c r="L187" s="25">
        <v>0.125</v>
      </c>
      <c r="M187" s="25">
        <v>0.05</v>
      </c>
      <c r="N187" s="22"/>
      <c r="O187" s="23" t="s">
        <v>40</v>
      </c>
      <c r="P187" s="20">
        <f t="shared" si="94"/>
        <v>48</v>
      </c>
      <c r="Q187" s="23" t="s">
        <v>40</v>
      </c>
      <c r="R187" s="24">
        <f t="shared" si="95"/>
        <v>2178540</v>
      </c>
      <c r="S187" s="24">
        <f t="shared" si="96"/>
        <v>1962648.6486486485</v>
      </c>
    </row>
    <row r="188" spans="1:19" s="19" customFormat="1">
      <c r="A188" s="159" t="s">
        <v>955</v>
      </c>
      <c r="B188" s="19" t="s">
        <v>18</v>
      </c>
      <c r="D188" s="21" t="s">
        <v>40</v>
      </c>
      <c r="E188" s="26">
        <v>1</v>
      </c>
      <c r="F188" s="22">
        <v>48</v>
      </c>
      <c r="G188" s="23" t="s">
        <v>33</v>
      </c>
      <c r="H188" s="22">
        <v>1</v>
      </c>
      <c r="I188" s="23" t="s">
        <v>40</v>
      </c>
      <c r="J188" s="24">
        <v>32400</v>
      </c>
      <c r="K188" s="21" t="s">
        <v>40</v>
      </c>
      <c r="L188" s="25">
        <v>0.125</v>
      </c>
      <c r="M188" s="25">
        <v>0.05</v>
      </c>
      <c r="N188" s="22"/>
      <c r="O188" s="23" t="s">
        <v>40</v>
      </c>
      <c r="P188" s="20">
        <f t="shared" si="94"/>
        <v>48</v>
      </c>
      <c r="Q188" s="23" t="s">
        <v>40</v>
      </c>
      <c r="R188" s="24">
        <f t="shared" si="95"/>
        <v>1292760</v>
      </c>
      <c r="S188" s="24">
        <f t="shared" si="96"/>
        <v>1164648.6486486485</v>
      </c>
    </row>
    <row r="189" spans="1:19" s="19" customFormat="1">
      <c r="A189" s="18"/>
      <c r="C189" s="20"/>
      <c r="D189" s="21"/>
      <c r="E189" s="26"/>
      <c r="F189" s="22"/>
      <c r="G189" s="23"/>
      <c r="H189" s="22"/>
      <c r="I189" s="23"/>
      <c r="J189" s="24"/>
      <c r="K189" s="21"/>
      <c r="L189" s="25"/>
      <c r="M189" s="25"/>
      <c r="N189" s="22"/>
      <c r="O189" s="23"/>
      <c r="P189" s="20"/>
      <c r="Q189" s="23"/>
      <c r="R189" s="24"/>
      <c r="S189" s="24"/>
    </row>
    <row r="190" spans="1:19" s="78" customFormat="1">
      <c r="A190" s="77" t="s">
        <v>121</v>
      </c>
      <c r="B190" s="78" t="s">
        <v>25</v>
      </c>
      <c r="C190" s="76"/>
      <c r="D190" s="79" t="s">
        <v>40</v>
      </c>
      <c r="E190" s="80"/>
      <c r="F190" s="81">
        <v>1</v>
      </c>
      <c r="G190" s="82" t="s">
        <v>20</v>
      </c>
      <c r="H190" s="81">
        <v>36</v>
      </c>
      <c r="I190" s="82" t="s">
        <v>40</v>
      </c>
      <c r="J190" s="83">
        <f>1954800/36</f>
        <v>54300</v>
      </c>
      <c r="K190" s="79" t="s">
        <v>40</v>
      </c>
      <c r="L190" s="84"/>
      <c r="M190" s="84">
        <v>0.17</v>
      </c>
      <c r="N190" s="81"/>
      <c r="O190" s="82" t="s">
        <v>40</v>
      </c>
      <c r="P190" s="76">
        <f t="shared" ref="P190:P197" si="97">(C190+(E190*F190*H190))-N190</f>
        <v>0</v>
      </c>
      <c r="Q190" s="82" t="s">
        <v>40</v>
      </c>
      <c r="R190" s="83">
        <f t="shared" ref="R190:R197" si="98">P190*(J190-(J190*L190)-((J190-(J190*L190))*M190))</f>
        <v>0</v>
      </c>
      <c r="S190" s="83">
        <f t="shared" si="59"/>
        <v>0</v>
      </c>
    </row>
    <row r="191" spans="1:19" s="78" customFormat="1">
      <c r="A191" s="77" t="s">
        <v>122</v>
      </c>
      <c r="B191" s="78" t="s">
        <v>25</v>
      </c>
      <c r="C191" s="76"/>
      <c r="D191" s="79" t="s">
        <v>40</v>
      </c>
      <c r="E191" s="80">
        <v>5</v>
      </c>
      <c r="F191" s="81">
        <v>1</v>
      </c>
      <c r="G191" s="82" t="s">
        <v>20</v>
      </c>
      <c r="H191" s="81">
        <v>36</v>
      </c>
      <c r="I191" s="82" t="s">
        <v>40</v>
      </c>
      <c r="J191" s="83">
        <f>1954800/36</f>
        <v>54300</v>
      </c>
      <c r="K191" s="79" t="s">
        <v>40</v>
      </c>
      <c r="L191" s="84"/>
      <c r="M191" s="84">
        <v>0.17</v>
      </c>
      <c r="N191" s="81"/>
      <c r="O191" s="82" t="s">
        <v>40</v>
      </c>
      <c r="P191" s="76">
        <f t="shared" si="97"/>
        <v>180</v>
      </c>
      <c r="Q191" s="82" t="s">
        <v>40</v>
      </c>
      <c r="R191" s="83">
        <f t="shared" si="98"/>
        <v>8112420</v>
      </c>
      <c r="S191" s="83">
        <f t="shared" si="59"/>
        <v>7308486.4864864862</v>
      </c>
    </row>
    <row r="192" spans="1:19" s="19" customFormat="1">
      <c r="A192" s="18" t="s">
        <v>123</v>
      </c>
      <c r="B192" s="19" t="s">
        <v>25</v>
      </c>
      <c r="C192" s="20">
        <v>1211</v>
      </c>
      <c r="D192" s="21" t="s">
        <v>40</v>
      </c>
      <c r="E192" s="26">
        <v>474</v>
      </c>
      <c r="F192" s="22">
        <v>1</v>
      </c>
      <c r="G192" s="23" t="s">
        <v>20</v>
      </c>
      <c r="H192" s="22">
        <v>36</v>
      </c>
      <c r="I192" s="23" t="s">
        <v>40</v>
      </c>
      <c r="J192" s="24">
        <f>1954800/36</f>
        <v>54300</v>
      </c>
      <c r="K192" s="21" t="s">
        <v>40</v>
      </c>
      <c r="L192" s="25"/>
      <c r="M192" s="25">
        <v>0.17</v>
      </c>
      <c r="N192" s="22"/>
      <c r="O192" s="23" t="s">
        <v>40</v>
      </c>
      <c r="P192" s="20">
        <f t="shared" si="97"/>
        <v>18275</v>
      </c>
      <c r="Q192" s="23" t="s">
        <v>40</v>
      </c>
      <c r="R192" s="24">
        <f t="shared" si="98"/>
        <v>823635975</v>
      </c>
      <c r="S192" s="24">
        <f t="shared" si="59"/>
        <v>742014391.89189184</v>
      </c>
    </row>
    <row r="193" spans="1:19" s="19" customFormat="1">
      <c r="A193" s="18" t="s">
        <v>124</v>
      </c>
      <c r="B193" s="19" t="s">
        <v>25</v>
      </c>
      <c r="C193" s="20">
        <v>84</v>
      </c>
      <c r="D193" s="21" t="s">
        <v>40</v>
      </c>
      <c r="E193" s="26">
        <v>26</v>
      </c>
      <c r="F193" s="22">
        <v>1</v>
      </c>
      <c r="G193" s="23" t="s">
        <v>20</v>
      </c>
      <c r="H193" s="22">
        <v>36</v>
      </c>
      <c r="I193" s="23" t="s">
        <v>40</v>
      </c>
      <c r="J193" s="24">
        <f>2008800/36</f>
        <v>55800</v>
      </c>
      <c r="K193" s="21" t="s">
        <v>40</v>
      </c>
      <c r="L193" s="25"/>
      <c r="M193" s="25">
        <v>0.17</v>
      </c>
      <c r="N193" s="22"/>
      <c r="O193" s="23" t="s">
        <v>40</v>
      </c>
      <c r="P193" s="20">
        <f t="shared" si="97"/>
        <v>1020</v>
      </c>
      <c r="Q193" s="23" t="s">
        <v>40</v>
      </c>
      <c r="R193" s="24">
        <f t="shared" si="98"/>
        <v>47240280</v>
      </c>
      <c r="S193" s="24">
        <f t="shared" si="59"/>
        <v>42558810.810810804</v>
      </c>
    </row>
    <row r="194" spans="1:19" s="19" customFormat="1">
      <c r="A194" s="18" t="s">
        <v>125</v>
      </c>
      <c r="B194" s="19" t="s">
        <v>25</v>
      </c>
      <c r="C194" s="20">
        <v>108</v>
      </c>
      <c r="D194" s="21" t="s">
        <v>40</v>
      </c>
      <c r="E194" s="26">
        <v>100</v>
      </c>
      <c r="F194" s="22">
        <v>1</v>
      </c>
      <c r="G194" s="23" t="s">
        <v>20</v>
      </c>
      <c r="H194" s="22">
        <v>36</v>
      </c>
      <c r="I194" s="23" t="s">
        <v>40</v>
      </c>
      <c r="J194" s="24">
        <f>1695600/36</f>
        <v>47100</v>
      </c>
      <c r="K194" s="21" t="s">
        <v>40</v>
      </c>
      <c r="L194" s="25"/>
      <c r="M194" s="25">
        <v>0.17</v>
      </c>
      <c r="N194" s="22"/>
      <c r="O194" s="23" t="s">
        <v>40</v>
      </c>
      <c r="P194" s="20">
        <f t="shared" si="97"/>
        <v>3708</v>
      </c>
      <c r="Q194" s="23" t="s">
        <v>40</v>
      </c>
      <c r="R194" s="24">
        <f t="shared" si="98"/>
        <v>144956844</v>
      </c>
      <c r="S194" s="24">
        <f t="shared" si="59"/>
        <v>130591751.35135134</v>
      </c>
    </row>
    <row r="195" spans="1:19" s="95" customFormat="1">
      <c r="A195" s="87" t="s">
        <v>126</v>
      </c>
      <c r="B195" s="95" t="s">
        <v>25</v>
      </c>
      <c r="C195" s="96"/>
      <c r="D195" s="97" t="s">
        <v>40</v>
      </c>
      <c r="E195" s="98">
        <v>7</v>
      </c>
      <c r="F195" s="99">
        <v>1</v>
      </c>
      <c r="G195" s="100" t="s">
        <v>20</v>
      </c>
      <c r="H195" s="99">
        <v>36</v>
      </c>
      <c r="I195" s="100" t="s">
        <v>40</v>
      </c>
      <c r="J195" s="101">
        <f>1922400/36</f>
        <v>53400</v>
      </c>
      <c r="K195" s="97" t="s">
        <v>40</v>
      </c>
      <c r="L195" s="102"/>
      <c r="M195" s="102">
        <v>0.17</v>
      </c>
      <c r="N195" s="99"/>
      <c r="O195" s="100" t="s">
        <v>40</v>
      </c>
      <c r="P195" s="96">
        <f t="shared" si="97"/>
        <v>252</v>
      </c>
      <c r="Q195" s="100" t="s">
        <v>40</v>
      </c>
      <c r="R195" s="101">
        <f t="shared" si="98"/>
        <v>11169144</v>
      </c>
      <c r="S195" s="101">
        <f t="shared" si="59"/>
        <v>10062291.891891891</v>
      </c>
    </row>
    <row r="196" spans="1:19" s="19" customFormat="1">
      <c r="A196" s="18" t="s">
        <v>127</v>
      </c>
      <c r="B196" s="19" t="s">
        <v>25</v>
      </c>
      <c r="C196" s="20">
        <v>245</v>
      </c>
      <c r="D196" s="21" t="s">
        <v>40</v>
      </c>
      <c r="E196" s="26">
        <v>31</v>
      </c>
      <c r="F196" s="22">
        <v>1</v>
      </c>
      <c r="G196" s="23" t="s">
        <v>20</v>
      </c>
      <c r="H196" s="22">
        <v>36</v>
      </c>
      <c r="I196" s="23" t="s">
        <v>40</v>
      </c>
      <c r="J196" s="24">
        <f>2052000/36</f>
        <v>57000</v>
      </c>
      <c r="K196" s="21" t="s">
        <v>40</v>
      </c>
      <c r="L196" s="25"/>
      <c r="M196" s="25">
        <v>0.17</v>
      </c>
      <c r="N196" s="22"/>
      <c r="O196" s="23" t="s">
        <v>40</v>
      </c>
      <c r="P196" s="20">
        <f t="shared" si="97"/>
        <v>1361</v>
      </c>
      <c r="Q196" s="23" t="s">
        <v>40</v>
      </c>
      <c r="R196" s="24">
        <f t="shared" si="98"/>
        <v>64388910</v>
      </c>
      <c r="S196" s="24">
        <f t="shared" si="59"/>
        <v>58008027.027027018</v>
      </c>
    </row>
    <row r="197" spans="1:19" s="19" customFormat="1">
      <c r="A197" s="18" t="s">
        <v>128</v>
      </c>
      <c r="B197" s="19" t="s">
        <v>25</v>
      </c>
      <c r="C197" s="20"/>
      <c r="D197" s="21" t="s">
        <v>40</v>
      </c>
      <c r="E197" s="26">
        <v>13</v>
      </c>
      <c r="F197" s="22">
        <v>1</v>
      </c>
      <c r="G197" s="23" t="s">
        <v>20</v>
      </c>
      <c r="H197" s="22">
        <v>36</v>
      </c>
      <c r="I197" s="23" t="s">
        <v>40</v>
      </c>
      <c r="J197" s="24">
        <f>2170800/36</f>
        <v>60300</v>
      </c>
      <c r="K197" s="21" t="s">
        <v>40</v>
      </c>
      <c r="L197" s="25"/>
      <c r="M197" s="25">
        <v>0.17</v>
      </c>
      <c r="N197" s="22"/>
      <c r="O197" s="23" t="s">
        <v>40</v>
      </c>
      <c r="P197" s="20">
        <f t="shared" si="97"/>
        <v>468</v>
      </c>
      <c r="Q197" s="23" t="s">
        <v>40</v>
      </c>
      <c r="R197" s="24">
        <f t="shared" si="98"/>
        <v>23422932</v>
      </c>
      <c r="S197" s="24">
        <f t="shared" si="59"/>
        <v>21101740.540540539</v>
      </c>
    </row>
    <row r="198" spans="1:19" s="19" customFormat="1">
      <c r="A198" s="18"/>
      <c r="C198" s="20"/>
      <c r="D198" s="21"/>
      <c r="E198" s="26"/>
      <c r="F198" s="22"/>
      <c r="G198" s="23"/>
      <c r="H198" s="22"/>
      <c r="I198" s="23"/>
      <c r="J198" s="24"/>
      <c r="K198" s="21"/>
      <c r="L198" s="25"/>
      <c r="M198" s="25"/>
      <c r="N198" s="22"/>
      <c r="O198" s="23"/>
      <c r="P198" s="20"/>
      <c r="Q198" s="23"/>
      <c r="R198" s="24"/>
      <c r="S198" s="24"/>
    </row>
    <row r="199" spans="1:19" s="19" customFormat="1">
      <c r="A199" s="62" t="s">
        <v>129</v>
      </c>
      <c r="C199" s="20"/>
      <c r="D199" s="21"/>
      <c r="E199" s="26"/>
      <c r="F199" s="22"/>
      <c r="G199" s="23"/>
      <c r="H199" s="22"/>
      <c r="I199" s="23"/>
      <c r="J199" s="24"/>
      <c r="K199" s="21"/>
      <c r="L199" s="25"/>
      <c r="M199" s="25"/>
      <c r="N199" s="22"/>
      <c r="O199" s="23"/>
      <c r="P199" s="20"/>
      <c r="Q199" s="23"/>
      <c r="R199" s="24"/>
      <c r="S199" s="24"/>
    </row>
    <row r="200" spans="1:19" s="19" customFormat="1">
      <c r="A200" s="159" t="s">
        <v>130</v>
      </c>
      <c r="B200" s="19" t="s">
        <v>18</v>
      </c>
      <c r="C200" s="20"/>
      <c r="D200" s="21" t="s">
        <v>40</v>
      </c>
      <c r="E200" s="26">
        <v>1</v>
      </c>
      <c r="F200" s="22">
        <v>1</v>
      </c>
      <c r="G200" s="23" t="s">
        <v>20</v>
      </c>
      <c r="H200" s="22">
        <v>60</v>
      </c>
      <c r="I200" s="23" t="s">
        <v>40</v>
      </c>
      <c r="J200" s="24">
        <f>4600*12</f>
        <v>55200</v>
      </c>
      <c r="K200" s="21" t="s">
        <v>40</v>
      </c>
      <c r="L200" s="25">
        <v>0.125</v>
      </c>
      <c r="M200" s="25">
        <v>0.1</v>
      </c>
      <c r="N200" s="22"/>
      <c r="O200" s="23" t="s">
        <v>40</v>
      </c>
      <c r="P200" s="20">
        <f t="shared" ref="P200" si="99">(C200+(E200*F200*H200))-N200</f>
        <v>60</v>
      </c>
      <c r="Q200" s="23" t="s">
        <v>40</v>
      </c>
      <c r="R200" s="24">
        <f t="shared" ref="R200" si="100">P200*(J200-(J200*L200)-((J200-(J200*L200))*M200))</f>
        <v>2608200</v>
      </c>
      <c r="S200" s="24">
        <f t="shared" ref="S200" si="101">R200/1.11</f>
        <v>2349729.7297297297</v>
      </c>
    </row>
    <row r="201" spans="1:19" s="19" customFormat="1">
      <c r="A201" s="18" t="s">
        <v>130</v>
      </c>
      <c r="B201" s="19" t="s">
        <v>18</v>
      </c>
      <c r="C201" s="20"/>
      <c r="D201" s="21" t="s">
        <v>40</v>
      </c>
      <c r="E201" s="26">
        <v>13</v>
      </c>
      <c r="F201" s="22">
        <v>1</v>
      </c>
      <c r="G201" s="23" t="s">
        <v>20</v>
      </c>
      <c r="H201" s="22">
        <v>60</v>
      </c>
      <c r="I201" s="23" t="s">
        <v>40</v>
      </c>
      <c r="J201" s="24">
        <f>4600*12</f>
        <v>55200</v>
      </c>
      <c r="K201" s="21" t="s">
        <v>40</v>
      </c>
      <c r="L201" s="25">
        <v>0.125</v>
      </c>
      <c r="M201" s="25">
        <v>0.05</v>
      </c>
      <c r="N201" s="22"/>
      <c r="O201" s="23" t="s">
        <v>40</v>
      </c>
      <c r="P201" s="20">
        <f t="shared" ref="P201:P220" si="102">(C201+(E201*F201*H201))-N201</f>
        <v>780</v>
      </c>
      <c r="Q201" s="23" t="s">
        <v>40</v>
      </c>
      <c r="R201" s="24">
        <f t="shared" ref="R201:R220" si="103">P201*(J201-(J201*L201)-((J201-(J201*L201))*M201))</f>
        <v>35790300</v>
      </c>
      <c r="S201" s="24">
        <f t="shared" si="59"/>
        <v>32243513.513513509</v>
      </c>
    </row>
    <row r="202" spans="1:19" s="95" customFormat="1">
      <c r="A202" s="87" t="s">
        <v>131</v>
      </c>
      <c r="B202" s="95" t="s">
        <v>18</v>
      </c>
      <c r="C202" s="96"/>
      <c r="D202" s="97" t="s">
        <v>40</v>
      </c>
      <c r="E202" s="98">
        <v>7</v>
      </c>
      <c r="F202" s="99">
        <v>1</v>
      </c>
      <c r="G202" s="100" t="s">
        <v>20</v>
      </c>
      <c r="H202" s="99">
        <v>60</v>
      </c>
      <c r="I202" s="100" t="s">
        <v>40</v>
      </c>
      <c r="J202" s="101">
        <f>4500*12</f>
        <v>54000</v>
      </c>
      <c r="K202" s="97" t="s">
        <v>40</v>
      </c>
      <c r="L202" s="102">
        <v>0.125</v>
      </c>
      <c r="M202" s="102">
        <v>0.05</v>
      </c>
      <c r="N202" s="99"/>
      <c r="O202" s="100" t="s">
        <v>40</v>
      </c>
      <c r="P202" s="96">
        <f t="shared" si="102"/>
        <v>420</v>
      </c>
      <c r="Q202" s="100" t="s">
        <v>40</v>
      </c>
      <c r="R202" s="101">
        <f t="shared" si="103"/>
        <v>18852750</v>
      </c>
      <c r="S202" s="101">
        <f t="shared" si="59"/>
        <v>16984459.459459458</v>
      </c>
    </row>
    <row r="203" spans="1:19" s="78" customFormat="1">
      <c r="A203" s="77" t="s">
        <v>693</v>
      </c>
      <c r="B203" s="78" t="s">
        <v>18</v>
      </c>
      <c r="C203" s="76"/>
      <c r="D203" s="79" t="s">
        <v>40</v>
      </c>
      <c r="E203" s="80"/>
      <c r="F203" s="81">
        <v>1</v>
      </c>
      <c r="G203" s="82" t="s">
        <v>20</v>
      </c>
      <c r="H203" s="81">
        <v>60</v>
      </c>
      <c r="I203" s="82" t="s">
        <v>40</v>
      </c>
      <c r="J203" s="83">
        <f>4500*12</f>
        <v>54000</v>
      </c>
      <c r="K203" s="79" t="s">
        <v>40</v>
      </c>
      <c r="L203" s="84">
        <v>0.125</v>
      </c>
      <c r="M203" s="84">
        <v>0.05</v>
      </c>
      <c r="N203" s="81"/>
      <c r="O203" s="82" t="s">
        <v>40</v>
      </c>
      <c r="P203" s="76">
        <f t="shared" si="102"/>
        <v>0</v>
      </c>
      <c r="Q203" s="82" t="s">
        <v>40</v>
      </c>
      <c r="R203" s="83">
        <f t="shared" si="103"/>
        <v>0</v>
      </c>
      <c r="S203" s="83">
        <f t="shared" si="59"/>
        <v>0</v>
      </c>
    </row>
    <row r="204" spans="1:19" s="19" customFormat="1">
      <c r="A204" s="18" t="s">
        <v>132</v>
      </c>
      <c r="B204" s="19" t="s">
        <v>18</v>
      </c>
      <c r="C204" s="20"/>
      <c r="D204" s="21" t="s">
        <v>40</v>
      </c>
      <c r="E204" s="26">
        <v>1</v>
      </c>
      <c r="F204" s="22">
        <v>1</v>
      </c>
      <c r="G204" s="23" t="s">
        <v>20</v>
      </c>
      <c r="H204" s="22">
        <v>30</v>
      </c>
      <c r="I204" s="23" t="s">
        <v>40</v>
      </c>
      <c r="J204" s="24">
        <v>69600</v>
      </c>
      <c r="K204" s="21" t="s">
        <v>40</v>
      </c>
      <c r="L204" s="25">
        <v>0.125</v>
      </c>
      <c r="M204" s="25">
        <v>0.05</v>
      </c>
      <c r="N204" s="22"/>
      <c r="O204" s="23" t="s">
        <v>40</v>
      </c>
      <c r="P204" s="20">
        <f t="shared" ref="P204" si="104">(C204+(E204*F204*H204))-N204</f>
        <v>30</v>
      </c>
      <c r="Q204" s="23" t="s">
        <v>40</v>
      </c>
      <c r="R204" s="24">
        <f t="shared" ref="R204" si="105">P204*(J204-(J204*L204)-((J204-(J204*L204))*M204))</f>
        <v>1735650</v>
      </c>
      <c r="S204" s="24">
        <f t="shared" ref="S204" si="106">R204/1.11</f>
        <v>1563648.6486486485</v>
      </c>
    </row>
    <row r="205" spans="1:19" s="19" customFormat="1">
      <c r="A205" s="18" t="s">
        <v>718</v>
      </c>
      <c r="B205" s="19" t="s">
        <v>18</v>
      </c>
      <c r="C205" s="20"/>
      <c r="D205" s="21" t="s">
        <v>40</v>
      </c>
      <c r="E205" s="26">
        <v>4</v>
      </c>
      <c r="F205" s="22">
        <v>1</v>
      </c>
      <c r="G205" s="23" t="s">
        <v>20</v>
      </c>
      <c r="H205" s="22">
        <v>30</v>
      </c>
      <c r="I205" s="23" t="s">
        <v>40</v>
      </c>
      <c r="J205" s="24">
        <f>11000*12</f>
        <v>132000</v>
      </c>
      <c r="K205" s="21" t="s">
        <v>40</v>
      </c>
      <c r="L205" s="25">
        <v>0.125</v>
      </c>
      <c r="M205" s="25">
        <v>0.05</v>
      </c>
      <c r="N205" s="22"/>
      <c r="O205" s="23" t="s">
        <v>40</v>
      </c>
      <c r="P205" s="20">
        <f t="shared" ref="P205" si="107">(C205+(E205*F205*H205))-N205</f>
        <v>120</v>
      </c>
      <c r="Q205" s="23" t="s">
        <v>40</v>
      </c>
      <c r="R205" s="24">
        <f t="shared" ref="R205" si="108">P205*(J205-(J205*L205)-((J205-(J205*L205))*M205))</f>
        <v>13167000</v>
      </c>
      <c r="S205" s="24">
        <f t="shared" ref="S205" si="109">R205/1.11</f>
        <v>11862162.162162161</v>
      </c>
    </row>
    <row r="206" spans="1:19" s="19" customFormat="1">
      <c r="A206" s="18" t="s">
        <v>133</v>
      </c>
      <c r="B206" s="19" t="s">
        <v>18</v>
      </c>
      <c r="C206" s="20">
        <v>3099</v>
      </c>
      <c r="D206" s="21" t="s">
        <v>40</v>
      </c>
      <c r="E206" s="26">
        <v>66</v>
      </c>
      <c r="F206" s="22">
        <v>1</v>
      </c>
      <c r="G206" s="23" t="s">
        <v>20</v>
      </c>
      <c r="H206" s="22">
        <v>60</v>
      </c>
      <c r="I206" s="23" t="s">
        <v>40</v>
      </c>
      <c r="J206" s="24">
        <f>4800*12</f>
        <v>57600</v>
      </c>
      <c r="K206" s="21" t="s">
        <v>40</v>
      </c>
      <c r="L206" s="25">
        <v>0.125</v>
      </c>
      <c r="M206" s="25">
        <v>0.05</v>
      </c>
      <c r="N206" s="22"/>
      <c r="O206" s="23" t="s">
        <v>40</v>
      </c>
      <c r="P206" s="20">
        <f t="shared" si="102"/>
        <v>7059</v>
      </c>
      <c r="Q206" s="23" t="s">
        <v>40</v>
      </c>
      <c r="R206" s="24">
        <f t="shared" si="103"/>
        <v>337984920</v>
      </c>
      <c r="S206" s="24">
        <f t="shared" si="59"/>
        <v>304490918.91891891</v>
      </c>
    </row>
    <row r="207" spans="1:19" s="19" customFormat="1">
      <c r="A207" s="18" t="s">
        <v>914</v>
      </c>
      <c r="B207" s="19" t="s">
        <v>18</v>
      </c>
      <c r="C207" s="20"/>
      <c r="D207" s="21" t="s">
        <v>40</v>
      </c>
      <c r="E207" s="26">
        <v>18</v>
      </c>
      <c r="F207" s="22">
        <v>1</v>
      </c>
      <c r="G207" s="23" t="s">
        <v>20</v>
      </c>
      <c r="H207" s="22">
        <v>60</v>
      </c>
      <c r="I207" s="23" t="s">
        <v>40</v>
      </c>
      <c r="J207" s="24">
        <f>4800*12</f>
        <v>57600</v>
      </c>
      <c r="K207" s="21" t="s">
        <v>40</v>
      </c>
      <c r="L207" s="25">
        <v>0.125</v>
      </c>
      <c r="M207" s="25">
        <v>0.05</v>
      </c>
      <c r="N207" s="22"/>
      <c r="O207" s="23" t="s">
        <v>40</v>
      </c>
      <c r="P207" s="20">
        <f t="shared" ref="P207" si="110">(C207+(E207*F207*H207))-N207</f>
        <v>1080</v>
      </c>
      <c r="Q207" s="23" t="s">
        <v>40</v>
      </c>
      <c r="R207" s="24">
        <f t="shared" ref="R207" si="111">P207*(J207-(J207*L207)-((J207-(J207*L207))*M207))</f>
        <v>51710400</v>
      </c>
      <c r="S207" s="24">
        <f t="shared" ref="S207" si="112">R207/1.11</f>
        <v>46585945.945945941</v>
      </c>
    </row>
    <row r="208" spans="1:19" s="95" customFormat="1">
      <c r="A208" s="87" t="s">
        <v>846</v>
      </c>
      <c r="B208" s="95" t="s">
        <v>18</v>
      </c>
      <c r="C208" s="96"/>
      <c r="D208" s="97" t="s">
        <v>102</v>
      </c>
      <c r="E208" s="98">
        <v>1</v>
      </c>
      <c r="F208" s="99">
        <v>24</v>
      </c>
      <c r="G208" s="100" t="s">
        <v>33</v>
      </c>
      <c r="H208" s="99">
        <v>12</v>
      </c>
      <c r="I208" s="100" t="s">
        <v>102</v>
      </c>
      <c r="J208" s="101">
        <v>9300</v>
      </c>
      <c r="K208" s="97" t="s">
        <v>102</v>
      </c>
      <c r="L208" s="102">
        <v>0.125</v>
      </c>
      <c r="M208" s="102">
        <v>0.05</v>
      </c>
      <c r="N208" s="99"/>
      <c r="O208" s="100" t="s">
        <v>102</v>
      </c>
      <c r="P208" s="96">
        <f t="shared" si="102"/>
        <v>288</v>
      </c>
      <c r="Q208" s="100" t="s">
        <v>102</v>
      </c>
      <c r="R208" s="101">
        <f t="shared" si="103"/>
        <v>2226420</v>
      </c>
      <c r="S208" s="101">
        <f t="shared" si="59"/>
        <v>2005783.7837837837</v>
      </c>
    </row>
    <row r="209" spans="1:19" s="78" customFormat="1">
      <c r="A209" s="77" t="s">
        <v>134</v>
      </c>
      <c r="B209" s="78" t="s">
        <v>18</v>
      </c>
      <c r="C209" s="76"/>
      <c r="D209" s="79" t="s">
        <v>40</v>
      </c>
      <c r="E209" s="80"/>
      <c r="F209" s="81">
        <v>1</v>
      </c>
      <c r="G209" s="82" t="s">
        <v>20</v>
      </c>
      <c r="H209" s="81">
        <v>60</v>
      </c>
      <c r="I209" s="82" t="s">
        <v>40</v>
      </c>
      <c r="J209" s="83">
        <f>5800*12</f>
        <v>69600</v>
      </c>
      <c r="K209" s="79" t="s">
        <v>40</v>
      </c>
      <c r="L209" s="84">
        <v>0.125</v>
      </c>
      <c r="M209" s="84">
        <v>0.05</v>
      </c>
      <c r="N209" s="81"/>
      <c r="O209" s="82" t="s">
        <v>40</v>
      </c>
      <c r="P209" s="76">
        <f t="shared" si="102"/>
        <v>0</v>
      </c>
      <c r="Q209" s="82" t="s">
        <v>40</v>
      </c>
      <c r="R209" s="83">
        <f t="shared" si="103"/>
        <v>0</v>
      </c>
      <c r="S209" s="83">
        <f t="shared" si="59"/>
        <v>0</v>
      </c>
    </row>
    <row r="210" spans="1:19" s="19" customFormat="1">
      <c r="A210" s="18" t="s">
        <v>135</v>
      </c>
      <c r="B210" s="19" t="s">
        <v>18</v>
      </c>
      <c r="C210" s="20">
        <v>40</v>
      </c>
      <c r="D210" s="21" t="s">
        <v>40</v>
      </c>
      <c r="E210" s="26">
        <v>10</v>
      </c>
      <c r="F210" s="22">
        <v>1</v>
      </c>
      <c r="G210" s="23" t="s">
        <v>20</v>
      </c>
      <c r="H210" s="22">
        <v>40</v>
      </c>
      <c r="I210" s="23" t="s">
        <v>40</v>
      </c>
      <c r="J210" s="24">
        <f>8500*12</f>
        <v>102000</v>
      </c>
      <c r="K210" s="21" t="s">
        <v>40</v>
      </c>
      <c r="L210" s="25">
        <v>0.125</v>
      </c>
      <c r="M210" s="25">
        <v>0.05</v>
      </c>
      <c r="N210" s="22"/>
      <c r="O210" s="23" t="s">
        <v>40</v>
      </c>
      <c r="P210" s="20">
        <f t="shared" si="102"/>
        <v>440</v>
      </c>
      <c r="Q210" s="23" t="s">
        <v>40</v>
      </c>
      <c r="R210" s="24">
        <f t="shared" si="103"/>
        <v>37306500</v>
      </c>
      <c r="S210" s="24">
        <f t="shared" si="59"/>
        <v>33609459.459459454</v>
      </c>
    </row>
    <row r="211" spans="1:19" s="78" customFormat="1">
      <c r="A211" s="77" t="s">
        <v>847</v>
      </c>
      <c r="B211" s="78" t="s">
        <v>18</v>
      </c>
      <c r="C211" s="76"/>
      <c r="D211" s="79" t="s">
        <v>40</v>
      </c>
      <c r="E211" s="80"/>
      <c r="F211" s="81">
        <v>1</v>
      </c>
      <c r="G211" s="82" t="s">
        <v>20</v>
      </c>
      <c r="H211" s="81">
        <v>60</v>
      </c>
      <c r="I211" s="82" t="s">
        <v>40</v>
      </c>
      <c r="J211" s="83">
        <f>4000*12</f>
        <v>48000</v>
      </c>
      <c r="K211" s="79" t="s">
        <v>40</v>
      </c>
      <c r="L211" s="84">
        <v>0.125</v>
      </c>
      <c r="M211" s="84">
        <v>0.05</v>
      </c>
      <c r="N211" s="81"/>
      <c r="O211" s="82" t="s">
        <v>40</v>
      </c>
      <c r="P211" s="76">
        <f t="shared" si="102"/>
        <v>0</v>
      </c>
      <c r="Q211" s="82" t="s">
        <v>40</v>
      </c>
      <c r="R211" s="83">
        <f t="shared" si="103"/>
        <v>0</v>
      </c>
      <c r="S211" s="16">
        <f t="shared" si="59"/>
        <v>0</v>
      </c>
    </row>
    <row r="212" spans="1:19" s="95" customFormat="1">
      <c r="A212" s="87" t="s">
        <v>848</v>
      </c>
      <c r="B212" s="95" t="s">
        <v>18</v>
      </c>
      <c r="C212" s="96">
        <v>31</v>
      </c>
      <c r="D212" s="97" t="s">
        <v>40</v>
      </c>
      <c r="E212" s="98"/>
      <c r="F212" s="99">
        <v>1</v>
      </c>
      <c r="G212" s="100" t="s">
        <v>20</v>
      </c>
      <c r="H212" s="99">
        <v>40</v>
      </c>
      <c r="I212" s="100" t="s">
        <v>40</v>
      </c>
      <c r="J212" s="101">
        <f>5700*12</f>
        <v>68400</v>
      </c>
      <c r="K212" s="97" t="s">
        <v>40</v>
      </c>
      <c r="L212" s="102">
        <v>0.125</v>
      </c>
      <c r="M212" s="102">
        <v>0.05</v>
      </c>
      <c r="N212" s="99"/>
      <c r="O212" s="100" t="s">
        <v>40</v>
      </c>
      <c r="P212" s="96">
        <f t="shared" si="102"/>
        <v>31</v>
      </c>
      <c r="Q212" s="100" t="s">
        <v>40</v>
      </c>
      <c r="R212" s="101">
        <f t="shared" si="103"/>
        <v>1762582.5</v>
      </c>
      <c r="S212" s="93">
        <f t="shared" si="59"/>
        <v>1587912.1621621621</v>
      </c>
    </row>
    <row r="213" spans="1:19" s="19" customFormat="1">
      <c r="A213" s="18" t="s">
        <v>791</v>
      </c>
      <c r="B213" s="19" t="s">
        <v>18</v>
      </c>
      <c r="C213" s="20">
        <v>31</v>
      </c>
      <c r="D213" s="21" t="s">
        <v>40</v>
      </c>
      <c r="E213" s="26"/>
      <c r="F213" s="22">
        <v>1</v>
      </c>
      <c r="G213" s="23" t="s">
        <v>20</v>
      </c>
      <c r="H213" s="22">
        <v>40</v>
      </c>
      <c r="I213" s="23" t="s">
        <v>40</v>
      </c>
      <c r="J213" s="24">
        <f>5800*12</f>
        <v>69600</v>
      </c>
      <c r="K213" s="21" t="s">
        <v>40</v>
      </c>
      <c r="L213" s="25">
        <v>0.125</v>
      </c>
      <c r="M213" s="25">
        <v>0.05</v>
      </c>
      <c r="N213" s="22"/>
      <c r="O213" s="23" t="s">
        <v>40</v>
      </c>
      <c r="P213" s="20">
        <f t="shared" si="102"/>
        <v>31</v>
      </c>
      <c r="Q213" s="23" t="s">
        <v>40</v>
      </c>
      <c r="R213" s="24">
        <f t="shared" si="103"/>
        <v>1793505</v>
      </c>
      <c r="S213" s="24">
        <f t="shared" si="59"/>
        <v>1615770.2702702701</v>
      </c>
    </row>
    <row r="214" spans="1:19" s="95" customFormat="1">
      <c r="A214" s="87" t="s">
        <v>849</v>
      </c>
      <c r="B214" s="95" t="s">
        <v>18</v>
      </c>
      <c r="C214" s="96"/>
      <c r="D214" s="97" t="s">
        <v>40</v>
      </c>
      <c r="E214" s="98">
        <v>2</v>
      </c>
      <c r="F214" s="99">
        <v>1</v>
      </c>
      <c r="G214" s="100" t="s">
        <v>20</v>
      </c>
      <c r="H214" s="99">
        <v>40</v>
      </c>
      <c r="I214" s="100" t="s">
        <v>40</v>
      </c>
      <c r="J214" s="101">
        <f>10800*12</f>
        <v>129600</v>
      </c>
      <c r="K214" s="97" t="s">
        <v>40</v>
      </c>
      <c r="L214" s="102">
        <v>0.125</v>
      </c>
      <c r="M214" s="102">
        <v>0.05</v>
      </c>
      <c r="N214" s="99"/>
      <c r="O214" s="100" t="s">
        <v>40</v>
      </c>
      <c r="P214" s="96">
        <f t="shared" si="102"/>
        <v>80</v>
      </c>
      <c r="Q214" s="100" t="s">
        <v>40</v>
      </c>
      <c r="R214" s="101">
        <f t="shared" si="103"/>
        <v>8618400</v>
      </c>
      <c r="S214" s="93">
        <f t="shared" si="59"/>
        <v>7764324.3243243238</v>
      </c>
    </row>
    <row r="215" spans="1:19" s="78" customFormat="1">
      <c r="A215" s="77" t="s">
        <v>136</v>
      </c>
      <c r="B215" s="78" t="s">
        <v>18</v>
      </c>
      <c r="C215" s="76"/>
      <c r="D215" s="79" t="s">
        <v>40</v>
      </c>
      <c r="E215" s="80"/>
      <c r="F215" s="81">
        <v>1</v>
      </c>
      <c r="G215" s="82" t="s">
        <v>20</v>
      </c>
      <c r="H215" s="81">
        <v>40</v>
      </c>
      <c r="I215" s="82" t="s">
        <v>40</v>
      </c>
      <c r="J215" s="83">
        <f>8800*12</f>
        <v>105600</v>
      </c>
      <c r="K215" s="79" t="s">
        <v>40</v>
      </c>
      <c r="L215" s="84">
        <v>0.125</v>
      </c>
      <c r="M215" s="84">
        <v>0.05</v>
      </c>
      <c r="N215" s="81"/>
      <c r="O215" s="82" t="s">
        <v>40</v>
      </c>
      <c r="P215" s="76">
        <f t="shared" si="102"/>
        <v>0</v>
      </c>
      <c r="Q215" s="82" t="s">
        <v>40</v>
      </c>
      <c r="R215" s="83">
        <f t="shared" si="103"/>
        <v>0</v>
      </c>
      <c r="S215" s="83">
        <f t="shared" si="59"/>
        <v>0</v>
      </c>
    </row>
    <row r="216" spans="1:19" s="19" customFormat="1">
      <c r="A216" s="18" t="s">
        <v>813</v>
      </c>
      <c r="B216" s="19" t="s">
        <v>18</v>
      </c>
      <c r="C216" s="20"/>
      <c r="D216" s="21" t="s">
        <v>40</v>
      </c>
      <c r="E216" s="26">
        <v>1</v>
      </c>
      <c r="F216" s="22">
        <v>1</v>
      </c>
      <c r="G216" s="23" t="s">
        <v>20</v>
      </c>
      <c r="H216" s="22">
        <v>40</v>
      </c>
      <c r="I216" s="23" t="s">
        <v>40</v>
      </c>
      <c r="J216" s="24">
        <f>10000*12</f>
        <v>120000</v>
      </c>
      <c r="K216" s="21" t="s">
        <v>40</v>
      </c>
      <c r="L216" s="25">
        <v>0.125</v>
      </c>
      <c r="M216" s="25">
        <v>0.05</v>
      </c>
      <c r="N216" s="22"/>
      <c r="O216" s="23" t="s">
        <v>40</v>
      </c>
      <c r="P216" s="20">
        <f t="shared" si="102"/>
        <v>40</v>
      </c>
      <c r="Q216" s="23" t="s">
        <v>40</v>
      </c>
      <c r="R216" s="24">
        <f t="shared" si="103"/>
        <v>3990000</v>
      </c>
      <c r="S216" s="24">
        <f t="shared" si="59"/>
        <v>3594594.5945945941</v>
      </c>
    </row>
    <row r="217" spans="1:19" s="19" customFormat="1">
      <c r="A217" s="18" t="s">
        <v>898</v>
      </c>
      <c r="B217" s="19" t="s">
        <v>18</v>
      </c>
      <c r="C217" s="20"/>
      <c r="D217" s="21" t="s">
        <v>40</v>
      </c>
      <c r="E217" s="26">
        <v>1</v>
      </c>
      <c r="F217" s="22">
        <v>1</v>
      </c>
      <c r="G217" s="23" t="s">
        <v>20</v>
      </c>
      <c r="H217" s="22">
        <v>36</v>
      </c>
      <c r="I217" s="23" t="s">
        <v>40</v>
      </c>
      <c r="J217" s="24">
        <v>34800</v>
      </c>
      <c r="K217" s="21" t="s">
        <v>40</v>
      </c>
      <c r="L217" s="25">
        <v>0.125</v>
      </c>
      <c r="M217" s="25">
        <v>0.05</v>
      </c>
      <c r="N217" s="22"/>
      <c r="O217" s="23" t="s">
        <v>40</v>
      </c>
      <c r="P217" s="20">
        <f t="shared" ref="P217" si="113">(C217+(E217*F217*H217))-N217</f>
        <v>36</v>
      </c>
      <c r="Q217" s="23" t="s">
        <v>40</v>
      </c>
      <c r="R217" s="24">
        <f t="shared" ref="R217" si="114">P217*(J217-(J217*L217)-((J217-(J217*L217))*M217))</f>
        <v>1041390</v>
      </c>
      <c r="S217" s="24">
        <f t="shared" ref="S217" si="115">R217/1.11</f>
        <v>938189.18918918911</v>
      </c>
    </row>
    <row r="218" spans="1:19" s="95" customFormat="1">
      <c r="A218" s="87" t="s">
        <v>874</v>
      </c>
      <c r="B218" s="95" t="s">
        <v>18</v>
      </c>
      <c r="C218" s="96"/>
      <c r="D218" s="97" t="s">
        <v>40</v>
      </c>
      <c r="E218" s="98">
        <v>6</v>
      </c>
      <c r="F218" s="99">
        <v>1</v>
      </c>
      <c r="G218" s="100" t="s">
        <v>20</v>
      </c>
      <c r="H218" s="99">
        <f>360/12</f>
        <v>30</v>
      </c>
      <c r="I218" s="100" t="s">
        <v>40</v>
      </c>
      <c r="J218" s="101">
        <f>5400*12</f>
        <v>64800</v>
      </c>
      <c r="K218" s="97" t="s">
        <v>40</v>
      </c>
      <c r="L218" s="102">
        <v>0.125</v>
      </c>
      <c r="M218" s="102">
        <v>0.05</v>
      </c>
      <c r="N218" s="99"/>
      <c r="O218" s="100" t="s">
        <v>40</v>
      </c>
      <c r="P218" s="20">
        <f t="shared" ref="P218" si="116">(C218+(E218*F218*H218))-N218</f>
        <v>180</v>
      </c>
      <c r="Q218" s="23" t="s">
        <v>40</v>
      </c>
      <c r="R218" s="24">
        <f t="shared" ref="R218" si="117">P218*(J218-(J218*L218)-((J218-(J218*L218))*M218))</f>
        <v>9695700</v>
      </c>
      <c r="S218" s="24">
        <f t="shared" ref="S218" si="118">R218/1.11</f>
        <v>8734864.8648648635</v>
      </c>
    </row>
    <row r="219" spans="1:19" s="78" customFormat="1">
      <c r="A219" s="77" t="s">
        <v>792</v>
      </c>
      <c r="B219" s="78" t="s">
        <v>18</v>
      </c>
      <c r="C219" s="76"/>
      <c r="D219" s="79" t="s">
        <v>40</v>
      </c>
      <c r="E219" s="80"/>
      <c r="F219" s="81">
        <v>1</v>
      </c>
      <c r="G219" s="82" t="s">
        <v>20</v>
      </c>
      <c r="H219" s="81">
        <f>360/12</f>
        <v>30</v>
      </c>
      <c r="I219" s="82" t="s">
        <v>40</v>
      </c>
      <c r="J219" s="83">
        <f>4800*12</f>
        <v>57600</v>
      </c>
      <c r="K219" s="79" t="s">
        <v>40</v>
      </c>
      <c r="L219" s="84">
        <v>0.125</v>
      </c>
      <c r="M219" s="84">
        <v>0.05</v>
      </c>
      <c r="N219" s="81"/>
      <c r="O219" s="82" t="s">
        <v>40</v>
      </c>
      <c r="P219" s="76">
        <f t="shared" si="102"/>
        <v>0</v>
      </c>
      <c r="Q219" s="82" t="s">
        <v>40</v>
      </c>
      <c r="R219" s="83">
        <f t="shared" si="103"/>
        <v>0</v>
      </c>
      <c r="S219" s="83">
        <f t="shared" si="59"/>
        <v>0</v>
      </c>
    </row>
    <row r="220" spans="1:19" s="19" customFormat="1">
      <c r="A220" s="18" t="s">
        <v>793</v>
      </c>
      <c r="B220" s="19" t="s">
        <v>18</v>
      </c>
      <c r="C220" s="20">
        <v>3540</v>
      </c>
      <c r="D220" s="21" t="s">
        <v>40</v>
      </c>
      <c r="E220" s="26"/>
      <c r="F220" s="22">
        <v>1</v>
      </c>
      <c r="G220" s="23" t="s">
        <v>20</v>
      </c>
      <c r="H220" s="22">
        <f>360/12</f>
        <v>30</v>
      </c>
      <c r="I220" s="23" t="s">
        <v>40</v>
      </c>
      <c r="J220" s="24">
        <f>6000*12</f>
        <v>72000</v>
      </c>
      <c r="K220" s="21" t="s">
        <v>40</v>
      </c>
      <c r="L220" s="25">
        <v>0.125</v>
      </c>
      <c r="M220" s="25">
        <v>0.05</v>
      </c>
      <c r="N220" s="22"/>
      <c r="O220" s="23" t="s">
        <v>40</v>
      </c>
      <c r="P220" s="20">
        <f t="shared" si="102"/>
        <v>3540</v>
      </c>
      <c r="Q220" s="23" t="s">
        <v>40</v>
      </c>
      <c r="R220" s="24">
        <f t="shared" si="103"/>
        <v>211869000</v>
      </c>
      <c r="S220" s="24">
        <f t="shared" si="59"/>
        <v>190872972.97297296</v>
      </c>
    </row>
    <row r="221" spans="1:19" s="19" customFormat="1">
      <c r="A221" s="18"/>
      <c r="C221" s="20"/>
      <c r="D221" s="21"/>
      <c r="E221" s="26"/>
      <c r="F221" s="22"/>
      <c r="G221" s="23"/>
      <c r="H221" s="22"/>
      <c r="I221" s="23"/>
      <c r="J221" s="24"/>
      <c r="K221" s="21"/>
      <c r="L221" s="25"/>
      <c r="M221" s="25"/>
      <c r="N221" s="22"/>
      <c r="O221" s="23"/>
      <c r="P221" s="20"/>
      <c r="Q221" s="23"/>
      <c r="R221" s="24"/>
      <c r="S221" s="24"/>
    </row>
    <row r="222" spans="1:19" s="78" customFormat="1">
      <c r="A222" s="77" t="s">
        <v>137</v>
      </c>
      <c r="B222" s="78" t="s">
        <v>25</v>
      </c>
      <c r="C222" s="76"/>
      <c r="D222" s="79" t="s">
        <v>40</v>
      </c>
      <c r="E222" s="80"/>
      <c r="F222" s="81">
        <v>1</v>
      </c>
      <c r="G222" s="82" t="s">
        <v>20</v>
      </c>
      <c r="H222" s="81">
        <v>36</v>
      </c>
      <c r="I222" s="82" t="s">
        <v>40</v>
      </c>
      <c r="J222" s="83">
        <f>2095200/36</f>
        <v>58200</v>
      </c>
      <c r="K222" s="79" t="s">
        <v>40</v>
      </c>
      <c r="L222" s="84"/>
      <c r="M222" s="84">
        <v>0.17</v>
      </c>
      <c r="N222" s="81"/>
      <c r="O222" s="82" t="s">
        <v>40</v>
      </c>
      <c r="P222" s="76">
        <f t="shared" ref="P222:P250" si="119">(C222+(E222*F222*H222))-N222</f>
        <v>0</v>
      </c>
      <c r="Q222" s="82" t="s">
        <v>40</v>
      </c>
      <c r="R222" s="83">
        <f t="shared" ref="R222:R250" si="120">P222*(J222-(J222*L222)-((J222-(J222*L222))*M222))</f>
        <v>0</v>
      </c>
      <c r="S222" s="83">
        <f t="shared" si="59"/>
        <v>0</v>
      </c>
    </row>
    <row r="223" spans="1:19" s="19" customFormat="1">
      <c r="A223" s="18" t="s">
        <v>750</v>
      </c>
      <c r="B223" s="19" t="s">
        <v>25</v>
      </c>
      <c r="C223" s="20">
        <v>30</v>
      </c>
      <c r="D223" s="21" t="s">
        <v>40</v>
      </c>
      <c r="E223" s="26"/>
      <c r="F223" s="22">
        <v>1</v>
      </c>
      <c r="G223" s="23" t="s">
        <v>20</v>
      </c>
      <c r="H223" s="22">
        <v>36</v>
      </c>
      <c r="I223" s="23" t="s">
        <v>40</v>
      </c>
      <c r="J223" s="24">
        <f>2116800/36</f>
        <v>58800</v>
      </c>
      <c r="K223" s="21" t="s">
        <v>40</v>
      </c>
      <c r="L223" s="25"/>
      <c r="M223" s="25">
        <v>0.17</v>
      </c>
      <c r="N223" s="22"/>
      <c r="O223" s="23" t="s">
        <v>40</v>
      </c>
      <c r="P223" s="20">
        <f t="shared" si="119"/>
        <v>30</v>
      </c>
      <c r="Q223" s="23" t="s">
        <v>40</v>
      </c>
      <c r="R223" s="24">
        <f t="shared" si="120"/>
        <v>1464120</v>
      </c>
      <c r="S223" s="24">
        <f t="shared" si="59"/>
        <v>1319027.027027027</v>
      </c>
    </row>
    <row r="224" spans="1:19" s="78" customFormat="1">
      <c r="A224" s="77" t="s">
        <v>138</v>
      </c>
      <c r="B224" s="78" t="s">
        <v>25</v>
      </c>
      <c r="C224" s="76"/>
      <c r="D224" s="79" t="s">
        <v>40</v>
      </c>
      <c r="E224" s="80"/>
      <c r="F224" s="81">
        <v>1</v>
      </c>
      <c r="G224" s="82" t="s">
        <v>20</v>
      </c>
      <c r="H224" s="81">
        <v>48</v>
      </c>
      <c r="I224" s="82" t="s">
        <v>40</v>
      </c>
      <c r="J224" s="83">
        <f>2995200/48</f>
        <v>62400</v>
      </c>
      <c r="K224" s="79" t="s">
        <v>40</v>
      </c>
      <c r="L224" s="84"/>
      <c r="M224" s="84">
        <v>0.17</v>
      </c>
      <c r="N224" s="81"/>
      <c r="O224" s="82" t="s">
        <v>40</v>
      </c>
      <c r="P224" s="76">
        <f t="shared" si="119"/>
        <v>0</v>
      </c>
      <c r="Q224" s="82" t="s">
        <v>40</v>
      </c>
      <c r="R224" s="83">
        <f t="shared" si="120"/>
        <v>0</v>
      </c>
      <c r="S224" s="83">
        <f t="shared" si="59"/>
        <v>0</v>
      </c>
    </row>
    <row r="225" spans="1:19" s="19" customFormat="1">
      <c r="A225" s="18" t="s">
        <v>139</v>
      </c>
      <c r="B225" s="19" t="s">
        <v>25</v>
      </c>
      <c r="C225" s="20">
        <v>227</v>
      </c>
      <c r="D225" s="21" t="s">
        <v>40</v>
      </c>
      <c r="E225" s="26"/>
      <c r="F225" s="22">
        <v>1</v>
      </c>
      <c r="G225" s="23" t="s">
        <v>20</v>
      </c>
      <c r="H225" s="22">
        <v>48</v>
      </c>
      <c r="I225" s="23" t="s">
        <v>40</v>
      </c>
      <c r="J225" s="24">
        <f>3916800/48</f>
        <v>81600</v>
      </c>
      <c r="K225" s="21" t="s">
        <v>40</v>
      </c>
      <c r="L225" s="25"/>
      <c r="M225" s="25">
        <v>0.17</v>
      </c>
      <c r="N225" s="22"/>
      <c r="O225" s="23" t="s">
        <v>40</v>
      </c>
      <c r="P225" s="20">
        <f t="shared" si="119"/>
        <v>227</v>
      </c>
      <c r="Q225" s="23" t="s">
        <v>40</v>
      </c>
      <c r="R225" s="24">
        <f t="shared" si="120"/>
        <v>15374256</v>
      </c>
      <c r="S225" s="24">
        <f t="shared" si="59"/>
        <v>13850681.081081079</v>
      </c>
    </row>
    <row r="226" spans="1:19" s="19" customFormat="1">
      <c r="A226" s="159" t="s">
        <v>957</v>
      </c>
      <c r="B226" s="19" t="s">
        <v>25</v>
      </c>
      <c r="C226" s="20"/>
      <c r="D226" s="21" t="s">
        <v>40</v>
      </c>
      <c r="E226" s="26">
        <v>1</v>
      </c>
      <c r="F226" s="22">
        <v>1</v>
      </c>
      <c r="G226" s="23" t="s">
        <v>20</v>
      </c>
      <c r="H226" s="22">
        <v>48</v>
      </c>
      <c r="I226" s="23" t="s">
        <v>40</v>
      </c>
      <c r="J226" s="24">
        <v>96000</v>
      </c>
      <c r="K226" s="21" t="s">
        <v>40</v>
      </c>
      <c r="L226" s="25"/>
      <c r="M226" s="25">
        <v>0.17</v>
      </c>
      <c r="N226" s="22"/>
      <c r="O226" s="23" t="s">
        <v>40</v>
      </c>
      <c r="P226" s="20">
        <f t="shared" ref="P226" si="121">(C226+(E226*F226*H226))-N226</f>
        <v>48</v>
      </c>
      <c r="Q226" s="23" t="s">
        <v>40</v>
      </c>
      <c r="R226" s="24">
        <f t="shared" ref="R226" si="122">P226*(J226-(J226*L226)-((J226-(J226*L226))*M226))</f>
        <v>3824640</v>
      </c>
      <c r="S226" s="24">
        <f t="shared" ref="S226" si="123">R226/1.11</f>
        <v>3445621.6216216213</v>
      </c>
    </row>
    <row r="227" spans="1:19" s="19" customFormat="1">
      <c r="A227" s="18" t="s">
        <v>749</v>
      </c>
      <c r="B227" s="19" t="s">
        <v>25</v>
      </c>
      <c r="C227" s="20">
        <v>98</v>
      </c>
      <c r="D227" s="21" t="s">
        <v>40</v>
      </c>
      <c r="E227" s="26"/>
      <c r="F227" s="22">
        <v>1</v>
      </c>
      <c r="G227" s="23" t="s">
        <v>20</v>
      </c>
      <c r="H227" s="22">
        <v>48</v>
      </c>
      <c r="I227" s="23" t="s">
        <v>40</v>
      </c>
      <c r="J227" s="24">
        <f>4032000/48</f>
        <v>84000</v>
      </c>
      <c r="K227" s="21" t="s">
        <v>40</v>
      </c>
      <c r="L227" s="25"/>
      <c r="M227" s="25">
        <v>0.17</v>
      </c>
      <c r="N227" s="22"/>
      <c r="O227" s="23" t="s">
        <v>40</v>
      </c>
      <c r="P227" s="20">
        <f t="shared" si="119"/>
        <v>98</v>
      </c>
      <c r="Q227" s="23" t="s">
        <v>40</v>
      </c>
      <c r="R227" s="24">
        <f t="shared" si="120"/>
        <v>6832560</v>
      </c>
      <c r="S227" s="24">
        <f t="shared" si="59"/>
        <v>6155459.4594594585</v>
      </c>
    </row>
    <row r="228" spans="1:19" s="78" customFormat="1">
      <c r="A228" s="77" t="s">
        <v>140</v>
      </c>
      <c r="B228" s="78" t="s">
        <v>25</v>
      </c>
      <c r="C228" s="76"/>
      <c r="D228" s="79" t="s">
        <v>40</v>
      </c>
      <c r="E228" s="80"/>
      <c r="F228" s="81">
        <v>1</v>
      </c>
      <c r="G228" s="82" t="s">
        <v>20</v>
      </c>
      <c r="H228" s="81">
        <v>48</v>
      </c>
      <c r="I228" s="82" t="s">
        <v>40</v>
      </c>
      <c r="J228" s="83">
        <f>5100*12</f>
        <v>61200</v>
      </c>
      <c r="K228" s="79" t="s">
        <v>40</v>
      </c>
      <c r="L228" s="84"/>
      <c r="M228" s="84">
        <v>0.17</v>
      </c>
      <c r="N228" s="81"/>
      <c r="O228" s="82" t="s">
        <v>40</v>
      </c>
      <c r="P228" s="76">
        <f t="shared" si="119"/>
        <v>0</v>
      </c>
      <c r="Q228" s="82" t="s">
        <v>40</v>
      </c>
      <c r="R228" s="83">
        <f t="shared" si="120"/>
        <v>0</v>
      </c>
      <c r="S228" s="83">
        <f t="shared" si="59"/>
        <v>0</v>
      </c>
    </row>
    <row r="229" spans="1:19" s="19" customFormat="1">
      <c r="A229" s="18" t="s">
        <v>899</v>
      </c>
      <c r="B229" s="19" t="s">
        <v>25</v>
      </c>
      <c r="C229" s="20"/>
      <c r="D229" s="21" t="s">
        <v>40</v>
      </c>
      <c r="E229" s="26">
        <v>3</v>
      </c>
      <c r="F229" s="22">
        <v>1</v>
      </c>
      <c r="G229" s="23" t="s">
        <v>20</v>
      </c>
      <c r="H229" s="22">
        <v>48</v>
      </c>
      <c r="I229" s="23" t="s">
        <v>40</v>
      </c>
      <c r="J229" s="24">
        <v>58800</v>
      </c>
      <c r="K229" s="21" t="s">
        <v>40</v>
      </c>
      <c r="L229" s="25"/>
      <c r="M229" s="25">
        <v>0.17</v>
      </c>
      <c r="N229" s="22"/>
      <c r="O229" s="23" t="s">
        <v>40</v>
      </c>
      <c r="P229" s="20">
        <f>(C229+(E229*F229*H229))-N229</f>
        <v>144</v>
      </c>
      <c r="Q229" s="23" t="s">
        <v>40</v>
      </c>
      <c r="R229" s="24">
        <f>P229*(J229-(J229*L229)-((J229-(J229*L229))*M229))</f>
        <v>7027776</v>
      </c>
      <c r="S229" s="24">
        <f>R229/1.11</f>
        <v>6331329.7297297288</v>
      </c>
    </row>
    <row r="230" spans="1:19" s="19" customFormat="1">
      <c r="A230" s="18" t="s">
        <v>900</v>
      </c>
      <c r="B230" s="19" t="s">
        <v>25</v>
      </c>
      <c r="C230" s="20"/>
      <c r="D230" s="21" t="s">
        <v>40</v>
      </c>
      <c r="E230" s="26">
        <v>4</v>
      </c>
      <c r="F230" s="22">
        <v>1</v>
      </c>
      <c r="G230" s="23" t="s">
        <v>20</v>
      </c>
      <c r="H230" s="22">
        <v>48</v>
      </c>
      <c r="I230" s="23" t="s">
        <v>40</v>
      </c>
      <c r="J230" s="24">
        <v>50400</v>
      </c>
      <c r="K230" s="21" t="s">
        <v>40</v>
      </c>
      <c r="L230" s="25"/>
      <c r="M230" s="25">
        <v>0.17</v>
      </c>
      <c r="N230" s="22"/>
      <c r="O230" s="23" t="s">
        <v>40</v>
      </c>
      <c r="P230" s="20">
        <f>(C230+(E230*F230*H230))-N230</f>
        <v>192</v>
      </c>
      <c r="Q230" s="23" t="s">
        <v>40</v>
      </c>
      <c r="R230" s="24">
        <f>P230*(J230-(J230*L230)-((J230-(J230*L230))*M230))</f>
        <v>8031744</v>
      </c>
      <c r="S230" s="24">
        <f>R230/1.11</f>
        <v>7235805.405405405</v>
      </c>
    </row>
    <row r="231" spans="1:19" s="19" customFormat="1">
      <c r="A231" s="18" t="s">
        <v>850</v>
      </c>
      <c r="B231" s="19" t="s">
        <v>25</v>
      </c>
      <c r="C231" s="20">
        <v>128</v>
      </c>
      <c r="D231" s="21" t="s">
        <v>40</v>
      </c>
      <c r="E231" s="26">
        <v>11</v>
      </c>
      <c r="F231" s="22">
        <v>1</v>
      </c>
      <c r="G231" s="23" t="s">
        <v>20</v>
      </c>
      <c r="H231" s="22">
        <v>48</v>
      </c>
      <c r="I231" s="23" t="s">
        <v>40</v>
      </c>
      <c r="J231" s="24">
        <f>2592000/48</f>
        <v>54000</v>
      </c>
      <c r="K231" s="21" t="s">
        <v>40</v>
      </c>
      <c r="L231" s="25"/>
      <c r="M231" s="25">
        <v>0.17</v>
      </c>
      <c r="N231" s="22"/>
      <c r="O231" s="23" t="s">
        <v>40</v>
      </c>
      <c r="P231" s="20">
        <f t="shared" si="119"/>
        <v>656</v>
      </c>
      <c r="Q231" s="23" t="s">
        <v>40</v>
      </c>
      <c r="R231" s="24">
        <f t="shared" si="120"/>
        <v>29401920</v>
      </c>
      <c r="S231" s="24">
        <f t="shared" si="59"/>
        <v>26488216.216216214</v>
      </c>
    </row>
    <row r="232" spans="1:19" s="19" customFormat="1">
      <c r="A232" s="18" t="s">
        <v>141</v>
      </c>
      <c r="B232" s="19" t="s">
        <v>25</v>
      </c>
      <c r="C232" s="20">
        <v>66</v>
      </c>
      <c r="D232" s="21" t="s">
        <v>40</v>
      </c>
      <c r="E232" s="26">
        <v>5</v>
      </c>
      <c r="F232" s="22">
        <v>1</v>
      </c>
      <c r="G232" s="23" t="s">
        <v>20</v>
      </c>
      <c r="H232" s="22">
        <v>48</v>
      </c>
      <c r="I232" s="23" t="s">
        <v>40</v>
      </c>
      <c r="J232" s="24">
        <f>2448000/48</f>
        <v>51000</v>
      </c>
      <c r="K232" s="21" t="s">
        <v>40</v>
      </c>
      <c r="L232" s="25"/>
      <c r="M232" s="25">
        <v>0.17</v>
      </c>
      <c r="N232" s="22"/>
      <c r="O232" s="23" t="s">
        <v>40</v>
      </c>
      <c r="P232" s="20">
        <f t="shared" si="119"/>
        <v>306</v>
      </c>
      <c r="Q232" s="23" t="s">
        <v>40</v>
      </c>
      <c r="R232" s="24">
        <f t="shared" si="120"/>
        <v>12952980</v>
      </c>
      <c r="S232" s="24">
        <f t="shared" si="59"/>
        <v>11669351.351351351</v>
      </c>
    </row>
    <row r="233" spans="1:19" s="95" customFormat="1">
      <c r="A233" s="87" t="s">
        <v>851</v>
      </c>
      <c r="B233" s="95" t="s">
        <v>25</v>
      </c>
      <c r="C233" s="96">
        <v>60</v>
      </c>
      <c r="D233" s="97" t="s">
        <v>40</v>
      </c>
      <c r="E233" s="98">
        <v>1</v>
      </c>
      <c r="F233" s="99">
        <v>1</v>
      </c>
      <c r="G233" s="100" t="s">
        <v>20</v>
      </c>
      <c r="H233" s="99">
        <v>48</v>
      </c>
      <c r="I233" s="100" t="s">
        <v>40</v>
      </c>
      <c r="J233" s="101">
        <f>2592000/48</f>
        <v>54000</v>
      </c>
      <c r="K233" s="97" t="s">
        <v>40</v>
      </c>
      <c r="L233" s="102"/>
      <c r="M233" s="102">
        <v>0.17</v>
      </c>
      <c r="N233" s="99"/>
      <c r="O233" s="100" t="s">
        <v>40</v>
      </c>
      <c r="P233" s="96">
        <f t="shared" si="119"/>
        <v>108</v>
      </c>
      <c r="Q233" s="100" t="s">
        <v>40</v>
      </c>
      <c r="R233" s="101">
        <f t="shared" si="120"/>
        <v>4840560</v>
      </c>
      <c r="S233" s="101">
        <f t="shared" ref="S233" si="124">R233/1.11</f>
        <v>4360864.8648648644</v>
      </c>
    </row>
    <row r="234" spans="1:19" s="19" customFormat="1">
      <c r="A234" s="18" t="s">
        <v>901</v>
      </c>
      <c r="B234" s="19" t="s">
        <v>25</v>
      </c>
      <c r="C234" s="20"/>
      <c r="D234" s="21" t="s">
        <v>40</v>
      </c>
      <c r="E234" s="26">
        <v>3</v>
      </c>
      <c r="F234" s="22">
        <v>1</v>
      </c>
      <c r="G234" s="23" t="s">
        <v>20</v>
      </c>
      <c r="H234" s="22">
        <v>48</v>
      </c>
      <c r="I234" s="23" t="s">
        <v>40</v>
      </c>
      <c r="J234" s="24">
        <v>56400</v>
      </c>
      <c r="K234" s="21" t="s">
        <v>40</v>
      </c>
      <c r="L234" s="25"/>
      <c r="M234" s="25">
        <v>0.17</v>
      </c>
      <c r="N234" s="22"/>
      <c r="O234" s="23" t="s">
        <v>40</v>
      </c>
      <c r="P234" s="20">
        <f t="shared" ref="P234" si="125">(C234+(E234*F234*H234))-N234</f>
        <v>144</v>
      </c>
      <c r="Q234" s="23" t="s">
        <v>40</v>
      </c>
      <c r="R234" s="24">
        <f t="shared" ref="R234" si="126">P234*(J234-(J234*L234)-((J234-(J234*L234))*M234))</f>
        <v>6740928</v>
      </c>
      <c r="S234" s="24">
        <f t="shared" ref="S234" si="127">R234/1.11</f>
        <v>6072908.1081081079</v>
      </c>
    </row>
    <row r="235" spans="1:19" s="95" customFormat="1">
      <c r="A235" s="87" t="s">
        <v>884</v>
      </c>
      <c r="B235" s="95" t="s">
        <v>25</v>
      </c>
      <c r="C235" s="96"/>
      <c r="D235" s="97" t="s">
        <v>40</v>
      </c>
      <c r="E235" s="98">
        <v>5</v>
      </c>
      <c r="F235" s="99">
        <v>1</v>
      </c>
      <c r="G235" s="100" t="s">
        <v>20</v>
      </c>
      <c r="H235" s="99">
        <v>36</v>
      </c>
      <c r="I235" s="100" t="s">
        <v>40</v>
      </c>
      <c r="J235" s="101">
        <v>50400</v>
      </c>
      <c r="K235" s="97" t="s">
        <v>40</v>
      </c>
      <c r="L235" s="102"/>
      <c r="M235" s="102">
        <v>0.17</v>
      </c>
      <c r="N235" s="99"/>
      <c r="O235" s="100" t="s">
        <v>40</v>
      </c>
      <c r="P235" s="96">
        <f t="shared" ref="P235" si="128">(C235+(E235*F235*H235))-N235</f>
        <v>180</v>
      </c>
      <c r="Q235" s="100" t="s">
        <v>40</v>
      </c>
      <c r="R235" s="101">
        <f t="shared" ref="R235" si="129">P235*(J235-(J235*L235)-((J235-(J235*L235))*M235))</f>
        <v>7529760</v>
      </c>
      <c r="S235" s="101">
        <f t="shared" ref="S235" si="130">R235/1.11</f>
        <v>6783567.5675675673</v>
      </c>
    </row>
    <row r="236" spans="1:19" s="78" customFormat="1">
      <c r="A236" s="77" t="s">
        <v>142</v>
      </c>
      <c r="B236" s="78" t="s">
        <v>25</v>
      </c>
      <c r="C236" s="76"/>
      <c r="D236" s="79" t="s">
        <v>40</v>
      </c>
      <c r="E236" s="80"/>
      <c r="F236" s="81">
        <v>1</v>
      </c>
      <c r="G236" s="82" t="s">
        <v>20</v>
      </c>
      <c r="H236" s="81">
        <v>24</v>
      </c>
      <c r="I236" s="82" t="s">
        <v>40</v>
      </c>
      <c r="J236" s="83">
        <f>2491200/24</f>
        <v>103800</v>
      </c>
      <c r="K236" s="79" t="s">
        <v>40</v>
      </c>
      <c r="L236" s="84"/>
      <c r="M236" s="84">
        <v>0.17</v>
      </c>
      <c r="N236" s="81"/>
      <c r="O236" s="82" t="s">
        <v>40</v>
      </c>
      <c r="P236" s="76">
        <f t="shared" si="119"/>
        <v>0</v>
      </c>
      <c r="Q236" s="82" t="s">
        <v>40</v>
      </c>
      <c r="R236" s="83">
        <f t="shared" si="120"/>
        <v>0</v>
      </c>
      <c r="S236" s="83">
        <f t="shared" ref="S236:S347" si="131">R236/1.11</f>
        <v>0</v>
      </c>
    </row>
    <row r="237" spans="1:19" s="78" customFormat="1">
      <c r="A237" s="77" t="s">
        <v>143</v>
      </c>
      <c r="B237" s="78" t="s">
        <v>25</v>
      </c>
      <c r="C237" s="76"/>
      <c r="D237" s="79" t="s">
        <v>40</v>
      </c>
      <c r="E237" s="80"/>
      <c r="F237" s="81">
        <v>1</v>
      </c>
      <c r="G237" s="82" t="s">
        <v>20</v>
      </c>
      <c r="H237" s="81">
        <v>36</v>
      </c>
      <c r="I237" s="82" t="s">
        <v>40</v>
      </c>
      <c r="J237" s="83">
        <f>3736800/36</f>
        <v>103800</v>
      </c>
      <c r="K237" s="79" t="s">
        <v>40</v>
      </c>
      <c r="L237" s="84"/>
      <c r="M237" s="84">
        <v>0.17</v>
      </c>
      <c r="N237" s="81"/>
      <c r="O237" s="82" t="s">
        <v>40</v>
      </c>
      <c r="P237" s="76">
        <f t="shared" si="119"/>
        <v>0</v>
      </c>
      <c r="Q237" s="82" t="s">
        <v>40</v>
      </c>
      <c r="R237" s="83">
        <f t="shared" si="120"/>
        <v>0</v>
      </c>
      <c r="S237" s="83">
        <f t="shared" si="131"/>
        <v>0</v>
      </c>
    </row>
    <row r="238" spans="1:19" s="95" customFormat="1">
      <c r="A238" s="87" t="s">
        <v>144</v>
      </c>
      <c r="B238" s="95" t="s">
        <v>25</v>
      </c>
      <c r="C238" s="96"/>
      <c r="D238" s="97" t="s">
        <v>40</v>
      </c>
      <c r="E238" s="98">
        <v>1</v>
      </c>
      <c r="F238" s="99">
        <v>1</v>
      </c>
      <c r="G238" s="100" t="s">
        <v>20</v>
      </c>
      <c r="H238" s="99">
        <v>48</v>
      </c>
      <c r="I238" s="100" t="s">
        <v>40</v>
      </c>
      <c r="J238" s="101">
        <f>2592000/48</f>
        <v>54000</v>
      </c>
      <c r="K238" s="97" t="s">
        <v>40</v>
      </c>
      <c r="L238" s="102"/>
      <c r="M238" s="102">
        <v>0.17</v>
      </c>
      <c r="N238" s="99"/>
      <c r="O238" s="100" t="s">
        <v>40</v>
      </c>
      <c r="P238" s="96">
        <f t="shared" si="119"/>
        <v>48</v>
      </c>
      <c r="Q238" s="100" t="s">
        <v>40</v>
      </c>
      <c r="R238" s="101">
        <f t="shared" si="120"/>
        <v>2151360</v>
      </c>
      <c r="S238" s="101">
        <f t="shared" si="131"/>
        <v>1938162.1621621619</v>
      </c>
    </row>
    <row r="239" spans="1:19" s="19" customFormat="1">
      <c r="A239" s="18" t="s">
        <v>852</v>
      </c>
      <c r="B239" s="19" t="s">
        <v>25</v>
      </c>
      <c r="C239" s="20">
        <v>144</v>
      </c>
      <c r="D239" s="21" t="s">
        <v>40</v>
      </c>
      <c r="E239" s="26">
        <v>32</v>
      </c>
      <c r="F239" s="22">
        <v>1</v>
      </c>
      <c r="G239" s="23" t="s">
        <v>20</v>
      </c>
      <c r="H239" s="22">
        <v>48</v>
      </c>
      <c r="I239" s="23" t="s">
        <v>40</v>
      </c>
      <c r="J239" s="24">
        <f>2880000/48</f>
        <v>60000</v>
      </c>
      <c r="K239" s="21" t="s">
        <v>40</v>
      </c>
      <c r="L239" s="25"/>
      <c r="M239" s="25">
        <v>0.17</v>
      </c>
      <c r="N239" s="22"/>
      <c r="O239" s="23" t="s">
        <v>40</v>
      </c>
      <c r="P239" s="20">
        <f t="shared" si="119"/>
        <v>1680</v>
      </c>
      <c r="Q239" s="23" t="s">
        <v>40</v>
      </c>
      <c r="R239" s="24">
        <f t="shared" si="120"/>
        <v>83664000</v>
      </c>
      <c r="S239" s="24">
        <f t="shared" si="131"/>
        <v>75372972.972972959</v>
      </c>
    </row>
    <row r="240" spans="1:19" s="19" customFormat="1">
      <c r="A240" s="18" t="s">
        <v>145</v>
      </c>
      <c r="B240" s="19" t="s">
        <v>25</v>
      </c>
      <c r="C240" s="20">
        <v>64</v>
      </c>
      <c r="D240" s="21" t="s">
        <v>40</v>
      </c>
      <c r="E240" s="26">
        <v>1</v>
      </c>
      <c r="F240" s="22">
        <v>1</v>
      </c>
      <c r="G240" s="23" t="s">
        <v>20</v>
      </c>
      <c r="H240" s="22">
        <v>48</v>
      </c>
      <c r="I240" s="23" t="s">
        <v>40</v>
      </c>
      <c r="J240" s="24">
        <f>2880000/48</f>
        <v>60000</v>
      </c>
      <c r="K240" s="21" t="s">
        <v>40</v>
      </c>
      <c r="L240" s="25"/>
      <c r="M240" s="25">
        <v>0.17</v>
      </c>
      <c r="N240" s="22"/>
      <c r="O240" s="23" t="s">
        <v>40</v>
      </c>
      <c r="P240" s="20">
        <f t="shared" si="119"/>
        <v>112</v>
      </c>
      <c r="Q240" s="23" t="s">
        <v>40</v>
      </c>
      <c r="R240" s="24">
        <f t="shared" si="120"/>
        <v>5577600</v>
      </c>
      <c r="S240" s="24">
        <f t="shared" si="131"/>
        <v>5024864.8648648644</v>
      </c>
    </row>
    <row r="241" spans="1:19" s="19" customFormat="1">
      <c r="A241" s="18" t="s">
        <v>146</v>
      </c>
      <c r="B241" s="19" t="s">
        <v>25</v>
      </c>
      <c r="C241" s="20"/>
      <c r="D241" s="21" t="s">
        <v>40</v>
      </c>
      <c r="E241" s="26">
        <v>3</v>
      </c>
      <c r="F241" s="22">
        <v>1</v>
      </c>
      <c r="G241" s="23" t="s">
        <v>20</v>
      </c>
      <c r="H241" s="22">
        <v>48</v>
      </c>
      <c r="I241" s="23" t="s">
        <v>40</v>
      </c>
      <c r="J241" s="24">
        <f>3024000/48</f>
        <v>63000</v>
      </c>
      <c r="K241" s="21" t="s">
        <v>40</v>
      </c>
      <c r="L241" s="25"/>
      <c r="M241" s="25">
        <v>0.17</v>
      </c>
      <c r="N241" s="22"/>
      <c r="O241" s="23" t="s">
        <v>40</v>
      </c>
      <c r="P241" s="20">
        <f t="shared" si="119"/>
        <v>144</v>
      </c>
      <c r="Q241" s="23" t="s">
        <v>40</v>
      </c>
      <c r="R241" s="24">
        <f t="shared" si="120"/>
        <v>7529760</v>
      </c>
      <c r="S241" s="24">
        <f t="shared" si="131"/>
        <v>6783567.5675675673</v>
      </c>
    </row>
    <row r="242" spans="1:19" s="19" customFormat="1">
      <c r="A242" s="18" t="s">
        <v>147</v>
      </c>
      <c r="B242" s="19" t="s">
        <v>25</v>
      </c>
      <c r="C242" s="20">
        <v>43</v>
      </c>
      <c r="D242" s="21" t="s">
        <v>40</v>
      </c>
      <c r="E242" s="26">
        <v>5</v>
      </c>
      <c r="F242" s="22">
        <v>1</v>
      </c>
      <c r="G242" s="23" t="s">
        <v>20</v>
      </c>
      <c r="H242" s="22">
        <v>48</v>
      </c>
      <c r="I242" s="23" t="s">
        <v>40</v>
      </c>
      <c r="J242" s="24">
        <f>2995200/48</f>
        <v>62400</v>
      </c>
      <c r="K242" s="21" t="s">
        <v>40</v>
      </c>
      <c r="L242" s="25"/>
      <c r="M242" s="25">
        <v>0.17</v>
      </c>
      <c r="N242" s="22"/>
      <c r="O242" s="23" t="s">
        <v>40</v>
      </c>
      <c r="P242" s="20">
        <f t="shared" si="119"/>
        <v>283</v>
      </c>
      <c r="Q242" s="23" t="s">
        <v>40</v>
      </c>
      <c r="R242" s="24">
        <f t="shared" si="120"/>
        <v>14657136</v>
      </c>
      <c r="S242" s="24">
        <f t="shared" si="131"/>
        <v>13204627.027027026</v>
      </c>
    </row>
    <row r="243" spans="1:19" s="19" customFormat="1">
      <c r="A243" s="18" t="s">
        <v>148</v>
      </c>
      <c r="B243" s="19" t="s">
        <v>25</v>
      </c>
      <c r="C243" s="20"/>
      <c r="D243" s="21" t="s">
        <v>40</v>
      </c>
      <c r="E243" s="26">
        <v>4</v>
      </c>
      <c r="F243" s="22">
        <v>1</v>
      </c>
      <c r="G243" s="23" t="s">
        <v>20</v>
      </c>
      <c r="H243" s="22">
        <v>48</v>
      </c>
      <c r="I243" s="23" t="s">
        <v>40</v>
      </c>
      <c r="J243" s="24">
        <f>2995200/48</f>
        <v>62400</v>
      </c>
      <c r="K243" s="21" t="s">
        <v>40</v>
      </c>
      <c r="L243" s="25"/>
      <c r="M243" s="25">
        <v>0.17</v>
      </c>
      <c r="N243" s="22"/>
      <c r="O243" s="23" t="s">
        <v>40</v>
      </c>
      <c r="P243" s="20">
        <f t="shared" si="119"/>
        <v>192</v>
      </c>
      <c r="Q243" s="23" t="s">
        <v>40</v>
      </c>
      <c r="R243" s="24">
        <f t="shared" si="120"/>
        <v>9944064</v>
      </c>
      <c r="S243" s="24">
        <f t="shared" si="131"/>
        <v>8958616.2162162159</v>
      </c>
    </row>
    <row r="244" spans="1:19" s="19" customFormat="1">
      <c r="A244" s="18" t="s">
        <v>821</v>
      </c>
      <c r="B244" s="19" t="s">
        <v>25</v>
      </c>
      <c r="C244" s="20"/>
      <c r="D244" s="21" t="s">
        <v>40</v>
      </c>
      <c r="E244" s="26">
        <v>23</v>
      </c>
      <c r="F244" s="22">
        <v>1</v>
      </c>
      <c r="G244" s="23" t="s">
        <v>20</v>
      </c>
      <c r="H244" s="22">
        <v>48</v>
      </c>
      <c r="I244" s="23" t="s">
        <v>40</v>
      </c>
      <c r="J244" s="24">
        <v>60000</v>
      </c>
      <c r="K244" s="21" t="s">
        <v>40</v>
      </c>
      <c r="L244" s="25"/>
      <c r="M244" s="25">
        <v>0.17</v>
      </c>
      <c r="N244" s="22"/>
      <c r="O244" s="23" t="s">
        <v>40</v>
      </c>
      <c r="P244" s="20">
        <f t="shared" si="119"/>
        <v>1104</v>
      </c>
      <c r="Q244" s="23" t="s">
        <v>40</v>
      </c>
      <c r="R244" s="24">
        <f t="shared" ref="R244" si="132">P244*(J244-(J244*L244)-((J244-(J244*L244))*M244))</f>
        <v>54979200</v>
      </c>
      <c r="S244" s="24">
        <f t="shared" ref="S244" si="133">R244/1.11</f>
        <v>49530810.810810804</v>
      </c>
    </row>
    <row r="245" spans="1:19" s="19" customFormat="1">
      <c r="A245" s="159" t="s">
        <v>821</v>
      </c>
      <c r="B245" s="19" t="s">
        <v>25</v>
      </c>
      <c r="C245" s="20"/>
      <c r="D245" s="21" t="s">
        <v>40</v>
      </c>
      <c r="E245" s="26">
        <v>6</v>
      </c>
      <c r="F245" s="22">
        <v>1</v>
      </c>
      <c r="G245" s="23" t="s">
        <v>20</v>
      </c>
      <c r="H245" s="22">
        <v>48</v>
      </c>
      <c r="I245" s="23" t="s">
        <v>40</v>
      </c>
      <c r="J245" s="24">
        <v>60000</v>
      </c>
      <c r="K245" s="21" t="s">
        <v>40</v>
      </c>
      <c r="L245" s="25">
        <v>0.05</v>
      </c>
      <c r="M245" s="25">
        <v>0.17</v>
      </c>
      <c r="N245" s="22"/>
      <c r="O245" s="23" t="s">
        <v>40</v>
      </c>
      <c r="P245" s="20">
        <f t="shared" ref="P245" si="134">(C245+(E245*F245*H245))-N245</f>
        <v>288</v>
      </c>
      <c r="Q245" s="23" t="s">
        <v>40</v>
      </c>
      <c r="R245" s="24">
        <f t="shared" ref="R245" si="135">P245*(J245-(J245*L245)-((J245-(J245*L245))*M245))</f>
        <v>13625280</v>
      </c>
      <c r="S245" s="24">
        <f t="shared" ref="S245" si="136">R245/1.11</f>
        <v>12275027.027027026</v>
      </c>
    </row>
    <row r="246" spans="1:19" s="19" customFormat="1">
      <c r="A246" s="18" t="s">
        <v>885</v>
      </c>
      <c r="B246" s="19" t="s">
        <v>25</v>
      </c>
      <c r="C246" s="20"/>
      <c r="D246" s="21" t="s">
        <v>40</v>
      </c>
      <c r="E246" s="26">
        <v>7</v>
      </c>
      <c r="F246" s="22">
        <v>1</v>
      </c>
      <c r="G246" s="23" t="s">
        <v>20</v>
      </c>
      <c r="H246" s="22">
        <v>36</v>
      </c>
      <c r="I246" s="23" t="s">
        <v>40</v>
      </c>
      <c r="J246" s="24">
        <v>55800</v>
      </c>
      <c r="K246" s="21" t="s">
        <v>40</v>
      </c>
      <c r="L246" s="25"/>
      <c r="M246" s="25">
        <v>0.17</v>
      </c>
      <c r="N246" s="22"/>
      <c r="O246" s="23" t="s">
        <v>40</v>
      </c>
      <c r="P246" s="20">
        <f t="shared" ref="P246" si="137">(C246+(E246*F246*H246))-N246</f>
        <v>252</v>
      </c>
      <c r="Q246" s="23" t="s">
        <v>40</v>
      </c>
      <c r="R246" s="24">
        <f t="shared" ref="R246" si="138">P246*(J246-(J246*L246)-((J246-(J246*L246))*M246))</f>
        <v>11671128</v>
      </c>
      <c r="S246" s="24">
        <f t="shared" ref="S246" si="139">R246/1.11</f>
        <v>10514529.729729729</v>
      </c>
    </row>
    <row r="247" spans="1:19" s="19" customFormat="1">
      <c r="A247" s="18" t="s">
        <v>820</v>
      </c>
      <c r="B247" s="19" t="s">
        <v>25</v>
      </c>
      <c r="C247" s="20"/>
      <c r="D247" s="21" t="s">
        <v>40</v>
      </c>
      <c r="E247" s="26">
        <v>9</v>
      </c>
      <c r="F247" s="22">
        <v>1</v>
      </c>
      <c r="G247" s="23" t="s">
        <v>20</v>
      </c>
      <c r="H247" s="22">
        <v>48</v>
      </c>
      <c r="I247" s="23" t="s">
        <v>40</v>
      </c>
      <c r="J247" s="24">
        <v>69600</v>
      </c>
      <c r="K247" s="21" t="s">
        <v>40</v>
      </c>
      <c r="L247" s="25"/>
      <c r="M247" s="25">
        <v>0.17</v>
      </c>
      <c r="N247" s="22"/>
      <c r="O247" s="23" t="s">
        <v>40</v>
      </c>
      <c r="P247" s="20">
        <f t="shared" si="119"/>
        <v>432</v>
      </c>
      <c r="Q247" s="23" t="s">
        <v>40</v>
      </c>
      <c r="R247" s="24">
        <f t="shared" ref="R247" si="140">P247*(J247-(J247*L247)-((J247-(J247*L247))*M247))</f>
        <v>24955776</v>
      </c>
      <c r="S247" s="24">
        <f t="shared" ref="S247" si="141">R247/1.11</f>
        <v>22482681.081081077</v>
      </c>
    </row>
    <row r="248" spans="1:19" s="19" customFormat="1">
      <c r="A248" s="159" t="s">
        <v>820</v>
      </c>
      <c r="B248" s="19" t="s">
        <v>25</v>
      </c>
      <c r="C248" s="20"/>
      <c r="D248" s="21" t="s">
        <v>40</v>
      </c>
      <c r="E248" s="26">
        <v>5</v>
      </c>
      <c r="F248" s="22">
        <v>1</v>
      </c>
      <c r="G248" s="23" t="s">
        <v>20</v>
      </c>
      <c r="H248" s="22">
        <v>48</v>
      </c>
      <c r="I248" s="23" t="s">
        <v>40</v>
      </c>
      <c r="J248" s="24">
        <v>69600</v>
      </c>
      <c r="K248" s="21" t="s">
        <v>40</v>
      </c>
      <c r="L248" s="25">
        <v>0.05</v>
      </c>
      <c r="M248" s="25">
        <v>0.17</v>
      </c>
      <c r="N248" s="22"/>
      <c r="O248" s="23" t="s">
        <v>40</v>
      </c>
      <c r="P248" s="20">
        <f t="shared" ref="P248" si="142">(C248+(E248*F248*H248))-N248</f>
        <v>240</v>
      </c>
      <c r="Q248" s="23" t="s">
        <v>40</v>
      </c>
      <c r="R248" s="24">
        <f t="shared" ref="R248" si="143">P248*(J248-(J248*L248)-((J248-(J248*L248))*M248))</f>
        <v>13171104</v>
      </c>
      <c r="S248" s="24">
        <f t="shared" ref="S248" si="144">R248/1.11</f>
        <v>11865859.459459458</v>
      </c>
    </row>
    <row r="249" spans="1:19" s="95" customFormat="1">
      <c r="A249" s="87" t="s">
        <v>725</v>
      </c>
      <c r="B249" s="95" t="s">
        <v>25</v>
      </c>
      <c r="C249" s="96"/>
      <c r="D249" s="97" t="s">
        <v>40</v>
      </c>
      <c r="E249" s="98">
        <v>7</v>
      </c>
      <c r="F249" s="99">
        <v>1</v>
      </c>
      <c r="G249" s="100" t="s">
        <v>20</v>
      </c>
      <c r="H249" s="99">
        <v>36</v>
      </c>
      <c r="I249" s="100" t="s">
        <v>40</v>
      </c>
      <c r="J249" s="101">
        <f>3240000/36</f>
        <v>90000</v>
      </c>
      <c r="K249" s="97" t="s">
        <v>40</v>
      </c>
      <c r="L249" s="102"/>
      <c r="M249" s="102">
        <v>0.17</v>
      </c>
      <c r="N249" s="99"/>
      <c r="O249" s="100" t="s">
        <v>40</v>
      </c>
      <c r="P249" s="96">
        <f t="shared" si="119"/>
        <v>252</v>
      </c>
      <c r="Q249" s="100" t="s">
        <v>40</v>
      </c>
      <c r="R249" s="101">
        <f t="shared" si="120"/>
        <v>18824400</v>
      </c>
      <c r="S249" s="101">
        <f>R249/1.11</f>
        <v>16958918.918918919</v>
      </c>
    </row>
    <row r="250" spans="1:19" s="19" customFormat="1">
      <c r="A250" s="18" t="s">
        <v>782</v>
      </c>
      <c r="B250" s="19" t="s">
        <v>25</v>
      </c>
      <c r="C250" s="20">
        <v>10</v>
      </c>
      <c r="D250" s="21" t="s">
        <v>40</v>
      </c>
      <c r="E250" s="26">
        <v>2</v>
      </c>
      <c r="F250" s="22">
        <v>1</v>
      </c>
      <c r="G250" s="23" t="s">
        <v>20</v>
      </c>
      <c r="H250" s="22">
        <v>36</v>
      </c>
      <c r="I250" s="23" t="s">
        <v>40</v>
      </c>
      <c r="J250" s="24">
        <f>4406400/36</f>
        <v>122400</v>
      </c>
      <c r="K250" s="21" t="s">
        <v>40</v>
      </c>
      <c r="L250" s="25"/>
      <c r="M250" s="25">
        <v>0.17</v>
      </c>
      <c r="N250" s="22"/>
      <c r="O250" s="23" t="s">
        <v>40</v>
      </c>
      <c r="P250" s="20">
        <f t="shared" si="119"/>
        <v>82</v>
      </c>
      <c r="Q250" s="23" t="s">
        <v>40</v>
      </c>
      <c r="R250" s="24">
        <f t="shared" si="120"/>
        <v>8330544</v>
      </c>
      <c r="S250" s="24">
        <f>R250/1.11</f>
        <v>7504994.5945945941</v>
      </c>
    </row>
    <row r="251" spans="1:19" s="19" customFormat="1">
      <c r="A251" s="18"/>
      <c r="C251" s="20"/>
      <c r="D251" s="21"/>
      <c r="E251" s="26"/>
      <c r="F251" s="22"/>
      <c r="G251" s="23"/>
      <c r="H251" s="22"/>
      <c r="I251" s="23"/>
      <c r="J251" s="24"/>
      <c r="K251" s="21"/>
      <c r="L251" s="25"/>
      <c r="M251" s="25"/>
      <c r="N251" s="22"/>
      <c r="O251" s="23"/>
      <c r="P251" s="20"/>
      <c r="Q251" s="23"/>
      <c r="R251" s="24"/>
      <c r="S251" s="24"/>
    </row>
    <row r="252" spans="1:19" s="19" customFormat="1" ht="15.75">
      <c r="A252" s="35" t="s">
        <v>149</v>
      </c>
      <c r="C252" s="20"/>
      <c r="D252" s="21"/>
      <c r="E252" s="26"/>
      <c r="F252" s="22"/>
      <c r="G252" s="23"/>
      <c r="H252" s="22"/>
      <c r="I252" s="23"/>
      <c r="J252" s="24"/>
      <c r="K252" s="21"/>
      <c r="L252" s="25"/>
      <c r="M252" s="25"/>
      <c r="N252" s="22"/>
      <c r="O252" s="23"/>
      <c r="P252" s="20"/>
      <c r="Q252" s="23"/>
      <c r="R252" s="24"/>
      <c r="S252" s="24"/>
    </row>
    <row r="253" spans="1:19" s="95" customFormat="1">
      <c r="A253" s="136" t="s">
        <v>702</v>
      </c>
      <c r="B253" s="95" t="s">
        <v>18</v>
      </c>
      <c r="C253" s="96"/>
      <c r="D253" s="97" t="s">
        <v>151</v>
      </c>
      <c r="E253" s="98">
        <v>10</v>
      </c>
      <c r="F253" s="99">
        <v>12</v>
      </c>
      <c r="G253" s="100" t="s">
        <v>33</v>
      </c>
      <c r="H253" s="99">
        <v>12</v>
      </c>
      <c r="I253" s="100" t="s">
        <v>151</v>
      </c>
      <c r="J253" s="101">
        <v>11000</v>
      </c>
      <c r="K253" s="97" t="s">
        <v>151</v>
      </c>
      <c r="L253" s="102">
        <v>0.125</v>
      </c>
      <c r="M253" s="133">
        <v>0.08</v>
      </c>
      <c r="N253" s="99"/>
      <c r="O253" s="100" t="s">
        <v>151</v>
      </c>
      <c r="P253" s="96">
        <f t="shared" ref="P253" si="145">(C253+(E253*F253*H253))-N253</f>
        <v>1440</v>
      </c>
      <c r="Q253" s="100" t="s">
        <v>151</v>
      </c>
      <c r="R253" s="101">
        <f t="shared" ref="R253" si="146">P253*(J253-(J253*L253)-((J253-(J253*L253))*M253))</f>
        <v>12751200</v>
      </c>
      <c r="S253" s="101">
        <f t="shared" ref="S253" si="147">R253/1.11</f>
        <v>11487567.567567566</v>
      </c>
    </row>
    <row r="254" spans="1:19" s="95" customFormat="1">
      <c r="A254" s="136" t="s">
        <v>702</v>
      </c>
      <c r="B254" s="95" t="s">
        <v>18</v>
      </c>
      <c r="C254" s="96"/>
      <c r="D254" s="97" t="s">
        <v>151</v>
      </c>
      <c r="E254" s="98">
        <v>2</v>
      </c>
      <c r="F254" s="99">
        <v>12</v>
      </c>
      <c r="G254" s="100" t="s">
        <v>33</v>
      </c>
      <c r="H254" s="99">
        <v>12</v>
      </c>
      <c r="I254" s="100" t="s">
        <v>151</v>
      </c>
      <c r="J254" s="101">
        <v>11000</v>
      </c>
      <c r="K254" s="97" t="s">
        <v>151</v>
      </c>
      <c r="L254" s="102">
        <v>0.125</v>
      </c>
      <c r="M254" s="133">
        <v>0.05</v>
      </c>
      <c r="N254" s="99"/>
      <c r="O254" s="100" t="s">
        <v>151</v>
      </c>
      <c r="P254" s="96">
        <f t="shared" ref="P254:P270" si="148">(C254+(E254*F254*H254))-N254</f>
        <v>288</v>
      </c>
      <c r="Q254" s="100" t="s">
        <v>151</v>
      </c>
      <c r="R254" s="101">
        <f t="shared" ref="R254:R270" si="149">P254*(J254-(J254*L254)-((J254-(J254*L254))*M254))</f>
        <v>2633400</v>
      </c>
      <c r="S254" s="101">
        <f t="shared" si="131"/>
        <v>2372432.4324324322</v>
      </c>
    </row>
    <row r="255" spans="1:19" s="95" customFormat="1">
      <c r="A255" s="149" t="s">
        <v>150</v>
      </c>
      <c r="B255" s="95" t="s">
        <v>18</v>
      </c>
      <c r="C255" s="96"/>
      <c r="D255" s="97" t="s">
        <v>151</v>
      </c>
      <c r="E255" s="98">
        <v>10</v>
      </c>
      <c r="F255" s="99">
        <v>12</v>
      </c>
      <c r="G255" s="100" t="s">
        <v>33</v>
      </c>
      <c r="H255" s="99">
        <v>12</v>
      </c>
      <c r="I255" s="100" t="s">
        <v>151</v>
      </c>
      <c r="J255" s="101">
        <v>11600</v>
      </c>
      <c r="K255" s="97" t="s">
        <v>151</v>
      </c>
      <c r="L255" s="102">
        <v>0.125</v>
      </c>
      <c r="M255" s="107">
        <v>0.08</v>
      </c>
      <c r="N255" s="99"/>
      <c r="O255" s="100" t="s">
        <v>151</v>
      </c>
      <c r="P255" s="96">
        <f t="shared" ref="P255" si="150">(C255+(E255*F255*H255))-N255</f>
        <v>1440</v>
      </c>
      <c r="Q255" s="100" t="s">
        <v>151</v>
      </c>
      <c r="R255" s="101">
        <f t="shared" ref="R255" si="151">P255*(J255-(J255*L255)-((J255-(J255*L255))*M255))</f>
        <v>13446720</v>
      </c>
      <c r="S255" s="101">
        <f t="shared" ref="S255" si="152">R255/1.11</f>
        <v>12114162.162162161</v>
      </c>
    </row>
    <row r="256" spans="1:19" s="95" customFormat="1">
      <c r="A256" s="149" t="s">
        <v>150</v>
      </c>
      <c r="B256" s="95" t="s">
        <v>18</v>
      </c>
      <c r="C256" s="96"/>
      <c r="D256" s="97" t="s">
        <v>151</v>
      </c>
      <c r="E256" s="98">
        <v>20</v>
      </c>
      <c r="F256" s="99">
        <v>12</v>
      </c>
      <c r="G256" s="100" t="s">
        <v>33</v>
      </c>
      <c r="H256" s="99">
        <v>12</v>
      </c>
      <c r="I256" s="100" t="s">
        <v>151</v>
      </c>
      <c r="J256" s="101">
        <v>11600</v>
      </c>
      <c r="K256" s="97" t="s">
        <v>151</v>
      </c>
      <c r="L256" s="102">
        <v>0.125</v>
      </c>
      <c r="M256" s="107">
        <v>0.05</v>
      </c>
      <c r="N256" s="99"/>
      <c r="O256" s="100" t="s">
        <v>151</v>
      </c>
      <c r="P256" s="96">
        <f t="shared" ref="P256" si="153">(C256+(E256*F256*H256))-N256</f>
        <v>2880</v>
      </c>
      <c r="Q256" s="100" t="s">
        <v>151</v>
      </c>
      <c r="R256" s="101">
        <f t="shared" ref="R256" si="154">P256*(J256-(J256*L256)-((J256-(J256*L256))*M256))</f>
        <v>27770400</v>
      </c>
      <c r="S256" s="101">
        <f t="shared" ref="S256" si="155">R256/1.11</f>
        <v>25018378.378378376</v>
      </c>
    </row>
    <row r="257" spans="1:19" s="19" customFormat="1">
      <c r="A257" s="137" t="s">
        <v>152</v>
      </c>
      <c r="B257" s="19" t="s">
        <v>18</v>
      </c>
      <c r="C257" s="20"/>
      <c r="D257" s="21" t="s">
        <v>151</v>
      </c>
      <c r="E257" s="26">
        <v>5</v>
      </c>
      <c r="F257" s="22">
        <v>6</v>
      </c>
      <c r="G257" s="23" t="s">
        <v>33</v>
      </c>
      <c r="H257" s="22">
        <v>24</v>
      </c>
      <c r="I257" s="23" t="s">
        <v>151</v>
      </c>
      <c r="J257" s="24">
        <v>9000</v>
      </c>
      <c r="K257" s="21" t="s">
        <v>151</v>
      </c>
      <c r="L257" s="25">
        <v>0.125</v>
      </c>
      <c r="M257" s="130">
        <v>0.08</v>
      </c>
      <c r="N257" s="22"/>
      <c r="O257" s="23" t="s">
        <v>151</v>
      </c>
      <c r="P257" s="20">
        <f t="shared" ref="P257" si="156">(C257+(E257*F257*H257))-N257</f>
        <v>720</v>
      </c>
      <c r="Q257" s="23" t="s">
        <v>151</v>
      </c>
      <c r="R257" s="24">
        <f t="shared" ref="R257" si="157">P257*(J257-(J257*L257)-((J257-(J257*L257))*M257))</f>
        <v>5216400</v>
      </c>
      <c r="S257" s="24">
        <f t="shared" ref="S257" si="158">R257/1.11</f>
        <v>4699459.4594594594</v>
      </c>
    </row>
    <row r="258" spans="1:19" s="19" customFormat="1">
      <c r="A258" s="137" t="s">
        <v>152</v>
      </c>
      <c r="B258" s="19" t="s">
        <v>18</v>
      </c>
      <c r="C258" s="20">
        <v>276</v>
      </c>
      <c r="D258" s="21" t="s">
        <v>151</v>
      </c>
      <c r="E258" s="26">
        <v>17</v>
      </c>
      <c r="F258" s="22">
        <v>6</v>
      </c>
      <c r="G258" s="23" t="s">
        <v>33</v>
      </c>
      <c r="H258" s="22">
        <v>24</v>
      </c>
      <c r="I258" s="23" t="s">
        <v>151</v>
      </c>
      <c r="J258" s="24">
        <v>9000</v>
      </c>
      <c r="K258" s="21" t="s">
        <v>151</v>
      </c>
      <c r="L258" s="25">
        <v>0.125</v>
      </c>
      <c r="M258" s="130">
        <v>0.05</v>
      </c>
      <c r="N258" s="22"/>
      <c r="O258" s="23" t="s">
        <v>151</v>
      </c>
      <c r="P258" s="20">
        <f t="shared" si="148"/>
        <v>2724</v>
      </c>
      <c r="Q258" s="23" t="s">
        <v>151</v>
      </c>
      <c r="R258" s="24">
        <f t="shared" si="149"/>
        <v>20378925</v>
      </c>
      <c r="S258" s="24">
        <f t="shared" si="131"/>
        <v>18359391.891891889</v>
      </c>
    </row>
    <row r="259" spans="1:19" s="19" customFormat="1">
      <c r="A259" s="28" t="s">
        <v>153</v>
      </c>
      <c r="B259" s="19" t="s">
        <v>18</v>
      </c>
      <c r="C259" s="20"/>
      <c r="D259" s="21" t="s">
        <v>151</v>
      </c>
      <c r="E259" s="26">
        <v>90</v>
      </c>
      <c r="F259" s="22">
        <v>1</v>
      </c>
      <c r="G259" s="23" t="s">
        <v>20</v>
      </c>
      <c r="H259" s="22">
        <v>144</v>
      </c>
      <c r="I259" s="23" t="s">
        <v>151</v>
      </c>
      <c r="J259" s="24">
        <v>11900</v>
      </c>
      <c r="K259" s="21" t="s">
        <v>151</v>
      </c>
      <c r="L259" s="25">
        <v>0.125</v>
      </c>
      <c r="M259" s="30">
        <v>0.08</v>
      </c>
      <c r="N259" s="22"/>
      <c r="O259" s="23" t="s">
        <v>151</v>
      </c>
      <c r="P259" s="20">
        <f t="shared" ref="P259" si="159">(C259+(E259*F259*H259))-N259</f>
        <v>12960</v>
      </c>
      <c r="Q259" s="23" t="s">
        <v>151</v>
      </c>
      <c r="R259" s="24">
        <f t="shared" ref="R259" si="160">P259*(J259-(J259*L259)-((J259-(J259*L259))*M259))</f>
        <v>124150320</v>
      </c>
      <c r="S259" s="24">
        <f t="shared" ref="S259" si="161">R259/1.11</f>
        <v>111847135.13513513</v>
      </c>
    </row>
    <row r="260" spans="1:19" s="19" customFormat="1">
      <c r="A260" s="28" t="s">
        <v>153</v>
      </c>
      <c r="B260" s="19" t="s">
        <v>18</v>
      </c>
      <c r="C260" s="20">
        <v>397</v>
      </c>
      <c r="D260" s="21" t="s">
        <v>151</v>
      </c>
      <c r="E260" s="26">
        <v>215</v>
      </c>
      <c r="F260" s="22">
        <v>1</v>
      </c>
      <c r="G260" s="23" t="s">
        <v>20</v>
      </c>
      <c r="H260" s="22">
        <v>144</v>
      </c>
      <c r="I260" s="23" t="s">
        <v>151</v>
      </c>
      <c r="J260" s="24">
        <v>11900</v>
      </c>
      <c r="K260" s="21" t="s">
        <v>151</v>
      </c>
      <c r="L260" s="25">
        <v>0.125</v>
      </c>
      <c r="M260" s="30">
        <v>0.05</v>
      </c>
      <c r="N260" s="22"/>
      <c r="O260" s="23" t="s">
        <v>151</v>
      </c>
      <c r="P260" s="20">
        <f t="shared" si="148"/>
        <v>31357</v>
      </c>
      <c r="Q260" s="23" t="s">
        <v>151</v>
      </c>
      <c r="R260" s="24">
        <f t="shared" si="149"/>
        <v>310179524.375</v>
      </c>
      <c r="S260" s="24">
        <f t="shared" si="131"/>
        <v>279441012.95045042</v>
      </c>
    </row>
    <row r="261" spans="1:19" s="19" customFormat="1">
      <c r="A261" s="131" t="s">
        <v>154</v>
      </c>
      <c r="B261" s="19" t="s">
        <v>18</v>
      </c>
      <c r="C261" s="20"/>
      <c r="D261" s="21" t="s">
        <v>151</v>
      </c>
      <c r="E261" s="26">
        <v>35</v>
      </c>
      <c r="F261" s="22">
        <v>6</v>
      </c>
      <c r="G261" s="23" t="s">
        <v>33</v>
      </c>
      <c r="H261" s="22">
        <v>12</v>
      </c>
      <c r="I261" s="23" t="s">
        <v>151</v>
      </c>
      <c r="J261" s="24">
        <v>23000</v>
      </c>
      <c r="K261" s="21" t="s">
        <v>151</v>
      </c>
      <c r="L261" s="25">
        <v>0.125</v>
      </c>
      <c r="M261" s="130">
        <v>0.08</v>
      </c>
      <c r="N261" s="22"/>
      <c r="O261" s="23" t="s">
        <v>151</v>
      </c>
      <c r="P261" s="20">
        <f t="shared" ref="P261" si="162">(C261+(E261*F261*H261))-N261</f>
        <v>2520</v>
      </c>
      <c r="Q261" s="23" t="s">
        <v>151</v>
      </c>
      <c r="R261" s="24">
        <f t="shared" ref="R261" si="163">P261*(J261-(J261*L261)-((J261-(J261*L261))*M261))</f>
        <v>46657800</v>
      </c>
      <c r="S261" s="24">
        <f t="shared" ref="S261" si="164">R261/1.11</f>
        <v>42034054.054054052</v>
      </c>
    </row>
    <row r="262" spans="1:19" s="19" customFormat="1">
      <c r="A262" s="131" t="s">
        <v>154</v>
      </c>
      <c r="B262" s="19" t="s">
        <v>18</v>
      </c>
      <c r="C262" s="20">
        <v>300</v>
      </c>
      <c r="D262" s="21" t="s">
        <v>151</v>
      </c>
      <c r="E262" s="26">
        <v>138</v>
      </c>
      <c r="F262" s="22">
        <v>6</v>
      </c>
      <c r="G262" s="23" t="s">
        <v>33</v>
      </c>
      <c r="H262" s="22">
        <v>12</v>
      </c>
      <c r="I262" s="23" t="s">
        <v>151</v>
      </c>
      <c r="J262" s="24">
        <v>23000</v>
      </c>
      <c r="K262" s="21" t="s">
        <v>151</v>
      </c>
      <c r="L262" s="25">
        <v>0.125</v>
      </c>
      <c r="M262" s="130">
        <v>0.05</v>
      </c>
      <c r="N262" s="22"/>
      <c r="O262" s="23" t="s">
        <v>151</v>
      </c>
      <c r="P262" s="20">
        <f t="shared" si="148"/>
        <v>10236</v>
      </c>
      <c r="Q262" s="23" t="s">
        <v>151</v>
      </c>
      <c r="R262" s="24">
        <f t="shared" si="149"/>
        <v>195699525</v>
      </c>
      <c r="S262" s="24">
        <f t="shared" si="131"/>
        <v>176305878.37837836</v>
      </c>
    </row>
    <row r="263" spans="1:19" s="19" customFormat="1">
      <c r="A263" s="28" t="s">
        <v>155</v>
      </c>
      <c r="B263" s="19" t="s">
        <v>18</v>
      </c>
      <c r="C263" s="20"/>
      <c r="D263" s="21" t="s">
        <v>151</v>
      </c>
      <c r="E263" s="26">
        <v>46</v>
      </c>
      <c r="F263" s="22">
        <v>8</v>
      </c>
      <c r="G263" s="23" t="s">
        <v>33</v>
      </c>
      <c r="H263" s="22">
        <v>6</v>
      </c>
      <c r="I263" s="23" t="s">
        <v>151</v>
      </c>
      <c r="J263" s="24">
        <v>29600</v>
      </c>
      <c r="K263" s="21" t="s">
        <v>151</v>
      </c>
      <c r="L263" s="25">
        <v>0.125</v>
      </c>
      <c r="M263" s="30">
        <v>0.08</v>
      </c>
      <c r="N263" s="22"/>
      <c r="O263" s="23" t="s">
        <v>151</v>
      </c>
      <c r="P263" s="20">
        <f t="shared" ref="P263" si="165">(C263+(E263*F263*H263))-N263</f>
        <v>2208</v>
      </c>
      <c r="Q263" s="23" t="s">
        <v>151</v>
      </c>
      <c r="R263" s="24">
        <f t="shared" ref="R263" si="166">P263*(J263-(J263*L263)-((J263-(J263*L263))*M263))</f>
        <v>52612224</v>
      </c>
      <c r="S263" s="24">
        <f t="shared" ref="S263" si="167">R263/1.11</f>
        <v>47398399.999999993</v>
      </c>
    </row>
    <row r="264" spans="1:19" s="19" customFormat="1">
      <c r="A264" s="28" t="s">
        <v>155</v>
      </c>
      <c r="B264" s="19" t="s">
        <v>18</v>
      </c>
      <c r="C264" s="20"/>
      <c r="D264" s="21" t="s">
        <v>151</v>
      </c>
      <c r="E264" s="26">
        <v>122</v>
      </c>
      <c r="F264" s="22">
        <v>8</v>
      </c>
      <c r="G264" s="23" t="s">
        <v>33</v>
      </c>
      <c r="H264" s="22">
        <v>6</v>
      </c>
      <c r="I264" s="23" t="s">
        <v>151</v>
      </c>
      <c r="J264" s="24">
        <v>29600</v>
      </c>
      <c r="K264" s="21" t="s">
        <v>151</v>
      </c>
      <c r="L264" s="25">
        <v>0.125</v>
      </c>
      <c r="M264" s="30">
        <v>0.05</v>
      </c>
      <c r="N264" s="22"/>
      <c r="O264" s="23" t="s">
        <v>151</v>
      </c>
      <c r="P264" s="20">
        <f t="shared" si="148"/>
        <v>5856</v>
      </c>
      <c r="Q264" s="23" t="s">
        <v>151</v>
      </c>
      <c r="R264" s="24">
        <f t="shared" si="149"/>
        <v>144086880</v>
      </c>
      <c r="S264" s="24">
        <f t="shared" si="131"/>
        <v>129807999.99999999</v>
      </c>
    </row>
    <row r="265" spans="1:19" s="19" customFormat="1">
      <c r="A265" s="159" t="s">
        <v>155</v>
      </c>
      <c r="B265" s="19" t="s">
        <v>18</v>
      </c>
      <c r="C265" s="20"/>
      <c r="D265" s="21" t="s">
        <v>151</v>
      </c>
      <c r="E265" s="26">
        <v>3</v>
      </c>
      <c r="F265" s="22">
        <v>8</v>
      </c>
      <c r="G265" s="23" t="s">
        <v>33</v>
      </c>
      <c r="H265" s="22">
        <v>6</v>
      </c>
      <c r="I265" s="23" t="s">
        <v>151</v>
      </c>
      <c r="J265" s="24">
        <v>29600</v>
      </c>
      <c r="K265" s="21" t="s">
        <v>151</v>
      </c>
      <c r="L265" s="25">
        <v>0.125</v>
      </c>
      <c r="M265" s="25">
        <v>0.1</v>
      </c>
      <c r="N265" s="22"/>
      <c r="O265" s="23" t="s">
        <v>151</v>
      </c>
      <c r="P265" s="20">
        <f t="shared" ref="P265" si="168">(C265+(E265*F265*H265))-N265</f>
        <v>144</v>
      </c>
      <c r="Q265" s="23" t="s">
        <v>151</v>
      </c>
      <c r="R265" s="24">
        <f t="shared" ref="R265" si="169">P265*(J265-(J265*L265)-((J265-(J265*L265))*M265))</f>
        <v>3356640</v>
      </c>
      <c r="S265" s="24">
        <f t="shared" ref="S265" si="170">R265/1.11</f>
        <v>3023999.9999999995</v>
      </c>
    </row>
    <row r="266" spans="1:19" s="19" customFormat="1">
      <c r="A266" s="131" t="s">
        <v>156</v>
      </c>
      <c r="B266" s="19" t="s">
        <v>18</v>
      </c>
      <c r="C266" s="20"/>
      <c r="D266" s="21" t="s">
        <v>151</v>
      </c>
      <c r="E266" s="26">
        <v>32</v>
      </c>
      <c r="F266" s="22">
        <v>6</v>
      </c>
      <c r="G266" s="23" t="s">
        <v>33</v>
      </c>
      <c r="H266" s="22">
        <v>6</v>
      </c>
      <c r="I266" s="23" t="s">
        <v>151</v>
      </c>
      <c r="J266" s="24">
        <v>41500</v>
      </c>
      <c r="K266" s="21" t="s">
        <v>151</v>
      </c>
      <c r="L266" s="25">
        <v>0.125</v>
      </c>
      <c r="M266" s="130">
        <v>0.08</v>
      </c>
      <c r="N266" s="22"/>
      <c r="O266" s="23" t="s">
        <v>151</v>
      </c>
      <c r="P266" s="20">
        <f t="shared" ref="P266" si="171">(C266+(E266*F266*H266))-N266</f>
        <v>1152</v>
      </c>
      <c r="Q266" s="23" t="s">
        <v>151</v>
      </c>
      <c r="R266" s="24">
        <f t="shared" ref="R266" si="172">P266*(J266-(J266*L266)-((J266-(J266*L266))*M266))</f>
        <v>38485440</v>
      </c>
      <c r="S266" s="24">
        <f>R266/1.11</f>
        <v>34671567.567567565</v>
      </c>
    </row>
    <row r="267" spans="1:19" s="19" customFormat="1">
      <c r="A267" s="131" t="s">
        <v>156</v>
      </c>
      <c r="B267" s="19" t="s">
        <v>18</v>
      </c>
      <c r="C267" s="20">
        <v>242</v>
      </c>
      <c r="D267" s="21" t="s">
        <v>151</v>
      </c>
      <c r="E267" s="26">
        <v>80</v>
      </c>
      <c r="F267" s="22">
        <v>6</v>
      </c>
      <c r="G267" s="23" t="s">
        <v>33</v>
      </c>
      <c r="H267" s="22">
        <v>6</v>
      </c>
      <c r="I267" s="23" t="s">
        <v>151</v>
      </c>
      <c r="J267" s="24">
        <v>41500</v>
      </c>
      <c r="K267" s="21" t="s">
        <v>151</v>
      </c>
      <c r="L267" s="25">
        <v>0.125</v>
      </c>
      <c r="M267" s="130">
        <v>0.05</v>
      </c>
      <c r="N267" s="22"/>
      <c r="O267" s="23" t="s">
        <v>151</v>
      </c>
      <c r="P267" s="20">
        <f t="shared" si="148"/>
        <v>3122</v>
      </c>
      <c r="Q267" s="23" t="s">
        <v>151</v>
      </c>
      <c r="R267" s="24">
        <f t="shared" si="149"/>
        <v>107699243.75</v>
      </c>
      <c r="S267" s="24">
        <f>R267/1.11</f>
        <v>97026345.720720708</v>
      </c>
    </row>
    <row r="268" spans="1:19" s="19" customFormat="1">
      <c r="A268" s="18" t="s">
        <v>157</v>
      </c>
      <c r="B268" s="19" t="s">
        <v>18</v>
      </c>
      <c r="C268" s="20">
        <v>264</v>
      </c>
      <c r="D268" s="21" t="s">
        <v>151</v>
      </c>
      <c r="E268" s="26">
        <v>37</v>
      </c>
      <c r="F268" s="22">
        <v>4</v>
      </c>
      <c r="G268" s="23" t="s">
        <v>33</v>
      </c>
      <c r="H268" s="22">
        <v>6</v>
      </c>
      <c r="I268" s="23" t="s">
        <v>151</v>
      </c>
      <c r="J268" s="24">
        <v>58900</v>
      </c>
      <c r="K268" s="21" t="s">
        <v>151</v>
      </c>
      <c r="L268" s="25">
        <v>0.125</v>
      </c>
      <c r="M268" s="25">
        <v>0.05</v>
      </c>
      <c r="N268" s="22"/>
      <c r="O268" s="23" t="s">
        <v>151</v>
      </c>
      <c r="P268" s="20">
        <f t="shared" si="148"/>
        <v>1152</v>
      </c>
      <c r="Q268" s="23" t="s">
        <v>151</v>
      </c>
      <c r="R268" s="24">
        <f t="shared" si="149"/>
        <v>56402640</v>
      </c>
      <c r="S268" s="24">
        <f t="shared" si="131"/>
        <v>50813189.189189188</v>
      </c>
    </row>
    <row r="269" spans="1:19" s="19" customFormat="1">
      <c r="A269" s="18" t="s">
        <v>158</v>
      </c>
      <c r="B269" s="19" t="s">
        <v>18</v>
      </c>
      <c r="C269" s="20">
        <v>278</v>
      </c>
      <c r="D269" s="21" t="s">
        <v>151</v>
      </c>
      <c r="E269" s="26">
        <v>48</v>
      </c>
      <c r="F269" s="22">
        <v>4</v>
      </c>
      <c r="G269" s="23" t="s">
        <v>33</v>
      </c>
      <c r="H269" s="22">
        <v>6</v>
      </c>
      <c r="I269" s="23" t="s">
        <v>151</v>
      </c>
      <c r="J269" s="24">
        <v>66900</v>
      </c>
      <c r="K269" s="21" t="s">
        <v>151</v>
      </c>
      <c r="L269" s="25">
        <v>0.125</v>
      </c>
      <c r="M269" s="25">
        <v>0.05</v>
      </c>
      <c r="N269" s="22"/>
      <c r="O269" s="23" t="s">
        <v>151</v>
      </c>
      <c r="P269" s="20">
        <f t="shared" si="148"/>
        <v>1430</v>
      </c>
      <c r="Q269" s="23" t="s">
        <v>151</v>
      </c>
      <c r="R269" s="24">
        <f t="shared" si="149"/>
        <v>79523193.75</v>
      </c>
      <c r="S269" s="24">
        <f t="shared" si="131"/>
        <v>71642516.891891882</v>
      </c>
    </row>
    <row r="270" spans="1:19" s="19" customFormat="1">
      <c r="A270" s="18" t="s">
        <v>696</v>
      </c>
      <c r="B270" s="19" t="s">
        <v>18</v>
      </c>
      <c r="C270" s="20"/>
      <c r="D270" s="21" t="s">
        <v>151</v>
      </c>
      <c r="E270" s="26">
        <v>14</v>
      </c>
      <c r="F270" s="22">
        <v>1</v>
      </c>
      <c r="G270" s="23" t="s">
        <v>20</v>
      </c>
      <c r="H270" s="22">
        <v>24</v>
      </c>
      <c r="I270" s="23" t="s">
        <v>151</v>
      </c>
      <c r="J270" s="24">
        <v>96000</v>
      </c>
      <c r="K270" s="21" t="s">
        <v>151</v>
      </c>
      <c r="L270" s="25">
        <v>0.125</v>
      </c>
      <c r="M270" s="25">
        <v>0.05</v>
      </c>
      <c r="N270" s="22"/>
      <c r="O270" s="23" t="s">
        <v>151</v>
      </c>
      <c r="P270" s="20">
        <f t="shared" si="148"/>
        <v>336</v>
      </c>
      <c r="Q270" s="23" t="s">
        <v>151</v>
      </c>
      <c r="R270" s="24">
        <f t="shared" si="149"/>
        <v>26812800</v>
      </c>
      <c r="S270" s="24">
        <f t="shared" si="131"/>
        <v>24155675.675675675</v>
      </c>
    </row>
    <row r="271" spans="1:19" s="19" customFormat="1">
      <c r="A271" s="18"/>
      <c r="C271" s="20"/>
      <c r="D271" s="21"/>
      <c r="E271" s="26"/>
      <c r="F271" s="22"/>
      <c r="G271" s="23"/>
      <c r="H271" s="22"/>
      <c r="I271" s="23"/>
      <c r="J271" s="24"/>
      <c r="K271" s="21"/>
      <c r="L271" s="25"/>
      <c r="M271" s="25"/>
      <c r="N271" s="22"/>
      <c r="O271" s="23"/>
      <c r="P271" s="20"/>
      <c r="Q271" s="23"/>
      <c r="R271" s="24"/>
      <c r="S271" s="24"/>
    </row>
    <row r="272" spans="1:19" s="19" customFormat="1">
      <c r="A272" s="40" t="s">
        <v>159</v>
      </c>
      <c r="B272" s="19" t="s">
        <v>25</v>
      </c>
      <c r="C272" s="20"/>
      <c r="D272" s="21" t="s">
        <v>151</v>
      </c>
      <c r="E272" s="26">
        <v>3</v>
      </c>
      <c r="F272" s="22">
        <v>12</v>
      </c>
      <c r="G272" s="23" t="s">
        <v>40</v>
      </c>
      <c r="H272" s="22">
        <v>12</v>
      </c>
      <c r="I272" s="23" t="s">
        <v>151</v>
      </c>
      <c r="J272" s="24">
        <f>1728000/12/12</f>
        <v>12000</v>
      </c>
      <c r="K272" s="21" t="s">
        <v>151</v>
      </c>
      <c r="L272" s="25"/>
      <c r="M272" s="25">
        <v>0.17</v>
      </c>
      <c r="N272" s="22"/>
      <c r="O272" s="23" t="s">
        <v>151</v>
      </c>
      <c r="P272" s="20">
        <f>(C272+(E272*F272*H272))-N272</f>
        <v>432</v>
      </c>
      <c r="Q272" s="23" t="s">
        <v>151</v>
      </c>
      <c r="R272" s="24">
        <f>P272*(J272-(J272*L272)-((J272-(J272*L272))*M272))</f>
        <v>4302720</v>
      </c>
      <c r="S272" s="24">
        <f t="shared" si="131"/>
        <v>3876324.3243243238</v>
      </c>
    </row>
    <row r="273" spans="1:19" s="19" customFormat="1">
      <c r="A273" s="40" t="s">
        <v>160</v>
      </c>
      <c r="B273" s="19" t="s">
        <v>25</v>
      </c>
      <c r="C273" s="20">
        <v>168</v>
      </c>
      <c r="D273" s="21" t="s">
        <v>151</v>
      </c>
      <c r="E273" s="26">
        <v>2</v>
      </c>
      <c r="F273" s="22">
        <v>6</v>
      </c>
      <c r="G273" s="23" t="s">
        <v>40</v>
      </c>
      <c r="H273" s="22">
        <v>12</v>
      </c>
      <c r="I273" s="23" t="s">
        <v>151</v>
      </c>
      <c r="J273" s="24">
        <f>1548000/6/12</f>
        <v>21500</v>
      </c>
      <c r="K273" s="21" t="s">
        <v>151</v>
      </c>
      <c r="L273" s="25"/>
      <c r="M273" s="25">
        <v>0.17</v>
      </c>
      <c r="N273" s="22"/>
      <c r="O273" s="23" t="s">
        <v>151</v>
      </c>
      <c r="P273" s="20">
        <f>(C273+(E273*F273*H273))-N273</f>
        <v>312</v>
      </c>
      <c r="Q273" s="23" t="s">
        <v>151</v>
      </c>
      <c r="R273" s="24">
        <f>P273*(J273-(J273*L273)-((J273-(J273*L273))*M273))</f>
        <v>5567640</v>
      </c>
      <c r="S273" s="24">
        <f t="shared" si="131"/>
        <v>5015891.8918918911</v>
      </c>
    </row>
    <row r="274" spans="1:19" s="19" customFormat="1">
      <c r="A274" s="40" t="s">
        <v>814</v>
      </c>
      <c r="B274" s="19" t="s">
        <v>25</v>
      </c>
      <c r="C274" s="20"/>
      <c r="D274" s="21" t="s">
        <v>151</v>
      </c>
      <c r="E274" s="26">
        <v>1</v>
      </c>
      <c r="F274" s="22">
        <v>4</v>
      </c>
      <c r="G274" s="23" t="s">
        <v>40</v>
      </c>
      <c r="H274" s="22">
        <v>12</v>
      </c>
      <c r="I274" s="23" t="s">
        <v>151</v>
      </c>
      <c r="J274" s="24">
        <v>28500</v>
      </c>
      <c r="K274" s="21" t="s">
        <v>151</v>
      </c>
      <c r="L274" s="25"/>
      <c r="M274" s="25">
        <v>0.17</v>
      </c>
      <c r="N274" s="22"/>
      <c r="O274" s="23" t="s">
        <v>151</v>
      </c>
      <c r="P274" s="20">
        <f t="shared" ref="P274:P275" si="173">(C274+(E274*F274*H274))-N274</f>
        <v>48</v>
      </c>
      <c r="Q274" s="23" t="s">
        <v>151</v>
      </c>
      <c r="R274" s="24">
        <f t="shared" ref="R274:R275" si="174">P274*(J274-(J274*L274)-((J274-(J274*L274))*M274))</f>
        <v>1135440</v>
      </c>
      <c r="S274" s="24">
        <f t="shared" ref="S274:S275" si="175">R274/1.11</f>
        <v>1022918.9189189188</v>
      </c>
    </row>
    <row r="275" spans="1:19" s="19" customFormat="1">
      <c r="A275" s="40" t="s">
        <v>815</v>
      </c>
      <c r="B275" s="19" t="s">
        <v>25</v>
      </c>
      <c r="C275" s="20"/>
      <c r="D275" s="21" t="s">
        <v>151</v>
      </c>
      <c r="E275" s="26">
        <v>1</v>
      </c>
      <c r="F275" s="22">
        <v>4</v>
      </c>
      <c r="G275" s="23" t="s">
        <v>40</v>
      </c>
      <c r="H275" s="22">
        <v>12</v>
      </c>
      <c r="I275" s="23" t="s">
        <v>151</v>
      </c>
      <c r="J275" s="24">
        <v>31125</v>
      </c>
      <c r="K275" s="21" t="s">
        <v>151</v>
      </c>
      <c r="L275" s="25"/>
      <c r="M275" s="25">
        <v>0.17</v>
      </c>
      <c r="N275" s="22"/>
      <c r="O275" s="23" t="s">
        <v>151</v>
      </c>
      <c r="P275" s="20">
        <f t="shared" si="173"/>
        <v>48</v>
      </c>
      <c r="Q275" s="23" t="s">
        <v>151</v>
      </c>
      <c r="R275" s="24">
        <f t="shared" si="174"/>
        <v>1240020</v>
      </c>
      <c r="S275" s="24">
        <f t="shared" si="175"/>
        <v>1117135.1351351351</v>
      </c>
    </row>
    <row r="276" spans="1:19" s="19" customFormat="1">
      <c r="A276" s="40"/>
      <c r="C276" s="20"/>
      <c r="D276" s="21"/>
      <c r="E276" s="26"/>
      <c r="F276" s="22"/>
      <c r="G276" s="23"/>
      <c r="H276" s="22"/>
      <c r="I276" s="23"/>
      <c r="J276" s="24"/>
      <c r="K276" s="21"/>
      <c r="L276" s="25"/>
      <c r="M276" s="25"/>
      <c r="N276" s="22"/>
      <c r="O276" s="23"/>
      <c r="P276" s="20"/>
      <c r="Q276" s="23"/>
      <c r="R276" s="24"/>
      <c r="S276" s="24"/>
    </row>
    <row r="277" spans="1:19" s="78" customFormat="1">
      <c r="A277" s="110" t="s">
        <v>161</v>
      </c>
      <c r="B277" s="78" t="s">
        <v>25</v>
      </c>
      <c r="C277" s="76"/>
      <c r="D277" s="79" t="s">
        <v>151</v>
      </c>
      <c r="E277" s="80"/>
      <c r="F277" s="81">
        <v>8</v>
      </c>
      <c r="G277" s="82" t="s">
        <v>33</v>
      </c>
      <c r="H277" s="81">
        <v>12</v>
      </c>
      <c r="I277" s="82" t="s">
        <v>151</v>
      </c>
      <c r="J277" s="83">
        <v>12500</v>
      </c>
      <c r="K277" s="79" t="s">
        <v>151</v>
      </c>
      <c r="L277" s="84"/>
      <c r="M277" s="84">
        <v>0.17</v>
      </c>
      <c r="N277" s="81"/>
      <c r="O277" s="82" t="s">
        <v>151</v>
      </c>
      <c r="P277" s="76">
        <f t="shared" ref="P277:P284" si="176">(C277+(E277*F277*H277))-N277</f>
        <v>0</v>
      </c>
      <c r="Q277" s="82" t="s">
        <v>151</v>
      </c>
      <c r="R277" s="83">
        <f t="shared" ref="R277:R284" si="177">P277*(J277-(J277*L277)-((J277-(J277*L277))*M277))</f>
        <v>0</v>
      </c>
      <c r="S277" s="83">
        <f t="shared" si="131"/>
        <v>0</v>
      </c>
    </row>
    <row r="278" spans="1:19" s="78" customFormat="1">
      <c r="A278" s="110" t="s">
        <v>162</v>
      </c>
      <c r="B278" s="78" t="s">
        <v>25</v>
      </c>
      <c r="C278" s="76"/>
      <c r="D278" s="79" t="s">
        <v>151</v>
      </c>
      <c r="E278" s="80"/>
      <c r="F278" s="81">
        <v>1</v>
      </c>
      <c r="G278" s="82" t="s">
        <v>20</v>
      </c>
      <c r="H278" s="81">
        <v>144</v>
      </c>
      <c r="I278" s="82" t="s">
        <v>151</v>
      </c>
      <c r="J278" s="83">
        <v>11600</v>
      </c>
      <c r="K278" s="79" t="s">
        <v>151</v>
      </c>
      <c r="L278" s="84"/>
      <c r="M278" s="84">
        <v>0.17</v>
      </c>
      <c r="N278" s="81"/>
      <c r="O278" s="82" t="s">
        <v>151</v>
      </c>
      <c r="P278" s="76">
        <f t="shared" si="176"/>
        <v>0</v>
      </c>
      <c r="Q278" s="82" t="s">
        <v>151</v>
      </c>
      <c r="R278" s="83">
        <f t="shared" si="177"/>
        <v>0</v>
      </c>
      <c r="S278" s="83">
        <f t="shared" si="131"/>
        <v>0</v>
      </c>
    </row>
    <row r="279" spans="1:19" s="19" customFormat="1">
      <c r="A279" s="18" t="s">
        <v>163</v>
      </c>
      <c r="B279" s="19" t="s">
        <v>25</v>
      </c>
      <c r="C279" s="20">
        <v>4032</v>
      </c>
      <c r="D279" s="21" t="s">
        <v>151</v>
      </c>
      <c r="E279" s="26">
        <v>46</v>
      </c>
      <c r="F279" s="22">
        <v>12</v>
      </c>
      <c r="G279" s="23" t="s">
        <v>40</v>
      </c>
      <c r="H279" s="22">
        <v>12</v>
      </c>
      <c r="I279" s="23" t="s">
        <v>151</v>
      </c>
      <c r="J279" s="24">
        <f>2088000/144</f>
        <v>14500</v>
      </c>
      <c r="K279" s="21" t="s">
        <v>151</v>
      </c>
      <c r="L279" s="25"/>
      <c r="M279" s="25">
        <v>0.17</v>
      </c>
      <c r="N279" s="22"/>
      <c r="O279" s="23" t="s">
        <v>151</v>
      </c>
      <c r="P279" s="20">
        <f t="shared" si="176"/>
        <v>10656</v>
      </c>
      <c r="Q279" s="23" t="s">
        <v>151</v>
      </c>
      <c r="R279" s="24">
        <f t="shared" si="177"/>
        <v>128244960</v>
      </c>
      <c r="S279" s="24">
        <f t="shared" si="131"/>
        <v>115535999.99999999</v>
      </c>
    </row>
    <row r="280" spans="1:19" s="19" customFormat="1">
      <c r="A280" s="18" t="s">
        <v>164</v>
      </c>
      <c r="B280" s="19" t="s">
        <v>25</v>
      </c>
      <c r="C280" s="20">
        <v>648</v>
      </c>
      <c r="D280" s="21" t="s">
        <v>151</v>
      </c>
      <c r="E280" s="26">
        <v>21</v>
      </c>
      <c r="F280" s="22">
        <v>6</v>
      </c>
      <c r="G280" s="23" t="s">
        <v>40</v>
      </c>
      <c r="H280" s="22">
        <v>12</v>
      </c>
      <c r="I280" s="23" t="s">
        <v>151</v>
      </c>
      <c r="J280" s="24">
        <f>1944000/72</f>
        <v>27000</v>
      </c>
      <c r="K280" s="21" t="s">
        <v>151</v>
      </c>
      <c r="L280" s="25"/>
      <c r="M280" s="25">
        <v>0.17</v>
      </c>
      <c r="N280" s="22"/>
      <c r="O280" s="23" t="s">
        <v>151</v>
      </c>
      <c r="P280" s="20">
        <f t="shared" si="176"/>
        <v>2160</v>
      </c>
      <c r="Q280" s="23" t="s">
        <v>151</v>
      </c>
      <c r="R280" s="24">
        <f t="shared" si="177"/>
        <v>48405600</v>
      </c>
      <c r="S280" s="24">
        <f t="shared" si="131"/>
        <v>43608648.648648642</v>
      </c>
    </row>
    <row r="281" spans="1:19" s="19" customFormat="1">
      <c r="A281" s="18" t="s">
        <v>165</v>
      </c>
      <c r="B281" s="19" t="s">
        <v>25</v>
      </c>
      <c r="C281" s="20">
        <v>672</v>
      </c>
      <c r="D281" s="21" t="s">
        <v>151</v>
      </c>
      <c r="E281" s="26">
        <v>15</v>
      </c>
      <c r="F281" s="22">
        <v>8</v>
      </c>
      <c r="G281" s="23" t="s">
        <v>33</v>
      </c>
      <c r="H281" s="22">
        <v>6</v>
      </c>
      <c r="I281" s="23" t="s">
        <v>151</v>
      </c>
      <c r="J281" s="24">
        <f>1632000/8/6</f>
        <v>34000</v>
      </c>
      <c r="K281" s="21" t="s">
        <v>151</v>
      </c>
      <c r="L281" s="25"/>
      <c r="M281" s="25">
        <v>0.17</v>
      </c>
      <c r="N281" s="22"/>
      <c r="O281" s="23" t="s">
        <v>151</v>
      </c>
      <c r="P281" s="20">
        <f t="shared" si="176"/>
        <v>1392</v>
      </c>
      <c r="Q281" s="23" t="s">
        <v>151</v>
      </c>
      <c r="R281" s="24">
        <f t="shared" si="177"/>
        <v>39282240</v>
      </c>
      <c r="S281" s="24">
        <f t="shared" si="131"/>
        <v>35389405.405405402</v>
      </c>
    </row>
    <row r="282" spans="1:19" s="19" customFormat="1">
      <c r="A282" s="18" t="s">
        <v>166</v>
      </c>
      <c r="B282" s="19" t="s">
        <v>25</v>
      </c>
      <c r="C282" s="20">
        <v>180</v>
      </c>
      <c r="D282" s="21" t="s">
        <v>151</v>
      </c>
      <c r="E282" s="26">
        <v>16</v>
      </c>
      <c r="F282" s="22">
        <v>6</v>
      </c>
      <c r="G282" s="23" t="s">
        <v>33</v>
      </c>
      <c r="H282" s="22">
        <v>6</v>
      </c>
      <c r="I282" s="23" t="s">
        <v>151</v>
      </c>
      <c r="J282" s="24">
        <f>1710000/6/6</f>
        <v>47500</v>
      </c>
      <c r="K282" s="21" t="s">
        <v>151</v>
      </c>
      <c r="L282" s="25"/>
      <c r="M282" s="25">
        <v>0.17</v>
      </c>
      <c r="N282" s="22"/>
      <c r="O282" s="23" t="s">
        <v>151</v>
      </c>
      <c r="P282" s="20">
        <f t="shared" si="176"/>
        <v>756</v>
      </c>
      <c r="Q282" s="23" t="s">
        <v>151</v>
      </c>
      <c r="R282" s="24">
        <f t="shared" si="177"/>
        <v>29805300</v>
      </c>
      <c r="S282" s="24">
        <f t="shared" si="131"/>
        <v>26851621.62162162</v>
      </c>
    </row>
    <row r="283" spans="1:19" s="19" customFormat="1">
      <c r="A283" s="18" t="s">
        <v>167</v>
      </c>
      <c r="B283" s="19" t="s">
        <v>25</v>
      </c>
      <c r="C283" s="20">
        <v>30</v>
      </c>
      <c r="D283" s="21" t="s">
        <v>151</v>
      </c>
      <c r="E283" s="26">
        <v>8</v>
      </c>
      <c r="F283" s="22">
        <v>4</v>
      </c>
      <c r="G283" s="23" t="s">
        <v>33</v>
      </c>
      <c r="H283" s="22">
        <v>6</v>
      </c>
      <c r="I283" s="23" t="s">
        <v>151</v>
      </c>
      <c r="J283" s="24">
        <f>1656000/4/6</f>
        <v>69000</v>
      </c>
      <c r="K283" s="21" t="s">
        <v>151</v>
      </c>
      <c r="L283" s="25"/>
      <c r="M283" s="25">
        <v>0.17</v>
      </c>
      <c r="N283" s="22"/>
      <c r="O283" s="23" t="s">
        <v>151</v>
      </c>
      <c r="P283" s="20">
        <f t="shared" si="176"/>
        <v>222</v>
      </c>
      <c r="Q283" s="23" t="s">
        <v>151</v>
      </c>
      <c r="R283" s="24">
        <f t="shared" si="177"/>
        <v>12713940</v>
      </c>
      <c r="S283" s="24">
        <f t="shared" si="131"/>
        <v>11453999.999999998</v>
      </c>
    </row>
    <row r="284" spans="1:19" s="19" customFormat="1">
      <c r="A284" s="18" t="s">
        <v>168</v>
      </c>
      <c r="B284" s="19" t="s">
        <v>25</v>
      </c>
      <c r="C284" s="20">
        <v>42</v>
      </c>
      <c r="D284" s="21" t="s">
        <v>151</v>
      </c>
      <c r="E284" s="26">
        <v>12</v>
      </c>
      <c r="F284" s="22">
        <v>4</v>
      </c>
      <c r="G284" s="23" t="s">
        <v>33</v>
      </c>
      <c r="H284" s="22">
        <v>6</v>
      </c>
      <c r="I284" s="23" t="s">
        <v>151</v>
      </c>
      <c r="J284" s="24">
        <f>1824000/4/6</f>
        <v>76000</v>
      </c>
      <c r="K284" s="21" t="s">
        <v>151</v>
      </c>
      <c r="L284" s="25"/>
      <c r="M284" s="25">
        <v>0.17</v>
      </c>
      <c r="N284" s="22"/>
      <c r="O284" s="23" t="s">
        <v>151</v>
      </c>
      <c r="P284" s="20">
        <f t="shared" si="176"/>
        <v>330</v>
      </c>
      <c r="Q284" s="23" t="s">
        <v>151</v>
      </c>
      <c r="R284" s="24">
        <f t="shared" si="177"/>
        <v>20816400</v>
      </c>
      <c r="S284" s="24">
        <f t="shared" si="131"/>
        <v>18753513.513513513</v>
      </c>
    </row>
    <row r="285" spans="1:19" s="19" customFormat="1">
      <c r="A285" s="18"/>
      <c r="C285" s="20"/>
      <c r="D285" s="21"/>
      <c r="E285" s="26"/>
      <c r="F285" s="22"/>
      <c r="G285" s="23"/>
      <c r="H285" s="22"/>
      <c r="I285" s="23"/>
      <c r="J285" s="24"/>
      <c r="K285" s="21"/>
      <c r="L285" s="25"/>
      <c r="M285" s="25"/>
      <c r="N285" s="22"/>
      <c r="O285" s="23"/>
      <c r="P285" s="20"/>
      <c r="Q285" s="23"/>
      <c r="R285" s="24"/>
      <c r="S285" s="24"/>
    </row>
    <row r="286" spans="1:19" s="19" customFormat="1">
      <c r="A286" s="62" t="s">
        <v>169</v>
      </c>
      <c r="C286" s="20"/>
      <c r="D286" s="21"/>
      <c r="E286" s="26"/>
      <c r="F286" s="22"/>
      <c r="G286" s="23"/>
      <c r="H286" s="22"/>
      <c r="I286" s="23"/>
      <c r="J286" s="24"/>
      <c r="K286" s="21"/>
      <c r="L286" s="25"/>
      <c r="M286" s="25"/>
      <c r="N286" s="22"/>
      <c r="O286" s="23"/>
      <c r="P286" s="20"/>
      <c r="Q286" s="23"/>
      <c r="R286" s="24"/>
      <c r="S286" s="24"/>
    </row>
    <row r="287" spans="1:19" s="78" customFormat="1">
      <c r="A287" s="77" t="s">
        <v>170</v>
      </c>
      <c r="B287" s="78" t="s">
        <v>171</v>
      </c>
      <c r="C287" s="76"/>
      <c r="D287" s="79" t="s">
        <v>151</v>
      </c>
      <c r="E287" s="80"/>
      <c r="F287" s="81">
        <v>1</v>
      </c>
      <c r="G287" s="82" t="s">
        <v>20</v>
      </c>
      <c r="H287" s="81">
        <v>144</v>
      </c>
      <c r="I287" s="82" t="s">
        <v>151</v>
      </c>
      <c r="J287" s="83">
        <v>14000</v>
      </c>
      <c r="K287" s="79" t="s">
        <v>151</v>
      </c>
      <c r="L287" s="84">
        <v>0.05</v>
      </c>
      <c r="M287" s="84">
        <v>0.03</v>
      </c>
      <c r="N287" s="81"/>
      <c r="O287" s="82" t="s">
        <v>151</v>
      </c>
      <c r="P287" s="76">
        <f>(C287+(E287*F287*H287))-N287</f>
        <v>0</v>
      </c>
      <c r="Q287" s="82" t="s">
        <v>151</v>
      </c>
      <c r="R287" s="83">
        <f>P287*(J287-(J287*L287)-((J287-(J287*L287))*M287))</f>
        <v>0</v>
      </c>
      <c r="S287" s="83">
        <f t="shared" si="131"/>
        <v>0</v>
      </c>
    </row>
    <row r="288" spans="1:19" s="19" customFormat="1">
      <c r="A288" s="18"/>
      <c r="C288" s="20"/>
      <c r="D288" s="21"/>
      <c r="E288" s="26"/>
      <c r="F288" s="22"/>
      <c r="G288" s="23"/>
      <c r="H288" s="22"/>
      <c r="I288" s="23"/>
      <c r="J288" s="24"/>
      <c r="K288" s="21"/>
      <c r="L288" s="25"/>
      <c r="M288" s="25"/>
      <c r="N288" s="22"/>
      <c r="O288" s="23"/>
      <c r="P288" s="20"/>
      <c r="Q288" s="23"/>
      <c r="R288" s="24"/>
      <c r="S288" s="24"/>
    </row>
    <row r="289" spans="1:19" s="19" customFormat="1">
      <c r="A289" s="18" t="s">
        <v>172</v>
      </c>
      <c r="B289" s="19" t="s">
        <v>18</v>
      </c>
      <c r="C289" s="20">
        <f>360+324</f>
        <v>684</v>
      </c>
      <c r="D289" s="21" t="s">
        <v>151</v>
      </c>
      <c r="E289" s="26">
        <v>31</v>
      </c>
      <c r="F289" s="22">
        <v>12</v>
      </c>
      <c r="G289" s="23" t="s">
        <v>33</v>
      </c>
      <c r="H289" s="22">
        <v>12</v>
      </c>
      <c r="I289" s="23" t="s">
        <v>151</v>
      </c>
      <c r="J289" s="24">
        <v>18600</v>
      </c>
      <c r="K289" s="21" t="s">
        <v>151</v>
      </c>
      <c r="L289" s="25">
        <v>0.125</v>
      </c>
      <c r="M289" s="25">
        <v>0.05</v>
      </c>
      <c r="N289" s="22"/>
      <c r="O289" s="23" t="s">
        <v>151</v>
      </c>
      <c r="P289" s="20">
        <f>(C289+(E289*F289*H289))-N289</f>
        <v>5148</v>
      </c>
      <c r="Q289" s="23" t="s">
        <v>151</v>
      </c>
      <c r="R289" s="24">
        <f>P289*(J289-(J289*L289)-((J289-(J289*L289))*M289))</f>
        <v>79594515</v>
      </c>
      <c r="S289" s="24">
        <f t="shared" si="131"/>
        <v>71706770.270270258</v>
      </c>
    </row>
    <row r="290" spans="1:19" s="19" customFormat="1">
      <c r="A290" s="18" t="s">
        <v>915</v>
      </c>
      <c r="B290" s="19" t="s">
        <v>18</v>
      </c>
      <c r="C290" s="20"/>
      <c r="D290" s="21" t="s">
        <v>151</v>
      </c>
      <c r="E290" s="26">
        <v>7</v>
      </c>
      <c r="F290" s="22">
        <v>6</v>
      </c>
      <c r="G290" s="23" t="s">
        <v>33</v>
      </c>
      <c r="H290" s="22">
        <v>12</v>
      </c>
      <c r="I290" s="23" t="s">
        <v>151</v>
      </c>
      <c r="J290" s="24">
        <v>37200</v>
      </c>
      <c r="K290" s="21" t="s">
        <v>151</v>
      </c>
      <c r="L290" s="25">
        <v>0.125</v>
      </c>
      <c r="M290" s="25">
        <v>0.05</v>
      </c>
      <c r="N290" s="22"/>
      <c r="O290" s="23" t="s">
        <v>151</v>
      </c>
      <c r="P290" s="20">
        <f>(C290+(E290*F290*H290))-N290</f>
        <v>504</v>
      </c>
      <c r="Q290" s="23" t="s">
        <v>151</v>
      </c>
      <c r="R290" s="24">
        <f>P290*(J290-(J290*L290)-((J290-(J290*L290))*M290))</f>
        <v>15584940</v>
      </c>
      <c r="S290" s="24">
        <f t="shared" ref="S290" si="178">R290/1.11</f>
        <v>14040486.486486485</v>
      </c>
    </row>
    <row r="291" spans="1:19" s="19" customFormat="1">
      <c r="A291" s="18" t="s">
        <v>173</v>
      </c>
      <c r="B291" s="19" t="s">
        <v>18</v>
      </c>
      <c r="C291" s="20">
        <v>144</v>
      </c>
      <c r="D291" s="21" t="s">
        <v>151</v>
      </c>
      <c r="E291" s="26">
        <v>35</v>
      </c>
      <c r="F291" s="22">
        <v>12</v>
      </c>
      <c r="G291" s="23" t="s">
        <v>33</v>
      </c>
      <c r="H291" s="22">
        <v>12</v>
      </c>
      <c r="I291" s="23" t="s">
        <v>151</v>
      </c>
      <c r="J291" s="24">
        <v>23900</v>
      </c>
      <c r="K291" s="21" t="s">
        <v>151</v>
      </c>
      <c r="L291" s="25">
        <v>0.125</v>
      </c>
      <c r="M291" s="25">
        <v>0.05</v>
      </c>
      <c r="N291" s="22"/>
      <c r="O291" s="23" t="s">
        <v>151</v>
      </c>
      <c r="P291" s="20">
        <f>(C291+(E291*F291*H291))-N291</f>
        <v>5184</v>
      </c>
      <c r="Q291" s="23" t="s">
        <v>151</v>
      </c>
      <c r="R291" s="24">
        <f>P291*(J291-(J291*L291)-((J291-(J291*L291))*M291))</f>
        <v>102989880</v>
      </c>
      <c r="S291" s="24">
        <f t="shared" si="131"/>
        <v>92783675.67567566</v>
      </c>
    </row>
    <row r="292" spans="1:19" s="19" customFormat="1">
      <c r="A292" s="18" t="s">
        <v>174</v>
      </c>
      <c r="B292" s="19" t="s">
        <v>18</v>
      </c>
      <c r="C292" s="20">
        <v>72</v>
      </c>
      <c r="D292" s="21" t="s">
        <v>151</v>
      </c>
      <c r="E292" s="26">
        <v>10</v>
      </c>
      <c r="F292" s="22">
        <v>12</v>
      </c>
      <c r="G292" s="23" t="s">
        <v>33</v>
      </c>
      <c r="H292" s="22">
        <v>6</v>
      </c>
      <c r="I292" s="23" t="s">
        <v>151</v>
      </c>
      <c r="J292" s="24">
        <v>47800</v>
      </c>
      <c r="K292" s="21" t="s">
        <v>151</v>
      </c>
      <c r="L292" s="25">
        <v>0.125</v>
      </c>
      <c r="M292" s="25">
        <v>0.05</v>
      </c>
      <c r="N292" s="22"/>
      <c r="O292" s="23" t="s">
        <v>151</v>
      </c>
      <c r="P292" s="20">
        <f>(C292+(E292*F292*H292))-N292</f>
        <v>792</v>
      </c>
      <c r="Q292" s="23" t="s">
        <v>151</v>
      </c>
      <c r="R292" s="24">
        <f>P292*(J292-(J292*L292)-((J292-(J292*L292))*M292))</f>
        <v>31469130</v>
      </c>
      <c r="S292" s="24">
        <f t="shared" ref="S292" si="179">R292/1.11</f>
        <v>28350567.567567565</v>
      </c>
    </row>
    <row r="293" spans="1:19" s="19" customFormat="1">
      <c r="A293" s="18"/>
      <c r="C293" s="20"/>
      <c r="D293" s="21"/>
      <c r="E293" s="26"/>
      <c r="F293" s="22"/>
      <c r="G293" s="23"/>
      <c r="H293" s="22"/>
      <c r="I293" s="23"/>
      <c r="J293" s="24"/>
      <c r="K293" s="21"/>
      <c r="L293" s="25"/>
      <c r="M293" s="25"/>
      <c r="N293" s="22"/>
      <c r="O293" s="23"/>
      <c r="P293" s="20"/>
      <c r="Q293" s="23"/>
      <c r="R293" s="24"/>
      <c r="S293" s="24"/>
    </row>
    <row r="294" spans="1:19" s="78" customFormat="1">
      <c r="A294" s="77" t="s">
        <v>175</v>
      </c>
      <c r="B294" s="78" t="s">
        <v>25</v>
      </c>
      <c r="C294" s="76"/>
      <c r="D294" s="79" t="s">
        <v>151</v>
      </c>
      <c r="E294" s="80"/>
      <c r="F294" s="81">
        <v>12</v>
      </c>
      <c r="G294" s="82" t="s">
        <v>40</v>
      </c>
      <c r="H294" s="81">
        <v>12</v>
      </c>
      <c r="I294" s="82" t="s">
        <v>151</v>
      </c>
      <c r="J294" s="83">
        <f>2592000/12/12</f>
        <v>18000</v>
      </c>
      <c r="K294" s="79" t="s">
        <v>151</v>
      </c>
      <c r="L294" s="84"/>
      <c r="M294" s="84">
        <v>0.17</v>
      </c>
      <c r="N294" s="81"/>
      <c r="O294" s="82" t="s">
        <v>151</v>
      </c>
      <c r="P294" s="76">
        <f t="shared" ref="P294:P299" si="180">(C294+(E294*F294*H294))-N294</f>
        <v>0</v>
      </c>
      <c r="Q294" s="82" t="s">
        <v>151</v>
      </c>
      <c r="R294" s="83">
        <f t="shared" ref="R294:R299" si="181">P294*(J294-(J294*L294)-((J294-(J294*L294))*M294))</f>
        <v>0</v>
      </c>
      <c r="S294" s="83">
        <f t="shared" si="131"/>
        <v>0</v>
      </c>
    </row>
    <row r="295" spans="1:19" s="78" customFormat="1">
      <c r="A295" s="77" t="s">
        <v>176</v>
      </c>
      <c r="B295" s="78" t="s">
        <v>25</v>
      </c>
      <c r="C295" s="76"/>
      <c r="D295" s="79" t="s">
        <v>151</v>
      </c>
      <c r="E295" s="80"/>
      <c r="F295" s="81">
        <v>8</v>
      </c>
      <c r="G295" s="82" t="s">
        <v>40</v>
      </c>
      <c r="H295" s="81">
        <v>12</v>
      </c>
      <c r="I295" s="82" t="s">
        <v>151</v>
      </c>
      <c r="J295" s="83">
        <v>24500</v>
      </c>
      <c r="K295" s="79" t="s">
        <v>151</v>
      </c>
      <c r="L295" s="84"/>
      <c r="M295" s="84">
        <v>0.17</v>
      </c>
      <c r="N295" s="81"/>
      <c r="O295" s="82" t="s">
        <v>151</v>
      </c>
      <c r="P295" s="76">
        <f t="shared" si="180"/>
        <v>0</v>
      </c>
      <c r="Q295" s="82" t="s">
        <v>151</v>
      </c>
      <c r="R295" s="83">
        <f t="shared" si="181"/>
        <v>0</v>
      </c>
      <c r="S295" s="83">
        <f t="shared" si="131"/>
        <v>0</v>
      </c>
    </row>
    <row r="296" spans="1:19" s="19" customFormat="1">
      <c r="A296" s="131" t="s">
        <v>177</v>
      </c>
      <c r="B296" s="19" t="s">
        <v>25</v>
      </c>
      <c r="C296" s="20">
        <v>288</v>
      </c>
      <c r="D296" s="21" t="s">
        <v>151</v>
      </c>
      <c r="E296" s="26"/>
      <c r="F296" s="22">
        <v>12</v>
      </c>
      <c r="G296" s="23" t="s">
        <v>40</v>
      </c>
      <c r="H296" s="22">
        <v>12</v>
      </c>
      <c r="I296" s="23" t="s">
        <v>151</v>
      </c>
      <c r="J296" s="24">
        <f>3888000/144</f>
        <v>27000</v>
      </c>
      <c r="K296" s="21" t="s">
        <v>151</v>
      </c>
      <c r="L296" s="130">
        <v>0.05</v>
      </c>
      <c r="M296" s="25">
        <v>0.17</v>
      </c>
      <c r="N296" s="22"/>
      <c r="O296" s="23" t="s">
        <v>151</v>
      </c>
      <c r="P296" s="20">
        <f t="shared" si="180"/>
        <v>288</v>
      </c>
      <c r="Q296" s="23" t="s">
        <v>151</v>
      </c>
      <c r="R296" s="24">
        <f t="shared" si="181"/>
        <v>6131376</v>
      </c>
      <c r="S296" s="24">
        <f t="shared" si="131"/>
        <v>5523762.1621621614</v>
      </c>
    </row>
    <row r="297" spans="1:19" s="19" customFormat="1">
      <c r="A297" s="131" t="s">
        <v>177</v>
      </c>
      <c r="B297" s="19" t="s">
        <v>25</v>
      </c>
      <c r="C297" s="20"/>
      <c r="D297" s="21" t="s">
        <v>151</v>
      </c>
      <c r="E297" s="26">
        <v>2</v>
      </c>
      <c r="F297" s="22">
        <v>12</v>
      </c>
      <c r="G297" s="23" t="s">
        <v>40</v>
      </c>
      <c r="H297" s="22">
        <v>12</v>
      </c>
      <c r="I297" s="23" t="s">
        <v>151</v>
      </c>
      <c r="J297" s="24">
        <f>3888000/144</f>
        <v>27000</v>
      </c>
      <c r="K297" s="21" t="s">
        <v>151</v>
      </c>
      <c r="L297" s="130"/>
      <c r="M297" s="25">
        <v>0.17</v>
      </c>
      <c r="N297" s="22"/>
      <c r="O297" s="23" t="s">
        <v>151</v>
      </c>
      <c r="P297" s="20">
        <f t="shared" si="180"/>
        <v>288</v>
      </c>
      <c r="Q297" s="23" t="s">
        <v>151</v>
      </c>
      <c r="R297" s="24">
        <f t="shared" si="181"/>
        <v>6454080</v>
      </c>
      <c r="S297" s="24">
        <f t="shared" ref="S297" si="182">R297/1.11</f>
        <v>5814486.4864864862</v>
      </c>
    </row>
    <row r="298" spans="1:19" s="19" customFormat="1">
      <c r="A298" s="18" t="s">
        <v>995</v>
      </c>
      <c r="B298" s="19" t="s">
        <v>25</v>
      </c>
      <c r="C298" s="20"/>
      <c r="D298" s="21" t="s">
        <v>151</v>
      </c>
      <c r="E298" s="26">
        <v>12</v>
      </c>
      <c r="F298" s="22">
        <v>6</v>
      </c>
      <c r="G298" s="23" t="s">
        <v>40</v>
      </c>
      <c r="H298" s="22">
        <v>12</v>
      </c>
      <c r="I298" s="23" t="s">
        <v>151</v>
      </c>
      <c r="J298" s="24">
        <v>50000</v>
      </c>
      <c r="K298" s="21" t="s">
        <v>151</v>
      </c>
      <c r="L298" s="25"/>
      <c r="M298" s="25">
        <v>0.17</v>
      </c>
      <c r="N298" s="22"/>
      <c r="O298" s="23" t="s">
        <v>151</v>
      </c>
      <c r="P298" s="20">
        <f t="shared" si="180"/>
        <v>864</v>
      </c>
      <c r="Q298" s="23" t="s">
        <v>151</v>
      </c>
      <c r="R298" s="24">
        <f t="shared" si="181"/>
        <v>35856000</v>
      </c>
      <c r="S298" s="24">
        <f t="shared" ref="S298" si="183">R298/1.11</f>
        <v>32302702.702702701</v>
      </c>
    </row>
    <row r="299" spans="1:19" s="78" customFormat="1">
      <c r="A299" s="77" t="s">
        <v>178</v>
      </c>
      <c r="B299" s="78" t="s">
        <v>25</v>
      </c>
      <c r="C299" s="76"/>
      <c r="D299" s="79" t="s">
        <v>151</v>
      </c>
      <c r="E299" s="80"/>
      <c r="F299" s="81">
        <v>6</v>
      </c>
      <c r="G299" s="82" t="s">
        <v>40</v>
      </c>
      <c r="H299" s="81">
        <v>12</v>
      </c>
      <c r="I299" s="82" t="s">
        <v>151</v>
      </c>
      <c r="J299" s="83">
        <v>36000</v>
      </c>
      <c r="K299" s="79" t="s">
        <v>151</v>
      </c>
      <c r="L299" s="84">
        <v>0.05</v>
      </c>
      <c r="M299" s="84">
        <v>0.17</v>
      </c>
      <c r="N299" s="81"/>
      <c r="O299" s="82" t="s">
        <v>151</v>
      </c>
      <c r="P299" s="76">
        <f t="shared" si="180"/>
        <v>0</v>
      </c>
      <c r="Q299" s="82" t="s">
        <v>151</v>
      </c>
      <c r="R299" s="83">
        <f t="shared" si="181"/>
        <v>0</v>
      </c>
      <c r="S299" s="83">
        <f t="shared" si="131"/>
        <v>0</v>
      </c>
    </row>
    <row r="300" spans="1:19" s="19" customFormat="1">
      <c r="A300" s="18"/>
      <c r="C300" s="20"/>
      <c r="D300" s="21"/>
      <c r="E300" s="26"/>
      <c r="F300" s="22"/>
      <c r="G300" s="23"/>
      <c r="H300" s="22"/>
      <c r="I300" s="23"/>
      <c r="J300" s="24"/>
      <c r="K300" s="21"/>
      <c r="L300" s="25"/>
      <c r="M300" s="25"/>
      <c r="N300" s="22"/>
      <c r="O300" s="23"/>
      <c r="P300" s="20"/>
      <c r="Q300" s="23"/>
      <c r="R300" s="24"/>
      <c r="S300" s="24"/>
    </row>
    <row r="301" spans="1:19" s="19" customFormat="1">
      <c r="A301" s="62" t="s">
        <v>179</v>
      </c>
      <c r="C301" s="20"/>
      <c r="D301" s="21"/>
      <c r="E301" s="26"/>
      <c r="F301" s="22"/>
      <c r="G301" s="23"/>
      <c r="H301" s="22"/>
      <c r="I301" s="23"/>
      <c r="J301" s="24"/>
      <c r="K301" s="21"/>
      <c r="L301" s="25"/>
      <c r="M301" s="25"/>
      <c r="N301" s="22"/>
      <c r="O301" s="23"/>
      <c r="P301" s="20"/>
      <c r="Q301" s="23"/>
      <c r="R301" s="24"/>
      <c r="S301" s="24"/>
    </row>
    <row r="302" spans="1:19" s="78" customFormat="1">
      <c r="A302" s="77" t="s">
        <v>180</v>
      </c>
      <c r="B302" s="78" t="s">
        <v>181</v>
      </c>
      <c r="C302" s="76"/>
      <c r="D302" s="79" t="s">
        <v>40</v>
      </c>
      <c r="E302" s="80"/>
      <c r="F302" s="81">
        <v>1</v>
      </c>
      <c r="G302" s="82" t="s">
        <v>20</v>
      </c>
      <c r="H302" s="81">
        <v>5</v>
      </c>
      <c r="I302" s="82" t="s">
        <v>40</v>
      </c>
      <c r="J302" s="83">
        <v>475000</v>
      </c>
      <c r="K302" s="79" t="s">
        <v>40</v>
      </c>
      <c r="L302" s="84"/>
      <c r="M302" s="84"/>
      <c r="N302" s="81"/>
      <c r="O302" s="82" t="s">
        <v>40</v>
      </c>
      <c r="P302" s="76">
        <f>(C302+(E302*F302*H302))-N302</f>
        <v>0</v>
      </c>
      <c r="Q302" s="82" t="s">
        <v>40</v>
      </c>
      <c r="R302" s="83">
        <f>P302*(J302-(J302*L302)-((J302-(J302*L302))*M302))</f>
        <v>0</v>
      </c>
      <c r="S302" s="83">
        <f t="shared" si="131"/>
        <v>0</v>
      </c>
    </row>
    <row r="303" spans="1:19" s="19" customFormat="1">
      <c r="A303" s="18"/>
      <c r="C303" s="20"/>
      <c r="D303" s="21"/>
      <c r="E303" s="26"/>
      <c r="F303" s="22"/>
      <c r="G303" s="23"/>
      <c r="H303" s="22"/>
      <c r="I303" s="23"/>
      <c r="J303" s="24"/>
      <c r="K303" s="21"/>
      <c r="L303" s="25"/>
      <c r="M303" s="25"/>
      <c r="N303" s="22"/>
      <c r="O303" s="23"/>
      <c r="P303" s="20"/>
      <c r="Q303" s="23"/>
      <c r="R303" s="24"/>
      <c r="S303" s="24"/>
    </row>
    <row r="304" spans="1:19" s="95" customFormat="1">
      <c r="A304" s="87" t="s">
        <v>713</v>
      </c>
      <c r="B304" s="95" t="s">
        <v>18</v>
      </c>
      <c r="C304" s="96"/>
      <c r="D304" s="97" t="s">
        <v>151</v>
      </c>
      <c r="E304" s="98">
        <v>1</v>
      </c>
      <c r="F304" s="99">
        <v>8</v>
      </c>
      <c r="G304" s="100" t="s">
        <v>33</v>
      </c>
      <c r="H304" s="99">
        <v>12</v>
      </c>
      <c r="I304" s="100" t="s">
        <v>151</v>
      </c>
      <c r="J304" s="101">
        <v>26800</v>
      </c>
      <c r="K304" s="97" t="s">
        <v>151</v>
      </c>
      <c r="L304" s="102">
        <v>0.125</v>
      </c>
      <c r="M304" s="102">
        <v>0.05</v>
      </c>
      <c r="N304" s="99"/>
      <c r="O304" s="100" t="s">
        <v>151</v>
      </c>
      <c r="P304" s="96">
        <f t="shared" ref="P304:P309" si="184">(C304+(E304*F304*H304))-N304</f>
        <v>96</v>
      </c>
      <c r="Q304" s="100" t="s">
        <v>151</v>
      </c>
      <c r="R304" s="101">
        <f t="shared" ref="R304:R309" si="185">P304*(J304-(J304*L304)-((J304-(J304*L304))*M304))</f>
        <v>2138640</v>
      </c>
      <c r="S304" s="101">
        <f t="shared" si="131"/>
        <v>1926702.7027027025</v>
      </c>
    </row>
    <row r="305" spans="1:19" s="78" customFormat="1">
      <c r="A305" s="77" t="s">
        <v>182</v>
      </c>
      <c r="B305" s="78" t="s">
        <v>18</v>
      </c>
      <c r="C305" s="76"/>
      <c r="D305" s="79" t="s">
        <v>151</v>
      </c>
      <c r="E305" s="80"/>
      <c r="F305" s="81">
        <v>6</v>
      </c>
      <c r="G305" s="82" t="s">
        <v>33</v>
      </c>
      <c r="H305" s="81">
        <v>12</v>
      </c>
      <c r="I305" s="82" t="s">
        <v>151</v>
      </c>
      <c r="J305" s="83">
        <v>41500</v>
      </c>
      <c r="K305" s="79" t="s">
        <v>151</v>
      </c>
      <c r="L305" s="84">
        <v>0.125</v>
      </c>
      <c r="M305" s="84">
        <v>0.05</v>
      </c>
      <c r="N305" s="81"/>
      <c r="O305" s="82" t="s">
        <v>151</v>
      </c>
      <c r="P305" s="76">
        <f t="shared" si="184"/>
        <v>0</v>
      </c>
      <c r="Q305" s="82" t="s">
        <v>151</v>
      </c>
      <c r="R305" s="83">
        <f t="shared" si="185"/>
        <v>0</v>
      </c>
      <c r="S305" s="83">
        <f t="shared" si="131"/>
        <v>0</v>
      </c>
    </row>
    <row r="306" spans="1:19" s="95" customFormat="1">
      <c r="A306" s="87" t="s">
        <v>910</v>
      </c>
      <c r="B306" s="95" t="s">
        <v>18</v>
      </c>
      <c r="C306" s="96"/>
      <c r="D306" s="97" t="s">
        <v>151</v>
      </c>
      <c r="E306" s="98">
        <v>5</v>
      </c>
      <c r="F306" s="99">
        <v>1</v>
      </c>
      <c r="G306" s="100" t="s">
        <v>20</v>
      </c>
      <c r="H306" s="99">
        <v>108</v>
      </c>
      <c r="I306" s="100" t="s">
        <v>151</v>
      </c>
      <c r="J306" s="101">
        <v>17500</v>
      </c>
      <c r="K306" s="97" t="s">
        <v>151</v>
      </c>
      <c r="L306" s="102">
        <v>0.125</v>
      </c>
      <c r="M306" s="102">
        <v>0.1</v>
      </c>
      <c r="N306" s="99"/>
      <c r="O306" s="100" t="s">
        <v>151</v>
      </c>
      <c r="P306" s="96">
        <f t="shared" si="184"/>
        <v>540</v>
      </c>
      <c r="Q306" s="100" t="s">
        <v>151</v>
      </c>
      <c r="R306" s="101">
        <f t="shared" si="185"/>
        <v>7441875</v>
      </c>
      <c r="S306" s="101">
        <f t="shared" ref="S306:S307" si="186">R306/1.11</f>
        <v>6704391.8918918911</v>
      </c>
    </row>
    <row r="307" spans="1:19" s="95" customFormat="1">
      <c r="A307" s="87" t="s">
        <v>911</v>
      </c>
      <c r="B307" s="95" t="s">
        <v>18</v>
      </c>
      <c r="C307" s="96"/>
      <c r="D307" s="97" t="s">
        <v>151</v>
      </c>
      <c r="E307" s="98">
        <v>5</v>
      </c>
      <c r="F307" s="99">
        <v>1</v>
      </c>
      <c r="G307" s="100" t="s">
        <v>20</v>
      </c>
      <c r="H307" s="99">
        <v>48</v>
      </c>
      <c r="I307" s="100" t="s">
        <v>151</v>
      </c>
      <c r="J307" s="101">
        <v>35000</v>
      </c>
      <c r="K307" s="97" t="s">
        <v>151</v>
      </c>
      <c r="L307" s="102">
        <v>0.125</v>
      </c>
      <c r="M307" s="102">
        <v>0.1</v>
      </c>
      <c r="N307" s="99"/>
      <c r="O307" s="100" t="s">
        <v>151</v>
      </c>
      <c r="P307" s="96">
        <f t="shared" si="184"/>
        <v>240</v>
      </c>
      <c r="Q307" s="100" t="s">
        <v>151</v>
      </c>
      <c r="R307" s="101">
        <f t="shared" si="185"/>
        <v>6615000</v>
      </c>
      <c r="S307" s="101">
        <f t="shared" si="186"/>
        <v>5959459.4594594585</v>
      </c>
    </row>
    <row r="308" spans="1:19" s="95" customFormat="1">
      <c r="A308" s="87" t="s">
        <v>936</v>
      </c>
      <c r="B308" s="95" t="s">
        <v>18</v>
      </c>
      <c r="C308" s="96">
        <v>18</v>
      </c>
      <c r="D308" s="97" t="s">
        <v>151</v>
      </c>
      <c r="E308" s="98"/>
      <c r="F308" s="99">
        <v>1</v>
      </c>
      <c r="G308" s="100" t="s">
        <v>20</v>
      </c>
      <c r="H308" s="99">
        <v>18</v>
      </c>
      <c r="I308" s="100" t="s">
        <v>151</v>
      </c>
      <c r="J308" s="101">
        <v>145000</v>
      </c>
      <c r="K308" s="97" t="s">
        <v>151</v>
      </c>
      <c r="L308" s="102">
        <v>0.125</v>
      </c>
      <c r="M308" s="102">
        <v>0.05</v>
      </c>
      <c r="N308" s="99"/>
      <c r="O308" s="100" t="s">
        <v>151</v>
      </c>
      <c r="P308" s="96">
        <f t="shared" si="184"/>
        <v>18</v>
      </c>
      <c r="Q308" s="100" t="s">
        <v>151</v>
      </c>
      <c r="R308" s="101">
        <f t="shared" si="185"/>
        <v>2169562.5</v>
      </c>
      <c r="S308" s="101">
        <f t="shared" ref="S308:S309" si="187">R308/1.11</f>
        <v>1954560.8108108107</v>
      </c>
    </row>
    <row r="309" spans="1:19" s="95" customFormat="1">
      <c r="A309" s="87" t="s">
        <v>936</v>
      </c>
      <c r="B309" s="95" t="s">
        <v>18</v>
      </c>
      <c r="C309" s="96">
        <v>15</v>
      </c>
      <c r="D309" s="97" t="s">
        <v>151</v>
      </c>
      <c r="E309" s="98"/>
      <c r="F309" s="99">
        <v>1</v>
      </c>
      <c r="G309" s="100" t="s">
        <v>20</v>
      </c>
      <c r="H309" s="99">
        <v>18</v>
      </c>
      <c r="I309" s="100" t="s">
        <v>151</v>
      </c>
      <c r="J309" s="101">
        <v>145000</v>
      </c>
      <c r="K309" s="97" t="s">
        <v>151</v>
      </c>
      <c r="L309" s="102">
        <v>0.1</v>
      </c>
      <c r="M309" s="102">
        <v>0.05</v>
      </c>
      <c r="N309" s="99"/>
      <c r="O309" s="100" t="s">
        <v>151</v>
      </c>
      <c r="P309" s="96">
        <f t="shared" si="184"/>
        <v>15</v>
      </c>
      <c r="Q309" s="100" t="s">
        <v>151</v>
      </c>
      <c r="R309" s="101">
        <f t="shared" si="185"/>
        <v>1859625</v>
      </c>
      <c r="S309" s="101">
        <f t="shared" si="187"/>
        <v>1675337.8378378376</v>
      </c>
    </row>
    <row r="310" spans="1:19" s="19" customFormat="1">
      <c r="A310" s="18"/>
      <c r="C310" s="20"/>
      <c r="D310" s="21"/>
      <c r="E310" s="26"/>
      <c r="F310" s="22"/>
      <c r="G310" s="23"/>
      <c r="H310" s="22"/>
      <c r="I310" s="23"/>
      <c r="J310" s="24"/>
      <c r="K310" s="21"/>
      <c r="L310" s="25"/>
      <c r="M310" s="25"/>
      <c r="N310" s="22"/>
      <c r="O310" s="23"/>
      <c r="P310" s="20"/>
      <c r="Q310" s="23"/>
      <c r="R310" s="24"/>
      <c r="S310" s="24"/>
    </row>
    <row r="311" spans="1:19" s="19" customFormat="1" ht="15.75">
      <c r="A311" s="35" t="s">
        <v>183</v>
      </c>
      <c r="C311" s="20"/>
      <c r="D311" s="21"/>
      <c r="E311" s="26"/>
      <c r="F311" s="22"/>
      <c r="G311" s="23"/>
      <c r="H311" s="22"/>
      <c r="I311" s="23"/>
      <c r="J311" s="24"/>
      <c r="K311" s="21"/>
      <c r="L311" s="25"/>
      <c r="M311" s="25"/>
      <c r="N311" s="22"/>
      <c r="O311" s="23"/>
      <c r="P311" s="20"/>
      <c r="Q311" s="23"/>
      <c r="R311" s="24"/>
      <c r="S311" s="24"/>
    </row>
    <row r="312" spans="1:19" s="19" customFormat="1">
      <c r="A312" s="62" t="s">
        <v>184</v>
      </c>
      <c r="C312" s="20"/>
      <c r="D312" s="21"/>
      <c r="E312" s="26"/>
      <c r="F312" s="22"/>
      <c r="G312" s="23"/>
      <c r="H312" s="22"/>
      <c r="I312" s="23"/>
      <c r="J312" s="24"/>
      <c r="K312" s="21"/>
      <c r="L312" s="25"/>
      <c r="M312" s="25"/>
      <c r="N312" s="22"/>
      <c r="O312" s="23"/>
      <c r="P312" s="20"/>
      <c r="Q312" s="23"/>
      <c r="R312" s="24"/>
      <c r="S312" s="24"/>
    </row>
    <row r="313" spans="1:19" s="78" customFormat="1">
      <c r="A313" s="77" t="s">
        <v>691</v>
      </c>
      <c r="B313" s="78" t="s">
        <v>18</v>
      </c>
      <c r="C313" s="76"/>
      <c r="D313" s="79" t="s">
        <v>40</v>
      </c>
      <c r="E313" s="80">
        <v>2</v>
      </c>
      <c r="F313" s="81">
        <v>1</v>
      </c>
      <c r="G313" s="82" t="s">
        <v>20</v>
      </c>
      <c r="H313" s="81">
        <v>24</v>
      </c>
      <c r="I313" s="82" t="s">
        <v>40</v>
      </c>
      <c r="J313" s="83">
        <v>27600</v>
      </c>
      <c r="K313" s="79" t="s">
        <v>40</v>
      </c>
      <c r="L313" s="84">
        <v>0.125</v>
      </c>
      <c r="M313" s="84">
        <v>0.05</v>
      </c>
      <c r="N313" s="81"/>
      <c r="O313" s="82" t="s">
        <v>40</v>
      </c>
      <c r="P313" s="76">
        <f t="shared" ref="P313:P318" si="188">(C313+(E313*F313*H313))-N313</f>
        <v>48</v>
      </c>
      <c r="Q313" s="82" t="s">
        <v>40</v>
      </c>
      <c r="R313" s="83">
        <f t="shared" ref="R313:R318" si="189">P313*(J313-(J313*L313)-((J313-(J313*L313))*M313))</f>
        <v>1101240</v>
      </c>
      <c r="S313" s="83">
        <f t="shared" ref="S313" si="190">R313/1.11</f>
        <v>992108.10810810805</v>
      </c>
    </row>
    <row r="314" spans="1:19" s="78" customFormat="1">
      <c r="A314" s="77" t="s">
        <v>185</v>
      </c>
      <c r="B314" s="78" t="s">
        <v>18</v>
      </c>
      <c r="C314" s="76"/>
      <c r="D314" s="79" t="s">
        <v>40</v>
      </c>
      <c r="E314" s="80"/>
      <c r="F314" s="81">
        <v>1</v>
      </c>
      <c r="G314" s="82" t="s">
        <v>20</v>
      </c>
      <c r="H314" s="81">
        <v>24</v>
      </c>
      <c r="I314" s="82" t="s">
        <v>40</v>
      </c>
      <c r="J314" s="83">
        <v>73200</v>
      </c>
      <c r="K314" s="79" t="s">
        <v>40</v>
      </c>
      <c r="L314" s="84">
        <v>0.125</v>
      </c>
      <c r="M314" s="84">
        <v>0.05</v>
      </c>
      <c r="N314" s="81"/>
      <c r="O314" s="82" t="s">
        <v>40</v>
      </c>
      <c r="P314" s="76">
        <f t="shared" si="188"/>
        <v>0</v>
      </c>
      <c r="Q314" s="82" t="s">
        <v>40</v>
      </c>
      <c r="R314" s="83">
        <f t="shared" si="189"/>
        <v>0</v>
      </c>
      <c r="S314" s="83">
        <f t="shared" si="131"/>
        <v>0</v>
      </c>
    </row>
    <row r="315" spans="1:19" s="19" customFormat="1">
      <c r="A315" s="18" t="s">
        <v>186</v>
      </c>
      <c r="B315" s="19" t="s">
        <v>18</v>
      </c>
      <c r="C315" s="20">
        <v>36</v>
      </c>
      <c r="D315" s="21" t="s">
        <v>40</v>
      </c>
      <c r="E315" s="26">
        <v>1</v>
      </c>
      <c r="F315" s="22">
        <v>1</v>
      </c>
      <c r="G315" s="23" t="s">
        <v>20</v>
      </c>
      <c r="H315" s="22">
        <v>48</v>
      </c>
      <c r="I315" s="23" t="s">
        <v>40</v>
      </c>
      <c r="J315" s="24">
        <v>51600</v>
      </c>
      <c r="K315" s="21" t="s">
        <v>40</v>
      </c>
      <c r="L315" s="25">
        <v>0.125</v>
      </c>
      <c r="M315" s="25">
        <v>0.05</v>
      </c>
      <c r="N315" s="22"/>
      <c r="O315" s="23" t="s">
        <v>40</v>
      </c>
      <c r="P315" s="20">
        <f t="shared" si="188"/>
        <v>84</v>
      </c>
      <c r="Q315" s="23" t="s">
        <v>40</v>
      </c>
      <c r="R315" s="24">
        <f t="shared" si="189"/>
        <v>3602970</v>
      </c>
      <c r="S315" s="24">
        <f t="shared" si="131"/>
        <v>3245918.9189189188</v>
      </c>
    </row>
    <row r="316" spans="1:19" s="19" customFormat="1">
      <c r="A316" s="18" t="s">
        <v>187</v>
      </c>
      <c r="B316" s="19" t="s">
        <v>18</v>
      </c>
      <c r="C316" s="20">
        <v>20</v>
      </c>
      <c r="D316" s="21" t="s">
        <v>40</v>
      </c>
      <c r="E316" s="26">
        <v>8</v>
      </c>
      <c r="F316" s="22">
        <v>1</v>
      </c>
      <c r="G316" s="23" t="s">
        <v>20</v>
      </c>
      <c r="H316" s="22">
        <v>48</v>
      </c>
      <c r="I316" s="23" t="s">
        <v>40</v>
      </c>
      <c r="J316" s="24">
        <v>55800</v>
      </c>
      <c r="K316" s="21" t="s">
        <v>40</v>
      </c>
      <c r="L316" s="25">
        <v>0.125</v>
      </c>
      <c r="M316" s="25">
        <v>0.05</v>
      </c>
      <c r="N316" s="22"/>
      <c r="O316" s="23" t="s">
        <v>40</v>
      </c>
      <c r="P316" s="20">
        <f t="shared" si="188"/>
        <v>404</v>
      </c>
      <c r="Q316" s="23" t="s">
        <v>40</v>
      </c>
      <c r="R316" s="24">
        <f t="shared" si="189"/>
        <v>18739035</v>
      </c>
      <c r="S316" s="24">
        <f t="shared" si="131"/>
        <v>16882013.513513513</v>
      </c>
    </row>
    <row r="317" spans="1:19" s="78" customFormat="1">
      <c r="A317" s="77" t="s">
        <v>712</v>
      </c>
      <c r="B317" s="78" t="s">
        <v>18</v>
      </c>
      <c r="C317" s="76"/>
      <c r="D317" s="79" t="s">
        <v>40</v>
      </c>
      <c r="E317" s="80">
        <v>2</v>
      </c>
      <c r="F317" s="81">
        <v>1</v>
      </c>
      <c r="G317" s="82" t="s">
        <v>20</v>
      </c>
      <c r="H317" s="81">
        <f>288/12</f>
        <v>24</v>
      </c>
      <c r="I317" s="82" t="s">
        <v>40</v>
      </c>
      <c r="J317" s="83">
        <f>10600*12</f>
        <v>127200</v>
      </c>
      <c r="K317" s="79" t="s">
        <v>40</v>
      </c>
      <c r="L317" s="84">
        <v>0.125</v>
      </c>
      <c r="M317" s="84">
        <v>0.05</v>
      </c>
      <c r="N317" s="81"/>
      <c r="O317" s="82" t="s">
        <v>40</v>
      </c>
      <c r="P317" s="76">
        <f t="shared" si="188"/>
        <v>48</v>
      </c>
      <c r="Q317" s="82" t="s">
        <v>40</v>
      </c>
      <c r="R317" s="83">
        <f t="shared" si="189"/>
        <v>5075280</v>
      </c>
      <c r="S317" s="83">
        <f t="shared" si="131"/>
        <v>4572324.3243243238</v>
      </c>
    </row>
    <row r="318" spans="1:19" s="19" customFormat="1">
      <c r="A318" s="18" t="s">
        <v>188</v>
      </c>
      <c r="B318" s="19" t="s">
        <v>18</v>
      </c>
      <c r="C318" s="20">
        <v>9</v>
      </c>
      <c r="D318" s="21" t="s">
        <v>40</v>
      </c>
      <c r="E318" s="26">
        <v>23</v>
      </c>
      <c r="F318" s="22">
        <v>1</v>
      </c>
      <c r="G318" s="23" t="s">
        <v>20</v>
      </c>
      <c r="H318" s="22">
        <v>24</v>
      </c>
      <c r="I318" s="23" t="s">
        <v>40</v>
      </c>
      <c r="J318" s="24">
        <v>162000</v>
      </c>
      <c r="K318" s="21" t="s">
        <v>40</v>
      </c>
      <c r="L318" s="25">
        <v>0.125</v>
      </c>
      <c r="M318" s="25">
        <v>0.05</v>
      </c>
      <c r="N318" s="22"/>
      <c r="O318" s="23" t="s">
        <v>40</v>
      </c>
      <c r="P318" s="20">
        <f t="shared" si="188"/>
        <v>561</v>
      </c>
      <c r="Q318" s="23" t="s">
        <v>40</v>
      </c>
      <c r="R318" s="24">
        <f t="shared" si="189"/>
        <v>75545662.5</v>
      </c>
      <c r="S318" s="24">
        <f t="shared" si="131"/>
        <v>68059155.405405402</v>
      </c>
    </row>
    <row r="319" spans="1:19" s="19" customFormat="1">
      <c r="A319" s="18"/>
      <c r="C319" s="20"/>
      <c r="D319" s="21"/>
      <c r="E319" s="26"/>
      <c r="F319" s="22"/>
      <c r="G319" s="23"/>
      <c r="H319" s="22"/>
      <c r="I319" s="23"/>
      <c r="J319" s="24"/>
      <c r="K319" s="21"/>
      <c r="L319" s="25"/>
      <c r="M319" s="25"/>
      <c r="N319" s="22"/>
      <c r="O319" s="23"/>
      <c r="P319" s="20"/>
      <c r="Q319" s="23"/>
      <c r="R319" s="24"/>
      <c r="S319" s="24"/>
    </row>
    <row r="320" spans="1:19" s="19" customFormat="1">
      <c r="A320" s="18" t="s">
        <v>189</v>
      </c>
      <c r="B320" s="19" t="s">
        <v>25</v>
      </c>
      <c r="C320" s="20">
        <v>30</v>
      </c>
      <c r="D320" s="21" t="s">
        <v>40</v>
      </c>
      <c r="E320" s="26">
        <v>9</v>
      </c>
      <c r="F320" s="22">
        <v>1</v>
      </c>
      <c r="G320" s="23" t="s">
        <v>20</v>
      </c>
      <c r="H320" s="22">
        <v>30</v>
      </c>
      <c r="I320" s="23" t="s">
        <v>40</v>
      </c>
      <c r="J320" s="24">
        <f>1566000/30</f>
        <v>52200</v>
      </c>
      <c r="K320" s="21" t="s">
        <v>40</v>
      </c>
      <c r="L320" s="25"/>
      <c r="M320" s="25">
        <v>0.17</v>
      </c>
      <c r="N320" s="22"/>
      <c r="O320" s="23" t="s">
        <v>40</v>
      </c>
      <c r="P320" s="20">
        <f>(C320+(E320*F320*H320))-N320</f>
        <v>300</v>
      </c>
      <c r="Q320" s="23" t="s">
        <v>40</v>
      </c>
      <c r="R320" s="24">
        <f>P320*(J320-(J320*L320)-((J320-(J320*L320))*M320))</f>
        <v>12997800</v>
      </c>
      <c r="S320" s="24">
        <f t="shared" si="131"/>
        <v>11709729.729729729</v>
      </c>
    </row>
    <row r="321" spans="1:19" s="19" customFormat="1">
      <c r="A321" s="18" t="s">
        <v>190</v>
      </c>
      <c r="B321" s="19" t="s">
        <v>25</v>
      </c>
      <c r="C321" s="20">
        <v>111</v>
      </c>
      <c r="D321" s="21" t="s">
        <v>40</v>
      </c>
      <c r="E321" s="26">
        <v>27</v>
      </c>
      <c r="F321" s="22">
        <v>1</v>
      </c>
      <c r="G321" s="23" t="s">
        <v>20</v>
      </c>
      <c r="H321" s="22">
        <v>30</v>
      </c>
      <c r="I321" s="23" t="s">
        <v>40</v>
      </c>
      <c r="J321" s="24">
        <f>1710000/30</f>
        <v>57000</v>
      </c>
      <c r="K321" s="21" t="s">
        <v>40</v>
      </c>
      <c r="L321" s="25"/>
      <c r="M321" s="25">
        <v>0.17</v>
      </c>
      <c r="N321" s="22"/>
      <c r="O321" s="23" t="s">
        <v>40</v>
      </c>
      <c r="P321" s="20">
        <f>(C321+(E321*F321*H321))-N321</f>
        <v>921</v>
      </c>
      <c r="Q321" s="23" t="s">
        <v>40</v>
      </c>
      <c r="R321" s="24">
        <f>P321*(J321-(J321*L321)-((J321-(J321*L321))*M321))</f>
        <v>43572510</v>
      </c>
      <c r="S321" s="24">
        <f t="shared" si="131"/>
        <v>39254513.513513513</v>
      </c>
    </row>
    <row r="322" spans="1:19" s="19" customFormat="1">
      <c r="A322" s="18" t="s">
        <v>191</v>
      </c>
      <c r="B322" s="19" t="s">
        <v>25</v>
      </c>
      <c r="C322" s="20">
        <v>140</v>
      </c>
      <c r="D322" s="21" t="s">
        <v>40</v>
      </c>
      <c r="E322" s="26">
        <v>57</v>
      </c>
      <c r="F322" s="22">
        <v>1</v>
      </c>
      <c r="G322" s="23" t="s">
        <v>20</v>
      </c>
      <c r="H322" s="22">
        <v>20</v>
      </c>
      <c r="I322" s="23" t="s">
        <v>40</v>
      </c>
      <c r="J322" s="24">
        <f>2952000/20</f>
        <v>147600</v>
      </c>
      <c r="K322" s="21" t="s">
        <v>40</v>
      </c>
      <c r="L322" s="25"/>
      <c r="M322" s="25">
        <v>0.17</v>
      </c>
      <c r="N322" s="22"/>
      <c r="O322" s="23" t="s">
        <v>40</v>
      </c>
      <c r="P322" s="20">
        <f>(C322+(E322*F322*H322))-N322</f>
        <v>1280</v>
      </c>
      <c r="Q322" s="23" t="s">
        <v>40</v>
      </c>
      <c r="R322" s="24">
        <f>P322*(J322-(J322*L322)-((J322-(J322*L322))*M322))</f>
        <v>156810240</v>
      </c>
      <c r="S322" s="24">
        <f t="shared" si="131"/>
        <v>141270486.48648646</v>
      </c>
    </row>
    <row r="323" spans="1:19" s="19" customFormat="1">
      <c r="A323" s="18"/>
      <c r="C323" s="20"/>
      <c r="D323" s="21"/>
      <c r="E323" s="26"/>
      <c r="F323" s="22"/>
      <c r="G323" s="23"/>
      <c r="H323" s="22"/>
      <c r="I323" s="23"/>
      <c r="J323" s="24"/>
      <c r="K323" s="21"/>
      <c r="L323" s="25"/>
      <c r="M323" s="25"/>
      <c r="N323" s="22"/>
      <c r="O323" s="23"/>
      <c r="P323" s="20"/>
      <c r="Q323" s="23"/>
      <c r="R323" s="24"/>
      <c r="S323" s="24"/>
    </row>
    <row r="324" spans="1:19" s="19" customFormat="1">
      <c r="A324" s="18" t="s">
        <v>662</v>
      </c>
      <c r="B324" s="19" t="s">
        <v>597</v>
      </c>
      <c r="C324" s="20">
        <v>25</v>
      </c>
      <c r="D324" s="21" t="s">
        <v>40</v>
      </c>
      <c r="E324" s="26">
        <v>1</v>
      </c>
      <c r="F324" s="22">
        <v>1</v>
      </c>
      <c r="G324" s="23" t="s">
        <v>20</v>
      </c>
      <c r="H324" s="22">
        <v>48</v>
      </c>
      <c r="I324" s="23" t="s">
        <v>40</v>
      </c>
      <c r="J324" s="24">
        <v>60600</v>
      </c>
      <c r="K324" s="21" t="s">
        <v>40</v>
      </c>
      <c r="L324" s="25">
        <v>0.15</v>
      </c>
      <c r="M324" s="25">
        <v>0.03</v>
      </c>
      <c r="N324" s="22"/>
      <c r="O324" s="23" t="s">
        <v>40</v>
      </c>
      <c r="P324" s="20">
        <f>(C324+(E324*F324*H324))-N324</f>
        <v>73</v>
      </c>
      <c r="Q324" s="23" t="s">
        <v>40</v>
      </c>
      <c r="R324" s="24">
        <f>P324*(J324-(J324*L324)-((J324-(J324*L324))*M324))</f>
        <v>3647423.0999999996</v>
      </c>
      <c r="S324" s="24">
        <f t="shared" si="131"/>
        <v>3285966.756756756</v>
      </c>
    </row>
    <row r="325" spans="1:19" s="19" customFormat="1">
      <c r="A325" s="18" t="s">
        <v>996</v>
      </c>
      <c r="B325" s="19" t="s">
        <v>597</v>
      </c>
      <c r="C325" s="20"/>
      <c r="D325" s="21" t="s">
        <v>40</v>
      </c>
      <c r="E325" s="26">
        <v>1</v>
      </c>
      <c r="F325" s="22">
        <v>1</v>
      </c>
      <c r="G325" s="23" t="s">
        <v>20</v>
      </c>
      <c r="H325" s="22">
        <v>24</v>
      </c>
      <c r="I325" s="23" t="s">
        <v>40</v>
      </c>
      <c r="J325" s="24">
        <v>144000</v>
      </c>
      <c r="K325" s="21" t="s">
        <v>40</v>
      </c>
      <c r="L325" s="25">
        <v>0.15</v>
      </c>
      <c r="M325" s="25">
        <v>0.03</v>
      </c>
      <c r="N325" s="22"/>
      <c r="O325" s="23" t="s">
        <v>40</v>
      </c>
      <c r="P325" s="20">
        <f>(C325+(E325*F325*H325))-N325</f>
        <v>24</v>
      </c>
      <c r="Q325" s="23" t="s">
        <v>40</v>
      </c>
      <c r="R325" s="24">
        <f>P325*(J325-(J325*L325)-((J325-(J325*L325))*M325))</f>
        <v>2849472</v>
      </c>
      <c r="S325" s="24">
        <f t="shared" ref="S325" si="191">R325/1.11</f>
        <v>2567091.8918918916</v>
      </c>
    </row>
    <row r="326" spans="1:19" s="19" customFormat="1">
      <c r="A326" s="18"/>
      <c r="C326" s="20"/>
      <c r="D326" s="21"/>
      <c r="E326" s="26"/>
      <c r="F326" s="22"/>
      <c r="G326" s="23"/>
      <c r="H326" s="22"/>
      <c r="I326" s="23"/>
      <c r="J326" s="24"/>
      <c r="K326" s="21"/>
      <c r="L326" s="25"/>
      <c r="M326" s="25"/>
      <c r="N326" s="22"/>
      <c r="O326" s="23"/>
      <c r="P326" s="20"/>
      <c r="Q326" s="23"/>
      <c r="R326" s="24"/>
      <c r="S326" s="24"/>
    </row>
    <row r="327" spans="1:19" s="19" customFormat="1">
      <c r="A327" s="18" t="s">
        <v>768</v>
      </c>
      <c r="B327" s="18" t="s">
        <v>171</v>
      </c>
      <c r="C327" s="41">
        <v>600</v>
      </c>
      <c r="D327" s="42" t="s">
        <v>40</v>
      </c>
      <c r="E327" s="43"/>
      <c r="F327" s="44">
        <v>1</v>
      </c>
      <c r="G327" s="39" t="s">
        <v>20</v>
      </c>
      <c r="H327" s="44">
        <v>120</v>
      </c>
      <c r="I327" s="39" t="s">
        <v>40</v>
      </c>
      <c r="J327" s="27">
        <v>7500</v>
      </c>
      <c r="K327" s="42" t="s">
        <v>40</v>
      </c>
      <c r="L327" s="45">
        <v>0.05</v>
      </c>
      <c r="M327" s="45"/>
      <c r="N327" s="44"/>
      <c r="O327" s="39" t="s">
        <v>40</v>
      </c>
      <c r="P327" s="41">
        <f>(C327+(E327*F327*H327))-N327</f>
        <v>600</v>
      </c>
      <c r="Q327" s="39" t="s">
        <v>40</v>
      </c>
      <c r="R327" s="27">
        <f>P327*(J327-(J327*L327)-((J327-(J327*L327))*M327))</f>
        <v>4275000</v>
      </c>
      <c r="S327" s="27">
        <f t="shared" ref="S327:S328" si="192">R327/1.11</f>
        <v>3851351.351351351</v>
      </c>
    </row>
    <row r="328" spans="1:19" s="19" customFormat="1">
      <c r="A328" s="18" t="s">
        <v>774</v>
      </c>
      <c r="B328" s="18" t="s">
        <v>171</v>
      </c>
      <c r="C328" s="41">
        <v>27</v>
      </c>
      <c r="D328" s="42" t="s">
        <v>40</v>
      </c>
      <c r="E328" s="43"/>
      <c r="F328" s="44">
        <v>1</v>
      </c>
      <c r="G328" s="39" t="s">
        <v>20</v>
      </c>
      <c r="H328" s="44">
        <v>20</v>
      </c>
      <c r="I328" s="39" t="s">
        <v>40</v>
      </c>
      <c r="J328" s="27">
        <f>5500*12</f>
        <v>66000</v>
      </c>
      <c r="K328" s="42" t="s">
        <v>40</v>
      </c>
      <c r="L328" s="45">
        <v>0.05</v>
      </c>
      <c r="M328" s="45"/>
      <c r="N328" s="44"/>
      <c r="O328" s="39" t="s">
        <v>40</v>
      </c>
      <c r="P328" s="41">
        <f>(C328+(E328*F328*H328))-N328</f>
        <v>27</v>
      </c>
      <c r="Q328" s="39" t="s">
        <v>40</v>
      </c>
      <c r="R328" s="27">
        <f>P328*(J328-(J328*L328)-((J328-(J328*L328))*M328))</f>
        <v>1692900</v>
      </c>
      <c r="S328" s="27">
        <f t="shared" si="192"/>
        <v>1525135.1351351349</v>
      </c>
    </row>
    <row r="329" spans="1:19" s="19" customFormat="1">
      <c r="A329" s="18"/>
      <c r="C329" s="20"/>
      <c r="D329" s="21"/>
      <c r="E329" s="26"/>
      <c r="F329" s="22"/>
      <c r="G329" s="23"/>
      <c r="H329" s="22"/>
      <c r="I329" s="23"/>
      <c r="J329" s="24"/>
      <c r="K329" s="21"/>
      <c r="L329" s="25"/>
      <c r="M329" s="25"/>
      <c r="N329" s="22"/>
      <c r="O329" s="23"/>
      <c r="P329" s="20"/>
      <c r="Q329" s="23"/>
      <c r="R329" s="24"/>
      <c r="S329" s="24"/>
    </row>
    <row r="330" spans="1:19" s="19" customFormat="1">
      <c r="A330" s="62" t="s">
        <v>192</v>
      </c>
      <c r="C330" s="20"/>
      <c r="D330" s="21"/>
      <c r="E330" s="26"/>
      <c r="F330" s="22"/>
      <c r="G330" s="23"/>
      <c r="H330" s="22"/>
      <c r="I330" s="23"/>
      <c r="J330" s="24"/>
      <c r="K330" s="21"/>
      <c r="L330" s="25"/>
      <c r="M330" s="25"/>
      <c r="N330" s="22"/>
      <c r="O330" s="23"/>
      <c r="P330" s="20"/>
      <c r="Q330" s="23"/>
      <c r="R330" s="24"/>
      <c r="S330" s="24"/>
    </row>
    <row r="331" spans="1:19" s="19" customFormat="1">
      <c r="A331" s="159" t="s">
        <v>963</v>
      </c>
      <c r="B331" s="19" t="s">
        <v>18</v>
      </c>
      <c r="C331" s="20"/>
      <c r="D331" s="21" t="s">
        <v>40</v>
      </c>
      <c r="E331" s="26">
        <v>1</v>
      </c>
      <c r="F331" s="22">
        <v>1</v>
      </c>
      <c r="G331" s="23" t="s">
        <v>20</v>
      </c>
      <c r="H331" s="22">
        <v>120</v>
      </c>
      <c r="I331" s="23" t="s">
        <v>40</v>
      </c>
      <c r="J331" s="24">
        <v>24600</v>
      </c>
      <c r="K331" s="21" t="s">
        <v>40</v>
      </c>
      <c r="L331" s="25">
        <v>0.125</v>
      </c>
      <c r="M331" s="25">
        <v>0.05</v>
      </c>
      <c r="N331" s="22"/>
      <c r="O331" s="23" t="s">
        <v>40</v>
      </c>
      <c r="P331" s="20">
        <f>(C331+(E331*F331*H331))-N331</f>
        <v>120</v>
      </c>
      <c r="Q331" s="23" t="s">
        <v>40</v>
      </c>
      <c r="R331" s="24">
        <f>P331*(J331-(J331*L331)-((J331-(J331*L331))*M331))</f>
        <v>2453850</v>
      </c>
      <c r="S331" s="24">
        <f t="shared" ref="S331" si="193">R331/1.11</f>
        <v>2210675.6756756753</v>
      </c>
    </row>
    <row r="332" spans="1:19" s="19" customFormat="1">
      <c r="A332" s="18" t="s">
        <v>193</v>
      </c>
      <c r="B332" s="19" t="s">
        <v>18</v>
      </c>
      <c r="C332" s="20">
        <v>230</v>
      </c>
      <c r="D332" s="21" t="s">
        <v>40</v>
      </c>
      <c r="E332" s="26">
        <v>9</v>
      </c>
      <c r="F332" s="22">
        <v>1</v>
      </c>
      <c r="G332" s="23" t="s">
        <v>20</v>
      </c>
      <c r="H332" s="22">
        <v>120</v>
      </c>
      <c r="I332" s="23" t="s">
        <v>40</v>
      </c>
      <c r="J332" s="24">
        <v>24600</v>
      </c>
      <c r="K332" s="21" t="s">
        <v>40</v>
      </c>
      <c r="L332" s="25">
        <v>0.125</v>
      </c>
      <c r="M332" s="25">
        <v>0.05</v>
      </c>
      <c r="N332" s="22"/>
      <c r="O332" s="23" t="s">
        <v>40</v>
      </c>
      <c r="P332" s="20">
        <f>(C332+(E332*F332*H332))-N332</f>
        <v>1310</v>
      </c>
      <c r="Q332" s="23" t="s">
        <v>40</v>
      </c>
      <c r="R332" s="24">
        <f>P332*(J332-(J332*L332)-((J332-(J332*L332))*M332))</f>
        <v>26787862.5</v>
      </c>
      <c r="S332" s="24">
        <f t="shared" si="131"/>
        <v>24133209.459459458</v>
      </c>
    </row>
    <row r="333" spans="1:19" s="19" customFormat="1">
      <c r="A333" s="131" t="s">
        <v>904</v>
      </c>
      <c r="B333" s="19" t="s">
        <v>18</v>
      </c>
      <c r="C333" s="20">
        <f>(12*40)</f>
        <v>480</v>
      </c>
      <c r="D333" s="21" t="s">
        <v>40</v>
      </c>
      <c r="E333" s="26">
        <v>12</v>
      </c>
      <c r="F333" s="22">
        <v>1</v>
      </c>
      <c r="G333" s="23" t="s">
        <v>20</v>
      </c>
      <c r="H333" s="22">
        <v>40</v>
      </c>
      <c r="I333" s="23" t="s">
        <v>40</v>
      </c>
      <c r="J333" s="135">
        <v>0</v>
      </c>
      <c r="K333" s="138" t="s">
        <v>40</v>
      </c>
      <c r="L333" s="130">
        <v>0</v>
      </c>
      <c r="M333" s="130">
        <v>0</v>
      </c>
      <c r="N333" s="22"/>
      <c r="O333" s="23" t="s">
        <v>40</v>
      </c>
      <c r="P333" s="20">
        <f>(C333+(E333*F333*H333))-N333</f>
        <v>960</v>
      </c>
      <c r="Q333" s="23" t="s">
        <v>40</v>
      </c>
      <c r="R333" s="24">
        <f>P333*(J333-(J333*L333)-((J333-(J333*L333))*M333))</f>
        <v>0</v>
      </c>
      <c r="S333" s="24">
        <f t="shared" ref="S333" si="194">R333/1.11</f>
        <v>0</v>
      </c>
    </row>
    <row r="334" spans="1:19" s="19" customFormat="1">
      <c r="A334" s="131" t="s">
        <v>729</v>
      </c>
      <c r="B334" s="19" t="s">
        <v>18</v>
      </c>
      <c r="C334" s="20">
        <v>320</v>
      </c>
      <c r="D334" s="21" t="s">
        <v>40</v>
      </c>
      <c r="E334" s="26">
        <v>28</v>
      </c>
      <c r="F334" s="22">
        <v>1</v>
      </c>
      <c r="G334" s="23" t="s">
        <v>20</v>
      </c>
      <c r="H334" s="22">
        <v>40</v>
      </c>
      <c r="I334" s="23" t="s">
        <v>40</v>
      </c>
      <c r="J334" s="135">
        <v>49200</v>
      </c>
      <c r="K334" s="138" t="s">
        <v>40</v>
      </c>
      <c r="L334" s="130">
        <v>0.125</v>
      </c>
      <c r="M334" s="130">
        <v>0.05</v>
      </c>
      <c r="N334" s="22"/>
      <c r="O334" s="23" t="s">
        <v>40</v>
      </c>
      <c r="P334" s="20">
        <f>(C334+(E334*F334*H334))-N334</f>
        <v>1440</v>
      </c>
      <c r="Q334" s="23" t="s">
        <v>40</v>
      </c>
      <c r="R334" s="24">
        <f>P334*(J334-(J334*L334)-((J334-(J334*L334))*M334))</f>
        <v>58892400</v>
      </c>
      <c r="S334" s="24">
        <f t="shared" si="131"/>
        <v>53056216.216216214</v>
      </c>
    </row>
    <row r="335" spans="1:19" s="19" customFormat="1">
      <c r="A335" s="18"/>
      <c r="C335" s="20"/>
      <c r="D335" s="21"/>
      <c r="E335" s="26"/>
      <c r="F335" s="22"/>
      <c r="G335" s="23"/>
      <c r="H335" s="22"/>
      <c r="I335" s="23"/>
      <c r="J335" s="24"/>
      <c r="K335" s="21"/>
      <c r="L335" s="25"/>
      <c r="M335" s="25"/>
      <c r="N335" s="22"/>
      <c r="O335" s="23"/>
      <c r="P335" s="20"/>
      <c r="Q335" s="23"/>
      <c r="R335" s="24"/>
      <c r="S335" s="24"/>
    </row>
    <row r="336" spans="1:19" s="19" customFormat="1">
      <c r="A336" s="18" t="s">
        <v>194</v>
      </c>
      <c r="B336" s="19" t="s">
        <v>25</v>
      </c>
      <c r="C336" s="20"/>
      <c r="D336" s="21" t="s">
        <v>40</v>
      </c>
      <c r="E336" s="26">
        <v>34</v>
      </c>
      <c r="F336" s="22">
        <v>1</v>
      </c>
      <c r="G336" s="23" t="s">
        <v>20</v>
      </c>
      <c r="H336" s="22">
        <v>120</v>
      </c>
      <c r="I336" s="23" t="s">
        <v>40</v>
      </c>
      <c r="J336" s="24">
        <f>3888000/120</f>
        <v>32400</v>
      </c>
      <c r="K336" s="21" t="s">
        <v>40</v>
      </c>
      <c r="L336" s="25"/>
      <c r="M336" s="25">
        <v>0.17</v>
      </c>
      <c r="N336" s="22"/>
      <c r="O336" s="23" t="s">
        <v>40</v>
      </c>
      <c r="P336" s="20">
        <f>(C336+(E336*F336*H336))-N336</f>
        <v>4080</v>
      </c>
      <c r="Q336" s="23" t="s">
        <v>40</v>
      </c>
      <c r="R336" s="24">
        <f>P336*(J336-(J336*L336)-((J336-(J336*L336))*M336))</f>
        <v>109719360</v>
      </c>
      <c r="S336" s="24">
        <f t="shared" si="131"/>
        <v>98846270.270270258</v>
      </c>
    </row>
    <row r="337" spans="1:19" s="19" customFormat="1">
      <c r="A337" s="18" t="s">
        <v>195</v>
      </c>
      <c r="B337" s="19" t="s">
        <v>25</v>
      </c>
      <c r="C337" s="20"/>
      <c r="D337" s="21" t="s">
        <v>40</v>
      </c>
      <c r="E337" s="26">
        <v>116</v>
      </c>
      <c r="F337" s="22">
        <v>1</v>
      </c>
      <c r="G337" s="23" t="s">
        <v>20</v>
      </c>
      <c r="H337" s="22">
        <v>60</v>
      </c>
      <c r="I337" s="23" t="s">
        <v>40</v>
      </c>
      <c r="J337" s="24">
        <f>3888000/60</f>
        <v>64800</v>
      </c>
      <c r="K337" s="21" t="s">
        <v>40</v>
      </c>
      <c r="L337" s="25"/>
      <c r="M337" s="25">
        <v>0.17</v>
      </c>
      <c r="N337" s="22"/>
      <c r="O337" s="23" t="s">
        <v>40</v>
      </c>
      <c r="P337" s="20">
        <f>(C337+(E337*F337*H337))-N337</f>
        <v>6960</v>
      </c>
      <c r="Q337" s="23" t="s">
        <v>40</v>
      </c>
      <c r="R337" s="24">
        <f>P337*(J337-(J337*L337)-((J337-(J337*L337))*M337))</f>
        <v>374336640</v>
      </c>
      <c r="S337" s="24">
        <f t="shared" si="131"/>
        <v>337240216.21621621</v>
      </c>
    </row>
    <row r="338" spans="1:19" s="19" customFormat="1">
      <c r="A338" s="18"/>
      <c r="C338" s="20"/>
      <c r="D338" s="21"/>
      <c r="E338" s="26"/>
      <c r="F338" s="22"/>
      <c r="G338" s="23"/>
      <c r="H338" s="22"/>
      <c r="I338" s="23"/>
      <c r="J338" s="24"/>
      <c r="K338" s="21"/>
      <c r="L338" s="25"/>
      <c r="M338" s="25"/>
      <c r="N338" s="22"/>
      <c r="O338" s="23"/>
      <c r="P338" s="20"/>
      <c r="Q338" s="23"/>
      <c r="R338" s="24"/>
      <c r="S338" s="24"/>
    </row>
    <row r="339" spans="1:19" s="19" customFormat="1">
      <c r="A339" s="62" t="s">
        <v>196</v>
      </c>
      <c r="C339" s="20"/>
      <c r="D339" s="21"/>
      <c r="E339" s="26"/>
      <c r="F339" s="22"/>
      <c r="G339" s="23"/>
      <c r="H339" s="22"/>
      <c r="I339" s="23"/>
      <c r="J339" s="24"/>
      <c r="K339" s="21"/>
      <c r="L339" s="25"/>
      <c r="M339" s="25"/>
      <c r="N339" s="22"/>
      <c r="O339" s="23"/>
      <c r="P339" s="20"/>
      <c r="Q339" s="23"/>
      <c r="R339" s="24"/>
      <c r="S339" s="24"/>
    </row>
    <row r="340" spans="1:19" s="78" customFormat="1">
      <c r="A340" s="77" t="s">
        <v>790</v>
      </c>
      <c r="B340" s="78" t="s">
        <v>18</v>
      </c>
      <c r="C340" s="76"/>
      <c r="D340" s="79" t="s">
        <v>19</v>
      </c>
      <c r="E340" s="80"/>
      <c r="F340" s="81">
        <v>1</v>
      </c>
      <c r="G340" s="82" t="s">
        <v>20</v>
      </c>
      <c r="H340" s="81">
        <v>20</v>
      </c>
      <c r="I340" s="82" t="s">
        <v>19</v>
      </c>
      <c r="J340" s="83">
        <v>124000</v>
      </c>
      <c r="K340" s="79" t="s">
        <v>19</v>
      </c>
      <c r="L340" s="84">
        <v>0.125</v>
      </c>
      <c r="M340" s="84">
        <v>0.05</v>
      </c>
      <c r="N340" s="81"/>
      <c r="O340" s="82" t="s">
        <v>19</v>
      </c>
      <c r="P340" s="76">
        <f>(C340+(E340*F340*H340))-N340</f>
        <v>0</v>
      </c>
      <c r="Q340" s="82" t="s">
        <v>19</v>
      </c>
      <c r="R340" s="83">
        <f>P340*(J340-(J340*L340)-((J340-(J340*L340))*M340))</f>
        <v>0</v>
      </c>
      <c r="S340" s="83">
        <f t="shared" ref="S340" si="195">R340/1.11</f>
        <v>0</v>
      </c>
    </row>
    <row r="341" spans="1:19" s="78" customFormat="1">
      <c r="A341" s="77" t="s">
        <v>197</v>
      </c>
      <c r="B341" s="78" t="s">
        <v>18</v>
      </c>
      <c r="C341" s="76"/>
      <c r="D341" s="79" t="s">
        <v>19</v>
      </c>
      <c r="E341" s="80">
        <v>1</v>
      </c>
      <c r="F341" s="81">
        <v>1</v>
      </c>
      <c r="G341" s="82" t="s">
        <v>20</v>
      </c>
      <c r="H341" s="81">
        <v>5</v>
      </c>
      <c r="I341" s="82" t="s">
        <v>19</v>
      </c>
      <c r="J341" s="83">
        <v>214000</v>
      </c>
      <c r="K341" s="79" t="s">
        <v>19</v>
      </c>
      <c r="L341" s="84">
        <v>0.125</v>
      </c>
      <c r="M341" s="84">
        <v>0.05</v>
      </c>
      <c r="N341" s="81"/>
      <c r="O341" s="82" t="s">
        <v>19</v>
      </c>
      <c r="P341" s="76">
        <f>(C341+(E341*F341*H341))-N341</f>
        <v>5</v>
      </c>
      <c r="Q341" s="82" t="s">
        <v>19</v>
      </c>
      <c r="R341" s="83">
        <f>P341*(J341-(J341*L341)-((J341-(J341*L341))*M341))</f>
        <v>889437.5</v>
      </c>
      <c r="S341" s="83">
        <f t="shared" si="131"/>
        <v>801295.04504504497</v>
      </c>
    </row>
    <row r="342" spans="1:19" s="19" customFormat="1">
      <c r="A342" s="18" t="s">
        <v>198</v>
      </c>
      <c r="B342" s="19" t="s">
        <v>18</v>
      </c>
      <c r="C342" s="20">
        <v>3</v>
      </c>
      <c r="D342" s="21" t="s">
        <v>19</v>
      </c>
      <c r="E342" s="26"/>
      <c r="F342" s="22">
        <v>1</v>
      </c>
      <c r="G342" s="23" t="s">
        <v>20</v>
      </c>
      <c r="H342" s="22">
        <v>5</v>
      </c>
      <c r="I342" s="23" t="s">
        <v>19</v>
      </c>
      <c r="J342" s="24">
        <v>219000</v>
      </c>
      <c r="K342" s="21" t="s">
        <v>19</v>
      </c>
      <c r="L342" s="25">
        <v>0.125</v>
      </c>
      <c r="M342" s="25">
        <v>0.05</v>
      </c>
      <c r="N342" s="22"/>
      <c r="O342" s="23" t="s">
        <v>19</v>
      </c>
      <c r="P342" s="20">
        <f>(C342+(E342*F342*H342))-N342</f>
        <v>3</v>
      </c>
      <c r="Q342" s="23" t="s">
        <v>19</v>
      </c>
      <c r="R342" s="24">
        <f>P342*(J342-(J342*L342)-((J342-(J342*L342))*M342))</f>
        <v>546131.25</v>
      </c>
      <c r="S342" s="24">
        <f t="shared" si="131"/>
        <v>492010.13513513509</v>
      </c>
    </row>
    <row r="343" spans="1:19" s="78" customFormat="1">
      <c r="A343" s="77" t="s">
        <v>199</v>
      </c>
      <c r="B343" s="78" t="s">
        <v>18</v>
      </c>
      <c r="C343" s="76"/>
      <c r="D343" s="79" t="s">
        <v>19</v>
      </c>
      <c r="E343" s="80"/>
      <c r="F343" s="81">
        <v>1</v>
      </c>
      <c r="G343" s="82" t="s">
        <v>20</v>
      </c>
      <c r="H343" s="81">
        <v>4</v>
      </c>
      <c r="I343" s="82" t="s">
        <v>19</v>
      </c>
      <c r="J343" s="83">
        <v>291000</v>
      </c>
      <c r="K343" s="79" t="s">
        <v>19</v>
      </c>
      <c r="L343" s="84">
        <v>0.125</v>
      </c>
      <c r="M343" s="84">
        <v>0.05</v>
      </c>
      <c r="N343" s="81"/>
      <c r="O343" s="82" t="s">
        <v>19</v>
      </c>
      <c r="P343" s="76">
        <f>(C343+(E343*F343*H343))-N343</f>
        <v>0</v>
      </c>
      <c r="Q343" s="82" t="s">
        <v>19</v>
      </c>
      <c r="R343" s="83">
        <f>P343*(J343-(J343*L343)-((J343-(J343*L343))*M343))</f>
        <v>0</v>
      </c>
      <c r="S343" s="83">
        <f t="shared" si="131"/>
        <v>0</v>
      </c>
    </row>
    <row r="344" spans="1:19" s="19" customFormat="1">
      <c r="A344" s="18"/>
      <c r="C344" s="20"/>
      <c r="D344" s="21"/>
      <c r="E344" s="26"/>
      <c r="F344" s="22"/>
      <c r="G344" s="23"/>
      <c r="H344" s="22"/>
      <c r="I344" s="23"/>
      <c r="J344" s="24"/>
      <c r="K344" s="21"/>
      <c r="L344" s="25"/>
      <c r="M344" s="25"/>
      <c r="N344" s="22"/>
      <c r="O344" s="23"/>
      <c r="P344" s="20"/>
      <c r="Q344" s="23"/>
      <c r="R344" s="24"/>
      <c r="S344" s="24"/>
    </row>
    <row r="345" spans="1:19" s="78" customFormat="1">
      <c r="A345" s="77" t="s">
        <v>200</v>
      </c>
      <c r="B345" s="78" t="s">
        <v>25</v>
      </c>
      <c r="C345" s="76"/>
      <c r="D345" s="79" t="s">
        <v>19</v>
      </c>
      <c r="E345" s="80">
        <v>1</v>
      </c>
      <c r="F345" s="81">
        <v>1</v>
      </c>
      <c r="G345" s="82" t="s">
        <v>20</v>
      </c>
      <c r="H345" s="81">
        <v>5</v>
      </c>
      <c r="I345" s="82" t="s">
        <v>19</v>
      </c>
      <c r="J345" s="83">
        <f>1125000/5</f>
        <v>225000</v>
      </c>
      <c r="K345" s="79" t="s">
        <v>19</v>
      </c>
      <c r="L345" s="84"/>
      <c r="M345" s="84">
        <v>0.17</v>
      </c>
      <c r="N345" s="81"/>
      <c r="O345" s="82" t="s">
        <v>19</v>
      </c>
      <c r="P345" s="76">
        <f>(C345+(E345*F345*H345))-N345</f>
        <v>5</v>
      </c>
      <c r="Q345" s="82" t="s">
        <v>19</v>
      </c>
      <c r="R345" s="83">
        <f>P345*(J345-(J345*L345)-((J345-(J345*L345))*M345))</f>
        <v>933750</v>
      </c>
      <c r="S345" s="83">
        <f t="shared" si="131"/>
        <v>841216.2162162161</v>
      </c>
    </row>
    <row r="346" spans="1:19" s="95" customFormat="1">
      <c r="A346" s="87" t="s">
        <v>201</v>
      </c>
      <c r="B346" s="95" t="s">
        <v>25</v>
      </c>
      <c r="C346" s="96"/>
      <c r="D346" s="97" t="s">
        <v>19</v>
      </c>
      <c r="E346" s="98">
        <v>1</v>
      </c>
      <c r="F346" s="99">
        <v>1</v>
      </c>
      <c r="G346" s="100" t="s">
        <v>20</v>
      </c>
      <c r="H346" s="99">
        <v>5</v>
      </c>
      <c r="I346" s="100" t="s">
        <v>19</v>
      </c>
      <c r="J346" s="101">
        <v>235000</v>
      </c>
      <c r="K346" s="97" t="s">
        <v>19</v>
      </c>
      <c r="L346" s="102"/>
      <c r="M346" s="102">
        <v>0.17</v>
      </c>
      <c r="N346" s="99"/>
      <c r="O346" s="100" t="s">
        <v>19</v>
      </c>
      <c r="P346" s="96">
        <f>(C346+(E346*F346*H346))-N346</f>
        <v>5</v>
      </c>
      <c r="Q346" s="100" t="s">
        <v>19</v>
      </c>
      <c r="R346" s="101">
        <f>P346*(J346-(J346*L346)-((J346-(J346*L346))*M346))</f>
        <v>975250</v>
      </c>
      <c r="S346" s="101">
        <f t="shared" ref="S346" si="196">R346/1.11</f>
        <v>878603.60360360355</v>
      </c>
    </row>
    <row r="347" spans="1:19" s="78" customFormat="1">
      <c r="A347" s="77" t="s">
        <v>201</v>
      </c>
      <c r="B347" s="78" t="s">
        <v>25</v>
      </c>
      <c r="C347" s="76"/>
      <c r="D347" s="79" t="s">
        <v>19</v>
      </c>
      <c r="E347" s="80"/>
      <c r="F347" s="81">
        <v>1</v>
      </c>
      <c r="G347" s="82" t="s">
        <v>20</v>
      </c>
      <c r="H347" s="81">
        <v>5</v>
      </c>
      <c r="I347" s="82" t="s">
        <v>19</v>
      </c>
      <c r="J347" s="83">
        <f>1125000/5</f>
        <v>225000</v>
      </c>
      <c r="K347" s="79" t="s">
        <v>19</v>
      </c>
      <c r="L347" s="84"/>
      <c r="M347" s="84">
        <v>0.17</v>
      </c>
      <c r="N347" s="81"/>
      <c r="O347" s="82" t="s">
        <v>19</v>
      </c>
      <c r="P347" s="76">
        <f>(C347+(E347*F347*H347))-N347</f>
        <v>0</v>
      </c>
      <c r="Q347" s="82" t="s">
        <v>19</v>
      </c>
      <c r="R347" s="83">
        <f>P347*(J347-(J347*L347)-((J347-(J347*L347))*M347))</f>
        <v>0</v>
      </c>
      <c r="S347" s="83">
        <f t="shared" si="131"/>
        <v>0</v>
      </c>
    </row>
    <row r="348" spans="1:19" s="78" customFormat="1">
      <c r="A348" s="77" t="s">
        <v>202</v>
      </c>
      <c r="B348" s="78" t="s">
        <v>25</v>
      </c>
      <c r="C348" s="76"/>
      <c r="D348" s="79" t="s">
        <v>19</v>
      </c>
      <c r="E348" s="80"/>
      <c r="F348" s="81">
        <v>1</v>
      </c>
      <c r="G348" s="82" t="s">
        <v>20</v>
      </c>
      <c r="H348" s="81">
        <v>4</v>
      </c>
      <c r="I348" s="82" t="s">
        <v>19</v>
      </c>
      <c r="J348" s="83">
        <f>1180000/4</f>
        <v>295000</v>
      </c>
      <c r="K348" s="79" t="s">
        <v>19</v>
      </c>
      <c r="L348" s="84"/>
      <c r="M348" s="84">
        <v>0.17</v>
      </c>
      <c r="N348" s="81"/>
      <c r="O348" s="82" t="s">
        <v>19</v>
      </c>
      <c r="P348" s="76">
        <f>(C348+(E348*F348*H348))-N348</f>
        <v>0</v>
      </c>
      <c r="Q348" s="82" t="s">
        <v>19</v>
      </c>
      <c r="R348" s="83">
        <f>P348*(J348-(J348*L348)-((J348-(J348*L348))*M348))</f>
        <v>0</v>
      </c>
      <c r="S348" s="83">
        <f t="shared" ref="S348:S451" si="197">R348/1.11</f>
        <v>0</v>
      </c>
    </row>
    <row r="349" spans="1:19" s="19" customFormat="1">
      <c r="A349" s="18"/>
      <c r="C349" s="20"/>
      <c r="D349" s="21"/>
      <c r="E349" s="26"/>
      <c r="F349" s="22"/>
      <c r="G349" s="23"/>
      <c r="H349" s="22"/>
      <c r="I349" s="23"/>
      <c r="J349" s="24"/>
      <c r="K349" s="21"/>
      <c r="L349" s="25"/>
      <c r="M349" s="25"/>
      <c r="N349" s="22"/>
      <c r="O349" s="23"/>
      <c r="P349" s="20"/>
      <c r="Q349" s="23"/>
      <c r="R349" s="24"/>
      <c r="S349" s="24"/>
    </row>
    <row r="350" spans="1:19" s="19" customFormat="1" ht="15.75">
      <c r="A350" s="35" t="s">
        <v>740</v>
      </c>
      <c r="C350" s="20"/>
      <c r="D350" s="21"/>
      <c r="E350" s="26"/>
      <c r="F350" s="22"/>
      <c r="G350" s="23"/>
      <c r="H350" s="22"/>
      <c r="I350" s="23"/>
      <c r="J350" s="24"/>
      <c r="K350" s="21"/>
      <c r="L350" s="25"/>
      <c r="M350" s="25"/>
      <c r="N350" s="22"/>
      <c r="O350" s="23"/>
      <c r="P350" s="20"/>
      <c r="Q350" s="23"/>
      <c r="R350" s="24"/>
      <c r="S350" s="24"/>
    </row>
    <row r="351" spans="1:19" s="19" customFormat="1">
      <c r="A351" s="18" t="s">
        <v>741</v>
      </c>
      <c r="B351" s="19" t="s">
        <v>597</v>
      </c>
      <c r="C351" s="20">
        <v>14</v>
      </c>
      <c r="D351" s="21" t="s">
        <v>19</v>
      </c>
      <c r="E351" s="26"/>
      <c r="F351" s="22">
        <v>1</v>
      </c>
      <c r="G351" s="23" t="s">
        <v>20</v>
      </c>
      <c r="H351" s="22">
        <v>48</v>
      </c>
      <c r="I351" s="23" t="s">
        <v>19</v>
      </c>
      <c r="J351" s="24">
        <v>53000</v>
      </c>
      <c r="K351" s="21" t="s">
        <v>19</v>
      </c>
      <c r="L351" s="25">
        <v>0.17499999999999999</v>
      </c>
      <c r="M351" s="25">
        <v>1.0999999999999999E-2</v>
      </c>
      <c r="N351" s="22"/>
      <c r="O351" s="23" t="s">
        <v>19</v>
      </c>
      <c r="P351" s="20">
        <f>(C351+(E351*F351*H351))-N351</f>
        <v>14</v>
      </c>
      <c r="Q351" s="23" t="s">
        <v>19</v>
      </c>
      <c r="R351" s="24">
        <f>P351*(J351-(J351*L351)-((J351-(J351*L351))*M351))</f>
        <v>605416.35</v>
      </c>
      <c r="S351" s="24">
        <f t="shared" ref="S351" si="198">R351/1.11</f>
        <v>545420.13513513503</v>
      </c>
    </row>
    <row r="352" spans="1:19" s="19" customFormat="1">
      <c r="A352" s="18"/>
      <c r="C352" s="20"/>
      <c r="D352" s="21"/>
      <c r="E352" s="26"/>
      <c r="F352" s="22"/>
      <c r="G352" s="23"/>
      <c r="H352" s="22"/>
      <c r="I352" s="23"/>
      <c r="J352" s="24"/>
      <c r="K352" s="21"/>
      <c r="L352" s="25"/>
      <c r="M352" s="25"/>
      <c r="N352" s="22"/>
      <c r="O352" s="23"/>
      <c r="P352" s="20"/>
      <c r="Q352" s="23"/>
      <c r="R352" s="24"/>
      <c r="S352" s="24"/>
    </row>
    <row r="353" spans="1:19" s="19" customFormat="1" ht="15.75">
      <c r="A353" s="35" t="s">
        <v>203</v>
      </c>
      <c r="C353" s="20"/>
      <c r="D353" s="21"/>
      <c r="E353" s="26"/>
      <c r="F353" s="22"/>
      <c r="G353" s="23"/>
      <c r="H353" s="22"/>
      <c r="I353" s="23"/>
      <c r="J353" s="24"/>
      <c r="K353" s="21"/>
      <c r="L353" s="25"/>
      <c r="M353" s="25"/>
      <c r="N353" s="22"/>
      <c r="O353" s="23"/>
      <c r="P353" s="20"/>
      <c r="Q353" s="23"/>
      <c r="R353" s="24"/>
      <c r="S353" s="24"/>
    </row>
    <row r="354" spans="1:19" s="19" customFormat="1">
      <c r="A354" s="18" t="s">
        <v>800</v>
      </c>
      <c r="B354" s="19" t="s">
        <v>18</v>
      </c>
      <c r="C354" s="20">
        <v>12</v>
      </c>
      <c r="D354" s="21" t="s">
        <v>19</v>
      </c>
      <c r="E354" s="26"/>
      <c r="F354" s="22">
        <v>8</v>
      </c>
      <c r="G354" s="23" t="s">
        <v>33</v>
      </c>
      <c r="H354" s="22">
        <v>12</v>
      </c>
      <c r="I354" s="23" t="s">
        <v>19</v>
      </c>
      <c r="J354" s="24">
        <v>11500</v>
      </c>
      <c r="K354" s="21" t="s">
        <v>19</v>
      </c>
      <c r="L354" s="25">
        <v>0.125</v>
      </c>
      <c r="M354" s="25">
        <v>0.05</v>
      </c>
      <c r="N354" s="22"/>
      <c r="O354" s="23" t="s">
        <v>19</v>
      </c>
      <c r="P354" s="20">
        <f>(C354+(E354*F354*H354))-N354</f>
        <v>12</v>
      </c>
      <c r="Q354" s="23" t="s">
        <v>19</v>
      </c>
      <c r="R354" s="24">
        <f>P354*(J354-(J354*L354)-((J354-(J354*L354))*M354))</f>
        <v>114712.5</v>
      </c>
      <c r="S354" s="24">
        <f t="shared" ref="S354" si="199">R354/1.11</f>
        <v>103344.59459459459</v>
      </c>
    </row>
    <row r="355" spans="1:19" s="19" customFormat="1">
      <c r="A355" s="18" t="s">
        <v>204</v>
      </c>
      <c r="B355" s="19" t="s">
        <v>18</v>
      </c>
      <c r="C355" s="20">
        <v>90</v>
      </c>
      <c r="D355" s="21" t="s">
        <v>19</v>
      </c>
      <c r="E355" s="26">
        <v>1</v>
      </c>
      <c r="F355" s="22">
        <v>1</v>
      </c>
      <c r="G355" s="23" t="s">
        <v>20</v>
      </c>
      <c r="H355" s="22">
        <v>90</v>
      </c>
      <c r="I355" s="23" t="s">
        <v>19</v>
      </c>
      <c r="J355" s="24">
        <v>24000</v>
      </c>
      <c r="K355" s="21" t="s">
        <v>19</v>
      </c>
      <c r="L355" s="25">
        <v>0.125</v>
      </c>
      <c r="M355" s="25">
        <v>0.05</v>
      </c>
      <c r="N355" s="22"/>
      <c r="O355" s="23" t="s">
        <v>19</v>
      </c>
      <c r="P355" s="20">
        <f>(C355+(E355*F355*H355))-N355</f>
        <v>180</v>
      </c>
      <c r="Q355" s="23" t="s">
        <v>19</v>
      </c>
      <c r="R355" s="24">
        <f>P355*(J355-(J355*L355)-((J355-(J355*L355))*M355))</f>
        <v>3591000</v>
      </c>
      <c r="S355" s="24">
        <f t="shared" si="197"/>
        <v>3235135.1351351347</v>
      </c>
    </row>
    <row r="356" spans="1:19" s="95" customFormat="1">
      <c r="A356" s="158" t="s">
        <v>205</v>
      </c>
      <c r="B356" s="95" t="s">
        <v>18</v>
      </c>
      <c r="C356" s="96"/>
      <c r="D356" s="97" t="s">
        <v>19</v>
      </c>
      <c r="E356" s="98">
        <v>3</v>
      </c>
      <c r="F356" s="99">
        <v>1</v>
      </c>
      <c r="G356" s="100" t="s">
        <v>20</v>
      </c>
      <c r="H356" s="99">
        <v>48</v>
      </c>
      <c r="I356" s="100" t="s">
        <v>19</v>
      </c>
      <c r="J356" s="101">
        <v>26200</v>
      </c>
      <c r="K356" s="97" t="s">
        <v>19</v>
      </c>
      <c r="L356" s="102">
        <v>0.125</v>
      </c>
      <c r="M356" s="102">
        <v>0.05</v>
      </c>
      <c r="N356" s="99"/>
      <c r="O356" s="100" t="s">
        <v>19</v>
      </c>
      <c r="P356" s="96">
        <f>(C356+(E356*F356*H356))-N356</f>
        <v>144</v>
      </c>
      <c r="Q356" s="100" t="s">
        <v>19</v>
      </c>
      <c r="R356" s="101">
        <f>P356*(J356-(J356*L356)-((J356-(J356*L356))*M356))</f>
        <v>3136140</v>
      </c>
      <c r="S356" s="101">
        <f t="shared" ref="S356" si="200">R356/1.11</f>
        <v>2825351.351351351</v>
      </c>
    </row>
    <row r="357" spans="1:19" s="78" customFormat="1">
      <c r="A357" s="77" t="s">
        <v>205</v>
      </c>
      <c r="B357" s="78" t="s">
        <v>18</v>
      </c>
      <c r="C357" s="76"/>
      <c r="D357" s="79" t="s">
        <v>19</v>
      </c>
      <c r="E357" s="80"/>
      <c r="F357" s="81">
        <v>1</v>
      </c>
      <c r="G357" s="82" t="s">
        <v>20</v>
      </c>
      <c r="H357" s="81">
        <v>48</v>
      </c>
      <c r="I357" s="82" t="s">
        <v>19</v>
      </c>
      <c r="J357" s="83">
        <v>24900</v>
      </c>
      <c r="K357" s="79" t="s">
        <v>19</v>
      </c>
      <c r="L357" s="84">
        <v>0.125</v>
      </c>
      <c r="M357" s="84">
        <v>0.05</v>
      </c>
      <c r="N357" s="81"/>
      <c r="O357" s="82" t="s">
        <v>19</v>
      </c>
      <c r="P357" s="76">
        <f>(C357+(E357*F357*H357))-N357</f>
        <v>0</v>
      </c>
      <c r="Q357" s="82" t="s">
        <v>19</v>
      </c>
      <c r="R357" s="83">
        <f>P357*(J357-(J357*L357)-((J357-(J357*L357))*M357))</f>
        <v>0</v>
      </c>
      <c r="S357" s="83">
        <f t="shared" si="197"/>
        <v>0</v>
      </c>
    </row>
    <row r="358" spans="1:19" s="19" customFormat="1">
      <c r="A358" s="18" t="s">
        <v>836</v>
      </c>
      <c r="B358" s="19" t="s">
        <v>18</v>
      </c>
      <c r="C358" s="20"/>
      <c r="D358" s="21" t="s">
        <v>19</v>
      </c>
      <c r="E358" s="26">
        <v>2</v>
      </c>
      <c r="F358" s="22">
        <v>1</v>
      </c>
      <c r="G358" s="23" t="s">
        <v>20</v>
      </c>
      <c r="H358" s="22">
        <v>50</v>
      </c>
      <c r="I358" s="23" t="s">
        <v>19</v>
      </c>
      <c r="J358" s="24">
        <v>20500</v>
      </c>
      <c r="K358" s="21" t="s">
        <v>19</v>
      </c>
      <c r="L358" s="25">
        <v>0.125</v>
      </c>
      <c r="M358" s="25">
        <v>0.05</v>
      </c>
      <c r="N358" s="22"/>
      <c r="O358" s="23" t="s">
        <v>19</v>
      </c>
      <c r="P358" s="20">
        <f>(C358+(E358*F358*H358))-N358</f>
        <v>100</v>
      </c>
      <c r="Q358" s="23" t="s">
        <v>19</v>
      </c>
      <c r="R358" s="24">
        <f>P358*(J358-(J358*L358)-((J358-(J358*L358))*M358))</f>
        <v>1704062.5</v>
      </c>
      <c r="S358" s="24">
        <f t="shared" ref="S358" si="201">R358/1.11</f>
        <v>1535191.4414414414</v>
      </c>
    </row>
    <row r="359" spans="1:19" s="19" customFormat="1">
      <c r="A359" s="18"/>
      <c r="C359" s="20"/>
      <c r="D359" s="21"/>
      <c r="E359" s="26"/>
      <c r="F359" s="22"/>
      <c r="G359" s="23"/>
      <c r="H359" s="22"/>
      <c r="I359" s="23"/>
      <c r="J359" s="24"/>
      <c r="K359" s="21"/>
      <c r="L359" s="25"/>
      <c r="M359" s="25"/>
      <c r="N359" s="22"/>
      <c r="O359" s="23"/>
      <c r="P359" s="20"/>
      <c r="Q359" s="23"/>
      <c r="R359" s="24"/>
      <c r="S359" s="24"/>
    </row>
    <row r="360" spans="1:19" s="78" customFormat="1">
      <c r="A360" s="77" t="s">
        <v>206</v>
      </c>
      <c r="B360" s="78" t="s">
        <v>25</v>
      </c>
      <c r="C360" s="76"/>
      <c r="D360" s="79" t="s">
        <v>19</v>
      </c>
      <c r="E360" s="80"/>
      <c r="F360" s="81">
        <v>1</v>
      </c>
      <c r="G360" s="82" t="s">
        <v>20</v>
      </c>
      <c r="H360" s="81">
        <v>24</v>
      </c>
      <c r="I360" s="82" t="s">
        <v>19</v>
      </c>
      <c r="J360" s="83">
        <f>720000/24</f>
        <v>30000</v>
      </c>
      <c r="K360" s="79" t="s">
        <v>19</v>
      </c>
      <c r="L360" s="84"/>
      <c r="M360" s="84">
        <v>0.17</v>
      </c>
      <c r="N360" s="81"/>
      <c r="O360" s="82" t="s">
        <v>19</v>
      </c>
      <c r="P360" s="76">
        <f>(C360+(E360*F360*H360))-N360</f>
        <v>0</v>
      </c>
      <c r="Q360" s="82" t="s">
        <v>19</v>
      </c>
      <c r="R360" s="83">
        <f>P360*(J360-(J360*L360)-((J360-(J360*L360))*M360))</f>
        <v>0</v>
      </c>
      <c r="S360" s="83">
        <f t="shared" si="197"/>
        <v>0</v>
      </c>
    </row>
    <row r="361" spans="1:19" s="19" customFormat="1">
      <c r="A361" s="18" t="s">
        <v>207</v>
      </c>
      <c r="B361" s="19" t="s">
        <v>25</v>
      </c>
      <c r="C361" s="20">
        <v>112</v>
      </c>
      <c r="D361" s="21" t="s">
        <v>19</v>
      </c>
      <c r="E361" s="26"/>
      <c r="F361" s="22">
        <v>1</v>
      </c>
      <c r="G361" s="23" t="s">
        <v>20</v>
      </c>
      <c r="H361" s="22">
        <v>48</v>
      </c>
      <c r="I361" s="23" t="s">
        <v>19</v>
      </c>
      <c r="J361" s="24">
        <f>1152000/48</f>
        <v>24000</v>
      </c>
      <c r="K361" s="21" t="s">
        <v>19</v>
      </c>
      <c r="L361" s="25"/>
      <c r="M361" s="25">
        <v>0.17</v>
      </c>
      <c r="N361" s="22"/>
      <c r="O361" s="23" t="s">
        <v>19</v>
      </c>
      <c r="P361" s="20">
        <f>(C361+(E361*F361*H361))-N361</f>
        <v>112</v>
      </c>
      <c r="Q361" s="23" t="s">
        <v>19</v>
      </c>
      <c r="R361" s="24">
        <f>P361*(J361-(J361*L361)-((J361-(J361*L361))*M361))</f>
        <v>2231040</v>
      </c>
      <c r="S361" s="24">
        <f t="shared" si="197"/>
        <v>2009945.9459459458</v>
      </c>
    </row>
    <row r="362" spans="1:19" s="19" customFormat="1">
      <c r="A362" s="18"/>
      <c r="C362" s="20"/>
      <c r="D362" s="21"/>
      <c r="E362" s="26"/>
      <c r="F362" s="22"/>
      <c r="G362" s="23"/>
      <c r="H362" s="22"/>
      <c r="I362" s="23"/>
      <c r="J362" s="24"/>
      <c r="K362" s="21"/>
      <c r="L362" s="25"/>
      <c r="M362" s="25"/>
      <c r="N362" s="22"/>
      <c r="O362" s="23"/>
      <c r="P362" s="20"/>
      <c r="Q362" s="23"/>
      <c r="R362" s="24"/>
      <c r="S362" s="24"/>
    </row>
    <row r="363" spans="1:19" s="19" customFormat="1" ht="15.75">
      <c r="A363" s="35" t="s">
        <v>208</v>
      </c>
      <c r="C363" s="20"/>
      <c r="D363" s="21"/>
      <c r="E363" s="26"/>
      <c r="F363" s="22"/>
      <c r="G363" s="23"/>
      <c r="H363" s="22"/>
      <c r="I363" s="23"/>
      <c r="J363" s="24"/>
      <c r="K363" s="21"/>
      <c r="L363" s="25"/>
      <c r="M363" s="25"/>
      <c r="N363" s="22"/>
      <c r="O363" s="23"/>
      <c r="P363" s="20"/>
      <c r="Q363" s="23"/>
      <c r="R363" s="24"/>
      <c r="S363" s="24"/>
    </row>
    <row r="364" spans="1:19" s="19" customFormat="1">
      <c r="A364" s="62" t="s">
        <v>760</v>
      </c>
      <c r="C364" s="20"/>
      <c r="D364" s="21"/>
      <c r="E364" s="26"/>
      <c r="F364" s="22"/>
      <c r="G364" s="23"/>
      <c r="H364" s="22"/>
      <c r="I364" s="23"/>
      <c r="J364" s="24"/>
      <c r="K364" s="21"/>
      <c r="L364" s="25"/>
      <c r="M364" s="25"/>
      <c r="N364" s="22"/>
      <c r="O364" s="23"/>
      <c r="P364" s="20"/>
      <c r="Q364" s="23"/>
      <c r="R364" s="24"/>
      <c r="S364" s="24"/>
    </row>
    <row r="365" spans="1:19" s="78" customFormat="1">
      <c r="A365" s="77" t="s">
        <v>761</v>
      </c>
      <c r="B365" s="78" t="s">
        <v>25</v>
      </c>
      <c r="C365" s="76"/>
      <c r="D365" s="79" t="s">
        <v>40</v>
      </c>
      <c r="E365" s="80"/>
      <c r="F365" s="81">
        <v>1</v>
      </c>
      <c r="G365" s="82" t="s">
        <v>20</v>
      </c>
      <c r="H365" s="81">
        <v>40</v>
      </c>
      <c r="I365" s="82" t="s">
        <v>40</v>
      </c>
      <c r="J365" s="83">
        <v>32400</v>
      </c>
      <c r="K365" s="79" t="s">
        <v>40</v>
      </c>
      <c r="L365" s="84"/>
      <c r="M365" s="84">
        <v>0.17</v>
      </c>
      <c r="N365" s="81"/>
      <c r="O365" s="82" t="s">
        <v>40</v>
      </c>
      <c r="P365" s="76">
        <f>(C365+(E365*F365*H365))-N365</f>
        <v>0</v>
      </c>
      <c r="Q365" s="82" t="s">
        <v>40</v>
      </c>
      <c r="R365" s="83">
        <f>P365*(J365-(J365*L365)-((J365-(J365*L365))*M365))</f>
        <v>0</v>
      </c>
      <c r="S365" s="83">
        <f t="shared" ref="S365" si="202">R365/1.11</f>
        <v>0</v>
      </c>
    </row>
    <row r="366" spans="1:19" s="19" customFormat="1">
      <c r="A366" s="18"/>
      <c r="C366" s="20"/>
      <c r="D366" s="21"/>
      <c r="E366" s="26"/>
      <c r="F366" s="22"/>
      <c r="G366" s="23"/>
      <c r="H366" s="22"/>
      <c r="I366" s="23"/>
      <c r="J366" s="24"/>
      <c r="K366" s="21"/>
      <c r="L366" s="25"/>
      <c r="M366" s="25"/>
      <c r="N366" s="22"/>
      <c r="O366" s="23"/>
      <c r="P366" s="20"/>
      <c r="Q366" s="23"/>
      <c r="R366" s="24"/>
      <c r="S366" s="24"/>
    </row>
    <row r="367" spans="1:19" s="19" customFormat="1">
      <c r="A367" s="62" t="s">
        <v>209</v>
      </c>
      <c r="C367" s="20"/>
      <c r="D367" s="21"/>
      <c r="E367" s="26"/>
      <c r="F367" s="22"/>
      <c r="G367" s="23"/>
      <c r="H367" s="22"/>
      <c r="I367" s="23"/>
      <c r="J367" s="24"/>
      <c r="K367" s="21"/>
      <c r="L367" s="25"/>
      <c r="M367" s="25"/>
      <c r="N367" s="22"/>
      <c r="O367" s="23"/>
      <c r="P367" s="20"/>
      <c r="Q367" s="23"/>
      <c r="R367" s="24"/>
      <c r="S367" s="24"/>
    </row>
    <row r="368" spans="1:19" s="78" customFormat="1">
      <c r="A368" s="77" t="s">
        <v>210</v>
      </c>
      <c r="B368" s="78" t="s">
        <v>18</v>
      </c>
      <c r="C368" s="76"/>
      <c r="D368" s="79" t="s">
        <v>19</v>
      </c>
      <c r="E368" s="80"/>
      <c r="F368" s="81">
        <v>1</v>
      </c>
      <c r="G368" s="82" t="s">
        <v>20</v>
      </c>
      <c r="H368" s="81">
        <v>40</v>
      </c>
      <c r="I368" s="82" t="s">
        <v>19</v>
      </c>
      <c r="J368" s="83">
        <v>38500</v>
      </c>
      <c r="K368" s="79" t="s">
        <v>19</v>
      </c>
      <c r="L368" s="84">
        <v>0.125</v>
      </c>
      <c r="M368" s="84">
        <v>0.05</v>
      </c>
      <c r="N368" s="81"/>
      <c r="O368" s="82" t="s">
        <v>19</v>
      </c>
      <c r="P368" s="76">
        <f>(C368+(E368*F368*H368))-N368</f>
        <v>0</v>
      </c>
      <c r="Q368" s="82" t="s">
        <v>19</v>
      </c>
      <c r="R368" s="83">
        <f>P368*(J368-(J368*L368)-((J368-(J368*L368))*M368))</f>
        <v>0</v>
      </c>
      <c r="S368" s="83">
        <f t="shared" si="197"/>
        <v>0</v>
      </c>
    </row>
    <row r="369" spans="1:19" s="19" customFormat="1">
      <c r="A369" s="18"/>
      <c r="C369" s="20"/>
      <c r="D369" s="21"/>
      <c r="E369" s="26"/>
      <c r="F369" s="22"/>
      <c r="G369" s="23"/>
      <c r="H369" s="22"/>
      <c r="I369" s="23"/>
      <c r="J369" s="24"/>
      <c r="K369" s="21"/>
      <c r="L369" s="25"/>
      <c r="M369" s="25"/>
      <c r="N369" s="22"/>
      <c r="O369" s="23"/>
      <c r="P369" s="20"/>
      <c r="Q369" s="23"/>
      <c r="R369" s="24"/>
      <c r="S369" s="24"/>
    </row>
    <row r="370" spans="1:19" s="19" customFormat="1">
      <c r="A370" s="62" t="s">
        <v>211</v>
      </c>
      <c r="C370" s="20"/>
      <c r="D370" s="21"/>
      <c r="E370" s="26"/>
      <c r="F370" s="22"/>
      <c r="G370" s="23"/>
      <c r="H370" s="22"/>
      <c r="I370" s="23"/>
      <c r="J370" s="24"/>
      <c r="K370" s="21"/>
      <c r="L370" s="25"/>
      <c r="M370" s="25"/>
      <c r="N370" s="22"/>
      <c r="O370" s="23"/>
      <c r="P370" s="20"/>
      <c r="Q370" s="23"/>
      <c r="R370" s="24"/>
      <c r="S370" s="24"/>
    </row>
    <row r="371" spans="1:19" s="19" customFormat="1">
      <c r="A371" s="18" t="s">
        <v>730</v>
      </c>
      <c r="B371" s="19" t="s">
        <v>18</v>
      </c>
      <c r="C371" s="20">
        <v>361</v>
      </c>
      <c r="D371" s="21" t="s">
        <v>19</v>
      </c>
      <c r="E371" s="26"/>
      <c r="F371" s="22">
        <v>1</v>
      </c>
      <c r="G371" s="23" t="s">
        <v>20</v>
      </c>
      <c r="H371" s="22">
        <v>48</v>
      </c>
      <c r="I371" s="23" t="s">
        <v>19</v>
      </c>
      <c r="J371" s="24">
        <v>17600</v>
      </c>
      <c r="K371" s="21" t="s">
        <v>19</v>
      </c>
      <c r="L371" s="25">
        <v>0.125</v>
      </c>
      <c r="M371" s="25">
        <v>0.05</v>
      </c>
      <c r="N371" s="22"/>
      <c r="O371" s="23" t="s">
        <v>19</v>
      </c>
      <c r="P371" s="20">
        <f>(C371+(E371*F371*H371))-N371</f>
        <v>361</v>
      </c>
      <c r="Q371" s="23" t="s">
        <v>19</v>
      </c>
      <c r="R371" s="24">
        <f>P371*(J371-(J371*L371)-((J371-(J371*L371))*M371))</f>
        <v>5281430</v>
      </c>
      <c r="S371" s="24">
        <f t="shared" si="197"/>
        <v>4758045.0450450443</v>
      </c>
    </row>
    <row r="372" spans="1:19" s="19" customFormat="1">
      <c r="A372" s="18"/>
      <c r="C372" s="20"/>
      <c r="D372" s="21"/>
      <c r="E372" s="26"/>
      <c r="F372" s="22"/>
      <c r="G372" s="23"/>
      <c r="H372" s="22"/>
      <c r="I372" s="23"/>
      <c r="J372" s="24"/>
      <c r="K372" s="21"/>
      <c r="L372" s="25"/>
      <c r="M372" s="25"/>
      <c r="N372" s="22"/>
      <c r="O372" s="23"/>
      <c r="P372" s="20"/>
      <c r="Q372" s="23"/>
      <c r="R372" s="24"/>
      <c r="S372" s="24"/>
    </row>
    <row r="373" spans="1:19" s="19" customFormat="1" ht="15.75">
      <c r="A373" s="35" t="s">
        <v>212</v>
      </c>
      <c r="C373" s="20"/>
      <c r="D373" s="21"/>
      <c r="E373" s="26"/>
      <c r="F373" s="22"/>
      <c r="G373" s="23"/>
      <c r="H373" s="22"/>
      <c r="I373" s="23"/>
      <c r="J373" s="24"/>
      <c r="K373" s="21"/>
      <c r="L373" s="25"/>
      <c r="M373" s="25"/>
      <c r="N373" s="22"/>
      <c r="O373" s="23"/>
      <c r="P373" s="20"/>
      <c r="Q373" s="23"/>
      <c r="R373" s="24"/>
      <c r="S373" s="24"/>
    </row>
    <row r="374" spans="1:19" s="19" customFormat="1">
      <c r="A374" s="62" t="s">
        <v>213</v>
      </c>
      <c r="C374" s="20"/>
      <c r="D374" s="21"/>
      <c r="E374" s="26"/>
      <c r="F374" s="22"/>
      <c r="G374" s="23"/>
      <c r="H374" s="22"/>
      <c r="I374" s="23"/>
      <c r="J374" s="24"/>
      <c r="K374" s="21"/>
      <c r="L374" s="25"/>
      <c r="M374" s="25"/>
      <c r="N374" s="22"/>
      <c r="O374" s="23"/>
      <c r="P374" s="20"/>
      <c r="Q374" s="23"/>
      <c r="R374" s="24"/>
      <c r="S374" s="24"/>
    </row>
    <row r="375" spans="1:19" s="19" customFormat="1">
      <c r="A375" s="18" t="s">
        <v>214</v>
      </c>
      <c r="B375" s="19" t="s">
        <v>25</v>
      </c>
      <c r="C375" s="20">
        <v>9</v>
      </c>
      <c r="D375" s="21" t="s">
        <v>40</v>
      </c>
      <c r="E375" s="26"/>
      <c r="F375" s="22">
        <v>1</v>
      </c>
      <c r="G375" s="23" t="s">
        <v>20</v>
      </c>
      <c r="H375" s="22">
        <v>50</v>
      </c>
      <c r="I375" s="23" t="s">
        <v>40</v>
      </c>
      <c r="J375" s="24">
        <f>1800000/50</f>
        <v>36000</v>
      </c>
      <c r="K375" s="21" t="s">
        <v>40</v>
      </c>
      <c r="L375" s="25"/>
      <c r="M375" s="25">
        <v>0.17</v>
      </c>
      <c r="N375" s="22"/>
      <c r="O375" s="23" t="s">
        <v>40</v>
      </c>
      <c r="P375" s="20">
        <f t="shared" ref="P375:P384" si="203">(C375+(E375*F375*H375))-N375</f>
        <v>9</v>
      </c>
      <c r="Q375" s="23" t="s">
        <v>40</v>
      </c>
      <c r="R375" s="24">
        <f t="shared" ref="R375:R384" si="204">P375*(J375-(J375*L375)-((J375-(J375*L375))*M375))</f>
        <v>268920</v>
      </c>
      <c r="S375" s="24">
        <f t="shared" si="197"/>
        <v>242270.27027027024</v>
      </c>
    </row>
    <row r="376" spans="1:19" s="19" customFormat="1">
      <c r="A376" s="159" t="s">
        <v>214</v>
      </c>
      <c r="B376" s="19" t="s">
        <v>25</v>
      </c>
      <c r="C376" s="20"/>
      <c r="D376" s="21" t="s">
        <v>40</v>
      </c>
      <c r="E376" s="26">
        <v>1</v>
      </c>
      <c r="F376" s="22">
        <v>1</v>
      </c>
      <c r="G376" s="23" t="s">
        <v>20</v>
      </c>
      <c r="H376" s="22">
        <v>50</v>
      </c>
      <c r="I376" s="23" t="s">
        <v>40</v>
      </c>
      <c r="J376" s="24">
        <v>37800</v>
      </c>
      <c r="K376" s="21" t="s">
        <v>40</v>
      </c>
      <c r="L376" s="25"/>
      <c r="M376" s="25">
        <v>0.17</v>
      </c>
      <c r="N376" s="22"/>
      <c r="O376" s="23" t="s">
        <v>40</v>
      </c>
      <c r="P376" s="20">
        <f>(C376+(E376*F376*H376))-N376</f>
        <v>50</v>
      </c>
      <c r="Q376" s="23" t="s">
        <v>40</v>
      </c>
      <c r="R376" s="24">
        <f>P376*(J376-(J376*L376)-((J376-(J376*L376))*M376))</f>
        <v>1568700</v>
      </c>
      <c r="S376" s="24">
        <f>R376/1.11</f>
        <v>1413243.2432432431</v>
      </c>
    </row>
    <row r="377" spans="1:19" s="78" customFormat="1">
      <c r="A377" s="77" t="s">
        <v>748</v>
      </c>
      <c r="B377" s="78" t="s">
        <v>25</v>
      </c>
      <c r="C377" s="76"/>
      <c r="D377" s="79" t="s">
        <v>40</v>
      </c>
      <c r="E377" s="80"/>
      <c r="F377" s="81">
        <v>1</v>
      </c>
      <c r="G377" s="82" t="s">
        <v>20</v>
      </c>
      <c r="H377" s="81">
        <v>25</v>
      </c>
      <c r="I377" s="82" t="s">
        <v>40</v>
      </c>
      <c r="J377" s="83">
        <f>1672500/25</f>
        <v>66900</v>
      </c>
      <c r="K377" s="79" t="s">
        <v>40</v>
      </c>
      <c r="L377" s="84"/>
      <c r="M377" s="84">
        <v>0.17</v>
      </c>
      <c r="N377" s="81"/>
      <c r="O377" s="82" t="s">
        <v>40</v>
      </c>
      <c r="P377" s="76">
        <f t="shared" si="203"/>
        <v>0</v>
      </c>
      <c r="Q377" s="82" t="s">
        <v>40</v>
      </c>
      <c r="R377" s="83">
        <f t="shared" si="204"/>
        <v>0</v>
      </c>
      <c r="S377" s="83">
        <f t="shared" si="197"/>
        <v>0</v>
      </c>
    </row>
    <row r="378" spans="1:19" s="95" customFormat="1">
      <c r="A378" s="158" t="s">
        <v>748</v>
      </c>
      <c r="B378" s="95" t="s">
        <v>25</v>
      </c>
      <c r="C378" s="96"/>
      <c r="D378" s="97" t="s">
        <v>40</v>
      </c>
      <c r="E378" s="98">
        <v>1</v>
      </c>
      <c r="F378" s="99">
        <v>1</v>
      </c>
      <c r="G378" s="100" t="s">
        <v>20</v>
      </c>
      <c r="H378" s="99">
        <v>25</v>
      </c>
      <c r="I378" s="100" t="s">
        <v>40</v>
      </c>
      <c r="J378" s="101">
        <v>70800</v>
      </c>
      <c r="K378" s="97" t="s">
        <v>40</v>
      </c>
      <c r="L378" s="102"/>
      <c r="M378" s="102">
        <v>0.17</v>
      </c>
      <c r="N378" s="99"/>
      <c r="O378" s="100" t="s">
        <v>40</v>
      </c>
      <c r="P378" s="96">
        <f t="shared" ref="P378" si="205">(C378+(E378*F378*H378))-N378</f>
        <v>25</v>
      </c>
      <c r="Q378" s="100" t="s">
        <v>40</v>
      </c>
      <c r="R378" s="101">
        <f t="shared" ref="R378" si="206">P378*(J378-(J378*L378)-((J378-(J378*L378))*M378))</f>
        <v>1469100</v>
      </c>
      <c r="S378" s="101">
        <f t="shared" ref="S378" si="207">R378/1.11</f>
        <v>1323513.5135135134</v>
      </c>
    </row>
    <row r="379" spans="1:19" s="19" customFormat="1">
      <c r="A379" s="18" t="s">
        <v>215</v>
      </c>
      <c r="B379" s="19" t="s">
        <v>25</v>
      </c>
      <c r="C379" s="20">
        <v>43</v>
      </c>
      <c r="D379" s="21" t="s">
        <v>40</v>
      </c>
      <c r="E379" s="26">
        <v>4</v>
      </c>
      <c r="F379" s="22">
        <v>1</v>
      </c>
      <c r="G379" s="23" t="s">
        <v>20</v>
      </c>
      <c r="H379" s="22">
        <v>25</v>
      </c>
      <c r="I379" s="23" t="s">
        <v>40</v>
      </c>
      <c r="J379" s="24">
        <f>2100000/25</f>
        <v>84000</v>
      </c>
      <c r="K379" s="21" t="s">
        <v>40</v>
      </c>
      <c r="L379" s="25"/>
      <c r="M379" s="25">
        <v>0.17</v>
      </c>
      <c r="N379" s="22"/>
      <c r="O379" s="23" t="s">
        <v>40</v>
      </c>
      <c r="P379" s="20">
        <f t="shared" si="203"/>
        <v>143</v>
      </c>
      <c r="Q379" s="23" t="s">
        <v>40</v>
      </c>
      <c r="R379" s="24">
        <f t="shared" si="204"/>
        <v>9969960</v>
      </c>
      <c r="S379" s="24">
        <f t="shared" si="197"/>
        <v>8981945.9459459446</v>
      </c>
    </row>
    <row r="380" spans="1:19" s="19" customFormat="1">
      <c r="A380" s="18" t="s">
        <v>216</v>
      </c>
      <c r="B380" s="19" t="s">
        <v>25</v>
      </c>
      <c r="C380" s="20">
        <v>8</v>
      </c>
      <c r="D380" s="21" t="s">
        <v>40</v>
      </c>
      <c r="E380" s="26">
        <v>3</v>
      </c>
      <c r="F380" s="22">
        <v>1</v>
      </c>
      <c r="G380" s="23" t="s">
        <v>20</v>
      </c>
      <c r="H380" s="22">
        <v>10</v>
      </c>
      <c r="I380" s="23" t="s">
        <v>40</v>
      </c>
      <c r="J380" s="24">
        <f>1632000/10</f>
        <v>163200</v>
      </c>
      <c r="K380" s="21" t="s">
        <v>40</v>
      </c>
      <c r="L380" s="25"/>
      <c r="M380" s="25">
        <v>0.17</v>
      </c>
      <c r="N380" s="22"/>
      <c r="O380" s="23" t="s">
        <v>40</v>
      </c>
      <c r="P380" s="20">
        <f t="shared" si="203"/>
        <v>38</v>
      </c>
      <c r="Q380" s="23" t="s">
        <v>40</v>
      </c>
      <c r="R380" s="24">
        <f t="shared" si="204"/>
        <v>5147328</v>
      </c>
      <c r="S380" s="24">
        <f t="shared" si="197"/>
        <v>4637232.4324324317</v>
      </c>
    </row>
    <row r="381" spans="1:19" s="19" customFormat="1">
      <c r="A381" s="159" t="s">
        <v>217</v>
      </c>
      <c r="B381" s="19" t="s">
        <v>25</v>
      </c>
      <c r="C381" s="20"/>
      <c r="D381" s="21" t="s">
        <v>40</v>
      </c>
      <c r="E381" s="26">
        <v>2</v>
      </c>
      <c r="F381" s="22">
        <v>1</v>
      </c>
      <c r="G381" s="23" t="s">
        <v>20</v>
      </c>
      <c r="H381" s="22">
        <v>10</v>
      </c>
      <c r="I381" s="23" t="s">
        <v>40</v>
      </c>
      <c r="J381" s="24">
        <v>215400</v>
      </c>
      <c r="K381" s="21" t="s">
        <v>40</v>
      </c>
      <c r="L381" s="25"/>
      <c r="M381" s="25">
        <v>0.17</v>
      </c>
      <c r="N381" s="22"/>
      <c r="O381" s="23" t="s">
        <v>40</v>
      </c>
      <c r="P381" s="20">
        <f t="shared" ref="P381" si="208">(C381+(E381*F381*H381))-N381</f>
        <v>20</v>
      </c>
      <c r="Q381" s="23" t="s">
        <v>40</v>
      </c>
      <c r="R381" s="24">
        <f t="shared" ref="R381" si="209">P381*(J381-(J381*L381)-((J381-(J381*L381))*M381))</f>
        <v>3575640</v>
      </c>
      <c r="S381" s="24">
        <f t="shared" ref="S381" si="210">R381/1.11</f>
        <v>3221297.297297297</v>
      </c>
    </row>
    <row r="382" spans="1:19" s="19" customFormat="1">
      <c r="A382" s="18" t="s">
        <v>217</v>
      </c>
      <c r="B382" s="19" t="s">
        <v>25</v>
      </c>
      <c r="C382" s="20">
        <v>7</v>
      </c>
      <c r="D382" s="21" t="s">
        <v>40</v>
      </c>
      <c r="E382" s="26"/>
      <c r="F382" s="22">
        <v>1</v>
      </c>
      <c r="G382" s="23" t="s">
        <v>20</v>
      </c>
      <c r="H382" s="22">
        <v>10</v>
      </c>
      <c r="I382" s="23" t="s">
        <v>40</v>
      </c>
      <c r="J382" s="24">
        <f>2028000/10</f>
        <v>202800</v>
      </c>
      <c r="K382" s="21" t="s">
        <v>40</v>
      </c>
      <c r="L382" s="25"/>
      <c r="M382" s="25">
        <v>0.17</v>
      </c>
      <c r="N382" s="22"/>
      <c r="O382" s="23" t="s">
        <v>40</v>
      </c>
      <c r="P382" s="20">
        <f t="shared" si="203"/>
        <v>7</v>
      </c>
      <c r="Q382" s="23" t="s">
        <v>40</v>
      </c>
      <c r="R382" s="24">
        <f t="shared" si="204"/>
        <v>1178268</v>
      </c>
      <c r="S382" s="24">
        <f t="shared" si="197"/>
        <v>1061502.7027027027</v>
      </c>
    </row>
    <row r="383" spans="1:19" s="19" customFormat="1">
      <c r="A383" s="18" t="s">
        <v>218</v>
      </c>
      <c r="B383" s="19" t="s">
        <v>25</v>
      </c>
      <c r="C383" s="20">
        <v>2</v>
      </c>
      <c r="D383" s="21" t="s">
        <v>40</v>
      </c>
      <c r="E383" s="26">
        <v>1</v>
      </c>
      <c r="F383" s="22">
        <v>1</v>
      </c>
      <c r="G383" s="23" t="s">
        <v>20</v>
      </c>
      <c r="H383" s="22">
        <v>10</v>
      </c>
      <c r="I383" s="23" t="s">
        <v>40</v>
      </c>
      <c r="J383" s="24">
        <f>2520000/10</f>
        <v>252000</v>
      </c>
      <c r="K383" s="21" t="s">
        <v>40</v>
      </c>
      <c r="L383" s="25"/>
      <c r="M383" s="25">
        <v>0.17</v>
      </c>
      <c r="N383" s="22"/>
      <c r="O383" s="23" t="s">
        <v>40</v>
      </c>
      <c r="P383" s="20">
        <f t="shared" si="203"/>
        <v>12</v>
      </c>
      <c r="Q383" s="23" t="s">
        <v>40</v>
      </c>
      <c r="R383" s="24">
        <f t="shared" si="204"/>
        <v>2509920</v>
      </c>
      <c r="S383" s="24">
        <f t="shared" si="197"/>
        <v>2261189.1891891891</v>
      </c>
    </row>
    <row r="384" spans="1:19" s="19" customFormat="1">
      <c r="A384" s="18" t="s">
        <v>219</v>
      </c>
      <c r="B384" s="19" t="s">
        <v>25</v>
      </c>
      <c r="C384" s="20">
        <v>108</v>
      </c>
      <c r="D384" s="21" t="s">
        <v>19</v>
      </c>
      <c r="E384" s="26">
        <v>1</v>
      </c>
      <c r="F384" s="22">
        <v>10</v>
      </c>
      <c r="G384" s="23" t="s">
        <v>40</v>
      </c>
      <c r="H384" s="22">
        <v>12</v>
      </c>
      <c r="I384" s="23" t="s">
        <v>19</v>
      </c>
      <c r="J384" s="24">
        <f>5220000/10/12</f>
        <v>43500</v>
      </c>
      <c r="K384" s="21" t="s">
        <v>19</v>
      </c>
      <c r="L384" s="25"/>
      <c r="M384" s="25">
        <v>0.17</v>
      </c>
      <c r="N384" s="22"/>
      <c r="O384" s="23" t="s">
        <v>19</v>
      </c>
      <c r="P384" s="20">
        <f t="shared" si="203"/>
        <v>228</v>
      </c>
      <c r="Q384" s="23" t="s">
        <v>19</v>
      </c>
      <c r="R384" s="24">
        <f t="shared" si="204"/>
        <v>8231940</v>
      </c>
      <c r="S384" s="24">
        <f t="shared" si="197"/>
        <v>7416162.1621621614</v>
      </c>
    </row>
    <row r="385" spans="1:19" s="19" customFormat="1">
      <c r="A385" s="18"/>
      <c r="C385" s="20"/>
      <c r="D385" s="21"/>
      <c r="E385" s="26"/>
      <c r="F385" s="22"/>
      <c r="G385" s="23"/>
      <c r="H385" s="22"/>
      <c r="I385" s="23"/>
      <c r="J385" s="24"/>
      <c r="K385" s="21"/>
      <c r="L385" s="25"/>
      <c r="M385" s="25"/>
      <c r="N385" s="22"/>
      <c r="O385" s="23"/>
      <c r="P385" s="20"/>
      <c r="Q385" s="23"/>
      <c r="R385" s="24"/>
      <c r="S385" s="24"/>
    </row>
    <row r="386" spans="1:19" s="19" customFormat="1">
      <c r="A386" s="62" t="s">
        <v>664</v>
      </c>
      <c r="C386" s="20"/>
      <c r="D386" s="21"/>
      <c r="E386" s="26"/>
      <c r="F386" s="22"/>
      <c r="G386" s="23"/>
      <c r="H386" s="22"/>
      <c r="I386" s="23"/>
      <c r="J386" s="24"/>
      <c r="K386" s="21"/>
      <c r="L386" s="25"/>
      <c r="M386" s="25"/>
      <c r="N386" s="22"/>
      <c r="O386" s="23"/>
      <c r="P386" s="20"/>
      <c r="Q386" s="23"/>
      <c r="R386" s="24"/>
      <c r="S386" s="24"/>
    </row>
    <row r="387" spans="1:19" s="19" customFormat="1">
      <c r="A387" s="18" t="s">
        <v>759</v>
      </c>
      <c r="C387" s="20">
        <v>408</v>
      </c>
      <c r="D387" s="21" t="s">
        <v>40</v>
      </c>
      <c r="E387" s="26"/>
      <c r="F387" s="22">
        <v>20</v>
      </c>
      <c r="G387" s="23" t="s">
        <v>33</v>
      </c>
      <c r="H387" s="22">
        <v>4</v>
      </c>
      <c r="I387" s="23" t="s">
        <v>40</v>
      </c>
      <c r="J387" s="24">
        <f>1400*12</f>
        <v>16800</v>
      </c>
      <c r="K387" s="21" t="s">
        <v>40</v>
      </c>
      <c r="L387" s="25">
        <v>0.05</v>
      </c>
      <c r="M387" s="25"/>
      <c r="N387" s="22"/>
      <c r="O387" s="23" t="s">
        <v>40</v>
      </c>
      <c r="P387" s="20">
        <f>(C387+(E387*F387*H387))-N387</f>
        <v>408</v>
      </c>
      <c r="Q387" s="23" t="s">
        <v>40</v>
      </c>
      <c r="R387" s="24">
        <f>P387*(J387-(J387*L387)-((J387-(J387*L387))*M387))</f>
        <v>6511680</v>
      </c>
      <c r="S387" s="24">
        <f t="shared" ref="S387" si="211">R387/1.11</f>
        <v>5866378.3783783782</v>
      </c>
    </row>
    <row r="388" spans="1:19" s="19" customFormat="1">
      <c r="A388" s="18"/>
      <c r="C388" s="20"/>
      <c r="D388" s="21"/>
      <c r="E388" s="26"/>
      <c r="F388" s="22"/>
      <c r="G388" s="23"/>
      <c r="H388" s="22"/>
      <c r="I388" s="23"/>
      <c r="J388" s="24"/>
      <c r="K388" s="21"/>
      <c r="L388" s="25"/>
      <c r="M388" s="25"/>
      <c r="N388" s="22"/>
      <c r="O388" s="23"/>
      <c r="P388" s="20"/>
      <c r="Q388" s="23"/>
      <c r="R388" s="24"/>
      <c r="S388" s="24"/>
    </row>
    <row r="389" spans="1:19" s="19" customFormat="1">
      <c r="A389" s="159" t="s">
        <v>958</v>
      </c>
      <c r="B389" s="19" t="s">
        <v>171</v>
      </c>
      <c r="C389" s="20"/>
      <c r="D389" s="21" t="s">
        <v>151</v>
      </c>
      <c r="E389" s="26">
        <v>2</v>
      </c>
      <c r="F389" s="22">
        <v>1</v>
      </c>
      <c r="G389" s="23" t="s">
        <v>20</v>
      </c>
      <c r="H389" s="22">
        <v>640</v>
      </c>
      <c r="I389" s="23" t="s">
        <v>151</v>
      </c>
      <c r="J389" s="24">
        <v>2400</v>
      </c>
      <c r="K389" s="21" t="s">
        <v>151</v>
      </c>
      <c r="L389" s="25"/>
      <c r="M389" s="25"/>
      <c r="N389" s="22"/>
      <c r="O389" s="23" t="s">
        <v>151</v>
      </c>
      <c r="P389" s="20">
        <f>(C389+(E389*F389*H389))-N389</f>
        <v>1280</v>
      </c>
      <c r="Q389" s="23" t="s">
        <v>151</v>
      </c>
      <c r="R389" s="24">
        <f>P389*(J389-(J389*L389)-((J389-(J389*L389))*M389))</f>
        <v>3072000</v>
      </c>
      <c r="S389" s="24">
        <f t="shared" ref="S389" si="212">R389/1.11</f>
        <v>2767567.5675675673</v>
      </c>
    </row>
    <row r="390" spans="1:19" s="19" customFormat="1">
      <c r="A390" s="159" t="s">
        <v>984</v>
      </c>
      <c r="B390" s="19" t="s">
        <v>171</v>
      </c>
      <c r="C390" s="20">
        <v>637</v>
      </c>
      <c r="D390" s="21" t="s">
        <v>151</v>
      </c>
      <c r="E390" s="26">
        <v>2</v>
      </c>
      <c r="F390" s="22">
        <v>1</v>
      </c>
      <c r="G390" s="23" t="s">
        <v>20</v>
      </c>
      <c r="H390" s="22">
        <v>640</v>
      </c>
      <c r="I390" s="23" t="s">
        <v>151</v>
      </c>
      <c r="J390" s="24">
        <v>2600</v>
      </c>
      <c r="K390" s="21" t="s">
        <v>151</v>
      </c>
      <c r="L390" s="25"/>
      <c r="M390" s="25"/>
      <c r="N390" s="22"/>
      <c r="O390" s="23" t="s">
        <v>151</v>
      </c>
      <c r="P390" s="20">
        <f>(C390+(E390*F390*H390))-N390</f>
        <v>1917</v>
      </c>
      <c r="Q390" s="23" t="s">
        <v>151</v>
      </c>
      <c r="R390" s="24">
        <f>P390*(J390-(J390*L390)-((J390-(J390*L390))*M390))</f>
        <v>4984200</v>
      </c>
      <c r="S390" s="24">
        <f t="shared" ref="S390" si="213">R390/1.11</f>
        <v>4490270.2702702703</v>
      </c>
    </row>
    <row r="391" spans="1:19" s="19" customFormat="1" ht="15.75">
      <c r="A391" s="63"/>
    </row>
    <row r="392" spans="1:19" s="19" customFormat="1" ht="15.75">
      <c r="A392" s="35" t="s">
        <v>220</v>
      </c>
      <c r="C392" s="20"/>
      <c r="D392" s="21"/>
      <c r="E392" s="26"/>
      <c r="F392" s="22"/>
      <c r="G392" s="23"/>
      <c r="H392" s="22"/>
      <c r="I392" s="23"/>
      <c r="J392" s="24"/>
      <c r="K392" s="21"/>
      <c r="L392" s="25"/>
      <c r="M392" s="25"/>
      <c r="N392" s="22"/>
      <c r="O392" s="23"/>
      <c r="P392" s="20"/>
      <c r="Q392" s="23"/>
      <c r="R392" s="24"/>
      <c r="S392" s="24"/>
    </row>
    <row r="393" spans="1:19" s="78" customFormat="1">
      <c r="A393" s="77" t="s">
        <v>221</v>
      </c>
      <c r="B393" s="78" t="s">
        <v>18</v>
      </c>
      <c r="C393" s="76"/>
      <c r="D393" s="79" t="s">
        <v>19</v>
      </c>
      <c r="E393" s="80"/>
      <c r="F393" s="81">
        <v>12</v>
      </c>
      <c r="G393" s="82" t="s">
        <v>33</v>
      </c>
      <c r="H393" s="81">
        <v>12</v>
      </c>
      <c r="I393" s="82" t="s">
        <v>19</v>
      </c>
      <c r="J393" s="83">
        <f>52500/12</f>
        <v>4375</v>
      </c>
      <c r="K393" s="79" t="s">
        <v>19</v>
      </c>
      <c r="L393" s="84">
        <v>0.125</v>
      </c>
      <c r="M393" s="84">
        <v>0.05</v>
      </c>
      <c r="N393" s="81"/>
      <c r="O393" s="82" t="s">
        <v>19</v>
      </c>
      <c r="P393" s="76">
        <f t="shared" ref="P393:P407" si="214">(C393+(E393*F393*H393))-N393</f>
        <v>0</v>
      </c>
      <c r="Q393" s="82" t="s">
        <v>19</v>
      </c>
      <c r="R393" s="83">
        <f t="shared" ref="R393:R407" si="215">P393*(J393-(J393*L393)-((J393-(J393*L393))*M393))</f>
        <v>0</v>
      </c>
      <c r="S393" s="83">
        <f t="shared" ref="S393" si="216">R393/1.11</f>
        <v>0</v>
      </c>
    </row>
    <row r="394" spans="1:19" s="19" customFormat="1">
      <c r="A394" s="18" t="s">
        <v>822</v>
      </c>
      <c r="B394" s="19" t="s">
        <v>18</v>
      </c>
      <c r="C394" s="20"/>
      <c r="D394" s="21" t="s">
        <v>19</v>
      </c>
      <c r="E394" s="26">
        <v>1</v>
      </c>
      <c r="F394" s="22">
        <v>12</v>
      </c>
      <c r="G394" s="23" t="s">
        <v>33</v>
      </c>
      <c r="H394" s="22">
        <v>12</v>
      </c>
      <c r="I394" s="23" t="s">
        <v>19</v>
      </c>
      <c r="J394" s="24">
        <v>7200</v>
      </c>
      <c r="K394" s="21" t="s">
        <v>19</v>
      </c>
      <c r="L394" s="25">
        <v>0.125</v>
      </c>
      <c r="M394" s="25">
        <v>0.05</v>
      </c>
      <c r="N394" s="22"/>
      <c r="O394" s="23" t="s">
        <v>19</v>
      </c>
      <c r="P394" s="20">
        <f t="shared" ref="P394" si="217">(C394+(E394*F394*H394))-N394</f>
        <v>144</v>
      </c>
      <c r="Q394" s="23" t="s">
        <v>19</v>
      </c>
      <c r="R394" s="24">
        <f>P394*(J394-(J394*L394)-((J394-(J394*L394))*M394))</f>
        <v>861840</v>
      </c>
      <c r="S394" s="24">
        <f t="shared" ref="S394" si="218">R394/1.11</f>
        <v>776432.43243243231</v>
      </c>
    </row>
    <row r="395" spans="1:19" s="19" customFormat="1">
      <c r="A395" s="18" t="s">
        <v>222</v>
      </c>
      <c r="B395" s="19" t="s">
        <v>18</v>
      </c>
      <c r="C395" s="20">
        <v>288</v>
      </c>
      <c r="D395" s="21" t="s">
        <v>19</v>
      </c>
      <c r="E395" s="26"/>
      <c r="F395" s="22">
        <v>12</v>
      </c>
      <c r="G395" s="23" t="s">
        <v>33</v>
      </c>
      <c r="H395" s="22">
        <v>12</v>
      </c>
      <c r="I395" s="23" t="s">
        <v>19</v>
      </c>
      <c r="J395" s="24">
        <v>20500</v>
      </c>
      <c r="K395" s="21" t="s">
        <v>19</v>
      </c>
      <c r="L395" s="25">
        <v>0.125</v>
      </c>
      <c r="M395" s="25">
        <v>0.05</v>
      </c>
      <c r="N395" s="22"/>
      <c r="O395" s="23" t="s">
        <v>19</v>
      </c>
      <c r="P395" s="20">
        <f t="shared" si="214"/>
        <v>288</v>
      </c>
      <c r="Q395" s="23" t="s">
        <v>19</v>
      </c>
      <c r="R395" s="24">
        <f t="shared" si="215"/>
        <v>4907700</v>
      </c>
      <c r="S395" s="24">
        <f t="shared" si="197"/>
        <v>4421351.3513513505</v>
      </c>
    </row>
    <row r="396" spans="1:19" s="19" customFormat="1">
      <c r="A396" s="18" t="s">
        <v>223</v>
      </c>
      <c r="B396" s="19" t="s">
        <v>18</v>
      </c>
      <c r="C396" s="20">
        <v>276</v>
      </c>
      <c r="D396" s="21" t="s">
        <v>19</v>
      </c>
      <c r="E396" s="26"/>
      <c r="F396" s="22">
        <v>12</v>
      </c>
      <c r="G396" s="23" t="s">
        <v>33</v>
      </c>
      <c r="H396" s="22">
        <v>12</v>
      </c>
      <c r="I396" s="23" t="s">
        <v>19</v>
      </c>
      <c r="J396" s="24">
        <v>22000</v>
      </c>
      <c r="K396" s="21" t="s">
        <v>19</v>
      </c>
      <c r="L396" s="25">
        <v>0.125</v>
      </c>
      <c r="M396" s="25">
        <v>0.05</v>
      </c>
      <c r="N396" s="22"/>
      <c r="O396" s="23" t="s">
        <v>19</v>
      </c>
      <c r="P396" s="20">
        <f t="shared" si="214"/>
        <v>276</v>
      </c>
      <c r="Q396" s="23" t="s">
        <v>19</v>
      </c>
      <c r="R396" s="24">
        <f t="shared" si="215"/>
        <v>5047350</v>
      </c>
      <c r="S396" s="24">
        <f t="shared" si="197"/>
        <v>4547162.1621621614</v>
      </c>
    </row>
    <row r="397" spans="1:19" s="19" customFormat="1">
      <c r="A397" s="18" t="s">
        <v>224</v>
      </c>
      <c r="B397" s="19" t="s">
        <v>18</v>
      </c>
      <c r="C397" s="20">
        <v>1464</v>
      </c>
      <c r="D397" s="21" t="s">
        <v>19</v>
      </c>
      <c r="E397" s="26">
        <v>76</v>
      </c>
      <c r="F397" s="22">
        <v>12</v>
      </c>
      <c r="G397" s="23" t="s">
        <v>33</v>
      </c>
      <c r="H397" s="22">
        <v>12</v>
      </c>
      <c r="I397" s="23" t="s">
        <v>19</v>
      </c>
      <c r="J397" s="24">
        <v>4350</v>
      </c>
      <c r="K397" s="21" t="s">
        <v>19</v>
      </c>
      <c r="L397" s="25">
        <v>0.125</v>
      </c>
      <c r="M397" s="25">
        <v>0.05</v>
      </c>
      <c r="N397" s="22"/>
      <c r="O397" s="23" t="s">
        <v>19</v>
      </c>
      <c r="P397" s="20">
        <f t="shared" si="214"/>
        <v>12408</v>
      </c>
      <c r="Q397" s="23" t="s">
        <v>19</v>
      </c>
      <c r="R397" s="24">
        <f t="shared" si="215"/>
        <v>44866552.5</v>
      </c>
      <c r="S397" s="24">
        <f t="shared" si="197"/>
        <v>40420317.567567565</v>
      </c>
    </row>
    <row r="398" spans="1:19" s="19" customFormat="1">
      <c r="A398" s="18" t="s">
        <v>225</v>
      </c>
      <c r="B398" s="19" t="s">
        <v>18</v>
      </c>
      <c r="C398" s="20"/>
      <c r="D398" s="21" t="s">
        <v>19</v>
      </c>
      <c r="E398" s="26">
        <v>69</v>
      </c>
      <c r="F398" s="22">
        <v>12</v>
      </c>
      <c r="G398" s="23" t="s">
        <v>33</v>
      </c>
      <c r="H398" s="22">
        <v>12</v>
      </c>
      <c r="I398" s="23" t="s">
        <v>19</v>
      </c>
      <c r="J398" s="24">
        <v>6500</v>
      </c>
      <c r="K398" s="21" t="s">
        <v>19</v>
      </c>
      <c r="L398" s="25">
        <v>0.125</v>
      </c>
      <c r="M398" s="25">
        <v>0.05</v>
      </c>
      <c r="N398" s="22"/>
      <c r="O398" s="23" t="s">
        <v>19</v>
      </c>
      <c r="P398" s="20">
        <f t="shared" si="214"/>
        <v>9936</v>
      </c>
      <c r="Q398" s="23" t="s">
        <v>19</v>
      </c>
      <c r="R398" s="24">
        <f t="shared" si="215"/>
        <v>53685450</v>
      </c>
      <c r="S398" s="24">
        <f t="shared" si="197"/>
        <v>48365270.270270266</v>
      </c>
    </row>
    <row r="399" spans="1:19" s="19" customFormat="1">
      <c r="A399" s="18" t="s">
        <v>226</v>
      </c>
      <c r="B399" s="19" t="s">
        <v>18</v>
      </c>
      <c r="C399" s="20"/>
      <c r="D399" s="21" t="s">
        <v>19</v>
      </c>
      <c r="E399" s="26">
        <v>37</v>
      </c>
      <c r="F399" s="22">
        <v>12</v>
      </c>
      <c r="G399" s="23" t="s">
        <v>33</v>
      </c>
      <c r="H399" s="22">
        <v>12</v>
      </c>
      <c r="I399" s="23" t="s">
        <v>19</v>
      </c>
      <c r="J399" s="24">
        <v>9750</v>
      </c>
      <c r="K399" s="21" t="s">
        <v>19</v>
      </c>
      <c r="L399" s="25">
        <v>0.125</v>
      </c>
      <c r="M399" s="25">
        <v>0.05</v>
      </c>
      <c r="N399" s="22"/>
      <c r="O399" s="23" t="s">
        <v>19</v>
      </c>
      <c r="P399" s="20">
        <f t="shared" si="214"/>
        <v>5328</v>
      </c>
      <c r="Q399" s="23" t="s">
        <v>19</v>
      </c>
      <c r="R399" s="24">
        <f t="shared" si="215"/>
        <v>43181775</v>
      </c>
      <c r="S399" s="24">
        <f t="shared" si="197"/>
        <v>38902500</v>
      </c>
    </row>
    <row r="400" spans="1:19" s="95" customFormat="1">
      <c r="A400" s="87" t="s">
        <v>918</v>
      </c>
      <c r="B400" s="95" t="s">
        <v>18</v>
      </c>
      <c r="C400" s="96"/>
      <c r="D400" s="97" t="s">
        <v>19</v>
      </c>
      <c r="E400" s="98">
        <v>1</v>
      </c>
      <c r="F400" s="99">
        <v>12</v>
      </c>
      <c r="G400" s="100" t="s">
        <v>33</v>
      </c>
      <c r="H400" s="99">
        <v>12</v>
      </c>
      <c r="I400" s="100" t="s">
        <v>19</v>
      </c>
      <c r="J400" s="101">
        <v>17700</v>
      </c>
      <c r="K400" s="97" t="s">
        <v>19</v>
      </c>
      <c r="L400" s="102">
        <v>0.125</v>
      </c>
      <c r="M400" s="102">
        <v>0.05</v>
      </c>
      <c r="N400" s="99"/>
      <c r="O400" s="100" t="s">
        <v>19</v>
      </c>
      <c r="P400" s="96">
        <f t="shared" ref="P400" si="219">(C400+(E400*F400*H400))-N400</f>
        <v>144</v>
      </c>
      <c r="Q400" s="100" t="s">
        <v>19</v>
      </c>
      <c r="R400" s="101">
        <f t="shared" ref="R400" si="220">P400*(J400-(J400*L400)-((J400-(J400*L400))*M400))</f>
        <v>2118690</v>
      </c>
      <c r="S400" s="101">
        <f t="shared" ref="S400" si="221">R400/1.11</f>
        <v>1908729.7297297295</v>
      </c>
    </row>
    <row r="401" spans="1:19" s="78" customFormat="1">
      <c r="A401" s="77" t="s">
        <v>227</v>
      </c>
      <c r="B401" s="78" t="s">
        <v>18</v>
      </c>
      <c r="C401" s="76"/>
      <c r="D401" s="79" t="s">
        <v>19</v>
      </c>
      <c r="E401" s="80"/>
      <c r="F401" s="81">
        <v>6</v>
      </c>
      <c r="G401" s="82" t="s">
        <v>33</v>
      </c>
      <c r="H401" s="81">
        <v>12</v>
      </c>
      <c r="I401" s="82" t="s">
        <v>19</v>
      </c>
      <c r="J401" s="83">
        <v>19200</v>
      </c>
      <c r="K401" s="79" t="s">
        <v>19</v>
      </c>
      <c r="L401" s="84">
        <v>0.125</v>
      </c>
      <c r="M401" s="84">
        <v>0.05</v>
      </c>
      <c r="N401" s="81"/>
      <c r="O401" s="82" t="s">
        <v>19</v>
      </c>
      <c r="P401" s="76">
        <f t="shared" si="214"/>
        <v>0</v>
      </c>
      <c r="Q401" s="82" t="s">
        <v>19</v>
      </c>
      <c r="R401" s="83">
        <f t="shared" si="215"/>
        <v>0</v>
      </c>
      <c r="S401" s="83">
        <f t="shared" si="197"/>
        <v>0</v>
      </c>
    </row>
    <row r="402" spans="1:19" s="19" customFormat="1">
      <c r="A402" s="18" t="s">
        <v>228</v>
      </c>
      <c r="B402" s="19" t="s">
        <v>18</v>
      </c>
      <c r="C402" s="20"/>
      <c r="D402" s="21" t="s">
        <v>19</v>
      </c>
      <c r="E402" s="26">
        <v>3</v>
      </c>
      <c r="F402" s="22">
        <v>12</v>
      </c>
      <c r="G402" s="23" t="s">
        <v>33</v>
      </c>
      <c r="H402" s="22">
        <v>12</v>
      </c>
      <c r="I402" s="23" t="s">
        <v>19</v>
      </c>
      <c r="J402" s="24">
        <v>6100</v>
      </c>
      <c r="K402" s="21" t="s">
        <v>19</v>
      </c>
      <c r="L402" s="25">
        <v>0.125</v>
      </c>
      <c r="M402" s="25">
        <v>0.05</v>
      </c>
      <c r="N402" s="22"/>
      <c r="O402" s="23" t="s">
        <v>19</v>
      </c>
      <c r="P402" s="20">
        <f t="shared" ref="P402" si="222">(C402+(E402*F402*H402))-N402</f>
        <v>432</v>
      </c>
      <c r="Q402" s="23" t="s">
        <v>19</v>
      </c>
      <c r="R402" s="24">
        <f t="shared" ref="R402" si="223">P402*(J402-(J402*L402)-((J402-(J402*L402))*M402))</f>
        <v>2190510</v>
      </c>
      <c r="S402" s="24">
        <f t="shared" ref="S402" si="224">R402/1.11</f>
        <v>1973432.4324324322</v>
      </c>
    </row>
    <row r="403" spans="1:19" s="19" customFormat="1">
      <c r="A403" s="18" t="s">
        <v>229</v>
      </c>
      <c r="B403" s="19" t="s">
        <v>18</v>
      </c>
      <c r="C403" s="20"/>
      <c r="D403" s="21" t="s">
        <v>19</v>
      </c>
      <c r="E403" s="26">
        <v>4</v>
      </c>
      <c r="F403" s="22">
        <v>12</v>
      </c>
      <c r="G403" s="23" t="s">
        <v>33</v>
      </c>
      <c r="H403" s="22">
        <v>12</v>
      </c>
      <c r="I403" s="23" t="s">
        <v>19</v>
      </c>
      <c r="J403" s="24">
        <v>7700</v>
      </c>
      <c r="K403" s="21" t="s">
        <v>19</v>
      </c>
      <c r="L403" s="25">
        <v>0.125</v>
      </c>
      <c r="M403" s="25">
        <v>0.05</v>
      </c>
      <c r="N403" s="22"/>
      <c r="O403" s="23" t="s">
        <v>19</v>
      </c>
      <c r="P403" s="20">
        <f t="shared" si="214"/>
        <v>576</v>
      </c>
      <c r="Q403" s="23" t="s">
        <v>19</v>
      </c>
      <c r="R403" s="24">
        <f t="shared" si="215"/>
        <v>3686760</v>
      </c>
      <c r="S403" s="24">
        <f t="shared" si="197"/>
        <v>3321405.405405405</v>
      </c>
    </row>
    <row r="404" spans="1:19" s="78" customFormat="1" ht="15">
      <c r="A404" s="77" t="s">
        <v>230</v>
      </c>
      <c r="B404" s="78" t="s">
        <v>18</v>
      </c>
      <c r="C404" s="111"/>
      <c r="D404" s="79" t="s">
        <v>19</v>
      </c>
      <c r="E404" s="80"/>
      <c r="F404" s="81">
        <v>12</v>
      </c>
      <c r="G404" s="82" t="s">
        <v>33</v>
      </c>
      <c r="H404" s="81">
        <v>12</v>
      </c>
      <c r="I404" s="82" t="s">
        <v>19</v>
      </c>
      <c r="J404" s="83">
        <v>11200</v>
      </c>
      <c r="K404" s="79" t="s">
        <v>19</v>
      </c>
      <c r="L404" s="84">
        <v>0.125</v>
      </c>
      <c r="M404" s="84">
        <v>0.05</v>
      </c>
      <c r="N404" s="81"/>
      <c r="O404" s="82" t="s">
        <v>19</v>
      </c>
      <c r="P404" s="76">
        <f t="shared" si="214"/>
        <v>0</v>
      </c>
      <c r="Q404" s="82" t="s">
        <v>19</v>
      </c>
      <c r="R404" s="83">
        <f t="shared" si="215"/>
        <v>0</v>
      </c>
      <c r="S404" s="83">
        <f t="shared" si="197"/>
        <v>0</v>
      </c>
    </row>
    <row r="405" spans="1:19" s="95" customFormat="1" ht="15">
      <c r="A405" s="158" t="s">
        <v>230</v>
      </c>
      <c r="B405" s="95" t="s">
        <v>18</v>
      </c>
      <c r="C405" s="169"/>
      <c r="D405" s="97" t="s">
        <v>19</v>
      </c>
      <c r="E405" s="98">
        <v>2</v>
      </c>
      <c r="F405" s="99">
        <v>12</v>
      </c>
      <c r="G405" s="100" t="s">
        <v>33</v>
      </c>
      <c r="H405" s="99">
        <v>12</v>
      </c>
      <c r="I405" s="100" t="s">
        <v>19</v>
      </c>
      <c r="J405" s="101">
        <v>12000</v>
      </c>
      <c r="K405" s="97" t="s">
        <v>19</v>
      </c>
      <c r="L405" s="102">
        <v>0.125</v>
      </c>
      <c r="M405" s="102">
        <v>0.05</v>
      </c>
      <c r="N405" s="99"/>
      <c r="O405" s="100" t="s">
        <v>19</v>
      </c>
      <c r="P405" s="96">
        <f t="shared" ref="P405" si="225">(C405+(E405*F405*H405))-N405</f>
        <v>288</v>
      </c>
      <c r="Q405" s="100" t="s">
        <v>19</v>
      </c>
      <c r="R405" s="101">
        <f t="shared" ref="R405" si="226">P405*(J405-(J405*L405)-((J405-(J405*L405))*M405))</f>
        <v>2872800</v>
      </c>
      <c r="S405" s="101">
        <f t="shared" ref="S405" si="227">R405/1.11</f>
        <v>2588108.1081081079</v>
      </c>
    </row>
    <row r="406" spans="1:19" s="19" customFormat="1">
      <c r="A406" s="18" t="s">
        <v>231</v>
      </c>
      <c r="B406" s="19" t="s">
        <v>18</v>
      </c>
      <c r="C406" s="20">
        <v>72</v>
      </c>
      <c r="D406" s="21" t="s">
        <v>19</v>
      </c>
      <c r="E406" s="26"/>
      <c r="F406" s="22">
        <v>12</v>
      </c>
      <c r="G406" s="23" t="s">
        <v>33</v>
      </c>
      <c r="H406" s="22">
        <v>12</v>
      </c>
      <c r="I406" s="23" t="s">
        <v>19</v>
      </c>
      <c r="J406" s="24">
        <v>7600</v>
      </c>
      <c r="K406" s="21" t="s">
        <v>19</v>
      </c>
      <c r="L406" s="25">
        <v>0.125</v>
      </c>
      <c r="M406" s="25">
        <v>0.05</v>
      </c>
      <c r="N406" s="22"/>
      <c r="O406" s="23" t="s">
        <v>19</v>
      </c>
      <c r="P406" s="20">
        <f t="shared" si="214"/>
        <v>72</v>
      </c>
      <c r="Q406" s="23" t="s">
        <v>19</v>
      </c>
      <c r="R406" s="24">
        <f t="shared" si="215"/>
        <v>454860</v>
      </c>
      <c r="S406" s="24">
        <f t="shared" si="197"/>
        <v>409783.78378378373</v>
      </c>
    </row>
    <row r="407" spans="1:19" s="78" customFormat="1">
      <c r="A407" s="77" t="s">
        <v>232</v>
      </c>
      <c r="B407" s="78" t="s">
        <v>18</v>
      </c>
      <c r="C407" s="76"/>
      <c r="D407" s="79" t="s">
        <v>19</v>
      </c>
      <c r="E407" s="80"/>
      <c r="F407" s="81">
        <v>8</v>
      </c>
      <c r="G407" s="82" t="s">
        <v>33</v>
      </c>
      <c r="H407" s="81">
        <v>6</v>
      </c>
      <c r="I407" s="82" t="s">
        <v>19</v>
      </c>
      <c r="J407" s="83">
        <v>65000</v>
      </c>
      <c r="K407" s="79" t="s">
        <v>19</v>
      </c>
      <c r="L407" s="84">
        <v>0.125</v>
      </c>
      <c r="M407" s="84">
        <v>0.05</v>
      </c>
      <c r="N407" s="81"/>
      <c r="O407" s="82" t="s">
        <v>19</v>
      </c>
      <c r="P407" s="76">
        <f t="shared" si="214"/>
        <v>0</v>
      </c>
      <c r="Q407" s="82" t="s">
        <v>19</v>
      </c>
      <c r="R407" s="83">
        <f t="shared" si="215"/>
        <v>0</v>
      </c>
      <c r="S407" s="83">
        <f t="shared" si="197"/>
        <v>0</v>
      </c>
    </row>
    <row r="408" spans="1:19" s="19" customFormat="1">
      <c r="A408" s="18"/>
      <c r="C408" s="20"/>
      <c r="D408" s="21"/>
      <c r="E408" s="26"/>
      <c r="F408" s="22"/>
      <c r="G408" s="23"/>
      <c r="H408" s="22"/>
      <c r="I408" s="23"/>
      <c r="J408" s="24"/>
      <c r="K408" s="21"/>
      <c r="L408" s="25"/>
      <c r="M408" s="25"/>
      <c r="N408" s="22"/>
      <c r="O408" s="23"/>
      <c r="P408" s="20"/>
      <c r="Q408" s="23"/>
      <c r="R408" s="24"/>
      <c r="S408" s="24"/>
    </row>
    <row r="409" spans="1:19" s="19" customFormat="1">
      <c r="A409" s="18" t="s">
        <v>233</v>
      </c>
      <c r="B409" s="19" t="s">
        <v>25</v>
      </c>
      <c r="C409" s="20">
        <v>53</v>
      </c>
      <c r="D409" s="21" t="s">
        <v>40</v>
      </c>
      <c r="E409" s="26">
        <v>13</v>
      </c>
      <c r="F409" s="22">
        <v>1</v>
      </c>
      <c r="G409" s="23" t="s">
        <v>20</v>
      </c>
      <c r="H409" s="22">
        <v>25</v>
      </c>
      <c r="I409" s="23" t="s">
        <v>40</v>
      </c>
      <c r="J409" s="24">
        <v>56400</v>
      </c>
      <c r="K409" s="21" t="s">
        <v>40</v>
      </c>
      <c r="L409" s="25"/>
      <c r="M409" s="25">
        <v>0.17</v>
      </c>
      <c r="N409" s="22"/>
      <c r="O409" s="23" t="s">
        <v>40</v>
      </c>
      <c r="P409" s="20">
        <f t="shared" ref="P409:P413" si="228">(C409+(E409*F409*H409))-N409</f>
        <v>378</v>
      </c>
      <c r="Q409" s="23" t="s">
        <v>40</v>
      </c>
      <c r="R409" s="24">
        <f t="shared" ref="R409:R413" si="229">P409*(J409-(J409*L409)-((J409-(J409*L409))*M409))</f>
        <v>17694936</v>
      </c>
      <c r="S409" s="24">
        <f t="shared" ref="S409" si="230">R409/1.11</f>
        <v>15941383.783783782</v>
      </c>
    </row>
    <row r="410" spans="1:19" s="19" customFormat="1">
      <c r="A410" s="18" t="s">
        <v>234</v>
      </c>
      <c r="B410" s="19" t="s">
        <v>25</v>
      </c>
      <c r="C410" s="20">
        <v>131</v>
      </c>
      <c r="D410" s="21" t="s">
        <v>40</v>
      </c>
      <c r="E410" s="26">
        <v>18</v>
      </c>
      <c r="F410" s="22">
        <v>1</v>
      </c>
      <c r="G410" s="23" t="s">
        <v>20</v>
      </c>
      <c r="H410" s="22">
        <v>25</v>
      </c>
      <c r="I410" s="23" t="s">
        <v>40</v>
      </c>
      <c r="J410" s="24">
        <v>79800</v>
      </c>
      <c r="K410" s="21" t="s">
        <v>40</v>
      </c>
      <c r="L410" s="25"/>
      <c r="M410" s="25">
        <v>0.17</v>
      </c>
      <c r="N410" s="22"/>
      <c r="O410" s="23" t="s">
        <v>40</v>
      </c>
      <c r="P410" s="20">
        <f t="shared" si="228"/>
        <v>581</v>
      </c>
      <c r="Q410" s="23" t="s">
        <v>40</v>
      </c>
      <c r="R410" s="24">
        <f t="shared" si="229"/>
        <v>38481954</v>
      </c>
      <c r="S410" s="24">
        <f t="shared" ref="S410" si="231">R410/1.11</f>
        <v>34668427.027027026</v>
      </c>
    </row>
    <row r="411" spans="1:19" s="19" customFormat="1">
      <c r="A411" s="18" t="s">
        <v>235</v>
      </c>
      <c r="B411" s="19" t="s">
        <v>25</v>
      </c>
      <c r="C411" s="20">
        <v>118</v>
      </c>
      <c r="D411" s="21" t="s">
        <v>40</v>
      </c>
      <c r="E411" s="26">
        <v>23</v>
      </c>
      <c r="F411" s="22">
        <v>1</v>
      </c>
      <c r="G411" s="23" t="s">
        <v>20</v>
      </c>
      <c r="H411" s="22">
        <v>10</v>
      </c>
      <c r="I411" s="23" t="s">
        <v>40</v>
      </c>
      <c r="J411" s="24">
        <v>118800</v>
      </c>
      <c r="K411" s="21" t="s">
        <v>40</v>
      </c>
      <c r="L411" s="25"/>
      <c r="M411" s="25">
        <v>0.17</v>
      </c>
      <c r="N411" s="22"/>
      <c r="O411" s="23" t="s">
        <v>40</v>
      </c>
      <c r="P411" s="20">
        <f t="shared" si="228"/>
        <v>348</v>
      </c>
      <c r="Q411" s="23" t="s">
        <v>40</v>
      </c>
      <c r="R411" s="24">
        <f t="shared" si="229"/>
        <v>34314192</v>
      </c>
      <c r="S411" s="24">
        <f t="shared" ref="S411" si="232">R411/1.11</f>
        <v>30913686.486486483</v>
      </c>
    </row>
    <row r="412" spans="1:19" s="19" customFormat="1">
      <c r="A412" s="18" t="s">
        <v>678</v>
      </c>
      <c r="B412" s="19" t="s">
        <v>25</v>
      </c>
      <c r="C412" s="20">
        <v>15</v>
      </c>
      <c r="D412" s="21" t="s">
        <v>40</v>
      </c>
      <c r="E412" s="26"/>
      <c r="F412" s="22">
        <v>1</v>
      </c>
      <c r="G412" s="23" t="s">
        <v>20</v>
      </c>
      <c r="H412" s="22">
        <v>25</v>
      </c>
      <c r="I412" s="23" t="s">
        <v>40</v>
      </c>
      <c r="J412" s="24">
        <f>2010000/25</f>
        <v>80400</v>
      </c>
      <c r="K412" s="21" t="s">
        <v>40</v>
      </c>
      <c r="L412" s="25"/>
      <c r="M412" s="25">
        <v>0.17</v>
      </c>
      <c r="N412" s="22"/>
      <c r="O412" s="23" t="s">
        <v>40</v>
      </c>
      <c r="P412" s="20">
        <f t="shared" si="228"/>
        <v>15</v>
      </c>
      <c r="Q412" s="23" t="s">
        <v>40</v>
      </c>
      <c r="R412" s="24">
        <f t="shared" si="229"/>
        <v>1000980</v>
      </c>
      <c r="S412" s="24">
        <f t="shared" si="197"/>
        <v>901783.78378378367</v>
      </c>
    </row>
    <row r="413" spans="1:19" s="19" customFormat="1">
      <c r="A413" s="18" t="s">
        <v>236</v>
      </c>
      <c r="B413" s="19" t="s">
        <v>25</v>
      </c>
      <c r="C413" s="20">
        <v>18</v>
      </c>
      <c r="D413" s="21" t="s">
        <v>40</v>
      </c>
      <c r="E413" s="26"/>
      <c r="F413" s="22">
        <v>1</v>
      </c>
      <c r="G413" s="23" t="s">
        <v>20</v>
      </c>
      <c r="H413" s="22">
        <v>10</v>
      </c>
      <c r="I413" s="23" t="s">
        <v>40</v>
      </c>
      <c r="J413" s="24">
        <f>1260000/10</f>
        <v>126000</v>
      </c>
      <c r="K413" s="21" t="s">
        <v>40</v>
      </c>
      <c r="L413" s="25"/>
      <c r="M413" s="25">
        <v>0.17</v>
      </c>
      <c r="N413" s="22"/>
      <c r="O413" s="23" t="s">
        <v>40</v>
      </c>
      <c r="P413" s="20">
        <f t="shared" si="228"/>
        <v>18</v>
      </c>
      <c r="Q413" s="23" t="s">
        <v>40</v>
      </c>
      <c r="R413" s="24">
        <f t="shared" si="229"/>
        <v>1882440</v>
      </c>
      <c r="S413" s="24">
        <f t="shared" si="197"/>
        <v>1695891.8918918918</v>
      </c>
    </row>
    <row r="414" spans="1:19" s="19" customFormat="1">
      <c r="A414" s="18"/>
      <c r="C414" s="20"/>
      <c r="D414" s="21"/>
      <c r="E414" s="26"/>
      <c r="F414" s="22"/>
      <c r="G414" s="23"/>
      <c r="H414" s="22"/>
      <c r="I414" s="23"/>
      <c r="J414" s="24"/>
      <c r="K414" s="21"/>
      <c r="L414" s="25"/>
      <c r="M414" s="25"/>
      <c r="N414" s="22"/>
      <c r="O414" s="23"/>
      <c r="P414" s="20"/>
      <c r="Q414" s="23"/>
      <c r="R414" s="24"/>
      <c r="S414" s="24"/>
    </row>
    <row r="415" spans="1:19" s="19" customFormat="1" ht="15.75">
      <c r="A415" s="35" t="s">
        <v>237</v>
      </c>
      <c r="C415" s="20"/>
      <c r="D415" s="21"/>
      <c r="E415" s="26"/>
      <c r="F415" s="22"/>
      <c r="G415" s="23"/>
      <c r="H415" s="22"/>
      <c r="I415" s="23"/>
      <c r="J415" s="24"/>
      <c r="K415" s="21"/>
      <c r="L415" s="25"/>
      <c r="M415" s="25"/>
      <c r="N415" s="22"/>
      <c r="O415" s="23"/>
      <c r="P415" s="20"/>
      <c r="Q415" s="23"/>
      <c r="R415" s="24"/>
      <c r="S415" s="24"/>
    </row>
    <row r="416" spans="1:19" s="19" customFormat="1">
      <c r="A416" s="46" t="s">
        <v>238</v>
      </c>
      <c r="B416" s="19" t="s">
        <v>25</v>
      </c>
      <c r="C416" s="20">
        <v>18</v>
      </c>
      <c r="D416" s="21" t="s">
        <v>19</v>
      </c>
      <c r="E416" s="26">
        <v>1</v>
      </c>
      <c r="F416" s="22">
        <v>20</v>
      </c>
      <c r="G416" s="23" t="s">
        <v>33</v>
      </c>
      <c r="H416" s="22">
        <v>10</v>
      </c>
      <c r="I416" s="23" t="s">
        <v>19</v>
      </c>
      <c r="J416" s="24">
        <f>3800000/20/10</f>
        <v>19000</v>
      </c>
      <c r="K416" s="21" t="s">
        <v>19</v>
      </c>
      <c r="L416" s="25"/>
      <c r="M416" s="25">
        <v>0.17</v>
      </c>
      <c r="N416" s="22"/>
      <c r="O416" s="23" t="s">
        <v>19</v>
      </c>
      <c r="P416" s="20">
        <f>(C416+(E416*F416*H416))-N416</f>
        <v>218</v>
      </c>
      <c r="Q416" s="23" t="s">
        <v>19</v>
      </c>
      <c r="R416" s="24">
        <f>P416*(J416-(J416*L416)-((J416-(J416*L416))*M416))</f>
        <v>3437860</v>
      </c>
      <c r="S416" s="24">
        <f t="shared" si="197"/>
        <v>3097171.1711711711</v>
      </c>
    </row>
    <row r="417" spans="1:19" s="19" customFormat="1">
      <c r="A417" s="46" t="s">
        <v>239</v>
      </c>
      <c r="B417" s="19" t="s">
        <v>25</v>
      </c>
      <c r="C417" s="20">
        <v>120</v>
      </c>
      <c r="D417" s="21" t="s">
        <v>19</v>
      </c>
      <c r="E417" s="26">
        <v>1</v>
      </c>
      <c r="F417" s="22">
        <v>20</v>
      </c>
      <c r="G417" s="23" t="s">
        <v>33</v>
      </c>
      <c r="H417" s="22">
        <v>12</v>
      </c>
      <c r="I417" s="23" t="s">
        <v>19</v>
      </c>
      <c r="J417" s="24">
        <f>3120000/20/12</f>
        <v>13000</v>
      </c>
      <c r="K417" s="21" t="s">
        <v>19</v>
      </c>
      <c r="L417" s="25"/>
      <c r="M417" s="25">
        <v>0.17</v>
      </c>
      <c r="N417" s="22"/>
      <c r="O417" s="23" t="s">
        <v>19</v>
      </c>
      <c r="P417" s="20">
        <f>(C417+(E417*F417*H417))-N417</f>
        <v>360</v>
      </c>
      <c r="Q417" s="23" t="s">
        <v>19</v>
      </c>
      <c r="R417" s="24">
        <f>P417*(J417-(J417*L417)-((J417-(J417*L417))*M417))</f>
        <v>3884400</v>
      </c>
      <c r="S417" s="24">
        <f t="shared" si="197"/>
        <v>3499459.4594594589</v>
      </c>
    </row>
    <row r="418" spans="1:19" s="19" customFormat="1">
      <c r="A418" s="18"/>
      <c r="C418" s="20"/>
      <c r="D418" s="21"/>
      <c r="E418" s="26"/>
      <c r="F418" s="22"/>
      <c r="G418" s="23"/>
      <c r="H418" s="22"/>
      <c r="I418" s="23"/>
      <c r="J418" s="24"/>
      <c r="K418" s="21"/>
      <c r="L418" s="25"/>
      <c r="M418" s="25"/>
      <c r="N418" s="22"/>
      <c r="O418" s="23"/>
      <c r="P418" s="20"/>
      <c r="Q418" s="23"/>
      <c r="R418" s="24"/>
      <c r="S418" s="24"/>
    </row>
    <row r="419" spans="1:19" s="19" customFormat="1" ht="15.75">
      <c r="A419" s="35" t="s">
        <v>240</v>
      </c>
      <c r="C419" s="20"/>
      <c r="D419" s="21"/>
      <c r="E419" s="26"/>
      <c r="F419" s="22"/>
      <c r="G419" s="23"/>
      <c r="H419" s="22"/>
      <c r="I419" s="23"/>
      <c r="J419" s="24"/>
      <c r="K419" s="21"/>
      <c r="L419" s="25"/>
      <c r="M419" s="25"/>
      <c r="N419" s="22"/>
      <c r="O419" s="23"/>
      <c r="P419" s="20"/>
      <c r="Q419" s="23"/>
      <c r="R419" s="24"/>
      <c r="S419" s="24"/>
    </row>
    <row r="420" spans="1:19" s="19" customFormat="1">
      <c r="A420" s="150" t="s">
        <v>922</v>
      </c>
      <c r="B420" s="19" t="s">
        <v>18</v>
      </c>
      <c r="C420" s="20"/>
      <c r="D420" s="21" t="s">
        <v>40</v>
      </c>
      <c r="E420" s="26">
        <v>1</v>
      </c>
      <c r="F420" s="22">
        <v>1</v>
      </c>
      <c r="G420" s="23" t="s">
        <v>20</v>
      </c>
      <c r="H420" s="22">
        <v>24</v>
      </c>
      <c r="I420" s="23" t="s">
        <v>40</v>
      </c>
      <c r="J420" s="24">
        <v>118800</v>
      </c>
      <c r="K420" s="21" t="s">
        <v>40</v>
      </c>
      <c r="L420" s="25">
        <v>0.125</v>
      </c>
      <c r="M420" s="25">
        <v>0.05</v>
      </c>
      <c r="N420" s="22"/>
      <c r="O420" s="23" t="s">
        <v>40</v>
      </c>
      <c r="P420" s="20">
        <f t="shared" ref="P420" si="233">(C420+(E420*F420*H420))-N420</f>
        <v>24</v>
      </c>
      <c r="Q420" s="23" t="s">
        <v>40</v>
      </c>
      <c r="R420" s="24">
        <f t="shared" ref="R420" si="234">P420*(J420-(J420*L420)-((J420-(J420*L420))*M420))</f>
        <v>2370060</v>
      </c>
      <c r="S420" s="24">
        <f t="shared" ref="S420" si="235">R420/1.11</f>
        <v>2135189.1891891891</v>
      </c>
    </row>
    <row r="421" spans="1:19" s="19" customFormat="1">
      <c r="A421" s="139" t="s">
        <v>241</v>
      </c>
      <c r="B421" s="19" t="s">
        <v>18</v>
      </c>
      <c r="C421" s="20"/>
      <c r="D421" s="21" t="s">
        <v>40</v>
      </c>
      <c r="E421" s="26">
        <v>11</v>
      </c>
      <c r="F421" s="22">
        <v>1</v>
      </c>
      <c r="G421" s="23" t="s">
        <v>20</v>
      </c>
      <c r="H421" s="22">
        <v>24</v>
      </c>
      <c r="I421" s="23" t="s">
        <v>40</v>
      </c>
      <c r="J421" s="135">
        <v>89400</v>
      </c>
      <c r="K421" s="21" t="s">
        <v>40</v>
      </c>
      <c r="L421" s="25">
        <v>0.125</v>
      </c>
      <c r="M421" s="25">
        <v>0.05</v>
      </c>
      <c r="N421" s="22"/>
      <c r="O421" s="23" t="s">
        <v>40</v>
      </c>
      <c r="P421" s="20">
        <f t="shared" ref="P421" si="236">(C421+(E421*F421*H421))-N421</f>
        <v>264</v>
      </c>
      <c r="Q421" s="23" t="s">
        <v>40</v>
      </c>
      <c r="R421" s="24">
        <f t="shared" ref="R421" si="237">P421*(J421-(J421*L421)-((J421-(J421*L421))*M421))</f>
        <v>19618830</v>
      </c>
      <c r="S421" s="24">
        <f t="shared" ref="S421" si="238">R421/1.11</f>
        <v>17674621.62162162</v>
      </c>
    </row>
    <row r="422" spans="1:19" s="19" customFormat="1">
      <c r="A422" s="139" t="s">
        <v>241</v>
      </c>
      <c r="B422" s="19" t="s">
        <v>18</v>
      </c>
      <c r="C422" s="20">
        <v>26</v>
      </c>
      <c r="D422" s="21" t="s">
        <v>40</v>
      </c>
      <c r="E422" s="26">
        <v>7</v>
      </c>
      <c r="F422" s="22">
        <v>1</v>
      </c>
      <c r="G422" s="23" t="s">
        <v>20</v>
      </c>
      <c r="H422" s="22">
        <v>24</v>
      </c>
      <c r="I422" s="23" t="s">
        <v>40</v>
      </c>
      <c r="J422" s="135">
        <v>88200</v>
      </c>
      <c r="K422" s="21" t="s">
        <v>40</v>
      </c>
      <c r="L422" s="25">
        <v>0.125</v>
      </c>
      <c r="M422" s="25">
        <v>0.05</v>
      </c>
      <c r="N422" s="22"/>
      <c r="O422" s="23" t="s">
        <v>40</v>
      </c>
      <c r="P422" s="20">
        <f t="shared" ref="P422:P437" si="239">(C422+(E422*F422*H422))-N422</f>
        <v>194</v>
      </c>
      <c r="Q422" s="23" t="s">
        <v>40</v>
      </c>
      <c r="R422" s="24">
        <f t="shared" ref="R422:R437" si="240">P422*(J422-(J422*L422)-((J422-(J422*L422))*M422))</f>
        <v>14223352.5</v>
      </c>
      <c r="S422" s="24">
        <f t="shared" si="197"/>
        <v>12813831.081081079</v>
      </c>
    </row>
    <row r="423" spans="1:19" s="19" customFormat="1">
      <c r="A423" s="28" t="s">
        <v>655</v>
      </c>
      <c r="B423" s="19" t="s">
        <v>18</v>
      </c>
      <c r="C423" s="20"/>
      <c r="D423" s="21" t="s">
        <v>40</v>
      </c>
      <c r="E423" s="26">
        <v>2</v>
      </c>
      <c r="F423" s="22">
        <v>1</v>
      </c>
      <c r="G423" s="23" t="s">
        <v>20</v>
      </c>
      <c r="H423" s="22">
        <v>24</v>
      </c>
      <c r="I423" s="23" t="s">
        <v>40</v>
      </c>
      <c r="J423" s="29">
        <v>118800</v>
      </c>
      <c r="K423" s="21" t="s">
        <v>40</v>
      </c>
      <c r="L423" s="25">
        <v>0.125</v>
      </c>
      <c r="M423" s="25">
        <v>0.05</v>
      </c>
      <c r="N423" s="22"/>
      <c r="O423" s="23" t="s">
        <v>40</v>
      </c>
      <c r="P423" s="20">
        <f t="shared" ref="P423" si="241">(C423+(E423*F423*H423))-N423</f>
        <v>48</v>
      </c>
      <c r="Q423" s="23" t="s">
        <v>40</v>
      </c>
      <c r="R423" s="24">
        <f t="shared" ref="R423" si="242">P423*(J423-(J423*L423)-((J423-(J423*L423))*M423))</f>
        <v>4740120</v>
      </c>
      <c r="S423" s="24">
        <f t="shared" ref="S423" si="243">R423/1.11</f>
        <v>4270378.3783783782</v>
      </c>
    </row>
    <row r="424" spans="1:19" s="19" customFormat="1">
      <c r="A424" s="28" t="s">
        <v>655</v>
      </c>
      <c r="B424" s="19" t="s">
        <v>18</v>
      </c>
      <c r="C424" s="20">
        <v>16</v>
      </c>
      <c r="D424" s="21" t="s">
        <v>40</v>
      </c>
      <c r="E424" s="26"/>
      <c r="F424" s="22">
        <v>1</v>
      </c>
      <c r="G424" s="23" t="s">
        <v>20</v>
      </c>
      <c r="H424" s="22">
        <v>24</v>
      </c>
      <c r="I424" s="23" t="s">
        <v>40</v>
      </c>
      <c r="J424" s="29">
        <v>114000</v>
      </c>
      <c r="K424" s="21" t="s">
        <v>40</v>
      </c>
      <c r="L424" s="25">
        <v>0.125</v>
      </c>
      <c r="M424" s="25">
        <v>0.05</v>
      </c>
      <c r="N424" s="22"/>
      <c r="O424" s="23" t="s">
        <v>40</v>
      </c>
      <c r="P424" s="20">
        <f t="shared" si="239"/>
        <v>16</v>
      </c>
      <c r="Q424" s="23" t="s">
        <v>40</v>
      </c>
      <c r="R424" s="24">
        <f t="shared" si="240"/>
        <v>1516200</v>
      </c>
      <c r="S424" s="24">
        <f t="shared" si="197"/>
        <v>1365945.9459459458</v>
      </c>
    </row>
    <row r="425" spans="1:19" s="19" customFormat="1">
      <c r="A425" s="131" t="s">
        <v>242</v>
      </c>
      <c r="B425" s="19" t="s">
        <v>18</v>
      </c>
      <c r="C425" s="20"/>
      <c r="D425" s="21" t="s">
        <v>40</v>
      </c>
      <c r="E425" s="26">
        <v>16</v>
      </c>
      <c r="F425" s="22">
        <v>1</v>
      </c>
      <c r="G425" s="23" t="s">
        <v>20</v>
      </c>
      <c r="H425" s="22">
        <v>24</v>
      </c>
      <c r="I425" s="23" t="s">
        <v>40</v>
      </c>
      <c r="J425" s="135">
        <v>89400</v>
      </c>
      <c r="K425" s="21" t="s">
        <v>40</v>
      </c>
      <c r="L425" s="25">
        <v>0.125</v>
      </c>
      <c r="M425" s="25">
        <v>0.05</v>
      </c>
      <c r="N425" s="22"/>
      <c r="O425" s="23" t="s">
        <v>40</v>
      </c>
      <c r="P425" s="20">
        <f t="shared" ref="P425" si="244">(C425+(E425*F425*H425))-N425</f>
        <v>384</v>
      </c>
      <c r="Q425" s="23" t="s">
        <v>40</v>
      </c>
      <c r="R425" s="24">
        <f t="shared" ref="R425" si="245">P425*(J425-(J425*L425)-((J425-(J425*L425))*M425))</f>
        <v>28536480</v>
      </c>
      <c r="S425" s="24">
        <f t="shared" ref="S425" si="246">R425/1.11</f>
        <v>25708540.540540539</v>
      </c>
    </row>
    <row r="426" spans="1:19" s="19" customFormat="1">
      <c r="A426" s="131" t="s">
        <v>242</v>
      </c>
      <c r="B426" s="19" t="s">
        <v>18</v>
      </c>
      <c r="C426" s="20">
        <v>204</v>
      </c>
      <c r="D426" s="21" t="s">
        <v>40</v>
      </c>
      <c r="E426" s="26">
        <v>5</v>
      </c>
      <c r="F426" s="22">
        <v>1</v>
      </c>
      <c r="G426" s="23" t="s">
        <v>20</v>
      </c>
      <c r="H426" s="22">
        <v>24</v>
      </c>
      <c r="I426" s="23" t="s">
        <v>40</v>
      </c>
      <c r="J426" s="135">
        <v>88200</v>
      </c>
      <c r="K426" s="21" t="s">
        <v>40</v>
      </c>
      <c r="L426" s="25">
        <v>0.125</v>
      </c>
      <c r="M426" s="25">
        <v>0.05</v>
      </c>
      <c r="N426" s="22"/>
      <c r="O426" s="23" t="s">
        <v>40</v>
      </c>
      <c r="P426" s="20">
        <f t="shared" si="239"/>
        <v>324</v>
      </c>
      <c r="Q426" s="23" t="s">
        <v>40</v>
      </c>
      <c r="R426" s="24">
        <f t="shared" si="240"/>
        <v>23754465</v>
      </c>
      <c r="S426" s="24">
        <f t="shared" si="197"/>
        <v>21400418.918918919</v>
      </c>
    </row>
    <row r="427" spans="1:19" s="19" customFormat="1">
      <c r="A427" s="28" t="s">
        <v>243</v>
      </c>
      <c r="B427" s="19" t="s">
        <v>18</v>
      </c>
      <c r="C427" s="20"/>
      <c r="D427" s="21" t="s">
        <v>40</v>
      </c>
      <c r="E427" s="26">
        <v>11</v>
      </c>
      <c r="F427" s="22">
        <v>1</v>
      </c>
      <c r="G427" s="23" t="s">
        <v>20</v>
      </c>
      <c r="H427" s="22">
        <v>24</v>
      </c>
      <c r="I427" s="23" t="s">
        <v>40</v>
      </c>
      <c r="J427" s="29">
        <v>90600</v>
      </c>
      <c r="K427" s="21" t="s">
        <v>40</v>
      </c>
      <c r="L427" s="25">
        <v>0.125</v>
      </c>
      <c r="M427" s="25">
        <v>0.05</v>
      </c>
      <c r="N427" s="22"/>
      <c r="O427" s="23" t="s">
        <v>40</v>
      </c>
      <c r="P427" s="20">
        <f t="shared" ref="P427" si="247">(C427+(E427*F427*H427))-N427</f>
        <v>264</v>
      </c>
      <c r="Q427" s="23" t="s">
        <v>40</v>
      </c>
      <c r="R427" s="24">
        <f t="shared" ref="R427" si="248">P427*(J427-(J427*L427)-((J427-(J427*L427))*M427))</f>
        <v>19882170</v>
      </c>
      <c r="S427" s="24">
        <f t="shared" ref="S427" si="249">R427/1.11</f>
        <v>17911864.864864863</v>
      </c>
    </row>
    <row r="428" spans="1:19" s="19" customFormat="1">
      <c r="A428" s="28" t="s">
        <v>243</v>
      </c>
      <c r="B428" s="19" t="s">
        <v>18</v>
      </c>
      <c r="C428" s="20">
        <v>350</v>
      </c>
      <c r="D428" s="21" t="s">
        <v>40</v>
      </c>
      <c r="E428" s="26">
        <v>4</v>
      </c>
      <c r="F428" s="22">
        <v>1</v>
      </c>
      <c r="G428" s="23" t="s">
        <v>20</v>
      </c>
      <c r="H428" s="22">
        <v>24</v>
      </c>
      <c r="I428" s="23" t="s">
        <v>40</v>
      </c>
      <c r="J428" s="29">
        <v>89400</v>
      </c>
      <c r="K428" s="21" t="s">
        <v>40</v>
      </c>
      <c r="L428" s="25">
        <v>0.125</v>
      </c>
      <c r="M428" s="25">
        <v>0.05</v>
      </c>
      <c r="N428" s="22"/>
      <c r="O428" s="23" t="s">
        <v>40</v>
      </c>
      <c r="P428" s="20">
        <f t="shared" si="239"/>
        <v>446</v>
      </c>
      <c r="Q428" s="23" t="s">
        <v>40</v>
      </c>
      <c r="R428" s="24">
        <f t="shared" si="240"/>
        <v>33143932.5</v>
      </c>
      <c r="S428" s="24">
        <f t="shared" si="197"/>
        <v>29859398.648648646</v>
      </c>
    </row>
    <row r="429" spans="1:19" s="19" customFormat="1">
      <c r="A429" s="150" t="s">
        <v>923</v>
      </c>
      <c r="B429" s="19" t="s">
        <v>18</v>
      </c>
      <c r="C429" s="20"/>
      <c r="D429" s="21" t="s">
        <v>40</v>
      </c>
      <c r="E429" s="26">
        <v>1</v>
      </c>
      <c r="F429" s="22">
        <v>1</v>
      </c>
      <c r="G429" s="23" t="s">
        <v>20</v>
      </c>
      <c r="H429" s="22">
        <v>24</v>
      </c>
      <c r="I429" s="23" t="s">
        <v>40</v>
      </c>
      <c r="J429" s="24">
        <v>139200</v>
      </c>
      <c r="K429" s="21" t="s">
        <v>40</v>
      </c>
      <c r="L429" s="25">
        <v>0.125</v>
      </c>
      <c r="M429" s="25">
        <v>0.05</v>
      </c>
      <c r="N429" s="22"/>
      <c r="O429" s="23" t="s">
        <v>40</v>
      </c>
      <c r="P429" s="20">
        <f t="shared" si="239"/>
        <v>24</v>
      </c>
      <c r="Q429" s="23" t="s">
        <v>40</v>
      </c>
      <c r="R429" s="24">
        <f t="shared" si="240"/>
        <v>2777040</v>
      </c>
      <c r="S429" s="24">
        <f t="shared" si="197"/>
        <v>2501837.8378378376</v>
      </c>
    </row>
    <row r="430" spans="1:19" s="19" customFormat="1">
      <c r="A430" s="150" t="s">
        <v>924</v>
      </c>
      <c r="B430" s="19" t="s">
        <v>18</v>
      </c>
      <c r="C430" s="20"/>
      <c r="D430" s="21" t="s">
        <v>40</v>
      </c>
      <c r="E430" s="26">
        <v>1</v>
      </c>
      <c r="F430" s="22">
        <v>1</v>
      </c>
      <c r="G430" s="23" t="s">
        <v>20</v>
      </c>
      <c r="H430" s="22">
        <v>12</v>
      </c>
      <c r="I430" s="23" t="s">
        <v>40</v>
      </c>
      <c r="J430" s="24">
        <v>182400</v>
      </c>
      <c r="K430" s="21" t="s">
        <v>40</v>
      </c>
      <c r="L430" s="25">
        <v>0.125</v>
      </c>
      <c r="M430" s="25">
        <v>0.05</v>
      </c>
      <c r="N430" s="22"/>
      <c r="O430" s="23" t="s">
        <v>40</v>
      </c>
      <c r="P430" s="20">
        <f t="shared" si="239"/>
        <v>12</v>
      </c>
      <c r="Q430" s="23" t="s">
        <v>40</v>
      </c>
      <c r="R430" s="24">
        <f t="shared" si="240"/>
        <v>1819440</v>
      </c>
      <c r="S430" s="24">
        <f t="shared" si="197"/>
        <v>1639135.1351351349</v>
      </c>
    </row>
    <row r="431" spans="1:19" s="19" customFormat="1">
      <c r="A431" s="18" t="s">
        <v>942</v>
      </c>
      <c r="B431" s="19" t="s">
        <v>18</v>
      </c>
      <c r="C431" s="20"/>
      <c r="D431" s="21" t="s">
        <v>151</v>
      </c>
      <c r="E431" s="26">
        <v>4</v>
      </c>
      <c r="F431" s="22">
        <v>1</v>
      </c>
      <c r="G431" s="23" t="s">
        <v>20</v>
      </c>
      <c r="H431" s="22">
        <v>24</v>
      </c>
      <c r="I431" s="23" t="s">
        <v>33</v>
      </c>
      <c r="J431" s="24">
        <v>34800</v>
      </c>
      <c r="K431" s="21" t="s">
        <v>33</v>
      </c>
      <c r="L431" s="25">
        <v>0.125</v>
      </c>
      <c r="M431" s="25">
        <v>0.05</v>
      </c>
      <c r="N431" s="22"/>
      <c r="O431" s="23" t="s">
        <v>33</v>
      </c>
      <c r="P431" s="20">
        <f t="shared" ref="P431" si="250">(C431+(E431*F431*H431))-N431</f>
        <v>96</v>
      </c>
      <c r="Q431" s="23" t="s">
        <v>33</v>
      </c>
      <c r="R431" s="24">
        <f t="shared" ref="R431" si="251">P431*(J431-(J431*L431)-((J431-(J431*L431))*M431))</f>
        <v>2777040</v>
      </c>
      <c r="S431" s="24">
        <f t="shared" ref="S431" si="252">R431/1.11</f>
        <v>2501837.8378378376</v>
      </c>
    </row>
    <row r="432" spans="1:19" s="19" customFormat="1">
      <c r="A432" s="18" t="s">
        <v>244</v>
      </c>
      <c r="B432" s="19" t="s">
        <v>18</v>
      </c>
      <c r="C432" s="20"/>
      <c r="D432" s="21" t="s">
        <v>151</v>
      </c>
      <c r="E432" s="26">
        <v>5</v>
      </c>
      <c r="F432" s="22">
        <v>12</v>
      </c>
      <c r="G432" s="23" t="s">
        <v>33</v>
      </c>
      <c r="H432" s="22">
        <v>24</v>
      </c>
      <c r="I432" s="23" t="s">
        <v>151</v>
      </c>
      <c r="J432" s="24">
        <v>12000</v>
      </c>
      <c r="K432" s="21" t="s">
        <v>151</v>
      </c>
      <c r="L432" s="25">
        <v>0.125</v>
      </c>
      <c r="M432" s="25">
        <v>0.05</v>
      </c>
      <c r="N432" s="22"/>
      <c r="O432" s="23" t="s">
        <v>151</v>
      </c>
      <c r="P432" s="20">
        <f t="shared" si="239"/>
        <v>1440</v>
      </c>
      <c r="Q432" s="23" t="s">
        <v>151</v>
      </c>
      <c r="R432" s="24">
        <f t="shared" si="240"/>
        <v>14364000</v>
      </c>
      <c r="S432" s="24">
        <f t="shared" si="197"/>
        <v>12940540.540540539</v>
      </c>
    </row>
    <row r="433" spans="1:19" s="78" customFormat="1">
      <c r="A433" s="77" t="s">
        <v>245</v>
      </c>
      <c r="B433" s="78" t="s">
        <v>18</v>
      </c>
      <c r="C433" s="76"/>
      <c r="D433" s="79" t="s">
        <v>151</v>
      </c>
      <c r="E433" s="80"/>
      <c r="F433" s="81">
        <v>10</v>
      </c>
      <c r="G433" s="82" t="s">
        <v>33</v>
      </c>
      <c r="H433" s="81">
        <v>10</v>
      </c>
      <c r="I433" s="82" t="s">
        <v>151</v>
      </c>
      <c r="J433" s="83">
        <v>28000</v>
      </c>
      <c r="K433" s="79" t="s">
        <v>151</v>
      </c>
      <c r="L433" s="84">
        <v>0.125</v>
      </c>
      <c r="M433" s="84">
        <v>0.05</v>
      </c>
      <c r="N433" s="81"/>
      <c r="O433" s="82" t="s">
        <v>151</v>
      </c>
      <c r="P433" s="76">
        <f t="shared" si="239"/>
        <v>0</v>
      </c>
      <c r="Q433" s="82" t="s">
        <v>151</v>
      </c>
      <c r="R433" s="83">
        <f t="shared" si="240"/>
        <v>0</v>
      </c>
      <c r="S433" s="83">
        <f t="shared" si="197"/>
        <v>0</v>
      </c>
    </row>
    <row r="434" spans="1:19" s="78" customFormat="1">
      <c r="A434" s="77" t="s">
        <v>246</v>
      </c>
      <c r="B434" s="78" t="s">
        <v>18</v>
      </c>
      <c r="C434" s="76"/>
      <c r="D434" s="79" t="s">
        <v>151</v>
      </c>
      <c r="E434" s="80"/>
      <c r="F434" s="81">
        <v>10</v>
      </c>
      <c r="G434" s="82" t="s">
        <v>33</v>
      </c>
      <c r="H434" s="81">
        <v>10</v>
      </c>
      <c r="I434" s="82" t="s">
        <v>151</v>
      </c>
      <c r="J434" s="83">
        <v>33500</v>
      </c>
      <c r="K434" s="79" t="s">
        <v>151</v>
      </c>
      <c r="L434" s="84">
        <v>0.125</v>
      </c>
      <c r="M434" s="84">
        <v>0.05</v>
      </c>
      <c r="N434" s="81"/>
      <c r="O434" s="82" t="s">
        <v>151</v>
      </c>
      <c r="P434" s="76">
        <f t="shared" si="239"/>
        <v>0</v>
      </c>
      <c r="Q434" s="82" t="s">
        <v>151</v>
      </c>
      <c r="R434" s="83">
        <f t="shared" si="240"/>
        <v>0</v>
      </c>
      <c r="S434" s="83">
        <f t="shared" si="197"/>
        <v>0</v>
      </c>
    </row>
    <row r="435" spans="1:19" s="78" customFormat="1">
      <c r="A435" s="77" t="s">
        <v>247</v>
      </c>
      <c r="B435" s="78" t="s">
        <v>18</v>
      </c>
      <c r="C435" s="76"/>
      <c r="D435" s="79" t="s">
        <v>151</v>
      </c>
      <c r="E435" s="80"/>
      <c r="F435" s="81">
        <v>8</v>
      </c>
      <c r="G435" s="82" t="s">
        <v>33</v>
      </c>
      <c r="H435" s="81">
        <v>10</v>
      </c>
      <c r="I435" s="82" t="s">
        <v>151</v>
      </c>
      <c r="J435" s="83">
        <v>48500</v>
      </c>
      <c r="K435" s="79" t="s">
        <v>151</v>
      </c>
      <c r="L435" s="84">
        <v>0.125</v>
      </c>
      <c r="M435" s="84">
        <v>0.05</v>
      </c>
      <c r="N435" s="81"/>
      <c r="O435" s="82" t="s">
        <v>151</v>
      </c>
      <c r="P435" s="76">
        <f t="shared" si="239"/>
        <v>0</v>
      </c>
      <c r="Q435" s="82" t="s">
        <v>151</v>
      </c>
      <c r="R435" s="83">
        <f t="shared" si="240"/>
        <v>0</v>
      </c>
      <c r="S435" s="83">
        <f t="shared" si="197"/>
        <v>0</v>
      </c>
    </row>
    <row r="436" spans="1:19" s="78" customFormat="1">
      <c r="A436" s="77" t="s">
        <v>248</v>
      </c>
      <c r="B436" s="78" t="s">
        <v>18</v>
      </c>
      <c r="C436" s="76"/>
      <c r="D436" s="79" t="s">
        <v>151</v>
      </c>
      <c r="E436" s="80"/>
      <c r="F436" s="81">
        <v>10</v>
      </c>
      <c r="G436" s="82" t="s">
        <v>33</v>
      </c>
      <c r="H436" s="81">
        <v>12</v>
      </c>
      <c r="I436" s="82" t="s">
        <v>151</v>
      </c>
      <c r="J436" s="83">
        <v>17000</v>
      </c>
      <c r="K436" s="79" t="s">
        <v>151</v>
      </c>
      <c r="L436" s="84">
        <v>0.125</v>
      </c>
      <c r="M436" s="84">
        <v>0.05</v>
      </c>
      <c r="N436" s="81"/>
      <c r="O436" s="82" t="s">
        <v>151</v>
      </c>
      <c r="P436" s="76">
        <f t="shared" si="239"/>
        <v>0</v>
      </c>
      <c r="Q436" s="82" t="s">
        <v>151</v>
      </c>
      <c r="R436" s="83">
        <f t="shared" si="240"/>
        <v>0</v>
      </c>
      <c r="S436" s="83">
        <f t="shared" si="197"/>
        <v>0</v>
      </c>
    </row>
    <row r="437" spans="1:19" s="78" customFormat="1">
      <c r="A437" s="77" t="s">
        <v>249</v>
      </c>
      <c r="B437" s="78" t="s">
        <v>18</v>
      </c>
      <c r="C437" s="76"/>
      <c r="D437" s="79" t="s">
        <v>151</v>
      </c>
      <c r="E437" s="80"/>
      <c r="F437" s="81">
        <v>24</v>
      </c>
      <c r="G437" s="82" t="s">
        <v>33</v>
      </c>
      <c r="H437" s="81">
        <v>12</v>
      </c>
      <c r="I437" s="82" t="s">
        <v>151</v>
      </c>
      <c r="J437" s="83">
        <v>13300</v>
      </c>
      <c r="K437" s="79" t="s">
        <v>151</v>
      </c>
      <c r="L437" s="84">
        <v>0.125</v>
      </c>
      <c r="M437" s="84">
        <v>0.05</v>
      </c>
      <c r="N437" s="81"/>
      <c r="O437" s="82" t="s">
        <v>151</v>
      </c>
      <c r="P437" s="76">
        <f t="shared" si="239"/>
        <v>0</v>
      </c>
      <c r="Q437" s="82" t="s">
        <v>151</v>
      </c>
      <c r="R437" s="83">
        <f t="shared" si="240"/>
        <v>0</v>
      </c>
      <c r="S437" s="83">
        <f t="shared" si="197"/>
        <v>0</v>
      </c>
    </row>
    <row r="438" spans="1:19" s="19" customFormat="1">
      <c r="A438" s="18"/>
      <c r="C438" s="20"/>
      <c r="D438" s="21"/>
      <c r="E438" s="26"/>
      <c r="F438" s="22"/>
      <c r="G438" s="23"/>
      <c r="H438" s="22"/>
      <c r="I438" s="23"/>
      <c r="J438" s="24"/>
      <c r="K438" s="21"/>
      <c r="L438" s="25"/>
      <c r="M438" s="25"/>
      <c r="N438" s="22"/>
      <c r="O438" s="23"/>
      <c r="P438" s="20"/>
      <c r="Q438" s="23"/>
      <c r="R438" s="24"/>
      <c r="S438" s="24"/>
    </row>
    <row r="439" spans="1:19" s="95" customFormat="1">
      <c r="A439" s="125" t="s">
        <v>250</v>
      </c>
      <c r="B439" s="95" t="s">
        <v>25</v>
      </c>
      <c r="C439" s="96"/>
      <c r="D439" s="97" t="s">
        <v>19</v>
      </c>
      <c r="E439" s="98">
        <v>2</v>
      </c>
      <c r="F439" s="99">
        <v>24</v>
      </c>
      <c r="G439" s="100" t="s">
        <v>40</v>
      </c>
      <c r="H439" s="99">
        <v>12</v>
      </c>
      <c r="I439" s="100" t="s">
        <v>19</v>
      </c>
      <c r="J439" s="101">
        <f>2160000/24/12</f>
        <v>7500</v>
      </c>
      <c r="K439" s="97" t="s">
        <v>19</v>
      </c>
      <c r="L439" s="102"/>
      <c r="M439" s="102">
        <v>0.17</v>
      </c>
      <c r="N439" s="99"/>
      <c r="O439" s="100" t="s">
        <v>19</v>
      </c>
      <c r="P439" s="96">
        <f t="shared" ref="P439:P442" si="253">(C439+(E439*F439*H439))-N439</f>
        <v>576</v>
      </c>
      <c r="Q439" s="100" t="s">
        <v>19</v>
      </c>
      <c r="R439" s="101">
        <f t="shared" ref="R439:R442" si="254">P439*(J439-(J439*L439)-((J439-(J439*L439))*M439))</f>
        <v>3585600</v>
      </c>
      <c r="S439" s="101">
        <f t="shared" si="197"/>
        <v>3230270.2702702698</v>
      </c>
    </row>
    <row r="440" spans="1:19" s="95" customFormat="1">
      <c r="A440" s="125" t="s">
        <v>251</v>
      </c>
      <c r="B440" s="95" t="s">
        <v>25</v>
      </c>
      <c r="C440" s="96"/>
      <c r="D440" s="97" t="s">
        <v>19</v>
      </c>
      <c r="E440" s="98">
        <v>2</v>
      </c>
      <c r="F440" s="99">
        <v>24</v>
      </c>
      <c r="G440" s="100" t="s">
        <v>40</v>
      </c>
      <c r="H440" s="99">
        <v>12</v>
      </c>
      <c r="I440" s="100" t="s">
        <v>19</v>
      </c>
      <c r="J440" s="101">
        <f>2160000/24/12</f>
        <v>7500</v>
      </c>
      <c r="K440" s="97" t="s">
        <v>19</v>
      </c>
      <c r="L440" s="102"/>
      <c r="M440" s="102">
        <v>0.17</v>
      </c>
      <c r="N440" s="99"/>
      <c r="O440" s="100" t="s">
        <v>19</v>
      </c>
      <c r="P440" s="96">
        <f t="shared" si="253"/>
        <v>576</v>
      </c>
      <c r="Q440" s="100" t="s">
        <v>19</v>
      </c>
      <c r="R440" s="101">
        <f t="shared" si="254"/>
        <v>3585600</v>
      </c>
      <c r="S440" s="101">
        <f t="shared" si="197"/>
        <v>3230270.2702702698</v>
      </c>
    </row>
    <row r="441" spans="1:19" s="19" customFormat="1">
      <c r="A441" s="40" t="s">
        <v>783</v>
      </c>
      <c r="B441" s="19" t="s">
        <v>25</v>
      </c>
      <c r="C441" s="20">
        <v>288</v>
      </c>
      <c r="D441" s="21" t="s">
        <v>19</v>
      </c>
      <c r="E441" s="26">
        <v>4</v>
      </c>
      <c r="F441" s="22">
        <v>24</v>
      </c>
      <c r="G441" s="23" t="s">
        <v>40</v>
      </c>
      <c r="H441" s="22">
        <v>12</v>
      </c>
      <c r="I441" s="23" t="s">
        <v>19</v>
      </c>
      <c r="J441" s="24">
        <f>2160000/24/12</f>
        <v>7500</v>
      </c>
      <c r="K441" s="21" t="s">
        <v>19</v>
      </c>
      <c r="L441" s="25"/>
      <c r="M441" s="25">
        <v>0.17</v>
      </c>
      <c r="N441" s="22"/>
      <c r="O441" s="23" t="s">
        <v>19</v>
      </c>
      <c r="P441" s="20">
        <f t="shared" si="253"/>
        <v>1440</v>
      </c>
      <c r="Q441" s="23" t="s">
        <v>19</v>
      </c>
      <c r="R441" s="24">
        <f t="shared" si="254"/>
        <v>8964000</v>
      </c>
      <c r="S441" s="24">
        <f t="shared" si="197"/>
        <v>8075675.6756756753</v>
      </c>
    </row>
    <row r="442" spans="1:19" s="19" customFormat="1">
      <c r="A442" s="40" t="s">
        <v>784</v>
      </c>
      <c r="B442" s="19" t="s">
        <v>25</v>
      </c>
      <c r="C442" s="20">
        <v>204</v>
      </c>
      <c r="D442" s="21" t="s">
        <v>19</v>
      </c>
      <c r="E442" s="26"/>
      <c r="F442" s="22">
        <v>12</v>
      </c>
      <c r="G442" s="23" t="s">
        <v>40</v>
      </c>
      <c r="H442" s="22">
        <v>12</v>
      </c>
      <c r="I442" s="23" t="s">
        <v>19</v>
      </c>
      <c r="J442" s="24">
        <f>3024000/12/12</f>
        <v>21000</v>
      </c>
      <c r="K442" s="21" t="s">
        <v>19</v>
      </c>
      <c r="L442" s="25"/>
      <c r="M442" s="25">
        <v>0.17</v>
      </c>
      <c r="N442" s="22"/>
      <c r="O442" s="23" t="s">
        <v>19</v>
      </c>
      <c r="P442" s="20">
        <f t="shared" si="253"/>
        <v>204</v>
      </c>
      <c r="Q442" s="23" t="s">
        <v>19</v>
      </c>
      <c r="R442" s="24">
        <f t="shared" si="254"/>
        <v>3555720</v>
      </c>
      <c r="S442" s="24">
        <f t="shared" si="197"/>
        <v>3203351.351351351</v>
      </c>
    </row>
    <row r="443" spans="1:19" s="19" customFormat="1">
      <c r="A443" s="18"/>
      <c r="C443" s="20"/>
      <c r="D443" s="21"/>
      <c r="E443" s="26"/>
      <c r="F443" s="22"/>
      <c r="G443" s="23"/>
      <c r="H443" s="22"/>
      <c r="I443" s="23"/>
      <c r="J443" s="24"/>
      <c r="K443" s="21"/>
      <c r="L443" s="25"/>
      <c r="M443" s="25"/>
      <c r="N443" s="22"/>
      <c r="O443" s="23"/>
      <c r="P443" s="20"/>
      <c r="Q443" s="23"/>
      <c r="R443" s="24"/>
      <c r="S443" s="24"/>
    </row>
    <row r="444" spans="1:19" s="19" customFormat="1" ht="15.75">
      <c r="A444" s="35" t="s">
        <v>252</v>
      </c>
      <c r="C444" s="20"/>
      <c r="D444" s="21"/>
      <c r="E444" s="26"/>
      <c r="F444" s="22"/>
      <c r="G444" s="23"/>
      <c r="H444" s="22"/>
      <c r="I444" s="23"/>
      <c r="J444" s="24"/>
      <c r="K444" s="21"/>
      <c r="L444" s="25"/>
      <c r="M444" s="25"/>
      <c r="N444" s="22"/>
      <c r="O444" s="23"/>
      <c r="P444" s="20"/>
      <c r="Q444" s="23"/>
      <c r="R444" s="24"/>
      <c r="S444" s="24"/>
    </row>
    <row r="445" spans="1:19" s="78" customFormat="1">
      <c r="A445" s="77" t="s">
        <v>253</v>
      </c>
      <c r="B445" s="78" t="s">
        <v>18</v>
      </c>
      <c r="C445" s="76"/>
      <c r="D445" s="79" t="s">
        <v>33</v>
      </c>
      <c r="E445" s="80"/>
      <c r="F445" s="81">
        <v>1</v>
      </c>
      <c r="G445" s="82" t="s">
        <v>20</v>
      </c>
      <c r="H445" s="81">
        <v>20</v>
      </c>
      <c r="I445" s="82" t="s">
        <v>33</v>
      </c>
      <c r="J445" s="83">
        <f>6200*12</f>
        <v>74400</v>
      </c>
      <c r="K445" s="79" t="s">
        <v>33</v>
      </c>
      <c r="L445" s="84">
        <v>0.125</v>
      </c>
      <c r="M445" s="84">
        <v>0.05</v>
      </c>
      <c r="N445" s="81"/>
      <c r="O445" s="82" t="s">
        <v>33</v>
      </c>
      <c r="P445" s="76">
        <f>(C445+(E445*F445*H445))-N445</f>
        <v>0</v>
      </c>
      <c r="Q445" s="82" t="s">
        <v>33</v>
      </c>
      <c r="R445" s="83">
        <f>P445*(J445-(J445*L445)-((J445-(J445*L445))*M445))</f>
        <v>0</v>
      </c>
      <c r="S445" s="83">
        <f t="shared" si="197"/>
        <v>0</v>
      </c>
    </row>
    <row r="446" spans="1:19" s="78" customFormat="1">
      <c r="A446" s="77" t="s">
        <v>254</v>
      </c>
      <c r="B446" s="78" t="s">
        <v>18</v>
      </c>
      <c r="C446" s="76"/>
      <c r="D446" s="79" t="s">
        <v>33</v>
      </c>
      <c r="E446" s="80"/>
      <c r="F446" s="81">
        <v>1</v>
      </c>
      <c r="G446" s="82" t="s">
        <v>20</v>
      </c>
      <c r="H446" s="81">
        <v>20</v>
      </c>
      <c r="I446" s="82" t="s">
        <v>33</v>
      </c>
      <c r="J446" s="83">
        <f>6800*12</f>
        <v>81600</v>
      </c>
      <c r="K446" s="79" t="s">
        <v>33</v>
      </c>
      <c r="L446" s="84">
        <v>0.125</v>
      </c>
      <c r="M446" s="84">
        <v>0.05</v>
      </c>
      <c r="N446" s="81"/>
      <c r="O446" s="82" t="s">
        <v>33</v>
      </c>
      <c r="P446" s="76">
        <f>(C446+(E446*F446*H446))-N446</f>
        <v>0</v>
      </c>
      <c r="Q446" s="82" t="s">
        <v>33</v>
      </c>
      <c r="R446" s="83">
        <f>P446*(J446-(J446*L446)-((J446-(J446*L446))*M446))</f>
        <v>0</v>
      </c>
      <c r="S446" s="83">
        <f t="shared" si="197"/>
        <v>0</v>
      </c>
    </row>
    <row r="447" spans="1:19" s="95" customFormat="1">
      <c r="A447" s="87" t="s">
        <v>872</v>
      </c>
      <c r="B447" s="95" t="s">
        <v>18</v>
      </c>
      <c r="C447" s="96"/>
      <c r="D447" s="97" t="s">
        <v>33</v>
      </c>
      <c r="E447" s="98">
        <v>1</v>
      </c>
      <c r="F447" s="99">
        <v>1</v>
      </c>
      <c r="G447" s="100" t="s">
        <v>20</v>
      </c>
      <c r="H447" s="99">
        <v>10</v>
      </c>
      <c r="I447" s="100" t="s">
        <v>33</v>
      </c>
      <c r="J447" s="101">
        <v>135600</v>
      </c>
      <c r="K447" s="97" t="s">
        <v>33</v>
      </c>
      <c r="L447" s="102">
        <v>0.125</v>
      </c>
      <c r="M447" s="102">
        <v>0.05</v>
      </c>
      <c r="N447" s="99"/>
      <c r="O447" s="100" t="s">
        <v>33</v>
      </c>
      <c r="P447" s="96">
        <f>(C447+(E447*F447*H447))-N447</f>
        <v>10</v>
      </c>
      <c r="Q447" s="100" t="s">
        <v>33</v>
      </c>
      <c r="R447" s="101">
        <f>P447*(J447-(J447*L447)-((J447-(J447*L447))*M447))</f>
        <v>1127175</v>
      </c>
      <c r="S447" s="101">
        <f t="shared" ref="S447" si="255">R447/1.11</f>
        <v>1015472.9729729729</v>
      </c>
    </row>
    <row r="448" spans="1:19" s="19" customFormat="1">
      <c r="A448" s="18"/>
      <c r="C448" s="20"/>
      <c r="D448" s="21"/>
      <c r="E448" s="26"/>
      <c r="F448" s="22"/>
      <c r="G448" s="23"/>
      <c r="H448" s="22"/>
      <c r="I448" s="23"/>
      <c r="J448" s="24"/>
      <c r="K448" s="21"/>
      <c r="L448" s="25"/>
      <c r="M448" s="25"/>
      <c r="N448" s="22"/>
      <c r="O448" s="23"/>
      <c r="P448" s="20"/>
      <c r="Q448" s="23"/>
      <c r="R448" s="24"/>
      <c r="S448" s="24"/>
    </row>
    <row r="449" spans="1:19" s="19" customFormat="1" ht="15.75">
      <c r="A449" s="35" t="s">
        <v>255</v>
      </c>
      <c r="C449" s="20"/>
      <c r="D449" s="21"/>
      <c r="E449" s="26"/>
      <c r="F449" s="22"/>
      <c r="G449" s="23"/>
      <c r="H449" s="22"/>
      <c r="I449" s="23"/>
      <c r="J449" s="24"/>
      <c r="K449" s="21"/>
      <c r="L449" s="25"/>
      <c r="M449" s="25"/>
      <c r="N449" s="22"/>
      <c r="O449" s="23"/>
      <c r="P449" s="20"/>
      <c r="Q449" s="23"/>
      <c r="R449" s="24"/>
      <c r="S449" s="24"/>
    </row>
    <row r="450" spans="1:19" s="19" customFormat="1">
      <c r="A450" s="62" t="s">
        <v>256</v>
      </c>
      <c r="C450" s="20"/>
      <c r="D450" s="21"/>
      <c r="E450" s="26"/>
      <c r="F450" s="22"/>
      <c r="G450" s="23"/>
      <c r="H450" s="22"/>
      <c r="I450" s="23"/>
      <c r="J450" s="24"/>
      <c r="K450" s="21"/>
      <c r="L450" s="25"/>
      <c r="M450" s="25"/>
      <c r="N450" s="22"/>
      <c r="O450" s="23"/>
      <c r="P450" s="20"/>
      <c r="Q450" s="23"/>
      <c r="R450" s="24"/>
      <c r="S450" s="24"/>
    </row>
    <row r="451" spans="1:19" s="78" customFormat="1">
      <c r="A451" s="77" t="s">
        <v>257</v>
      </c>
      <c r="B451" s="78" t="s">
        <v>25</v>
      </c>
      <c r="C451" s="76"/>
      <c r="D451" s="79" t="s">
        <v>98</v>
      </c>
      <c r="E451" s="80"/>
      <c r="F451" s="81">
        <v>1</v>
      </c>
      <c r="G451" s="82" t="s">
        <v>20</v>
      </c>
      <c r="H451" s="81">
        <v>50</v>
      </c>
      <c r="I451" s="82" t="s">
        <v>98</v>
      </c>
      <c r="J451" s="83">
        <f>740000/50</f>
        <v>14800</v>
      </c>
      <c r="K451" s="79" t="s">
        <v>98</v>
      </c>
      <c r="L451" s="84"/>
      <c r="M451" s="84">
        <v>0.17</v>
      </c>
      <c r="N451" s="81"/>
      <c r="O451" s="82" t="s">
        <v>98</v>
      </c>
      <c r="P451" s="76">
        <f>(C451+(E451*F451*H451))-N451</f>
        <v>0</v>
      </c>
      <c r="Q451" s="82" t="s">
        <v>98</v>
      </c>
      <c r="R451" s="83">
        <f>P451*(J451-(J451*L451)-((J451-(J451*L451))*M451))</f>
        <v>0</v>
      </c>
      <c r="S451" s="83">
        <f t="shared" si="197"/>
        <v>0</v>
      </c>
    </row>
    <row r="452" spans="1:19" s="19" customFormat="1">
      <c r="A452" s="62" t="s">
        <v>258</v>
      </c>
      <c r="C452" s="20"/>
      <c r="D452" s="21"/>
      <c r="E452" s="26"/>
      <c r="F452" s="22"/>
      <c r="G452" s="23"/>
      <c r="H452" s="22"/>
      <c r="I452" s="23"/>
      <c r="J452" s="24"/>
      <c r="K452" s="21"/>
      <c r="L452" s="25"/>
      <c r="M452" s="25"/>
      <c r="N452" s="22"/>
      <c r="O452" s="23"/>
      <c r="P452" s="20"/>
      <c r="Q452" s="23"/>
      <c r="R452" s="24"/>
      <c r="S452" s="24"/>
    </row>
    <row r="453" spans="1:19" s="19" customFormat="1">
      <c r="A453" s="18" t="s">
        <v>259</v>
      </c>
      <c r="B453" s="19" t="s">
        <v>260</v>
      </c>
      <c r="C453" s="20">
        <v>250</v>
      </c>
      <c r="D453" s="21" t="s">
        <v>98</v>
      </c>
      <c r="E453" s="26"/>
      <c r="F453" s="22">
        <v>1</v>
      </c>
      <c r="G453" s="23" t="s">
        <v>20</v>
      </c>
      <c r="H453" s="22">
        <v>50</v>
      </c>
      <c r="I453" s="23" t="s">
        <v>98</v>
      </c>
      <c r="J453" s="24">
        <v>32500</v>
      </c>
      <c r="K453" s="21" t="s">
        <v>98</v>
      </c>
      <c r="L453" s="25"/>
      <c r="M453" s="25"/>
      <c r="N453" s="22"/>
      <c r="O453" s="23" t="s">
        <v>98</v>
      </c>
      <c r="P453" s="20">
        <f>(C453+(E453*F453*H453))-N453</f>
        <v>250</v>
      </c>
      <c r="Q453" s="23" t="s">
        <v>98</v>
      </c>
      <c r="R453" s="24">
        <f>P453*(J453-(J453*L453)-((J453-(J453*L453))*M453))</f>
        <v>8125000</v>
      </c>
      <c r="S453" s="24">
        <f t="shared" ref="S453:S558" si="256">R453/1.11</f>
        <v>7319819.8198198192</v>
      </c>
    </row>
    <row r="454" spans="1:19" s="19" customFormat="1">
      <c r="A454" s="18"/>
      <c r="C454" s="20"/>
      <c r="D454" s="21"/>
      <c r="E454" s="26"/>
      <c r="F454" s="22"/>
      <c r="G454" s="23"/>
      <c r="H454" s="22"/>
      <c r="I454" s="23"/>
      <c r="J454" s="24"/>
      <c r="K454" s="21"/>
      <c r="L454" s="25"/>
      <c r="M454" s="25"/>
      <c r="N454" s="22"/>
      <c r="O454" s="23"/>
      <c r="P454" s="20"/>
      <c r="Q454" s="23"/>
      <c r="R454" s="24"/>
      <c r="S454" s="24"/>
    </row>
    <row r="455" spans="1:19" s="19" customFormat="1" ht="15.75">
      <c r="A455" s="35" t="s">
        <v>261</v>
      </c>
      <c r="C455" s="20"/>
      <c r="D455" s="21"/>
      <c r="E455" s="26"/>
      <c r="F455" s="22"/>
      <c r="G455" s="23"/>
      <c r="H455" s="22"/>
      <c r="I455" s="23"/>
      <c r="J455" s="24"/>
      <c r="K455" s="21"/>
      <c r="L455" s="25"/>
      <c r="M455" s="25"/>
      <c r="N455" s="22"/>
      <c r="O455" s="23"/>
      <c r="P455" s="20"/>
      <c r="Q455" s="23"/>
      <c r="R455" s="24"/>
      <c r="S455" s="24"/>
    </row>
    <row r="456" spans="1:19" s="95" customFormat="1">
      <c r="A456" s="87" t="s">
        <v>262</v>
      </c>
      <c r="B456" s="95" t="s">
        <v>18</v>
      </c>
      <c r="C456" s="96"/>
      <c r="D456" s="97" t="s">
        <v>102</v>
      </c>
      <c r="E456" s="98">
        <v>2</v>
      </c>
      <c r="F456" s="99">
        <v>8</v>
      </c>
      <c r="G456" s="100" t="s">
        <v>33</v>
      </c>
      <c r="H456" s="99">
        <v>25</v>
      </c>
      <c r="I456" s="100" t="s">
        <v>102</v>
      </c>
      <c r="J456" s="101">
        <v>4800</v>
      </c>
      <c r="K456" s="97" t="s">
        <v>102</v>
      </c>
      <c r="L456" s="102">
        <v>0.125</v>
      </c>
      <c r="M456" s="102">
        <v>0.05</v>
      </c>
      <c r="N456" s="99"/>
      <c r="O456" s="100" t="s">
        <v>102</v>
      </c>
      <c r="P456" s="96">
        <f>(C456+(E456*F456*H456))-N456</f>
        <v>400</v>
      </c>
      <c r="Q456" s="100" t="s">
        <v>102</v>
      </c>
      <c r="R456" s="101">
        <f>P456*(J456-(J456*L456)-((J456-(J456*L456))*M456))</f>
        <v>1596000</v>
      </c>
      <c r="S456" s="101">
        <f t="shared" ref="S456" si="257">R456/1.11</f>
        <v>1437837.8378378376</v>
      </c>
    </row>
    <row r="457" spans="1:19" s="95" customFormat="1">
      <c r="A457" s="87" t="s">
        <v>263</v>
      </c>
      <c r="B457" s="95" t="s">
        <v>18</v>
      </c>
      <c r="C457" s="96"/>
      <c r="D457" s="97" t="s">
        <v>76</v>
      </c>
      <c r="E457" s="98">
        <v>3</v>
      </c>
      <c r="F457" s="99">
        <v>1</v>
      </c>
      <c r="G457" s="100" t="s">
        <v>20</v>
      </c>
      <c r="H457" s="99">
        <v>40</v>
      </c>
      <c r="I457" s="100" t="s">
        <v>76</v>
      </c>
      <c r="J457" s="101">
        <v>33750</v>
      </c>
      <c r="K457" s="97" t="s">
        <v>76</v>
      </c>
      <c r="L457" s="102">
        <v>0.125</v>
      </c>
      <c r="M457" s="102">
        <v>0.05</v>
      </c>
      <c r="N457" s="99"/>
      <c r="O457" s="100" t="s">
        <v>76</v>
      </c>
      <c r="P457" s="96">
        <f>(C457+(E457*F457*H457))-N457</f>
        <v>120</v>
      </c>
      <c r="Q457" s="100" t="s">
        <v>76</v>
      </c>
      <c r="R457" s="101">
        <f>P457*(J457-(J457*L457)-((J457-(J457*L457))*M457))</f>
        <v>3366562.5</v>
      </c>
      <c r="S457" s="101">
        <f t="shared" ref="S457" si="258">R457/1.11</f>
        <v>3032939.1891891891</v>
      </c>
    </row>
    <row r="458" spans="1:19" s="95" customFormat="1">
      <c r="A458" s="87" t="s">
        <v>264</v>
      </c>
      <c r="B458" s="95" t="s">
        <v>18</v>
      </c>
      <c r="C458" s="96"/>
      <c r="D458" s="97" t="s">
        <v>76</v>
      </c>
      <c r="E458" s="98">
        <v>3</v>
      </c>
      <c r="F458" s="99">
        <v>1</v>
      </c>
      <c r="G458" s="100" t="s">
        <v>20</v>
      </c>
      <c r="H458" s="99">
        <v>48</v>
      </c>
      <c r="I458" s="100" t="s">
        <v>76</v>
      </c>
      <c r="J458" s="101">
        <v>23000</v>
      </c>
      <c r="K458" s="97" t="s">
        <v>76</v>
      </c>
      <c r="L458" s="102">
        <v>0.125</v>
      </c>
      <c r="M458" s="102">
        <v>0.05</v>
      </c>
      <c r="N458" s="99"/>
      <c r="O458" s="100" t="s">
        <v>76</v>
      </c>
      <c r="P458" s="96">
        <f>(C458+(E458*F458*H458))-N458</f>
        <v>144</v>
      </c>
      <c r="Q458" s="100" t="s">
        <v>76</v>
      </c>
      <c r="R458" s="101">
        <f>P458*(J458-(J458*L458)-((J458-(J458*L458))*M458))</f>
        <v>2753100</v>
      </c>
      <c r="S458" s="101">
        <f t="shared" si="256"/>
        <v>2480270.2702702698</v>
      </c>
    </row>
    <row r="459" spans="1:19" s="19" customFormat="1">
      <c r="A459" s="18"/>
      <c r="C459" s="20"/>
      <c r="D459" s="21"/>
      <c r="E459" s="26"/>
      <c r="F459" s="22"/>
      <c r="G459" s="23"/>
      <c r="H459" s="22"/>
      <c r="I459" s="23"/>
      <c r="J459" s="24"/>
      <c r="K459" s="21"/>
      <c r="L459" s="25"/>
      <c r="M459" s="25"/>
      <c r="N459" s="22"/>
      <c r="O459" s="23"/>
      <c r="P459" s="20"/>
      <c r="Q459" s="23"/>
      <c r="R459" s="24"/>
      <c r="S459" s="24"/>
    </row>
    <row r="460" spans="1:19" s="78" customFormat="1">
      <c r="A460" s="77" t="s">
        <v>265</v>
      </c>
      <c r="B460" s="78" t="s">
        <v>25</v>
      </c>
      <c r="C460" s="76"/>
      <c r="D460" s="79" t="s">
        <v>102</v>
      </c>
      <c r="E460" s="80"/>
      <c r="F460" s="81">
        <v>80</v>
      </c>
      <c r="G460" s="82" t="s">
        <v>33</v>
      </c>
      <c r="H460" s="81">
        <v>25</v>
      </c>
      <c r="I460" s="82" t="s">
        <v>102</v>
      </c>
      <c r="J460" s="83">
        <v>4500</v>
      </c>
      <c r="K460" s="79" t="s">
        <v>102</v>
      </c>
      <c r="L460" s="84"/>
      <c r="M460" s="84">
        <v>0.17</v>
      </c>
      <c r="N460" s="81"/>
      <c r="O460" s="82" t="s">
        <v>102</v>
      </c>
      <c r="P460" s="76">
        <f>(C460+(E460*F460*H460))-N460</f>
        <v>0</v>
      </c>
      <c r="Q460" s="82" t="s">
        <v>102</v>
      </c>
      <c r="R460" s="83">
        <f>P460*(J460-(J460*L460)-((J460-(J460*L460))*M460))</f>
        <v>0</v>
      </c>
      <c r="S460" s="83">
        <f t="shared" si="256"/>
        <v>0</v>
      </c>
    </row>
    <row r="461" spans="1:19" s="78" customFormat="1">
      <c r="A461" s="77" t="s">
        <v>266</v>
      </c>
      <c r="B461" s="78" t="s">
        <v>25</v>
      </c>
      <c r="C461" s="76"/>
      <c r="D461" s="79" t="s">
        <v>76</v>
      </c>
      <c r="E461" s="80"/>
      <c r="F461" s="81">
        <v>1</v>
      </c>
      <c r="G461" s="82" t="s">
        <v>20</v>
      </c>
      <c r="H461" s="81">
        <v>48</v>
      </c>
      <c r="I461" s="82" t="s">
        <v>76</v>
      </c>
      <c r="J461" s="83">
        <v>23500</v>
      </c>
      <c r="K461" s="79" t="s">
        <v>76</v>
      </c>
      <c r="L461" s="84"/>
      <c r="M461" s="84">
        <v>0.17</v>
      </c>
      <c r="N461" s="81"/>
      <c r="O461" s="82" t="s">
        <v>76</v>
      </c>
      <c r="P461" s="76">
        <f>(C461+(E461*F461*H461))-N461</f>
        <v>0</v>
      </c>
      <c r="Q461" s="82" t="s">
        <v>76</v>
      </c>
      <c r="R461" s="83">
        <f>P461*(J461-(J461*L461)-((J461-(J461*L461))*M461))</f>
        <v>0</v>
      </c>
      <c r="S461" s="83">
        <f t="shared" si="256"/>
        <v>0</v>
      </c>
    </row>
    <row r="462" spans="1:19" s="19" customFormat="1">
      <c r="A462" s="18"/>
      <c r="C462" s="20"/>
      <c r="D462" s="21"/>
      <c r="E462" s="26"/>
      <c r="F462" s="22"/>
      <c r="G462" s="23"/>
      <c r="H462" s="22"/>
      <c r="I462" s="23"/>
      <c r="J462" s="24"/>
      <c r="K462" s="21"/>
      <c r="L462" s="25"/>
      <c r="M462" s="25"/>
      <c r="N462" s="22"/>
      <c r="O462" s="23"/>
      <c r="P462" s="20"/>
      <c r="Q462" s="23"/>
      <c r="R462" s="24"/>
      <c r="S462" s="24"/>
    </row>
    <row r="463" spans="1:19" s="19" customFormat="1" ht="15.75">
      <c r="A463" s="35" t="s">
        <v>267</v>
      </c>
      <c r="C463" s="20"/>
      <c r="D463" s="21"/>
      <c r="E463" s="26"/>
      <c r="F463" s="22"/>
      <c r="G463" s="23"/>
      <c r="H463" s="22"/>
      <c r="I463" s="23"/>
      <c r="J463" s="24"/>
      <c r="K463" s="21"/>
      <c r="L463" s="25"/>
      <c r="M463" s="25"/>
      <c r="N463" s="22"/>
      <c r="O463" s="23"/>
      <c r="P463" s="20"/>
      <c r="Q463" s="23"/>
      <c r="R463" s="24"/>
      <c r="S463" s="24"/>
    </row>
    <row r="464" spans="1:19" s="19" customFormat="1">
      <c r="A464" s="18" t="s">
        <v>268</v>
      </c>
      <c r="B464" s="19" t="s">
        <v>18</v>
      </c>
      <c r="C464" s="20">
        <v>286</v>
      </c>
      <c r="D464" s="21" t="s">
        <v>151</v>
      </c>
      <c r="E464" s="26">
        <v>19</v>
      </c>
      <c r="F464" s="22">
        <v>10</v>
      </c>
      <c r="G464" s="23" t="s">
        <v>33</v>
      </c>
      <c r="H464" s="22">
        <v>24</v>
      </c>
      <c r="I464" s="23" t="s">
        <v>151</v>
      </c>
      <c r="J464" s="24">
        <v>8800</v>
      </c>
      <c r="K464" s="21" t="s">
        <v>151</v>
      </c>
      <c r="L464" s="25">
        <v>0.125</v>
      </c>
      <c r="M464" s="25">
        <v>0.05</v>
      </c>
      <c r="N464" s="22"/>
      <c r="O464" s="23" t="s">
        <v>151</v>
      </c>
      <c r="P464" s="20">
        <f t="shared" ref="P464:P485" si="259">(C464+(E464*F464*H464))-N464</f>
        <v>4846</v>
      </c>
      <c r="Q464" s="23" t="s">
        <v>151</v>
      </c>
      <c r="R464" s="24">
        <f t="shared" ref="R464:R485" si="260">P464*(J464-(J464*L464)-((J464-(J464*L464))*M464))</f>
        <v>35448490</v>
      </c>
      <c r="S464" s="24">
        <f t="shared" si="256"/>
        <v>31935576.576576572</v>
      </c>
    </row>
    <row r="465" spans="1:19" s="78" customFormat="1">
      <c r="A465" s="77" t="s">
        <v>269</v>
      </c>
      <c r="B465" s="78" t="s">
        <v>18</v>
      </c>
      <c r="C465" s="76"/>
      <c r="D465" s="79" t="s">
        <v>151</v>
      </c>
      <c r="E465" s="80"/>
      <c r="F465" s="81">
        <v>6</v>
      </c>
      <c r="G465" s="82" t="s">
        <v>33</v>
      </c>
      <c r="H465" s="81">
        <v>24</v>
      </c>
      <c r="I465" s="82" t="s">
        <v>151</v>
      </c>
      <c r="J465" s="83">
        <v>29500</v>
      </c>
      <c r="K465" s="79" t="s">
        <v>151</v>
      </c>
      <c r="L465" s="84">
        <v>0.125</v>
      </c>
      <c r="M465" s="84">
        <v>0.05</v>
      </c>
      <c r="N465" s="81"/>
      <c r="O465" s="82" t="s">
        <v>151</v>
      </c>
      <c r="P465" s="76">
        <f t="shared" si="259"/>
        <v>0</v>
      </c>
      <c r="Q465" s="82" t="s">
        <v>151</v>
      </c>
      <c r="R465" s="83">
        <f t="shared" si="260"/>
        <v>0</v>
      </c>
      <c r="S465" s="83">
        <f t="shared" si="256"/>
        <v>0</v>
      </c>
    </row>
    <row r="466" spans="1:19" s="78" customFormat="1">
      <c r="A466" s="77" t="s">
        <v>270</v>
      </c>
      <c r="B466" s="78" t="s">
        <v>18</v>
      </c>
      <c r="C466" s="76"/>
      <c r="D466" s="79" t="s">
        <v>151</v>
      </c>
      <c r="E466" s="80"/>
      <c r="F466" s="81">
        <v>12</v>
      </c>
      <c r="G466" s="82" t="s">
        <v>33</v>
      </c>
      <c r="H466" s="81">
        <v>12</v>
      </c>
      <c r="I466" s="82" t="s">
        <v>151</v>
      </c>
      <c r="J466" s="83">
        <v>19600</v>
      </c>
      <c r="K466" s="79" t="s">
        <v>151</v>
      </c>
      <c r="L466" s="84">
        <v>0.125</v>
      </c>
      <c r="M466" s="84">
        <v>0.05</v>
      </c>
      <c r="N466" s="81"/>
      <c r="O466" s="82" t="s">
        <v>151</v>
      </c>
      <c r="P466" s="76">
        <f t="shared" si="259"/>
        <v>0</v>
      </c>
      <c r="Q466" s="82" t="s">
        <v>151</v>
      </c>
      <c r="R466" s="83">
        <f t="shared" si="260"/>
        <v>0</v>
      </c>
      <c r="S466" s="83">
        <f t="shared" si="256"/>
        <v>0</v>
      </c>
    </row>
    <row r="467" spans="1:19" s="19" customFormat="1">
      <c r="A467" s="18" t="s">
        <v>271</v>
      </c>
      <c r="B467" s="19" t="s">
        <v>18</v>
      </c>
      <c r="C467" s="20">
        <v>120</v>
      </c>
      <c r="D467" s="21" t="s">
        <v>151</v>
      </c>
      <c r="E467" s="26"/>
      <c r="F467" s="22">
        <v>12</v>
      </c>
      <c r="G467" s="23" t="s">
        <v>33</v>
      </c>
      <c r="H467" s="22">
        <v>12</v>
      </c>
      <c r="I467" s="23" t="s">
        <v>151</v>
      </c>
      <c r="J467" s="24">
        <v>18500</v>
      </c>
      <c r="K467" s="21" t="s">
        <v>151</v>
      </c>
      <c r="L467" s="25">
        <v>0.125</v>
      </c>
      <c r="M467" s="25">
        <v>0.05</v>
      </c>
      <c r="N467" s="22"/>
      <c r="O467" s="23" t="s">
        <v>151</v>
      </c>
      <c r="P467" s="20">
        <f t="shared" si="259"/>
        <v>120</v>
      </c>
      <c r="Q467" s="23" t="s">
        <v>151</v>
      </c>
      <c r="R467" s="24">
        <f t="shared" si="260"/>
        <v>1845375</v>
      </c>
      <c r="S467" s="24">
        <f t="shared" si="256"/>
        <v>1662499.9999999998</v>
      </c>
    </row>
    <row r="468" spans="1:19" s="95" customFormat="1">
      <c r="A468" s="87" t="s">
        <v>272</v>
      </c>
      <c r="B468" s="95" t="s">
        <v>18</v>
      </c>
      <c r="C468" s="96"/>
      <c r="D468" s="97" t="s">
        <v>151</v>
      </c>
      <c r="E468" s="98">
        <v>4</v>
      </c>
      <c r="F468" s="99">
        <v>10</v>
      </c>
      <c r="G468" s="100" t="s">
        <v>33</v>
      </c>
      <c r="H468" s="99">
        <v>24</v>
      </c>
      <c r="I468" s="100" t="s">
        <v>151</v>
      </c>
      <c r="J468" s="101">
        <v>10600</v>
      </c>
      <c r="K468" s="97" t="s">
        <v>151</v>
      </c>
      <c r="L468" s="102">
        <v>0.125</v>
      </c>
      <c r="M468" s="102">
        <v>0.05</v>
      </c>
      <c r="N468" s="99"/>
      <c r="O468" s="100" t="s">
        <v>151</v>
      </c>
      <c r="P468" s="96">
        <f t="shared" si="259"/>
        <v>960</v>
      </c>
      <c r="Q468" s="100" t="s">
        <v>151</v>
      </c>
      <c r="R468" s="101">
        <f t="shared" si="260"/>
        <v>8458800</v>
      </c>
      <c r="S468" s="101">
        <f t="shared" si="256"/>
        <v>7620540.5405405397</v>
      </c>
    </row>
    <row r="469" spans="1:19" s="19" customFormat="1">
      <c r="A469" s="159" t="s">
        <v>273</v>
      </c>
      <c r="B469" s="19" t="s">
        <v>18</v>
      </c>
      <c r="C469" s="20"/>
      <c r="D469" s="21" t="s">
        <v>151</v>
      </c>
      <c r="E469" s="26">
        <v>1</v>
      </c>
      <c r="F469" s="22">
        <v>20</v>
      </c>
      <c r="G469" s="23" t="s">
        <v>33</v>
      </c>
      <c r="H469" s="22">
        <v>12</v>
      </c>
      <c r="I469" s="23" t="s">
        <v>151</v>
      </c>
      <c r="J469" s="24">
        <v>7800</v>
      </c>
      <c r="K469" s="21" t="s">
        <v>151</v>
      </c>
      <c r="L469" s="25">
        <v>0.125</v>
      </c>
      <c r="M469" s="25">
        <v>0.05</v>
      </c>
      <c r="N469" s="22"/>
      <c r="O469" s="23" t="s">
        <v>151</v>
      </c>
      <c r="P469" s="20">
        <f t="shared" ref="P469" si="261">(C469+(E469*F469*H469))-N469</f>
        <v>240</v>
      </c>
      <c r="Q469" s="23" t="s">
        <v>151</v>
      </c>
      <c r="R469" s="24">
        <f t="shared" ref="R469" si="262">P469*(J469-(J469*L469)-((J469-(J469*L469))*M469))</f>
        <v>1556100</v>
      </c>
      <c r="S469" s="24">
        <f t="shared" ref="S469" si="263">R469/1.11</f>
        <v>1401891.8918918918</v>
      </c>
    </row>
    <row r="470" spans="1:19" s="19" customFormat="1">
      <c r="A470" s="18" t="s">
        <v>273</v>
      </c>
      <c r="B470" s="19" t="s">
        <v>18</v>
      </c>
      <c r="C470" s="20">
        <v>204</v>
      </c>
      <c r="D470" s="21" t="s">
        <v>151</v>
      </c>
      <c r="E470" s="26"/>
      <c r="F470" s="22">
        <v>20</v>
      </c>
      <c r="G470" s="23" t="s">
        <v>33</v>
      </c>
      <c r="H470" s="22">
        <v>12</v>
      </c>
      <c r="I470" s="23" t="s">
        <v>151</v>
      </c>
      <c r="J470" s="24">
        <v>4000</v>
      </c>
      <c r="K470" s="21" t="s">
        <v>151</v>
      </c>
      <c r="L470" s="25">
        <v>0.4</v>
      </c>
      <c r="M470" s="25">
        <v>0.05</v>
      </c>
      <c r="N470" s="22"/>
      <c r="O470" s="23" t="s">
        <v>151</v>
      </c>
      <c r="P470" s="20">
        <f t="shared" si="259"/>
        <v>204</v>
      </c>
      <c r="Q470" s="23" t="s">
        <v>151</v>
      </c>
      <c r="R470" s="24">
        <f t="shared" si="260"/>
        <v>465120</v>
      </c>
      <c r="S470" s="24">
        <f t="shared" si="256"/>
        <v>419027.02702702698</v>
      </c>
    </row>
    <row r="471" spans="1:19" s="19" customFormat="1">
      <c r="A471" s="18" t="s">
        <v>736</v>
      </c>
      <c r="B471" s="19" t="s">
        <v>18</v>
      </c>
      <c r="C471" s="20">
        <v>6</v>
      </c>
      <c r="D471" s="21" t="s">
        <v>151</v>
      </c>
      <c r="E471" s="26"/>
      <c r="F471" s="22">
        <v>12</v>
      </c>
      <c r="G471" s="23" t="s">
        <v>33</v>
      </c>
      <c r="H471" s="22">
        <v>12</v>
      </c>
      <c r="I471" s="23" t="s">
        <v>151</v>
      </c>
      <c r="J471" s="24">
        <v>34500</v>
      </c>
      <c r="K471" s="21" t="s">
        <v>151</v>
      </c>
      <c r="L471" s="25">
        <v>0.125</v>
      </c>
      <c r="M471" s="25">
        <v>0.05</v>
      </c>
      <c r="N471" s="22"/>
      <c r="O471" s="23" t="s">
        <v>151</v>
      </c>
      <c r="P471" s="20">
        <f t="shared" si="259"/>
        <v>6</v>
      </c>
      <c r="Q471" s="23" t="s">
        <v>151</v>
      </c>
      <c r="R471" s="24">
        <f t="shared" si="260"/>
        <v>172068.75</v>
      </c>
      <c r="S471" s="24">
        <f t="shared" si="256"/>
        <v>155016.89189189186</v>
      </c>
    </row>
    <row r="472" spans="1:19" s="95" customFormat="1">
      <c r="A472" s="87" t="s">
        <v>925</v>
      </c>
      <c r="B472" s="95" t="s">
        <v>18</v>
      </c>
      <c r="C472" s="96"/>
      <c r="D472" s="97" t="s">
        <v>151</v>
      </c>
      <c r="E472" s="98">
        <v>1</v>
      </c>
      <c r="F472" s="99">
        <v>1</v>
      </c>
      <c r="G472" s="100" t="s">
        <v>20</v>
      </c>
      <c r="H472" s="99">
        <v>240</v>
      </c>
      <c r="I472" s="100" t="s">
        <v>40</v>
      </c>
      <c r="J472" s="101">
        <v>28800</v>
      </c>
      <c r="K472" s="97" t="s">
        <v>40</v>
      </c>
      <c r="L472" s="102">
        <v>0.125</v>
      </c>
      <c r="M472" s="102">
        <v>0.05</v>
      </c>
      <c r="N472" s="99"/>
      <c r="O472" s="100" t="s">
        <v>40</v>
      </c>
      <c r="P472" s="96">
        <f t="shared" ref="P472" si="264">(C472+(E472*F472*H472))-N472</f>
        <v>240</v>
      </c>
      <c r="Q472" s="100" t="s">
        <v>40</v>
      </c>
      <c r="R472" s="101">
        <f t="shared" ref="R472" si="265">P472*(J472-(J472*L472)-((J472-(J472*L472))*M472))</f>
        <v>5745600</v>
      </c>
      <c r="S472" s="101">
        <f t="shared" ref="S472" si="266">R472/1.11</f>
        <v>5176216.2162162159</v>
      </c>
    </row>
    <row r="473" spans="1:19" s="69" customFormat="1">
      <c r="A473" s="68" t="s">
        <v>853</v>
      </c>
      <c r="B473" s="69" t="s">
        <v>18</v>
      </c>
      <c r="C473" s="70"/>
      <c r="D473" s="71" t="s">
        <v>151</v>
      </c>
      <c r="E473" s="72"/>
      <c r="F473" s="73">
        <v>1</v>
      </c>
      <c r="G473" s="74" t="s">
        <v>20</v>
      </c>
      <c r="H473" s="73">
        <v>240</v>
      </c>
      <c r="I473" s="74" t="s">
        <v>40</v>
      </c>
      <c r="J473" s="16">
        <v>26400</v>
      </c>
      <c r="K473" s="71" t="s">
        <v>40</v>
      </c>
      <c r="L473" s="75">
        <v>0.125</v>
      </c>
      <c r="M473" s="75">
        <v>0.05</v>
      </c>
      <c r="N473" s="73"/>
      <c r="O473" s="74" t="s">
        <v>40</v>
      </c>
      <c r="P473" s="70">
        <f t="shared" si="259"/>
        <v>0</v>
      </c>
      <c r="Q473" s="74" t="s">
        <v>40</v>
      </c>
      <c r="R473" s="16">
        <f t="shared" si="260"/>
        <v>0</v>
      </c>
      <c r="S473" s="16">
        <f t="shared" si="256"/>
        <v>0</v>
      </c>
    </row>
    <row r="474" spans="1:19" s="69" customFormat="1">
      <c r="A474" s="68" t="s">
        <v>854</v>
      </c>
      <c r="B474" s="69" t="s">
        <v>18</v>
      </c>
      <c r="C474" s="70"/>
      <c r="D474" s="71" t="s">
        <v>151</v>
      </c>
      <c r="E474" s="72"/>
      <c r="F474" s="73">
        <v>1</v>
      </c>
      <c r="G474" s="74" t="s">
        <v>20</v>
      </c>
      <c r="H474" s="73">
        <v>240</v>
      </c>
      <c r="I474" s="74" t="s">
        <v>40</v>
      </c>
      <c r="J474" s="16">
        <v>26400</v>
      </c>
      <c r="K474" s="71" t="s">
        <v>40</v>
      </c>
      <c r="L474" s="75">
        <v>0.125</v>
      </c>
      <c r="M474" s="75">
        <v>0.05</v>
      </c>
      <c r="N474" s="73"/>
      <c r="O474" s="74" t="s">
        <v>40</v>
      </c>
      <c r="P474" s="70">
        <f t="shared" si="259"/>
        <v>0</v>
      </c>
      <c r="Q474" s="74" t="s">
        <v>40</v>
      </c>
      <c r="R474" s="16">
        <f t="shared" si="260"/>
        <v>0</v>
      </c>
      <c r="S474" s="16">
        <f t="shared" si="256"/>
        <v>0</v>
      </c>
    </row>
    <row r="475" spans="1:19" s="69" customFormat="1">
      <c r="A475" s="68" t="s">
        <v>855</v>
      </c>
      <c r="B475" s="69" t="s">
        <v>18</v>
      </c>
      <c r="C475" s="70"/>
      <c r="D475" s="71" t="s">
        <v>151</v>
      </c>
      <c r="E475" s="72"/>
      <c r="F475" s="73">
        <v>1</v>
      </c>
      <c r="G475" s="74" t="s">
        <v>20</v>
      </c>
      <c r="H475" s="73">
        <v>240</v>
      </c>
      <c r="I475" s="74" t="s">
        <v>40</v>
      </c>
      <c r="J475" s="16">
        <v>30000</v>
      </c>
      <c r="K475" s="71" t="s">
        <v>40</v>
      </c>
      <c r="L475" s="75">
        <v>0.125</v>
      </c>
      <c r="M475" s="75">
        <v>0.05</v>
      </c>
      <c r="N475" s="73"/>
      <c r="O475" s="74" t="s">
        <v>40</v>
      </c>
      <c r="P475" s="70">
        <f t="shared" si="259"/>
        <v>0</v>
      </c>
      <c r="Q475" s="74" t="s">
        <v>40</v>
      </c>
      <c r="R475" s="16">
        <f t="shared" si="260"/>
        <v>0</v>
      </c>
      <c r="S475" s="16">
        <f t="shared" si="256"/>
        <v>0</v>
      </c>
    </row>
    <row r="476" spans="1:19" s="69" customFormat="1">
      <c r="A476" s="68" t="s">
        <v>856</v>
      </c>
      <c r="B476" s="69" t="s">
        <v>18</v>
      </c>
      <c r="C476" s="70"/>
      <c r="D476" s="71" t="s">
        <v>151</v>
      </c>
      <c r="E476" s="72"/>
      <c r="F476" s="73">
        <v>1</v>
      </c>
      <c r="G476" s="74" t="s">
        <v>20</v>
      </c>
      <c r="H476" s="73">
        <v>240</v>
      </c>
      <c r="I476" s="74" t="s">
        <v>40</v>
      </c>
      <c r="J476" s="16">
        <v>31200</v>
      </c>
      <c r="K476" s="71" t="s">
        <v>40</v>
      </c>
      <c r="L476" s="75">
        <v>0.125</v>
      </c>
      <c r="M476" s="75">
        <v>0.05</v>
      </c>
      <c r="N476" s="73"/>
      <c r="O476" s="74" t="s">
        <v>40</v>
      </c>
      <c r="P476" s="70">
        <f t="shared" si="259"/>
        <v>0</v>
      </c>
      <c r="Q476" s="74" t="s">
        <v>40</v>
      </c>
      <c r="R476" s="16">
        <f t="shared" si="260"/>
        <v>0</v>
      </c>
      <c r="S476" s="16">
        <f t="shared" si="256"/>
        <v>0</v>
      </c>
    </row>
    <row r="477" spans="1:19" s="95" customFormat="1">
      <c r="A477" s="87" t="s">
        <v>857</v>
      </c>
      <c r="B477" s="95" t="s">
        <v>18</v>
      </c>
      <c r="C477" s="96"/>
      <c r="D477" s="97" t="s">
        <v>151</v>
      </c>
      <c r="E477" s="98">
        <v>1</v>
      </c>
      <c r="F477" s="99">
        <v>1</v>
      </c>
      <c r="G477" s="100" t="s">
        <v>20</v>
      </c>
      <c r="H477" s="99">
        <v>240</v>
      </c>
      <c r="I477" s="100" t="s">
        <v>40</v>
      </c>
      <c r="J477" s="101">
        <v>34200</v>
      </c>
      <c r="K477" s="97" t="s">
        <v>40</v>
      </c>
      <c r="L477" s="102">
        <v>0.125</v>
      </c>
      <c r="M477" s="102">
        <v>0.05</v>
      </c>
      <c r="N477" s="99"/>
      <c r="O477" s="100" t="s">
        <v>40</v>
      </c>
      <c r="P477" s="96">
        <f t="shared" ref="P477" si="267">(C477+(E477*F477*H477))-N477</f>
        <v>240</v>
      </c>
      <c r="Q477" s="100" t="s">
        <v>40</v>
      </c>
      <c r="R477" s="101">
        <f t="shared" ref="R477" si="268">P477*(J477-(J477*L477)-((J477-(J477*L477))*M477))</f>
        <v>6822900</v>
      </c>
      <c r="S477" s="101">
        <f t="shared" ref="S477" si="269">R477/1.11</f>
        <v>6146756.7567567565</v>
      </c>
    </row>
    <row r="478" spans="1:19" s="69" customFormat="1">
      <c r="A478" s="68" t="s">
        <v>858</v>
      </c>
      <c r="B478" s="69" t="s">
        <v>18</v>
      </c>
      <c r="C478" s="70"/>
      <c r="D478" s="71" t="s">
        <v>151</v>
      </c>
      <c r="E478" s="72"/>
      <c r="F478" s="73">
        <v>1</v>
      </c>
      <c r="G478" s="74" t="s">
        <v>20</v>
      </c>
      <c r="H478" s="73">
        <v>240</v>
      </c>
      <c r="I478" s="74" t="s">
        <v>40</v>
      </c>
      <c r="J478" s="16">
        <v>37800</v>
      </c>
      <c r="K478" s="71" t="s">
        <v>40</v>
      </c>
      <c r="L478" s="75">
        <v>0.125</v>
      </c>
      <c r="M478" s="75">
        <v>0.05</v>
      </c>
      <c r="N478" s="73"/>
      <c r="O478" s="74" t="s">
        <v>40</v>
      </c>
      <c r="P478" s="70">
        <f t="shared" si="259"/>
        <v>0</v>
      </c>
      <c r="Q478" s="74" t="s">
        <v>40</v>
      </c>
      <c r="R478" s="16">
        <f t="shared" si="260"/>
        <v>0</v>
      </c>
      <c r="S478" s="16">
        <f t="shared" si="256"/>
        <v>0</v>
      </c>
    </row>
    <row r="479" spans="1:19" s="69" customFormat="1">
      <c r="A479" s="68" t="s">
        <v>859</v>
      </c>
      <c r="B479" s="69" t="s">
        <v>18</v>
      </c>
      <c r="C479" s="70"/>
      <c r="D479" s="71" t="s">
        <v>151</v>
      </c>
      <c r="E479" s="72"/>
      <c r="F479" s="73">
        <v>1</v>
      </c>
      <c r="G479" s="74" t="s">
        <v>20</v>
      </c>
      <c r="H479" s="73"/>
      <c r="I479" s="74" t="s">
        <v>40</v>
      </c>
      <c r="J479" s="16"/>
      <c r="K479" s="71" t="s">
        <v>40</v>
      </c>
      <c r="L479" s="75">
        <v>0.125</v>
      </c>
      <c r="M479" s="75">
        <v>0.05</v>
      </c>
      <c r="N479" s="73"/>
      <c r="O479" s="74" t="s">
        <v>40</v>
      </c>
      <c r="P479" s="70">
        <f t="shared" si="259"/>
        <v>0</v>
      </c>
      <c r="Q479" s="74" t="s">
        <v>40</v>
      </c>
      <c r="R479" s="16">
        <f t="shared" si="260"/>
        <v>0</v>
      </c>
      <c r="S479" s="16">
        <f t="shared" si="256"/>
        <v>0</v>
      </c>
    </row>
    <row r="480" spans="1:19" s="69" customFormat="1">
      <c r="A480" s="68" t="s">
        <v>860</v>
      </c>
      <c r="B480" s="69" t="s">
        <v>18</v>
      </c>
      <c r="C480" s="70"/>
      <c r="D480" s="71" t="s">
        <v>151</v>
      </c>
      <c r="E480" s="72"/>
      <c r="F480" s="73">
        <v>1</v>
      </c>
      <c r="G480" s="74" t="s">
        <v>20</v>
      </c>
      <c r="H480" s="73">
        <v>240</v>
      </c>
      <c r="I480" s="74" t="s">
        <v>40</v>
      </c>
      <c r="J480" s="16">
        <v>41400</v>
      </c>
      <c r="K480" s="71" t="s">
        <v>40</v>
      </c>
      <c r="L480" s="75">
        <v>0.125</v>
      </c>
      <c r="M480" s="75">
        <v>0.05</v>
      </c>
      <c r="N480" s="73"/>
      <c r="O480" s="74" t="s">
        <v>40</v>
      </c>
      <c r="P480" s="70">
        <f t="shared" si="259"/>
        <v>0</v>
      </c>
      <c r="Q480" s="74" t="s">
        <v>40</v>
      </c>
      <c r="R480" s="16">
        <f t="shared" si="260"/>
        <v>0</v>
      </c>
      <c r="S480" s="16">
        <f t="shared" si="256"/>
        <v>0</v>
      </c>
    </row>
    <row r="481" spans="1:19" s="69" customFormat="1">
      <c r="A481" s="68" t="s">
        <v>861</v>
      </c>
      <c r="B481" s="69" t="s">
        <v>18</v>
      </c>
      <c r="C481" s="70"/>
      <c r="D481" s="71" t="s">
        <v>151</v>
      </c>
      <c r="E481" s="72"/>
      <c r="F481" s="73">
        <v>1</v>
      </c>
      <c r="G481" s="74" t="s">
        <v>20</v>
      </c>
      <c r="H481" s="73">
        <v>240</v>
      </c>
      <c r="I481" s="74" t="s">
        <v>40</v>
      </c>
      <c r="J481" s="16">
        <v>45600</v>
      </c>
      <c r="K481" s="71" t="s">
        <v>40</v>
      </c>
      <c r="L481" s="75">
        <v>0.125</v>
      </c>
      <c r="M481" s="75">
        <v>0.05</v>
      </c>
      <c r="N481" s="73"/>
      <c r="O481" s="74" t="s">
        <v>40</v>
      </c>
      <c r="P481" s="70">
        <f t="shared" si="259"/>
        <v>0</v>
      </c>
      <c r="Q481" s="74" t="s">
        <v>40</v>
      </c>
      <c r="R481" s="16">
        <f t="shared" si="260"/>
        <v>0</v>
      </c>
      <c r="S481" s="16">
        <f t="shared" si="256"/>
        <v>0</v>
      </c>
    </row>
    <row r="482" spans="1:19" s="69" customFormat="1">
      <c r="A482" s="68" t="s">
        <v>862</v>
      </c>
      <c r="B482" s="69" t="s">
        <v>18</v>
      </c>
      <c r="C482" s="70"/>
      <c r="D482" s="71" t="s">
        <v>151</v>
      </c>
      <c r="E482" s="72"/>
      <c r="F482" s="73">
        <v>1</v>
      </c>
      <c r="G482" s="74" t="s">
        <v>20</v>
      </c>
      <c r="H482" s="73">
        <v>108</v>
      </c>
      <c r="I482" s="74" t="s">
        <v>40</v>
      </c>
      <c r="J482" s="16">
        <v>51000</v>
      </c>
      <c r="K482" s="71" t="s">
        <v>40</v>
      </c>
      <c r="L482" s="75">
        <v>0.125</v>
      </c>
      <c r="M482" s="75">
        <v>0.05</v>
      </c>
      <c r="N482" s="73"/>
      <c r="O482" s="74" t="s">
        <v>40</v>
      </c>
      <c r="P482" s="70">
        <f t="shared" si="259"/>
        <v>0</v>
      </c>
      <c r="Q482" s="74" t="s">
        <v>40</v>
      </c>
      <c r="R482" s="16">
        <f t="shared" si="260"/>
        <v>0</v>
      </c>
      <c r="S482" s="16">
        <f t="shared" si="256"/>
        <v>0</v>
      </c>
    </row>
    <row r="483" spans="1:19" s="69" customFormat="1">
      <c r="A483" s="68" t="s">
        <v>863</v>
      </c>
      <c r="B483" s="69" t="s">
        <v>18</v>
      </c>
      <c r="C483" s="70"/>
      <c r="D483" s="71" t="s">
        <v>151</v>
      </c>
      <c r="E483" s="72"/>
      <c r="F483" s="73">
        <v>1</v>
      </c>
      <c r="G483" s="74" t="s">
        <v>20</v>
      </c>
      <c r="H483" s="73">
        <v>108</v>
      </c>
      <c r="I483" s="74" t="s">
        <v>40</v>
      </c>
      <c r="J483" s="16">
        <v>55200</v>
      </c>
      <c r="K483" s="71" t="s">
        <v>40</v>
      </c>
      <c r="L483" s="75">
        <v>0.125</v>
      </c>
      <c r="M483" s="75">
        <v>0.05</v>
      </c>
      <c r="N483" s="73"/>
      <c r="O483" s="74" t="s">
        <v>40</v>
      </c>
      <c r="P483" s="70">
        <f t="shared" si="259"/>
        <v>0</v>
      </c>
      <c r="Q483" s="74" t="s">
        <v>40</v>
      </c>
      <c r="R483" s="16">
        <f t="shared" si="260"/>
        <v>0</v>
      </c>
      <c r="S483" s="16">
        <f t="shared" si="256"/>
        <v>0</v>
      </c>
    </row>
    <row r="484" spans="1:19" s="69" customFormat="1">
      <c r="A484" s="68" t="s">
        <v>864</v>
      </c>
      <c r="B484" s="69" t="s">
        <v>18</v>
      </c>
      <c r="C484" s="70"/>
      <c r="D484" s="71" t="s">
        <v>151</v>
      </c>
      <c r="E484" s="72"/>
      <c r="F484" s="73">
        <v>1</v>
      </c>
      <c r="G484" s="74" t="s">
        <v>20</v>
      </c>
      <c r="H484" s="73">
        <v>108</v>
      </c>
      <c r="I484" s="74" t="s">
        <v>40</v>
      </c>
      <c r="J484" s="16">
        <v>60300</v>
      </c>
      <c r="K484" s="71" t="s">
        <v>40</v>
      </c>
      <c r="L484" s="75">
        <v>0.125</v>
      </c>
      <c r="M484" s="75">
        <v>0.05</v>
      </c>
      <c r="N484" s="73"/>
      <c r="O484" s="74" t="s">
        <v>40</v>
      </c>
      <c r="P484" s="70">
        <f t="shared" si="259"/>
        <v>0</v>
      </c>
      <c r="Q484" s="74" t="s">
        <v>40</v>
      </c>
      <c r="R484" s="16">
        <f t="shared" si="260"/>
        <v>0</v>
      </c>
      <c r="S484" s="16">
        <f t="shared" si="256"/>
        <v>0</v>
      </c>
    </row>
    <row r="485" spans="1:19" s="69" customFormat="1">
      <c r="A485" s="68" t="s">
        <v>865</v>
      </c>
      <c r="B485" s="69" t="s">
        <v>18</v>
      </c>
      <c r="C485" s="70"/>
      <c r="D485" s="71" t="s">
        <v>151</v>
      </c>
      <c r="E485" s="72"/>
      <c r="F485" s="73">
        <v>1</v>
      </c>
      <c r="G485" s="74" t="s">
        <v>20</v>
      </c>
      <c r="H485" s="73">
        <v>108</v>
      </c>
      <c r="I485" s="74" t="s">
        <v>40</v>
      </c>
      <c r="J485" s="16">
        <v>65400</v>
      </c>
      <c r="K485" s="71" t="s">
        <v>40</v>
      </c>
      <c r="L485" s="75">
        <v>0.125</v>
      </c>
      <c r="M485" s="75">
        <v>0.05</v>
      </c>
      <c r="N485" s="73"/>
      <c r="O485" s="74" t="s">
        <v>40</v>
      </c>
      <c r="P485" s="70">
        <f t="shared" si="259"/>
        <v>0</v>
      </c>
      <c r="Q485" s="74" t="s">
        <v>40</v>
      </c>
      <c r="R485" s="16">
        <f t="shared" si="260"/>
        <v>0</v>
      </c>
      <c r="S485" s="16">
        <f t="shared" si="256"/>
        <v>0</v>
      </c>
    </row>
    <row r="486" spans="1:19" s="19" customFormat="1">
      <c r="A486" s="18"/>
      <c r="C486" s="20"/>
      <c r="D486" s="21"/>
      <c r="E486" s="26"/>
      <c r="F486" s="22"/>
      <c r="G486" s="23"/>
      <c r="H486" s="22"/>
      <c r="I486" s="23"/>
      <c r="J486" s="24"/>
      <c r="K486" s="21"/>
      <c r="L486" s="25"/>
      <c r="M486" s="25"/>
      <c r="N486" s="22"/>
      <c r="O486" s="23"/>
      <c r="P486" s="20"/>
      <c r="Q486" s="23"/>
      <c r="R486" s="24"/>
      <c r="S486" s="24"/>
    </row>
    <row r="487" spans="1:19" s="19" customFormat="1" ht="15.75">
      <c r="A487" s="35" t="s">
        <v>274</v>
      </c>
      <c r="C487" s="20"/>
      <c r="D487" s="21"/>
      <c r="E487" s="26"/>
      <c r="F487" s="22"/>
      <c r="G487" s="23"/>
      <c r="H487" s="22"/>
      <c r="I487" s="23"/>
      <c r="J487" s="24"/>
      <c r="K487" s="21"/>
      <c r="L487" s="25"/>
      <c r="M487" s="25"/>
      <c r="N487" s="22"/>
      <c r="O487" s="23"/>
      <c r="P487" s="20"/>
      <c r="Q487" s="23"/>
      <c r="R487" s="24"/>
      <c r="S487" s="24"/>
    </row>
    <row r="488" spans="1:19" s="19" customFormat="1">
      <c r="A488" s="62" t="s">
        <v>275</v>
      </c>
      <c r="C488" s="20"/>
      <c r="D488" s="21"/>
      <c r="E488" s="26"/>
      <c r="F488" s="22"/>
      <c r="G488" s="23"/>
      <c r="H488" s="22"/>
      <c r="I488" s="23"/>
      <c r="J488" s="24"/>
      <c r="K488" s="21"/>
      <c r="L488" s="25"/>
      <c r="M488" s="25"/>
      <c r="N488" s="22"/>
      <c r="O488" s="23"/>
      <c r="P488" s="20"/>
      <c r="Q488" s="23"/>
      <c r="R488" s="24"/>
      <c r="S488" s="24"/>
    </row>
    <row r="489" spans="1:19" s="19" customFormat="1">
      <c r="A489" s="18" t="s">
        <v>276</v>
      </c>
      <c r="B489" s="19" t="s">
        <v>18</v>
      </c>
      <c r="C489" s="20">
        <v>4270</v>
      </c>
      <c r="D489" s="21" t="s">
        <v>277</v>
      </c>
      <c r="E489" s="26">
        <v>41</v>
      </c>
      <c r="F489" s="22">
        <v>100</v>
      </c>
      <c r="G489" s="23" t="s">
        <v>98</v>
      </c>
      <c r="H489" s="22">
        <v>10</v>
      </c>
      <c r="I489" s="23" t="s">
        <v>277</v>
      </c>
      <c r="J489" s="24">
        <v>2050</v>
      </c>
      <c r="K489" s="21" t="s">
        <v>277</v>
      </c>
      <c r="L489" s="25">
        <v>0.125</v>
      </c>
      <c r="M489" s="25">
        <v>0.05</v>
      </c>
      <c r="N489" s="22"/>
      <c r="O489" s="23" t="s">
        <v>277</v>
      </c>
      <c r="P489" s="20">
        <f t="shared" ref="P489:P498" si="270">(C489+(E489*F489*H489))-N489</f>
        <v>45270</v>
      </c>
      <c r="Q489" s="23" t="s">
        <v>277</v>
      </c>
      <c r="R489" s="24">
        <f t="shared" ref="R489:R498" si="271">P489*(J489-(J489*L489)-((J489-(J489*L489))*M489))</f>
        <v>77142909.375</v>
      </c>
      <c r="S489" s="24">
        <f t="shared" si="256"/>
        <v>69498116.554054052</v>
      </c>
    </row>
    <row r="490" spans="1:19" s="19" customFormat="1">
      <c r="A490" s="18" t="s">
        <v>278</v>
      </c>
      <c r="B490" s="19" t="s">
        <v>18</v>
      </c>
      <c r="C490" s="20">
        <v>1300</v>
      </c>
      <c r="D490" s="21" t="s">
        <v>277</v>
      </c>
      <c r="E490" s="26">
        <v>8</v>
      </c>
      <c r="F490" s="22">
        <v>100</v>
      </c>
      <c r="G490" s="23" t="s">
        <v>98</v>
      </c>
      <c r="H490" s="22">
        <v>10</v>
      </c>
      <c r="I490" s="23" t="s">
        <v>277</v>
      </c>
      <c r="J490" s="24">
        <v>3000</v>
      </c>
      <c r="K490" s="21" t="s">
        <v>277</v>
      </c>
      <c r="L490" s="25">
        <v>0.125</v>
      </c>
      <c r="M490" s="25">
        <v>0.05</v>
      </c>
      <c r="N490" s="22"/>
      <c r="O490" s="23" t="s">
        <v>277</v>
      </c>
      <c r="P490" s="20">
        <f t="shared" si="270"/>
        <v>9300</v>
      </c>
      <c r="Q490" s="23" t="s">
        <v>277</v>
      </c>
      <c r="R490" s="24">
        <f t="shared" si="271"/>
        <v>23191875</v>
      </c>
      <c r="S490" s="24">
        <f t="shared" si="256"/>
        <v>20893581.081081077</v>
      </c>
    </row>
    <row r="491" spans="1:19" s="19" customFormat="1">
      <c r="A491" s="18" t="s">
        <v>882</v>
      </c>
      <c r="B491" s="19" t="s">
        <v>18</v>
      </c>
      <c r="C491" s="20"/>
      <c r="D491" s="21" t="s">
        <v>277</v>
      </c>
      <c r="E491" s="26">
        <v>1</v>
      </c>
      <c r="F491" s="22">
        <v>50</v>
      </c>
      <c r="G491" s="23" t="s">
        <v>98</v>
      </c>
      <c r="H491" s="22">
        <v>10</v>
      </c>
      <c r="I491" s="23" t="s">
        <v>277</v>
      </c>
      <c r="J491" s="24">
        <v>3300</v>
      </c>
      <c r="K491" s="21" t="s">
        <v>277</v>
      </c>
      <c r="L491" s="25">
        <v>0.125</v>
      </c>
      <c r="M491" s="25">
        <v>0.05</v>
      </c>
      <c r="N491" s="22"/>
      <c r="O491" s="23" t="s">
        <v>277</v>
      </c>
      <c r="P491" s="20">
        <f t="shared" ref="P491" si="272">(C491+(E491*F491*H491))-N491</f>
        <v>500</v>
      </c>
      <c r="Q491" s="23" t="s">
        <v>277</v>
      </c>
      <c r="R491" s="24">
        <f t="shared" ref="R491" si="273">P491*(J491-(J491*L491)-((J491-(J491*L491))*M491))</f>
        <v>1371562.5</v>
      </c>
      <c r="S491" s="24">
        <f t="shared" ref="S491" si="274">R491/1.11</f>
        <v>1235641.8918918918</v>
      </c>
    </row>
    <row r="492" spans="1:19" s="19" customFormat="1">
      <c r="A492" s="18" t="s">
        <v>279</v>
      </c>
      <c r="B492" s="19" t="s">
        <v>18</v>
      </c>
      <c r="C492" s="20">
        <v>350</v>
      </c>
      <c r="D492" s="21" t="s">
        <v>277</v>
      </c>
      <c r="E492" s="26">
        <v>16</v>
      </c>
      <c r="F492" s="22">
        <v>50</v>
      </c>
      <c r="G492" s="23" t="s">
        <v>98</v>
      </c>
      <c r="H492" s="22">
        <v>10</v>
      </c>
      <c r="I492" s="23" t="s">
        <v>277</v>
      </c>
      <c r="J492" s="24">
        <v>3050</v>
      </c>
      <c r="K492" s="21" t="s">
        <v>277</v>
      </c>
      <c r="L492" s="25">
        <v>0.125</v>
      </c>
      <c r="M492" s="25">
        <v>0.05</v>
      </c>
      <c r="N492" s="22"/>
      <c r="O492" s="23" t="s">
        <v>277</v>
      </c>
      <c r="P492" s="20">
        <f t="shared" si="270"/>
        <v>8350</v>
      </c>
      <c r="Q492" s="23" t="s">
        <v>277</v>
      </c>
      <c r="R492" s="24">
        <f t="shared" si="271"/>
        <v>21169859.375</v>
      </c>
      <c r="S492" s="24">
        <f t="shared" si="256"/>
        <v>19071945.382882882</v>
      </c>
    </row>
    <row r="493" spans="1:19" s="19" customFormat="1">
      <c r="A493" s="18" t="s">
        <v>280</v>
      </c>
      <c r="B493" s="19" t="s">
        <v>18</v>
      </c>
      <c r="C493" s="20">
        <v>850</v>
      </c>
      <c r="D493" s="21" t="s">
        <v>277</v>
      </c>
      <c r="E493" s="26">
        <v>1</v>
      </c>
      <c r="F493" s="22">
        <v>50</v>
      </c>
      <c r="G493" s="23" t="s">
        <v>98</v>
      </c>
      <c r="H493" s="22">
        <v>10</v>
      </c>
      <c r="I493" s="23" t="s">
        <v>277</v>
      </c>
      <c r="J493" s="24">
        <v>4200</v>
      </c>
      <c r="K493" s="21" t="s">
        <v>277</v>
      </c>
      <c r="L493" s="25">
        <v>0.125</v>
      </c>
      <c r="M493" s="25">
        <v>0.05</v>
      </c>
      <c r="N493" s="22"/>
      <c r="O493" s="23" t="s">
        <v>277</v>
      </c>
      <c r="P493" s="20">
        <f t="shared" si="270"/>
        <v>1350</v>
      </c>
      <c r="Q493" s="23" t="s">
        <v>277</v>
      </c>
      <c r="R493" s="24">
        <f t="shared" si="271"/>
        <v>4713187.5</v>
      </c>
      <c r="S493" s="24">
        <f t="shared" si="256"/>
        <v>4246114.8648648644</v>
      </c>
    </row>
    <row r="494" spans="1:19" s="19" customFormat="1">
      <c r="A494" s="47" t="s">
        <v>281</v>
      </c>
      <c r="B494" s="19" t="s">
        <v>18</v>
      </c>
      <c r="C494" s="20">
        <v>2500</v>
      </c>
      <c r="D494" s="21" t="s">
        <v>277</v>
      </c>
      <c r="E494" s="26">
        <v>3</v>
      </c>
      <c r="F494" s="22">
        <v>50</v>
      </c>
      <c r="G494" s="23" t="s">
        <v>98</v>
      </c>
      <c r="H494" s="22">
        <v>10</v>
      </c>
      <c r="I494" s="23" t="s">
        <v>277</v>
      </c>
      <c r="J494" s="24">
        <v>4300</v>
      </c>
      <c r="K494" s="21" t="s">
        <v>277</v>
      </c>
      <c r="L494" s="25">
        <v>0.125</v>
      </c>
      <c r="M494" s="25">
        <v>0.05</v>
      </c>
      <c r="N494" s="22"/>
      <c r="O494" s="23" t="s">
        <v>277</v>
      </c>
      <c r="P494" s="20">
        <f t="shared" si="270"/>
        <v>4000</v>
      </c>
      <c r="Q494" s="23" t="s">
        <v>277</v>
      </c>
      <c r="R494" s="24">
        <f t="shared" si="271"/>
        <v>14297500</v>
      </c>
      <c r="S494" s="24">
        <f t="shared" si="256"/>
        <v>12880630.630630629</v>
      </c>
    </row>
    <row r="495" spans="1:19" s="78" customFormat="1">
      <c r="A495" s="112" t="s">
        <v>282</v>
      </c>
      <c r="B495" s="78" t="s">
        <v>18</v>
      </c>
      <c r="C495" s="76"/>
      <c r="D495" s="79" t="s">
        <v>277</v>
      </c>
      <c r="E495" s="80"/>
      <c r="F495" s="81">
        <v>100</v>
      </c>
      <c r="G495" s="82" t="s">
        <v>98</v>
      </c>
      <c r="H495" s="81">
        <v>10</v>
      </c>
      <c r="I495" s="82" t="s">
        <v>277</v>
      </c>
      <c r="J495" s="83">
        <v>3000</v>
      </c>
      <c r="K495" s="79" t="s">
        <v>277</v>
      </c>
      <c r="L495" s="84">
        <v>0.125</v>
      </c>
      <c r="M495" s="84">
        <v>0.05</v>
      </c>
      <c r="N495" s="81"/>
      <c r="O495" s="82" t="s">
        <v>277</v>
      </c>
      <c r="P495" s="76">
        <f t="shared" si="270"/>
        <v>0</v>
      </c>
      <c r="Q495" s="82" t="s">
        <v>277</v>
      </c>
      <c r="R495" s="83">
        <f t="shared" si="271"/>
        <v>0</v>
      </c>
      <c r="S495" s="83">
        <f t="shared" si="256"/>
        <v>0</v>
      </c>
    </row>
    <row r="496" spans="1:19" s="78" customFormat="1">
      <c r="A496" s="112" t="s">
        <v>283</v>
      </c>
      <c r="B496" s="78" t="s">
        <v>18</v>
      </c>
      <c r="C496" s="76"/>
      <c r="D496" s="79" t="s">
        <v>277</v>
      </c>
      <c r="E496" s="80"/>
      <c r="F496" s="81">
        <v>100</v>
      </c>
      <c r="G496" s="82" t="s">
        <v>98</v>
      </c>
      <c r="H496" s="81">
        <v>10</v>
      </c>
      <c r="I496" s="82" t="s">
        <v>277</v>
      </c>
      <c r="J496" s="83">
        <v>3000</v>
      </c>
      <c r="K496" s="79" t="s">
        <v>277</v>
      </c>
      <c r="L496" s="84">
        <v>0.125</v>
      </c>
      <c r="M496" s="84">
        <v>0.05</v>
      </c>
      <c r="N496" s="81"/>
      <c r="O496" s="82" t="s">
        <v>277</v>
      </c>
      <c r="P496" s="76">
        <f t="shared" si="270"/>
        <v>0</v>
      </c>
      <c r="Q496" s="82" t="s">
        <v>277</v>
      </c>
      <c r="R496" s="83">
        <f t="shared" si="271"/>
        <v>0</v>
      </c>
      <c r="S496" s="83">
        <f t="shared" si="256"/>
        <v>0</v>
      </c>
    </row>
    <row r="497" spans="1:19" s="78" customFormat="1">
      <c r="A497" s="112" t="s">
        <v>284</v>
      </c>
      <c r="B497" s="78" t="s">
        <v>18</v>
      </c>
      <c r="C497" s="76"/>
      <c r="D497" s="79" t="s">
        <v>277</v>
      </c>
      <c r="E497" s="80"/>
      <c r="F497" s="81">
        <v>50</v>
      </c>
      <c r="G497" s="82" t="s">
        <v>98</v>
      </c>
      <c r="H497" s="81">
        <v>10</v>
      </c>
      <c r="I497" s="82" t="s">
        <v>277</v>
      </c>
      <c r="J497" s="83">
        <v>4300</v>
      </c>
      <c r="K497" s="79" t="s">
        <v>277</v>
      </c>
      <c r="L497" s="84">
        <v>0.125</v>
      </c>
      <c r="M497" s="84">
        <v>0.05</v>
      </c>
      <c r="N497" s="81"/>
      <c r="O497" s="82" t="s">
        <v>277</v>
      </c>
      <c r="P497" s="76">
        <f t="shared" si="270"/>
        <v>0</v>
      </c>
      <c r="Q497" s="82" t="s">
        <v>277</v>
      </c>
      <c r="R497" s="83">
        <f t="shared" si="271"/>
        <v>0</v>
      </c>
      <c r="S497" s="83">
        <f t="shared" si="256"/>
        <v>0</v>
      </c>
    </row>
    <row r="498" spans="1:19" s="78" customFormat="1">
      <c r="A498" s="112" t="s">
        <v>285</v>
      </c>
      <c r="B498" s="78" t="s">
        <v>18</v>
      </c>
      <c r="C498" s="76"/>
      <c r="D498" s="79" t="s">
        <v>98</v>
      </c>
      <c r="E498" s="80">
        <v>1</v>
      </c>
      <c r="F498" s="81">
        <v>1</v>
      </c>
      <c r="G498" s="82" t="s">
        <v>20</v>
      </c>
      <c r="H498" s="81">
        <v>50</v>
      </c>
      <c r="I498" s="82" t="s">
        <v>98</v>
      </c>
      <c r="J498" s="83">
        <v>15500</v>
      </c>
      <c r="K498" s="79" t="s">
        <v>98</v>
      </c>
      <c r="L498" s="84">
        <v>0.125</v>
      </c>
      <c r="M498" s="84">
        <v>0.05</v>
      </c>
      <c r="N498" s="81"/>
      <c r="O498" s="82" t="s">
        <v>98</v>
      </c>
      <c r="P498" s="76">
        <f t="shared" si="270"/>
        <v>50</v>
      </c>
      <c r="Q498" s="82" t="s">
        <v>98</v>
      </c>
      <c r="R498" s="83">
        <f t="shared" si="271"/>
        <v>644218.75</v>
      </c>
      <c r="S498" s="83">
        <f t="shared" si="256"/>
        <v>580377.25225225219</v>
      </c>
    </row>
    <row r="499" spans="1:19" s="19" customFormat="1">
      <c r="A499" s="39"/>
      <c r="C499" s="20"/>
      <c r="D499" s="21"/>
      <c r="E499" s="26"/>
      <c r="F499" s="22"/>
      <c r="G499" s="23"/>
      <c r="H499" s="22"/>
      <c r="I499" s="23"/>
      <c r="J499" s="24"/>
      <c r="K499" s="21"/>
      <c r="L499" s="25"/>
      <c r="M499" s="25"/>
      <c r="N499" s="22"/>
      <c r="O499" s="23"/>
      <c r="P499" s="20"/>
      <c r="Q499" s="23"/>
      <c r="R499" s="24"/>
      <c r="S499" s="24"/>
    </row>
    <row r="500" spans="1:19" s="19" customFormat="1">
      <c r="A500" s="18" t="s">
        <v>286</v>
      </c>
      <c r="B500" s="19" t="s">
        <v>25</v>
      </c>
      <c r="C500" s="20">
        <v>290</v>
      </c>
      <c r="D500" s="21" t="s">
        <v>287</v>
      </c>
      <c r="E500" s="26">
        <v>24</v>
      </c>
      <c r="F500" s="22">
        <v>1</v>
      </c>
      <c r="G500" s="23" t="s">
        <v>20</v>
      </c>
      <c r="H500" s="22">
        <v>50</v>
      </c>
      <c r="I500" s="23" t="s">
        <v>287</v>
      </c>
      <c r="J500" s="24">
        <f>1050000/50</f>
        <v>21000</v>
      </c>
      <c r="K500" s="21" t="s">
        <v>287</v>
      </c>
      <c r="L500" s="25"/>
      <c r="M500" s="25">
        <v>0.17</v>
      </c>
      <c r="N500" s="22"/>
      <c r="O500" s="23" t="s">
        <v>287</v>
      </c>
      <c r="P500" s="20">
        <f>(C500+(E500*F500*H500))-N500</f>
        <v>1490</v>
      </c>
      <c r="Q500" s="23" t="s">
        <v>287</v>
      </c>
      <c r="R500" s="24">
        <f>P500*(J500-(J500*L500)-((J500-(J500*L500))*M500))</f>
        <v>25970700</v>
      </c>
      <c r="S500" s="24">
        <f t="shared" si="256"/>
        <v>23397027.027027026</v>
      </c>
    </row>
    <row r="501" spans="1:19" s="19" customFormat="1">
      <c r="A501" s="18" t="s">
        <v>288</v>
      </c>
      <c r="B501" s="19" t="s">
        <v>25</v>
      </c>
      <c r="C501" s="20">
        <v>175</v>
      </c>
      <c r="D501" s="21" t="s">
        <v>287</v>
      </c>
      <c r="E501" s="26">
        <v>3</v>
      </c>
      <c r="F501" s="22">
        <v>1</v>
      </c>
      <c r="G501" s="23" t="s">
        <v>20</v>
      </c>
      <c r="H501" s="22">
        <v>50</v>
      </c>
      <c r="I501" s="23" t="s">
        <v>287</v>
      </c>
      <c r="J501" s="24">
        <f>1350000/50</f>
        <v>27000</v>
      </c>
      <c r="K501" s="21" t="s">
        <v>287</v>
      </c>
      <c r="L501" s="25"/>
      <c r="M501" s="25">
        <v>0.17</v>
      </c>
      <c r="N501" s="22"/>
      <c r="O501" s="23" t="s">
        <v>287</v>
      </c>
      <c r="P501" s="20">
        <f>(C501+(E501*F501*H501))-N501</f>
        <v>325</v>
      </c>
      <c r="Q501" s="23" t="s">
        <v>287</v>
      </c>
      <c r="R501" s="24">
        <f>P501*(J501-(J501*L501)-((J501-(J501*L501))*M501))</f>
        <v>7283250</v>
      </c>
      <c r="S501" s="24">
        <f t="shared" si="256"/>
        <v>6561486.4864864862</v>
      </c>
    </row>
    <row r="502" spans="1:19" s="19" customFormat="1">
      <c r="A502" s="18"/>
      <c r="C502" s="20"/>
      <c r="D502" s="21"/>
      <c r="E502" s="26"/>
      <c r="F502" s="22"/>
      <c r="G502" s="23"/>
      <c r="H502" s="22"/>
      <c r="I502" s="23"/>
      <c r="J502" s="24"/>
      <c r="K502" s="21"/>
      <c r="L502" s="25"/>
      <c r="M502" s="25"/>
      <c r="N502" s="22"/>
      <c r="O502" s="23"/>
      <c r="P502" s="20"/>
      <c r="Q502" s="23"/>
      <c r="R502" s="24"/>
      <c r="S502" s="24"/>
    </row>
    <row r="503" spans="1:19" s="19" customFormat="1">
      <c r="A503" s="62" t="s">
        <v>289</v>
      </c>
      <c r="C503" s="20"/>
      <c r="D503" s="21"/>
      <c r="E503" s="26"/>
      <c r="F503" s="22"/>
      <c r="G503" s="23"/>
      <c r="H503" s="22"/>
      <c r="I503" s="23"/>
      <c r="J503" s="24"/>
      <c r="K503" s="21"/>
      <c r="L503" s="25"/>
      <c r="M503" s="25"/>
      <c r="N503" s="22"/>
      <c r="O503" s="23"/>
      <c r="P503" s="20"/>
      <c r="Q503" s="23"/>
      <c r="R503" s="24"/>
      <c r="S503" s="24"/>
    </row>
    <row r="504" spans="1:19" s="19" customFormat="1">
      <c r="A504" s="18" t="s">
        <v>290</v>
      </c>
      <c r="B504" s="19" t="s">
        <v>18</v>
      </c>
      <c r="C504" s="20">
        <v>2</v>
      </c>
      <c r="D504" s="21" t="s">
        <v>19</v>
      </c>
      <c r="E504" s="26">
        <v>29</v>
      </c>
      <c r="F504" s="22">
        <v>1</v>
      </c>
      <c r="G504" s="23" t="s">
        <v>20</v>
      </c>
      <c r="H504" s="22">
        <v>20</v>
      </c>
      <c r="I504" s="23" t="s">
        <v>19</v>
      </c>
      <c r="J504" s="24">
        <v>40500</v>
      </c>
      <c r="K504" s="21" t="s">
        <v>19</v>
      </c>
      <c r="L504" s="25">
        <v>0.125</v>
      </c>
      <c r="M504" s="25">
        <v>0.05</v>
      </c>
      <c r="N504" s="22"/>
      <c r="O504" s="23" t="s">
        <v>19</v>
      </c>
      <c r="P504" s="20">
        <f>(C504+(E504*F504*H504))-N504</f>
        <v>582</v>
      </c>
      <c r="Q504" s="23" t="s">
        <v>19</v>
      </c>
      <c r="R504" s="24">
        <f>P504*(J504-(J504*L504)-((J504-(J504*L504))*M504))</f>
        <v>19593393.75</v>
      </c>
      <c r="S504" s="24">
        <f t="shared" si="256"/>
        <v>17651706.081081081</v>
      </c>
    </row>
    <row r="505" spans="1:19" s="95" customFormat="1">
      <c r="A505" s="87" t="s">
        <v>866</v>
      </c>
      <c r="B505" s="95" t="s">
        <v>18</v>
      </c>
      <c r="C505" s="96">
        <v>8</v>
      </c>
      <c r="D505" s="97" t="s">
        <v>19</v>
      </c>
      <c r="E505" s="98">
        <v>2</v>
      </c>
      <c r="F505" s="99">
        <v>1</v>
      </c>
      <c r="G505" s="100" t="s">
        <v>20</v>
      </c>
      <c r="H505" s="99">
        <v>20</v>
      </c>
      <c r="I505" s="100" t="s">
        <v>19</v>
      </c>
      <c r="J505" s="101">
        <v>94500</v>
      </c>
      <c r="K505" s="97" t="s">
        <v>19</v>
      </c>
      <c r="L505" s="102">
        <v>0.125</v>
      </c>
      <c r="M505" s="102">
        <v>0.05</v>
      </c>
      <c r="N505" s="99"/>
      <c r="O505" s="100" t="s">
        <v>19</v>
      </c>
      <c r="P505" s="96">
        <f>(C505+(E505*F505*H505))-N505</f>
        <v>48</v>
      </c>
      <c r="Q505" s="100" t="s">
        <v>19</v>
      </c>
      <c r="R505" s="101">
        <f>P505*(J505-(J505*L505)-((J505-(J505*L505))*M505))</f>
        <v>3770550</v>
      </c>
      <c r="S505" s="101">
        <f t="shared" si="256"/>
        <v>3396891.8918918916</v>
      </c>
    </row>
    <row r="506" spans="1:19" s="19" customFormat="1">
      <c r="A506" s="18"/>
      <c r="C506" s="20"/>
      <c r="D506" s="21"/>
      <c r="E506" s="26"/>
      <c r="F506" s="22"/>
      <c r="G506" s="23"/>
      <c r="H506" s="22"/>
      <c r="I506" s="23"/>
      <c r="J506" s="24"/>
      <c r="K506" s="21"/>
      <c r="L506" s="25"/>
      <c r="M506" s="25"/>
      <c r="N506" s="22"/>
      <c r="O506" s="23"/>
      <c r="P506" s="20"/>
      <c r="Q506" s="23"/>
      <c r="R506" s="24"/>
      <c r="S506" s="24"/>
    </row>
    <row r="507" spans="1:19" s="19" customFormat="1">
      <c r="A507" s="18" t="s">
        <v>291</v>
      </c>
      <c r="B507" s="19" t="s">
        <v>25</v>
      </c>
      <c r="C507" s="20">
        <v>34</v>
      </c>
      <c r="D507" s="21" t="s">
        <v>19</v>
      </c>
      <c r="E507" s="26">
        <v>13</v>
      </c>
      <c r="F507" s="22">
        <v>1</v>
      </c>
      <c r="G507" s="23" t="s">
        <v>20</v>
      </c>
      <c r="H507" s="22">
        <v>50</v>
      </c>
      <c r="I507" s="23" t="s">
        <v>19</v>
      </c>
      <c r="J507" s="24">
        <f>2250000/50</f>
        <v>45000</v>
      </c>
      <c r="K507" s="21" t="s">
        <v>19</v>
      </c>
      <c r="L507" s="25"/>
      <c r="M507" s="25">
        <v>0.17</v>
      </c>
      <c r="N507" s="22"/>
      <c r="O507" s="23" t="s">
        <v>19</v>
      </c>
      <c r="P507" s="20">
        <f>(C507+(E507*F507*H507))-N507</f>
        <v>684</v>
      </c>
      <c r="Q507" s="23" t="s">
        <v>19</v>
      </c>
      <c r="R507" s="24">
        <f>P507*(J507-(J507*L507)-((J507-(J507*L507))*M507))</f>
        <v>25547400</v>
      </c>
      <c r="S507" s="24">
        <f t="shared" si="256"/>
        <v>23015675.675675675</v>
      </c>
    </row>
    <row r="508" spans="1:19" s="19" customFormat="1">
      <c r="A508" s="18" t="s">
        <v>292</v>
      </c>
      <c r="B508" s="19" t="s">
        <v>25</v>
      </c>
      <c r="C508" s="20"/>
      <c r="D508" s="21" t="s">
        <v>19</v>
      </c>
      <c r="E508" s="26">
        <v>6</v>
      </c>
      <c r="F508" s="22">
        <v>1</v>
      </c>
      <c r="G508" s="23" t="s">
        <v>20</v>
      </c>
      <c r="H508" s="22">
        <v>50</v>
      </c>
      <c r="I508" s="23" t="s">
        <v>19</v>
      </c>
      <c r="J508" s="24">
        <f>2750000/50</f>
        <v>55000</v>
      </c>
      <c r="K508" s="21" t="s">
        <v>19</v>
      </c>
      <c r="L508" s="25"/>
      <c r="M508" s="25">
        <v>0.17</v>
      </c>
      <c r="N508" s="22"/>
      <c r="O508" s="23" t="s">
        <v>19</v>
      </c>
      <c r="P508" s="20">
        <f>(C508+(E508*F508*H508))-N508</f>
        <v>300</v>
      </c>
      <c r="Q508" s="23" t="s">
        <v>19</v>
      </c>
      <c r="R508" s="24">
        <f>P508*(J508-(J508*L508)-((J508-(J508*L508))*M508))</f>
        <v>13695000</v>
      </c>
      <c r="S508" s="24">
        <f t="shared" si="256"/>
        <v>12337837.837837838</v>
      </c>
    </row>
    <row r="509" spans="1:19" s="19" customFormat="1">
      <c r="A509" s="40" t="s">
        <v>293</v>
      </c>
      <c r="B509" s="19" t="s">
        <v>25</v>
      </c>
      <c r="C509" s="20">
        <v>54</v>
      </c>
      <c r="D509" s="21" t="s">
        <v>19</v>
      </c>
      <c r="E509" s="26">
        <v>4</v>
      </c>
      <c r="F509" s="22">
        <v>1</v>
      </c>
      <c r="G509" s="23" t="s">
        <v>20</v>
      </c>
      <c r="H509" s="22">
        <v>50</v>
      </c>
      <c r="I509" s="23" t="s">
        <v>19</v>
      </c>
      <c r="J509" s="24">
        <f>4750000/50</f>
        <v>95000</v>
      </c>
      <c r="K509" s="21" t="s">
        <v>19</v>
      </c>
      <c r="L509" s="25"/>
      <c r="M509" s="25">
        <v>0.17</v>
      </c>
      <c r="N509" s="22"/>
      <c r="O509" s="23" t="s">
        <v>19</v>
      </c>
      <c r="P509" s="20">
        <f>(C509+(E509*F509*H509))-N509</f>
        <v>254</v>
      </c>
      <c r="Q509" s="23" t="s">
        <v>19</v>
      </c>
      <c r="R509" s="24">
        <f>P509*(J509-(J509*L509)-((J509-(J509*L509))*M509))</f>
        <v>20027900</v>
      </c>
      <c r="S509" s="24">
        <f t="shared" si="256"/>
        <v>18043153.153153151</v>
      </c>
    </row>
    <row r="510" spans="1:19" s="19" customFormat="1">
      <c r="A510" s="18"/>
      <c r="C510" s="20"/>
      <c r="D510" s="21"/>
      <c r="E510" s="26"/>
      <c r="F510" s="22"/>
      <c r="G510" s="23"/>
      <c r="H510" s="22"/>
      <c r="I510" s="23"/>
      <c r="J510" s="24"/>
      <c r="K510" s="21"/>
      <c r="L510" s="25"/>
      <c r="M510" s="25"/>
      <c r="N510" s="22"/>
      <c r="O510" s="23"/>
      <c r="P510" s="20"/>
      <c r="Q510" s="23"/>
      <c r="R510" s="24"/>
      <c r="S510" s="24"/>
    </row>
    <row r="511" spans="1:19" s="19" customFormat="1" ht="15.75">
      <c r="A511" s="35" t="s">
        <v>294</v>
      </c>
      <c r="C511" s="20"/>
      <c r="D511" s="21"/>
      <c r="E511" s="26"/>
      <c r="F511" s="22"/>
      <c r="G511" s="23"/>
      <c r="H511" s="22"/>
      <c r="I511" s="23"/>
      <c r="J511" s="24"/>
      <c r="K511" s="21"/>
      <c r="L511" s="25"/>
      <c r="M511" s="25"/>
      <c r="N511" s="22"/>
      <c r="O511" s="23"/>
      <c r="P511" s="20"/>
      <c r="Q511" s="23"/>
      <c r="R511" s="24"/>
      <c r="S511" s="24"/>
    </row>
    <row r="512" spans="1:19" s="78" customFormat="1">
      <c r="A512" s="77" t="s">
        <v>786</v>
      </c>
      <c r="B512" s="78" t="s">
        <v>18</v>
      </c>
      <c r="C512" s="76"/>
      <c r="D512" s="79" t="s">
        <v>98</v>
      </c>
      <c r="E512" s="80"/>
      <c r="F512" s="81">
        <v>1</v>
      </c>
      <c r="G512" s="82" t="s">
        <v>20</v>
      </c>
      <c r="H512" s="81">
        <v>10</v>
      </c>
      <c r="I512" s="82" t="s">
        <v>98</v>
      </c>
      <c r="J512" s="83">
        <v>85000</v>
      </c>
      <c r="K512" s="79" t="s">
        <v>98</v>
      </c>
      <c r="L512" s="84">
        <v>0.125</v>
      </c>
      <c r="M512" s="84">
        <v>0.05</v>
      </c>
      <c r="N512" s="81"/>
      <c r="O512" s="82" t="s">
        <v>98</v>
      </c>
      <c r="P512" s="76">
        <f>(C512+(E512*F512*H512))-N512</f>
        <v>0</v>
      </c>
      <c r="Q512" s="82" t="s">
        <v>98</v>
      </c>
      <c r="R512" s="83">
        <f>P512*(J512-(J512*L512)-((J512-(J512*L512))*M512))</f>
        <v>0</v>
      </c>
      <c r="S512" s="83">
        <f t="shared" ref="S512:S513" si="275">R512/1.11</f>
        <v>0</v>
      </c>
    </row>
    <row r="513" spans="1:19" s="95" customFormat="1">
      <c r="A513" s="87" t="s">
        <v>295</v>
      </c>
      <c r="B513" s="95" t="s">
        <v>18</v>
      </c>
      <c r="C513" s="96"/>
      <c r="D513" s="97" t="s">
        <v>98</v>
      </c>
      <c r="E513" s="98">
        <v>2</v>
      </c>
      <c r="F513" s="99">
        <v>1</v>
      </c>
      <c r="G513" s="100" t="s">
        <v>20</v>
      </c>
      <c r="H513" s="99">
        <v>10</v>
      </c>
      <c r="I513" s="100" t="s">
        <v>98</v>
      </c>
      <c r="J513" s="101">
        <v>95000</v>
      </c>
      <c r="K513" s="97" t="s">
        <v>98</v>
      </c>
      <c r="L513" s="102">
        <v>0.125</v>
      </c>
      <c r="M513" s="102">
        <v>0.05</v>
      </c>
      <c r="N513" s="99"/>
      <c r="O513" s="100" t="s">
        <v>98</v>
      </c>
      <c r="P513" s="96">
        <f>(C513+(E513*F513*H513))-N513</f>
        <v>20</v>
      </c>
      <c r="Q513" s="100" t="s">
        <v>98</v>
      </c>
      <c r="R513" s="101">
        <f>P513*(J513-(J513*L513)-((J513-(J513*L513))*M513))</f>
        <v>1579375</v>
      </c>
      <c r="S513" s="101">
        <f t="shared" si="275"/>
        <v>1422860.3603603602</v>
      </c>
    </row>
    <row r="514" spans="1:19" s="95" customFormat="1">
      <c r="A514" s="158" t="s">
        <v>295</v>
      </c>
      <c r="B514" s="95" t="s">
        <v>18</v>
      </c>
      <c r="C514" s="96"/>
      <c r="D514" s="97" t="s">
        <v>98</v>
      </c>
      <c r="E514" s="98">
        <v>3</v>
      </c>
      <c r="F514" s="99">
        <v>1</v>
      </c>
      <c r="G514" s="100" t="s">
        <v>20</v>
      </c>
      <c r="H514" s="99">
        <v>10</v>
      </c>
      <c r="I514" s="100" t="s">
        <v>98</v>
      </c>
      <c r="J514" s="101">
        <v>89000</v>
      </c>
      <c r="K514" s="97" t="s">
        <v>98</v>
      </c>
      <c r="L514" s="102">
        <v>0.125</v>
      </c>
      <c r="M514" s="102">
        <v>0.05</v>
      </c>
      <c r="N514" s="99"/>
      <c r="O514" s="100" t="s">
        <v>98</v>
      </c>
      <c r="P514" s="96">
        <f>(C514+(E514*F514*H514))-N514</f>
        <v>30</v>
      </c>
      <c r="Q514" s="100" t="s">
        <v>98</v>
      </c>
      <c r="R514" s="101">
        <f>P514*(J514-(J514*L514)-((J514-(J514*L514))*M514))</f>
        <v>2219437.5</v>
      </c>
      <c r="S514" s="101">
        <f t="shared" ref="S514" si="276">R514/1.11</f>
        <v>1999493.2432432431</v>
      </c>
    </row>
    <row r="515" spans="1:19" s="19" customFormat="1">
      <c r="A515" s="18"/>
      <c r="C515" s="20"/>
      <c r="D515" s="21"/>
      <c r="E515" s="26"/>
      <c r="F515" s="22"/>
      <c r="G515" s="23"/>
      <c r="H515" s="22"/>
      <c r="I515" s="23"/>
      <c r="J515" s="24"/>
      <c r="K515" s="21"/>
      <c r="L515" s="25"/>
      <c r="M515" s="25"/>
      <c r="N515" s="22"/>
      <c r="O515" s="23"/>
      <c r="P515" s="20"/>
      <c r="Q515" s="23"/>
      <c r="R515" s="24"/>
      <c r="S515" s="24"/>
    </row>
    <row r="516" spans="1:19" s="19" customFormat="1">
      <c r="A516" s="18" t="s">
        <v>296</v>
      </c>
      <c r="B516" s="19" t="s">
        <v>25</v>
      </c>
      <c r="C516" s="20">
        <v>100</v>
      </c>
      <c r="D516" s="21" t="s">
        <v>98</v>
      </c>
      <c r="E516" s="26">
        <v>28</v>
      </c>
      <c r="F516" s="22">
        <v>1</v>
      </c>
      <c r="G516" s="23" t="s">
        <v>20</v>
      </c>
      <c r="H516" s="22">
        <v>10</v>
      </c>
      <c r="I516" s="23" t="s">
        <v>98</v>
      </c>
      <c r="J516" s="24">
        <f>1150000/10</f>
        <v>115000</v>
      </c>
      <c r="K516" s="21" t="s">
        <v>98</v>
      </c>
      <c r="L516" s="25"/>
      <c r="M516" s="25">
        <v>0.17</v>
      </c>
      <c r="N516" s="22"/>
      <c r="O516" s="23" t="s">
        <v>98</v>
      </c>
      <c r="P516" s="20">
        <f>(C516+(E516*F516*H516))-N516</f>
        <v>380</v>
      </c>
      <c r="Q516" s="23" t="s">
        <v>98</v>
      </c>
      <c r="R516" s="24">
        <f>P516*(J516-(J516*L516)-((J516-(J516*L516))*M516))</f>
        <v>36271000</v>
      </c>
      <c r="S516" s="24">
        <f t="shared" si="256"/>
        <v>32676576.576576572</v>
      </c>
    </row>
    <row r="517" spans="1:19" s="19" customFormat="1">
      <c r="A517" s="18"/>
      <c r="C517" s="20"/>
      <c r="D517" s="21"/>
      <c r="E517" s="26"/>
      <c r="F517" s="22"/>
      <c r="G517" s="23"/>
      <c r="H517" s="22"/>
      <c r="I517" s="23"/>
      <c r="J517" s="24"/>
      <c r="K517" s="21"/>
      <c r="L517" s="25"/>
      <c r="M517" s="25"/>
      <c r="N517" s="22"/>
      <c r="O517" s="23"/>
      <c r="P517" s="20"/>
      <c r="Q517" s="23"/>
      <c r="R517" s="24"/>
      <c r="S517" s="24"/>
    </row>
    <row r="518" spans="1:19" s="19" customFormat="1" ht="15.75">
      <c r="A518" s="35" t="s">
        <v>297</v>
      </c>
      <c r="C518" s="20"/>
      <c r="D518" s="21"/>
      <c r="E518" s="26"/>
      <c r="F518" s="22"/>
      <c r="G518" s="23"/>
      <c r="H518" s="22"/>
      <c r="I518" s="23"/>
      <c r="J518" s="24"/>
      <c r="K518" s="21"/>
      <c r="L518" s="25"/>
      <c r="M518" s="25"/>
      <c r="N518" s="22"/>
      <c r="O518" s="23"/>
      <c r="P518" s="20"/>
      <c r="Q518" s="23"/>
      <c r="R518" s="24"/>
      <c r="S518" s="24"/>
    </row>
    <row r="519" spans="1:19" s="19" customFormat="1">
      <c r="A519" s="62" t="s">
        <v>298</v>
      </c>
      <c r="C519" s="20"/>
      <c r="D519" s="21"/>
      <c r="E519" s="26"/>
      <c r="F519" s="22"/>
      <c r="G519" s="23"/>
      <c r="H519" s="22"/>
      <c r="I519" s="23"/>
      <c r="J519" s="24"/>
      <c r="K519" s="21"/>
      <c r="L519" s="25"/>
      <c r="M519" s="25"/>
      <c r="N519" s="22"/>
      <c r="O519" s="23"/>
      <c r="P519" s="20"/>
      <c r="Q519" s="23"/>
      <c r="R519" s="24"/>
      <c r="S519" s="24"/>
    </row>
    <row r="520" spans="1:19" s="95" customFormat="1">
      <c r="A520" s="158" t="s">
        <v>299</v>
      </c>
      <c r="B520" s="95" t="s">
        <v>18</v>
      </c>
      <c r="C520" s="96"/>
      <c r="D520" s="97" t="s">
        <v>40</v>
      </c>
      <c r="E520" s="98">
        <v>1</v>
      </c>
      <c r="F520" s="99">
        <v>48</v>
      </c>
      <c r="G520" s="100" t="s">
        <v>33</v>
      </c>
      <c r="H520" s="99">
        <v>1</v>
      </c>
      <c r="I520" s="100" t="s">
        <v>40</v>
      </c>
      <c r="J520" s="101">
        <v>19800</v>
      </c>
      <c r="K520" s="97" t="s">
        <v>40</v>
      </c>
      <c r="L520" s="102">
        <v>0.125</v>
      </c>
      <c r="M520" s="102">
        <v>0.05</v>
      </c>
      <c r="N520" s="99"/>
      <c r="O520" s="100" t="s">
        <v>40</v>
      </c>
      <c r="P520" s="96">
        <f t="shared" ref="P520" si="277">(C520+(E520*F520*H520))-N520</f>
        <v>48</v>
      </c>
      <c r="Q520" s="100" t="s">
        <v>40</v>
      </c>
      <c r="R520" s="101">
        <f t="shared" ref="R520" si="278">P520*(J520-(J520*L520)-((J520-(J520*L520))*M520))</f>
        <v>790020</v>
      </c>
      <c r="S520" s="101">
        <f t="shared" ref="S520" si="279">R520/1.11</f>
        <v>711729.7297297297</v>
      </c>
    </row>
    <row r="521" spans="1:19" s="78" customFormat="1">
      <c r="A521" s="77" t="s">
        <v>299</v>
      </c>
      <c r="B521" s="78" t="s">
        <v>18</v>
      </c>
      <c r="C521" s="76"/>
      <c r="D521" s="79" t="s">
        <v>40</v>
      </c>
      <c r="E521" s="80"/>
      <c r="F521" s="81">
        <v>48</v>
      </c>
      <c r="G521" s="82" t="s">
        <v>33</v>
      </c>
      <c r="H521" s="81">
        <v>1</v>
      </c>
      <c r="I521" s="82" t="s">
        <v>40</v>
      </c>
      <c r="J521" s="83">
        <f>1625*12</f>
        <v>19500</v>
      </c>
      <c r="K521" s="79" t="s">
        <v>40</v>
      </c>
      <c r="L521" s="84">
        <v>0.125</v>
      </c>
      <c r="M521" s="84">
        <v>0.05</v>
      </c>
      <c r="N521" s="81"/>
      <c r="O521" s="82" t="s">
        <v>40</v>
      </c>
      <c r="P521" s="76">
        <f t="shared" ref="P521:P526" si="280">(C521+(E521*F521*H521))-N521</f>
        <v>0</v>
      </c>
      <c r="Q521" s="82" t="s">
        <v>40</v>
      </c>
      <c r="R521" s="83">
        <f t="shared" ref="R521:R526" si="281">P521*(J521-(J521*L521)-((J521-(J521*L521))*M521))</f>
        <v>0</v>
      </c>
      <c r="S521" s="83">
        <f t="shared" si="256"/>
        <v>0</v>
      </c>
    </row>
    <row r="522" spans="1:19" s="19" customFormat="1">
      <c r="A522" s="18" t="s">
        <v>722</v>
      </c>
      <c r="B522" s="19" t="s">
        <v>18</v>
      </c>
      <c r="C522" s="20">
        <v>16</v>
      </c>
      <c r="D522" s="21" t="s">
        <v>40</v>
      </c>
      <c r="E522" s="26">
        <v>1</v>
      </c>
      <c r="F522" s="22">
        <v>24</v>
      </c>
      <c r="G522" s="23" t="s">
        <v>33</v>
      </c>
      <c r="H522" s="22">
        <v>1</v>
      </c>
      <c r="I522" s="23" t="s">
        <v>40</v>
      </c>
      <c r="J522" s="24">
        <f>2500*12</f>
        <v>30000</v>
      </c>
      <c r="K522" s="21" t="s">
        <v>40</v>
      </c>
      <c r="L522" s="25">
        <v>0.125</v>
      </c>
      <c r="M522" s="25">
        <v>0.05</v>
      </c>
      <c r="N522" s="22"/>
      <c r="O522" s="23" t="s">
        <v>40</v>
      </c>
      <c r="P522" s="20">
        <f t="shared" si="280"/>
        <v>40</v>
      </c>
      <c r="Q522" s="23" t="s">
        <v>40</v>
      </c>
      <c r="R522" s="24">
        <f t="shared" si="281"/>
        <v>997500</v>
      </c>
      <c r="S522" s="24">
        <f t="shared" si="256"/>
        <v>898648.64864864852</v>
      </c>
    </row>
    <row r="523" spans="1:19" s="19" customFormat="1">
      <c r="A523" s="39" t="s">
        <v>300</v>
      </c>
      <c r="B523" s="19" t="s">
        <v>18</v>
      </c>
      <c r="C523" s="20"/>
      <c r="D523" s="21" t="s">
        <v>40</v>
      </c>
      <c r="E523" s="26">
        <v>15</v>
      </c>
      <c r="F523" s="22">
        <v>48</v>
      </c>
      <c r="G523" s="23" t="s">
        <v>33</v>
      </c>
      <c r="H523" s="22">
        <v>1</v>
      </c>
      <c r="I523" s="23" t="s">
        <v>40</v>
      </c>
      <c r="J523" s="24">
        <f>1550*12</f>
        <v>18600</v>
      </c>
      <c r="K523" s="21" t="s">
        <v>40</v>
      </c>
      <c r="L523" s="25">
        <v>0.125</v>
      </c>
      <c r="M523" s="25">
        <v>0.05</v>
      </c>
      <c r="N523" s="22"/>
      <c r="O523" s="23" t="s">
        <v>40</v>
      </c>
      <c r="P523" s="20">
        <f t="shared" si="280"/>
        <v>720</v>
      </c>
      <c r="Q523" s="23" t="s">
        <v>40</v>
      </c>
      <c r="R523" s="24">
        <f t="shared" si="281"/>
        <v>11132100</v>
      </c>
      <c r="S523" s="24">
        <f t="shared" si="256"/>
        <v>10028918.918918919</v>
      </c>
    </row>
    <row r="524" spans="1:19" s="19" customFormat="1">
      <c r="A524" s="39" t="s">
        <v>301</v>
      </c>
      <c r="B524" s="19" t="s">
        <v>18</v>
      </c>
      <c r="C524" s="20">
        <v>24</v>
      </c>
      <c r="D524" s="21" t="s">
        <v>40</v>
      </c>
      <c r="E524" s="26">
        <v>33</v>
      </c>
      <c r="F524" s="22">
        <v>24</v>
      </c>
      <c r="G524" s="23" t="s">
        <v>33</v>
      </c>
      <c r="H524" s="22">
        <v>1</v>
      </c>
      <c r="I524" s="23" t="s">
        <v>40</v>
      </c>
      <c r="J524" s="24">
        <f>2150*12</f>
        <v>25800</v>
      </c>
      <c r="K524" s="21" t="s">
        <v>40</v>
      </c>
      <c r="L524" s="25">
        <v>0.125</v>
      </c>
      <c r="M524" s="25">
        <v>0.05</v>
      </c>
      <c r="N524" s="22"/>
      <c r="O524" s="23" t="s">
        <v>40</v>
      </c>
      <c r="P524" s="20">
        <f t="shared" si="280"/>
        <v>816</v>
      </c>
      <c r="Q524" s="23" t="s">
        <v>40</v>
      </c>
      <c r="R524" s="24">
        <f t="shared" si="281"/>
        <v>17500140</v>
      </c>
      <c r="S524" s="24">
        <f t="shared" si="256"/>
        <v>15765891.891891891</v>
      </c>
    </row>
    <row r="525" spans="1:19" s="19" customFormat="1">
      <c r="A525" s="39" t="s">
        <v>823</v>
      </c>
      <c r="B525" s="19" t="s">
        <v>18</v>
      </c>
      <c r="C525" s="20"/>
      <c r="D525" s="21" t="s">
        <v>40</v>
      </c>
      <c r="E525" s="26">
        <v>1</v>
      </c>
      <c r="F525" s="22">
        <v>24</v>
      </c>
      <c r="G525" s="23" t="s">
        <v>33</v>
      </c>
      <c r="H525" s="22">
        <v>1</v>
      </c>
      <c r="I525" s="23" t="s">
        <v>40</v>
      </c>
      <c r="J525" s="24">
        <v>31200</v>
      </c>
      <c r="K525" s="21" t="s">
        <v>40</v>
      </c>
      <c r="L525" s="25">
        <v>0.125</v>
      </c>
      <c r="M525" s="25">
        <v>0.05</v>
      </c>
      <c r="N525" s="22"/>
      <c r="O525" s="23" t="s">
        <v>40</v>
      </c>
      <c r="P525" s="20">
        <f t="shared" si="280"/>
        <v>24</v>
      </c>
      <c r="Q525" s="23" t="s">
        <v>40</v>
      </c>
      <c r="R525" s="24">
        <f t="shared" si="281"/>
        <v>622440</v>
      </c>
      <c r="S525" s="24">
        <f t="shared" ref="S525" si="282">R525/1.11</f>
        <v>560756.75675675669</v>
      </c>
    </row>
    <row r="526" spans="1:19" s="78" customFormat="1">
      <c r="A526" s="77" t="s">
        <v>302</v>
      </c>
      <c r="B526" s="78" t="s">
        <v>18</v>
      </c>
      <c r="C526" s="76"/>
      <c r="D526" s="79" t="s">
        <v>40</v>
      </c>
      <c r="E526" s="80"/>
      <c r="F526" s="81">
        <v>24</v>
      </c>
      <c r="G526" s="82" t="s">
        <v>33</v>
      </c>
      <c r="H526" s="81">
        <v>1</v>
      </c>
      <c r="I526" s="82" t="s">
        <v>40</v>
      </c>
      <c r="J526" s="83">
        <f>3000*12</f>
        <v>36000</v>
      </c>
      <c r="K526" s="79" t="s">
        <v>40</v>
      </c>
      <c r="L526" s="84">
        <v>0.125</v>
      </c>
      <c r="M526" s="84">
        <v>0.05</v>
      </c>
      <c r="N526" s="81"/>
      <c r="O526" s="82" t="s">
        <v>40</v>
      </c>
      <c r="P526" s="76">
        <f t="shared" si="280"/>
        <v>0</v>
      </c>
      <c r="Q526" s="82" t="s">
        <v>40</v>
      </c>
      <c r="R526" s="83">
        <f t="shared" si="281"/>
        <v>0</v>
      </c>
      <c r="S526" s="83">
        <f t="shared" si="256"/>
        <v>0</v>
      </c>
    </row>
    <row r="527" spans="1:19" s="19" customFormat="1">
      <c r="A527" s="18"/>
      <c r="C527" s="20"/>
      <c r="D527" s="21"/>
      <c r="E527" s="26"/>
      <c r="F527" s="22"/>
      <c r="G527" s="23"/>
      <c r="H527" s="22"/>
      <c r="I527" s="23"/>
      <c r="J527" s="24"/>
      <c r="K527" s="21"/>
      <c r="L527" s="25"/>
      <c r="M527" s="25"/>
      <c r="N527" s="22"/>
      <c r="O527" s="23"/>
      <c r="P527" s="20"/>
      <c r="Q527" s="23"/>
      <c r="R527" s="24"/>
      <c r="S527" s="24"/>
    </row>
    <row r="528" spans="1:19" s="19" customFormat="1">
      <c r="A528" s="18" t="s">
        <v>303</v>
      </c>
      <c r="B528" s="19" t="s">
        <v>25</v>
      </c>
      <c r="C528" s="20">
        <v>40</v>
      </c>
      <c r="D528" s="21" t="s">
        <v>40</v>
      </c>
      <c r="E528" s="26">
        <v>77</v>
      </c>
      <c r="F528" s="22">
        <v>1</v>
      </c>
      <c r="G528" s="23" t="s">
        <v>20</v>
      </c>
      <c r="H528" s="22">
        <v>20</v>
      </c>
      <c r="I528" s="23" t="s">
        <v>40</v>
      </c>
      <c r="J528" s="24">
        <f>396000/20</f>
        <v>19800</v>
      </c>
      <c r="K528" s="21" t="s">
        <v>40</v>
      </c>
      <c r="L528" s="25"/>
      <c r="M528" s="25">
        <v>0.17</v>
      </c>
      <c r="N528" s="22"/>
      <c r="O528" s="23" t="s">
        <v>40</v>
      </c>
      <c r="P528" s="20">
        <f>(C528+(E528*F528*H528))-N528</f>
        <v>1580</v>
      </c>
      <c r="Q528" s="23" t="s">
        <v>40</v>
      </c>
      <c r="R528" s="24">
        <f>P528*(J528-(J528*L528)-((J528-(J528*L528))*M528))</f>
        <v>25965720</v>
      </c>
      <c r="S528" s="24">
        <f t="shared" si="256"/>
        <v>23392540.540540539</v>
      </c>
    </row>
    <row r="529" spans="1:19" s="19" customFormat="1">
      <c r="A529" s="18" t="s">
        <v>304</v>
      </c>
      <c r="B529" s="19" t="s">
        <v>25</v>
      </c>
      <c r="C529" s="20">
        <v>29</v>
      </c>
      <c r="D529" s="21" t="s">
        <v>40</v>
      </c>
      <c r="E529" s="26">
        <v>32</v>
      </c>
      <c r="F529" s="22">
        <v>1</v>
      </c>
      <c r="G529" s="23" t="s">
        <v>20</v>
      </c>
      <c r="H529" s="22">
        <v>20</v>
      </c>
      <c r="I529" s="23" t="s">
        <v>40</v>
      </c>
      <c r="J529" s="24">
        <f>504000/20</f>
        <v>25200</v>
      </c>
      <c r="K529" s="21" t="s">
        <v>40</v>
      </c>
      <c r="L529" s="25"/>
      <c r="M529" s="25">
        <v>0.17</v>
      </c>
      <c r="N529" s="22"/>
      <c r="O529" s="23" t="s">
        <v>40</v>
      </c>
      <c r="P529" s="20">
        <f>(C529+(E529*F529*H529))-N529</f>
        <v>669</v>
      </c>
      <c r="Q529" s="23" t="s">
        <v>40</v>
      </c>
      <c r="R529" s="24">
        <f>P529*(J529-(J529*L529)-((J529-(J529*L529))*M529))</f>
        <v>13992804</v>
      </c>
      <c r="S529" s="24">
        <f t="shared" si="256"/>
        <v>12606129.729729729</v>
      </c>
    </row>
    <row r="530" spans="1:19" s="78" customFormat="1">
      <c r="A530" s="77" t="s">
        <v>305</v>
      </c>
      <c r="B530" s="78" t="s">
        <v>25</v>
      </c>
      <c r="C530" s="76"/>
      <c r="D530" s="79" t="s">
        <v>40</v>
      </c>
      <c r="E530" s="80"/>
      <c r="F530" s="81">
        <v>1</v>
      </c>
      <c r="G530" s="82" t="s">
        <v>20</v>
      </c>
      <c r="H530" s="81">
        <v>20</v>
      </c>
      <c r="I530" s="82" t="s">
        <v>40</v>
      </c>
      <c r="J530" s="83">
        <f>480000/20</f>
        <v>24000</v>
      </c>
      <c r="K530" s="79" t="s">
        <v>40</v>
      </c>
      <c r="L530" s="84"/>
      <c r="M530" s="84">
        <v>0.17</v>
      </c>
      <c r="N530" s="81"/>
      <c r="O530" s="82" t="s">
        <v>40</v>
      </c>
      <c r="P530" s="76">
        <f>(C530+(E530*F530*H530))-N530</f>
        <v>0</v>
      </c>
      <c r="Q530" s="82" t="s">
        <v>40</v>
      </c>
      <c r="R530" s="83">
        <f>P530*(J530-(J530*L530)-((J530-(J530*L530))*M530))</f>
        <v>0</v>
      </c>
      <c r="S530" s="83">
        <f t="shared" si="256"/>
        <v>0</v>
      </c>
    </row>
    <row r="531" spans="1:19" s="19" customFormat="1">
      <c r="A531" s="18" t="s">
        <v>997</v>
      </c>
      <c r="B531" s="19" t="s">
        <v>25</v>
      </c>
      <c r="C531" s="20"/>
      <c r="D531" s="21" t="s">
        <v>40</v>
      </c>
      <c r="E531" s="26">
        <v>2</v>
      </c>
      <c r="F531" s="22">
        <v>1</v>
      </c>
      <c r="G531" s="23" t="s">
        <v>20</v>
      </c>
      <c r="H531" s="22">
        <v>144</v>
      </c>
      <c r="I531" s="23" t="s">
        <v>931</v>
      </c>
      <c r="J531" s="24">
        <v>48000</v>
      </c>
      <c r="K531" s="21" t="s">
        <v>40</v>
      </c>
      <c r="L531" s="25"/>
      <c r="M531" s="25">
        <v>0.17</v>
      </c>
      <c r="N531" s="22"/>
      <c r="O531" s="23" t="s">
        <v>40</v>
      </c>
      <c r="P531" s="20">
        <f>(C531+(E531*F531*H531))-N531</f>
        <v>288</v>
      </c>
      <c r="Q531" s="23" t="s">
        <v>40</v>
      </c>
      <c r="R531" s="24">
        <f>P531*(J531-(J531*L531)-((J531-(J531*L531))*M531))</f>
        <v>11473920</v>
      </c>
      <c r="S531" s="24">
        <f t="shared" ref="S531" si="283">R531/1.11</f>
        <v>10336864.864864863</v>
      </c>
    </row>
    <row r="532" spans="1:19" s="19" customFormat="1">
      <c r="A532" s="18"/>
      <c r="C532" s="20"/>
      <c r="D532" s="21"/>
      <c r="E532" s="26"/>
      <c r="F532" s="22"/>
      <c r="G532" s="23"/>
      <c r="H532" s="22"/>
      <c r="I532" s="23"/>
      <c r="J532" s="24"/>
      <c r="K532" s="21"/>
      <c r="L532" s="25"/>
      <c r="M532" s="25"/>
      <c r="N532" s="22"/>
      <c r="O532" s="23"/>
      <c r="P532" s="20"/>
      <c r="Q532" s="23"/>
      <c r="R532" s="24"/>
      <c r="S532" s="24"/>
    </row>
    <row r="533" spans="1:19" s="19" customFormat="1">
      <c r="A533" s="18" t="s">
        <v>838</v>
      </c>
      <c r="B533" s="18" t="s">
        <v>171</v>
      </c>
      <c r="C533" s="20">
        <v>430</v>
      </c>
      <c r="D533" s="21" t="s">
        <v>833</v>
      </c>
      <c r="E533" s="26">
        <v>9</v>
      </c>
      <c r="F533" s="22">
        <v>1</v>
      </c>
      <c r="G533" s="23" t="s">
        <v>20</v>
      </c>
      <c r="H533" s="22">
        <v>432</v>
      </c>
      <c r="I533" s="23" t="s">
        <v>833</v>
      </c>
      <c r="J533" s="24">
        <v>1400</v>
      </c>
      <c r="K533" s="21" t="s">
        <v>833</v>
      </c>
      <c r="L533" s="25"/>
      <c r="M533" s="25">
        <v>0.05</v>
      </c>
      <c r="N533" s="22"/>
      <c r="O533" s="23" t="s">
        <v>833</v>
      </c>
      <c r="P533" s="20">
        <f>(C533+(E533*F533*H533))-N533</f>
        <v>4318</v>
      </c>
      <c r="Q533" s="23" t="s">
        <v>833</v>
      </c>
      <c r="R533" s="24">
        <f>P533*(J533-(J533*L533)-((J533-(J533*L533))*M533))</f>
        <v>5742940</v>
      </c>
      <c r="S533" s="24">
        <f t="shared" ref="S533" si="284">R533/1.11</f>
        <v>5173819.8198198192</v>
      </c>
    </row>
    <row r="534" spans="1:19" s="19" customFormat="1">
      <c r="A534" s="18"/>
      <c r="C534" s="20"/>
      <c r="D534" s="21"/>
      <c r="E534" s="26"/>
      <c r="F534" s="22"/>
      <c r="G534" s="23"/>
      <c r="H534" s="22"/>
      <c r="I534" s="23"/>
      <c r="J534" s="24"/>
      <c r="K534" s="21"/>
      <c r="L534" s="25"/>
      <c r="M534" s="25"/>
      <c r="N534" s="22"/>
      <c r="O534" s="23"/>
      <c r="P534" s="20"/>
      <c r="Q534" s="23"/>
      <c r="R534" s="24"/>
      <c r="S534" s="24"/>
    </row>
    <row r="535" spans="1:19" s="19" customFormat="1">
      <c r="A535" s="62" t="s">
        <v>306</v>
      </c>
      <c r="C535" s="20"/>
      <c r="D535" s="21"/>
      <c r="E535" s="26"/>
      <c r="F535" s="22"/>
      <c r="G535" s="23"/>
      <c r="H535" s="22"/>
      <c r="I535" s="23"/>
      <c r="J535" s="24"/>
      <c r="K535" s="21"/>
      <c r="L535" s="25"/>
      <c r="M535" s="25"/>
      <c r="N535" s="22"/>
      <c r="O535" s="23"/>
      <c r="P535" s="20"/>
      <c r="Q535" s="23"/>
      <c r="R535" s="24"/>
      <c r="S535" s="24">
        <f t="shared" si="256"/>
        <v>0</v>
      </c>
    </row>
    <row r="536" spans="1:19" s="19" customFormat="1">
      <c r="A536" s="18" t="s">
        <v>307</v>
      </c>
      <c r="B536" s="19" t="s">
        <v>18</v>
      </c>
      <c r="C536" s="20">
        <v>91</v>
      </c>
      <c r="D536" s="21" t="s">
        <v>33</v>
      </c>
      <c r="E536" s="26">
        <v>36</v>
      </c>
      <c r="F536" s="22">
        <v>1</v>
      </c>
      <c r="G536" s="23" t="s">
        <v>20</v>
      </c>
      <c r="H536" s="22">
        <v>64</v>
      </c>
      <c r="I536" s="23" t="s">
        <v>33</v>
      </c>
      <c r="J536" s="24">
        <f>2100*12</f>
        <v>25200</v>
      </c>
      <c r="K536" s="21" t="s">
        <v>33</v>
      </c>
      <c r="L536" s="25">
        <v>0.125</v>
      </c>
      <c r="M536" s="25">
        <v>0.05</v>
      </c>
      <c r="N536" s="22"/>
      <c r="O536" s="23" t="s">
        <v>33</v>
      </c>
      <c r="P536" s="20">
        <f t="shared" ref="P536:P546" si="285">(C536+(E536*F536*H536))-N536</f>
        <v>2395</v>
      </c>
      <c r="Q536" s="23" t="s">
        <v>33</v>
      </c>
      <c r="R536" s="24">
        <f t="shared" ref="R536:R546" si="286">P536*(J536-(J536*L536)-((J536-(J536*L536))*M536))</f>
        <v>50169262.5</v>
      </c>
      <c r="S536" s="24">
        <f t="shared" si="256"/>
        <v>45197533.783783779</v>
      </c>
    </row>
    <row r="537" spans="1:19" s="19" customFormat="1">
      <c r="A537" s="18" t="s">
        <v>309</v>
      </c>
      <c r="B537" s="19" t="s">
        <v>18</v>
      </c>
      <c r="C537" s="20">
        <v>72</v>
      </c>
      <c r="D537" s="21" t="s">
        <v>33</v>
      </c>
      <c r="E537" s="26">
        <v>17</v>
      </c>
      <c r="F537" s="22">
        <v>1</v>
      </c>
      <c r="G537" s="23" t="s">
        <v>20</v>
      </c>
      <c r="H537" s="22">
        <v>36</v>
      </c>
      <c r="I537" s="23" t="s">
        <v>33</v>
      </c>
      <c r="J537" s="24">
        <f>2100*24</f>
        <v>50400</v>
      </c>
      <c r="K537" s="21" t="s">
        <v>33</v>
      </c>
      <c r="L537" s="25">
        <v>0.125</v>
      </c>
      <c r="M537" s="25">
        <v>0.05</v>
      </c>
      <c r="N537" s="22"/>
      <c r="O537" s="23" t="s">
        <v>33</v>
      </c>
      <c r="P537" s="20">
        <f t="shared" si="285"/>
        <v>684</v>
      </c>
      <c r="Q537" s="23" t="s">
        <v>33</v>
      </c>
      <c r="R537" s="24">
        <f t="shared" si="286"/>
        <v>28656180</v>
      </c>
      <c r="S537" s="24">
        <f>R537/1.11</f>
        <v>25816378.378378376</v>
      </c>
    </row>
    <row r="538" spans="1:19" s="95" customFormat="1">
      <c r="A538" s="128" t="s">
        <v>721</v>
      </c>
      <c r="B538" s="95" t="s">
        <v>18</v>
      </c>
      <c r="C538" s="96"/>
      <c r="D538" s="97" t="s">
        <v>33</v>
      </c>
      <c r="E538" s="98">
        <v>6</v>
      </c>
      <c r="F538" s="99">
        <v>1</v>
      </c>
      <c r="G538" s="100" t="s">
        <v>20</v>
      </c>
      <c r="H538" s="99">
        <v>36</v>
      </c>
      <c r="I538" s="100" t="s">
        <v>33</v>
      </c>
      <c r="J538" s="101">
        <f>2300*24</f>
        <v>55200</v>
      </c>
      <c r="K538" s="97" t="s">
        <v>33</v>
      </c>
      <c r="L538" s="102">
        <v>0.125</v>
      </c>
      <c r="M538" s="102">
        <v>0.05</v>
      </c>
      <c r="N538" s="99"/>
      <c r="O538" s="100" t="s">
        <v>33</v>
      </c>
      <c r="P538" s="96">
        <f t="shared" si="285"/>
        <v>216</v>
      </c>
      <c r="Q538" s="100" t="s">
        <v>33</v>
      </c>
      <c r="R538" s="101">
        <f t="shared" si="286"/>
        <v>9911160</v>
      </c>
      <c r="S538" s="101">
        <f>R538/1.11</f>
        <v>8928972.9729729723</v>
      </c>
    </row>
    <row r="539" spans="1:19" s="78" customFormat="1">
      <c r="A539" s="77" t="s">
        <v>720</v>
      </c>
      <c r="B539" s="78" t="s">
        <v>18</v>
      </c>
      <c r="C539" s="76"/>
      <c r="D539" s="79" t="s">
        <v>33</v>
      </c>
      <c r="E539" s="80"/>
      <c r="F539" s="81">
        <v>1</v>
      </c>
      <c r="G539" s="82" t="s">
        <v>20</v>
      </c>
      <c r="H539" s="81">
        <v>32</v>
      </c>
      <c r="I539" s="82" t="s">
        <v>33</v>
      </c>
      <c r="J539" s="83">
        <f>1300*12</f>
        <v>15600</v>
      </c>
      <c r="K539" s="79" t="s">
        <v>33</v>
      </c>
      <c r="L539" s="84">
        <v>0.125</v>
      </c>
      <c r="M539" s="84">
        <v>0.05</v>
      </c>
      <c r="N539" s="81"/>
      <c r="O539" s="82" t="s">
        <v>33</v>
      </c>
      <c r="P539" s="76">
        <f t="shared" si="285"/>
        <v>0</v>
      </c>
      <c r="Q539" s="82" t="s">
        <v>33</v>
      </c>
      <c r="R539" s="83">
        <f t="shared" si="286"/>
        <v>0</v>
      </c>
      <c r="S539" s="83">
        <f>R539/1.11</f>
        <v>0</v>
      </c>
    </row>
    <row r="540" spans="1:19" s="19" customFormat="1">
      <c r="A540" s="159" t="s">
        <v>308</v>
      </c>
      <c r="B540" s="19" t="s">
        <v>18</v>
      </c>
      <c r="C540" s="20"/>
      <c r="D540" s="21" t="s">
        <v>33</v>
      </c>
      <c r="E540" s="26">
        <v>1</v>
      </c>
      <c r="F540" s="22">
        <v>1</v>
      </c>
      <c r="G540" s="23" t="s">
        <v>20</v>
      </c>
      <c r="H540" s="22">
        <v>54</v>
      </c>
      <c r="I540" s="23" t="s">
        <v>33</v>
      </c>
      <c r="J540" s="24">
        <v>39600</v>
      </c>
      <c r="K540" s="21" t="s">
        <v>33</v>
      </c>
      <c r="L540" s="25">
        <v>0.125</v>
      </c>
      <c r="M540" s="25">
        <v>0.05</v>
      </c>
      <c r="N540" s="22"/>
      <c r="O540" s="23" t="s">
        <v>33</v>
      </c>
      <c r="P540" s="20">
        <f t="shared" ref="P540" si="287">(C540+(E540*F540*H540))-N540</f>
        <v>54</v>
      </c>
      <c r="Q540" s="23" t="s">
        <v>33</v>
      </c>
      <c r="R540" s="24">
        <f t="shared" ref="R540" si="288">P540*(J540-(J540*L540)-((J540-(J540*L540))*M540))</f>
        <v>1777545</v>
      </c>
      <c r="S540" s="24">
        <f t="shared" ref="S540" si="289">R540/1.11</f>
        <v>1601391.8918918918</v>
      </c>
    </row>
    <row r="541" spans="1:19" s="19" customFormat="1">
      <c r="A541" s="18" t="s">
        <v>308</v>
      </c>
      <c r="B541" s="19" t="s">
        <v>18</v>
      </c>
      <c r="C541" s="20">
        <v>38</v>
      </c>
      <c r="D541" s="21" t="s">
        <v>33</v>
      </c>
      <c r="E541" s="26"/>
      <c r="F541" s="22">
        <v>1</v>
      </c>
      <c r="G541" s="23" t="s">
        <v>20</v>
      </c>
      <c r="H541" s="22">
        <v>54</v>
      </c>
      <c r="I541" s="23" t="s">
        <v>33</v>
      </c>
      <c r="J541" s="24">
        <f>3400*12</f>
        <v>40800</v>
      </c>
      <c r="K541" s="21" t="s">
        <v>33</v>
      </c>
      <c r="L541" s="25">
        <v>0.125</v>
      </c>
      <c r="M541" s="25">
        <v>0.05</v>
      </c>
      <c r="N541" s="22"/>
      <c r="O541" s="23" t="s">
        <v>33</v>
      </c>
      <c r="P541" s="20">
        <f t="shared" si="285"/>
        <v>38</v>
      </c>
      <c r="Q541" s="23" t="s">
        <v>33</v>
      </c>
      <c r="R541" s="24">
        <f t="shared" si="286"/>
        <v>1288770</v>
      </c>
      <c r="S541" s="24">
        <f t="shared" si="256"/>
        <v>1161054.054054054</v>
      </c>
    </row>
    <row r="542" spans="1:19" s="95" customFormat="1">
      <c r="A542" s="128" t="s">
        <v>763</v>
      </c>
      <c r="B542" s="95" t="s">
        <v>18</v>
      </c>
      <c r="C542" s="96"/>
      <c r="D542" s="97" t="s">
        <v>33</v>
      </c>
      <c r="E542" s="98">
        <v>3</v>
      </c>
      <c r="F542" s="99">
        <v>1</v>
      </c>
      <c r="G542" s="100" t="s">
        <v>20</v>
      </c>
      <c r="H542" s="99">
        <v>24</v>
      </c>
      <c r="I542" s="100" t="s">
        <v>33</v>
      </c>
      <c r="J542" s="101">
        <f>3300*24</f>
        <v>79200</v>
      </c>
      <c r="K542" s="97" t="s">
        <v>33</v>
      </c>
      <c r="L542" s="102">
        <v>0.125</v>
      </c>
      <c r="M542" s="102">
        <v>0.05</v>
      </c>
      <c r="N542" s="99"/>
      <c r="O542" s="100" t="s">
        <v>33</v>
      </c>
      <c r="P542" s="96">
        <f t="shared" si="285"/>
        <v>72</v>
      </c>
      <c r="Q542" s="100" t="s">
        <v>33</v>
      </c>
      <c r="R542" s="101">
        <f t="shared" si="286"/>
        <v>4740120</v>
      </c>
      <c r="S542" s="101">
        <f>R542/1.11</f>
        <v>4270378.3783783782</v>
      </c>
    </row>
    <row r="543" spans="1:19" s="19" customFormat="1">
      <c r="A543" s="46" t="s">
        <v>310</v>
      </c>
      <c r="B543" s="19" t="s">
        <v>18</v>
      </c>
      <c r="C543" s="20"/>
      <c r="D543" s="21" t="s">
        <v>33</v>
      </c>
      <c r="E543" s="26">
        <v>38</v>
      </c>
      <c r="F543" s="22">
        <v>1</v>
      </c>
      <c r="G543" s="23" t="s">
        <v>20</v>
      </c>
      <c r="H543" s="22">
        <v>36</v>
      </c>
      <c r="I543" s="23" t="s">
        <v>33</v>
      </c>
      <c r="J543" s="24">
        <f>2450*24</f>
        <v>58800</v>
      </c>
      <c r="K543" s="21" t="s">
        <v>33</v>
      </c>
      <c r="L543" s="25">
        <v>0.125</v>
      </c>
      <c r="M543" s="25">
        <v>0.05</v>
      </c>
      <c r="N543" s="22"/>
      <c r="O543" s="23" t="s">
        <v>33</v>
      </c>
      <c r="P543" s="20">
        <f t="shared" si="285"/>
        <v>1368</v>
      </c>
      <c r="Q543" s="23" t="s">
        <v>33</v>
      </c>
      <c r="R543" s="24">
        <f t="shared" si="286"/>
        <v>66864420</v>
      </c>
      <c r="S543" s="24">
        <f>R543/1.11</f>
        <v>60238216.216216214</v>
      </c>
    </row>
    <row r="544" spans="1:19" s="19" customFormat="1">
      <c r="A544" s="46" t="s">
        <v>926</v>
      </c>
      <c r="B544" s="19" t="s">
        <v>18</v>
      </c>
      <c r="C544" s="20"/>
      <c r="D544" s="21" t="s">
        <v>33</v>
      </c>
      <c r="E544" s="26">
        <v>1</v>
      </c>
      <c r="F544" s="22">
        <v>1</v>
      </c>
      <c r="G544" s="23" t="s">
        <v>20</v>
      </c>
      <c r="H544" s="22">
        <v>36</v>
      </c>
      <c r="I544" s="23" t="s">
        <v>33</v>
      </c>
      <c r="J544" s="24">
        <v>56400</v>
      </c>
      <c r="K544" s="21" t="s">
        <v>33</v>
      </c>
      <c r="L544" s="25">
        <v>0.125</v>
      </c>
      <c r="M544" s="25">
        <v>0.05</v>
      </c>
      <c r="N544" s="22"/>
      <c r="O544" s="23" t="s">
        <v>33</v>
      </c>
      <c r="P544" s="20">
        <f t="shared" ref="P544:P545" si="290">(C544+(E544*F544*H544))-N544</f>
        <v>36</v>
      </c>
      <c r="Q544" s="23" t="s">
        <v>33</v>
      </c>
      <c r="R544" s="24">
        <f t="shared" ref="R544:R545" si="291">P544*(J544-(J544*L544)-((J544-(J544*L544))*M544))</f>
        <v>1687770</v>
      </c>
      <c r="S544" s="24">
        <f>R544/1.11</f>
        <v>1520513.5135135134</v>
      </c>
    </row>
    <row r="545" spans="1:19" s="95" customFormat="1">
      <c r="A545" s="158" t="s">
        <v>717</v>
      </c>
      <c r="B545" s="95" t="s">
        <v>18</v>
      </c>
      <c r="C545" s="96"/>
      <c r="D545" s="97" t="s">
        <v>33</v>
      </c>
      <c r="E545" s="98">
        <v>1</v>
      </c>
      <c r="F545" s="99">
        <v>1</v>
      </c>
      <c r="G545" s="100" t="s">
        <v>20</v>
      </c>
      <c r="H545" s="99">
        <v>36</v>
      </c>
      <c r="I545" s="100" t="s">
        <v>33</v>
      </c>
      <c r="J545" s="101">
        <v>52800</v>
      </c>
      <c r="K545" s="97" t="s">
        <v>33</v>
      </c>
      <c r="L545" s="102">
        <v>0.125</v>
      </c>
      <c r="M545" s="102">
        <v>0.05</v>
      </c>
      <c r="N545" s="99"/>
      <c r="O545" s="100" t="s">
        <v>33</v>
      </c>
      <c r="P545" s="96">
        <f t="shared" si="290"/>
        <v>36</v>
      </c>
      <c r="Q545" s="100" t="s">
        <v>33</v>
      </c>
      <c r="R545" s="101">
        <f t="shared" si="291"/>
        <v>1580040</v>
      </c>
      <c r="S545" s="101">
        <f t="shared" ref="S545" si="292">R545/1.11</f>
        <v>1423459.4594594594</v>
      </c>
    </row>
    <row r="546" spans="1:19" s="78" customFormat="1">
      <c r="A546" s="77" t="s">
        <v>717</v>
      </c>
      <c r="B546" s="78" t="s">
        <v>18</v>
      </c>
      <c r="C546" s="76"/>
      <c r="D546" s="79" t="s">
        <v>33</v>
      </c>
      <c r="E546" s="80"/>
      <c r="F546" s="81">
        <v>1</v>
      </c>
      <c r="G546" s="82" t="s">
        <v>20</v>
      </c>
      <c r="H546" s="81">
        <v>36</v>
      </c>
      <c r="I546" s="82" t="s">
        <v>33</v>
      </c>
      <c r="J546" s="83">
        <f>4600*12</f>
        <v>55200</v>
      </c>
      <c r="K546" s="79" t="s">
        <v>33</v>
      </c>
      <c r="L546" s="84">
        <v>0.125</v>
      </c>
      <c r="M546" s="84">
        <v>0.05</v>
      </c>
      <c r="N546" s="81"/>
      <c r="O546" s="82" t="s">
        <v>33</v>
      </c>
      <c r="P546" s="76">
        <f t="shared" si="285"/>
        <v>0</v>
      </c>
      <c r="Q546" s="82" t="s">
        <v>33</v>
      </c>
      <c r="R546" s="83">
        <f t="shared" si="286"/>
        <v>0</v>
      </c>
      <c r="S546" s="83">
        <f t="shared" ref="S546" si="293">R546/1.11</f>
        <v>0</v>
      </c>
    </row>
    <row r="547" spans="1:19" s="19" customFormat="1">
      <c r="A547" s="18"/>
      <c r="C547" s="20"/>
      <c r="D547" s="21"/>
      <c r="E547" s="26"/>
      <c r="F547" s="22"/>
      <c r="G547" s="23"/>
      <c r="H547" s="22"/>
      <c r="I547" s="23"/>
      <c r="J547" s="24"/>
      <c r="K547" s="21"/>
      <c r="L547" s="25"/>
      <c r="M547" s="25"/>
      <c r="N547" s="22"/>
      <c r="O547" s="23"/>
      <c r="P547" s="20"/>
      <c r="Q547" s="23"/>
      <c r="R547" s="24"/>
      <c r="S547" s="24"/>
    </row>
    <row r="548" spans="1:19" s="19" customFormat="1">
      <c r="A548" s="18" t="s">
        <v>311</v>
      </c>
      <c r="B548" s="19" t="s">
        <v>25</v>
      </c>
      <c r="C548" s="20">
        <v>77</v>
      </c>
      <c r="D548" s="21" t="s">
        <v>33</v>
      </c>
      <c r="E548" s="26">
        <v>55</v>
      </c>
      <c r="F548" s="22">
        <v>1</v>
      </c>
      <c r="G548" s="23" t="s">
        <v>20</v>
      </c>
      <c r="H548" s="22">
        <v>36</v>
      </c>
      <c r="I548" s="23" t="s">
        <v>33</v>
      </c>
      <c r="J548" s="24">
        <f>2376000/36</f>
        <v>66000</v>
      </c>
      <c r="K548" s="21" t="s">
        <v>33</v>
      </c>
      <c r="L548" s="25"/>
      <c r="M548" s="25">
        <v>0.17</v>
      </c>
      <c r="N548" s="22"/>
      <c r="O548" s="23" t="s">
        <v>33</v>
      </c>
      <c r="P548" s="20">
        <f>(C548+(E548*F548*H548))-N548</f>
        <v>2057</v>
      </c>
      <c r="Q548" s="23" t="s">
        <v>33</v>
      </c>
      <c r="R548" s="24">
        <f>P548*(J548-(J548*L548)-((J548-(J548*L548))*M548))</f>
        <v>112682460</v>
      </c>
      <c r="S548" s="24">
        <f t="shared" si="256"/>
        <v>101515729.72972973</v>
      </c>
    </row>
    <row r="549" spans="1:19" s="19" customFormat="1">
      <c r="A549" s="18" t="s">
        <v>312</v>
      </c>
      <c r="B549" s="19" t="s">
        <v>25</v>
      </c>
      <c r="C549" s="20">
        <v>300</v>
      </c>
      <c r="D549" s="21" t="s">
        <v>33</v>
      </c>
      <c r="E549" s="26">
        <v>25</v>
      </c>
      <c r="F549" s="22">
        <v>1</v>
      </c>
      <c r="G549" s="23" t="s">
        <v>20</v>
      </c>
      <c r="H549" s="22">
        <v>36</v>
      </c>
      <c r="I549" s="23" t="s">
        <v>33</v>
      </c>
      <c r="J549" s="24">
        <f>2592000/36</f>
        <v>72000</v>
      </c>
      <c r="K549" s="21" t="s">
        <v>33</v>
      </c>
      <c r="L549" s="25"/>
      <c r="M549" s="25">
        <v>0.17</v>
      </c>
      <c r="N549" s="22"/>
      <c r="O549" s="23" t="s">
        <v>33</v>
      </c>
      <c r="P549" s="20">
        <f>(C549+(E549*F549*H549))-N549</f>
        <v>1200</v>
      </c>
      <c r="Q549" s="23" t="s">
        <v>33</v>
      </c>
      <c r="R549" s="24">
        <f>P549*(J549-(J549*L549)-((J549-(J549*L549))*M549))</f>
        <v>71712000</v>
      </c>
      <c r="S549" s="24">
        <f t="shared" si="256"/>
        <v>64605405.405405402</v>
      </c>
    </row>
    <row r="550" spans="1:19" s="19" customFormat="1">
      <c r="A550" s="18" t="s">
        <v>313</v>
      </c>
      <c r="B550" s="19" t="s">
        <v>25</v>
      </c>
      <c r="C550" s="20">
        <v>202</v>
      </c>
      <c r="D550" s="21" t="s">
        <v>33</v>
      </c>
      <c r="E550" s="26">
        <v>9</v>
      </c>
      <c r="F550" s="22">
        <v>1</v>
      </c>
      <c r="G550" s="23" t="s">
        <v>20</v>
      </c>
      <c r="H550" s="22">
        <v>36</v>
      </c>
      <c r="I550" s="23" t="s">
        <v>33</v>
      </c>
      <c r="J550" s="24">
        <f>2160000/36</f>
        <v>60000</v>
      </c>
      <c r="K550" s="21" t="s">
        <v>33</v>
      </c>
      <c r="L550" s="25"/>
      <c r="M550" s="25">
        <v>0.17</v>
      </c>
      <c r="N550" s="22"/>
      <c r="O550" s="23" t="s">
        <v>33</v>
      </c>
      <c r="P550" s="20">
        <f>(C550+(E550*F550*H550))-N550</f>
        <v>526</v>
      </c>
      <c r="Q550" s="23" t="s">
        <v>33</v>
      </c>
      <c r="R550" s="24">
        <f>P550*(J550-(J550*L550)-((J550-(J550*L550))*M550))</f>
        <v>26194800</v>
      </c>
      <c r="S550" s="24">
        <f t="shared" si="256"/>
        <v>23598918.918918915</v>
      </c>
    </row>
    <row r="551" spans="1:19" s="19" customFormat="1">
      <c r="A551" s="18"/>
      <c r="C551" s="20"/>
      <c r="D551" s="21"/>
      <c r="E551" s="26"/>
      <c r="F551" s="22"/>
      <c r="G551" s="23"/>
      <c r="H551" s="22"/>
      <c r="I551" s="23"/>
      <c r="J551" s="24"/>
      <c r="K551" s="21"/>
      <c r="L551" s="25"/>
      <c r="M551" s="25"/>
      <c r="N551" s="22"/>
      <c r="O551" s="23"/>
      <c r="P551" s="20"/>
      <c r="Q551" s="23"/>
      <c r="R551" s="24"/>
      <c r="S551" s="24"/>
    </row>
    <row r="552" spans="1:19" s="19" customFormat="1">
      <c r="A552" s="62" t="s">
        <v>769</v>
      </c>
      <c r="C552" s="20"/>
      <c r="D552" s="21"/>
      <c r="E552" s="26"/>
      <c r="F552" s="22"/>
      <c r="G552" s="23"/>
      <c r="H552" s="22"/>
      <c r="I552" s="23"/>
      <c r="J552" s="24"/>
      <c r="K552" s="21"/>
      <c r="L552" s="25"/>
      <c r="M552" s="25"/>
      <c r="N552" s="22"/>
      <c r="O552" s="23"/>
      <c r="P552" s="20"/>
      <c r="Q552" s="23"/>
      <c r="R552" s="24"/>
      <c r="S552" s="24"/>
    </row>
    <row r="553" spans="1:19" s="78" customFormat="1">
      <c r="A553" s="77" t="s">
        <v>314</v>
      </c>
      <c r="B553" s="78" t="s">
        <v>25</v>
      </c>
      <c r="C553" s="76"/>
      <c r="D553" s="79" t="s">
        <v>102</v>
      </c>
      <c r="E553" s="80"/>
      <c r="F553" s="81">
        <v>1</v>
      </c>
      <c r="G553" s="82" t="s">
        <v>20</v>
      </c>
      <c r="H553" s="81">
        <v>60</v>
      </c>
      <c r="I553" s="82" t="s">
        <v>102</v>
      </c>
      <c r="J553" s="83">
        <v>18600</v>
      </c>
      <c r="K553" s="79" t="s">
        <v>102</v>
      </c>
      <c r="L553" s="84"/>
      <c r="M553" s="84">
        <v>0.17</v>
      </c>
      <c r="N553" s="81"/>
      <c r="O553" s="82" t="s">
        <v>102</v>
      </c>
      <c r="P553" s="76">
        <f>(C553+(E553*F553*H553))-N553</f>
        <v>0</v>
      </c>
      <c r="Q553" s="82" t="s">
        <v>102</v>
      </c>
      <c r="R553" s="83">
        <f>P553*(J553-(J553*L553)-((J553-(J553*L553))*M553))</f>
        <v>0</v>
      </c>
      <c r="S553" s="83">
        <f t="shared" si="256"/>
        <v>0</v>
      </c>
    </row>
    <row r="554" spans="1:19" s="19" customFormat="1">
      <c r="A554" s="18"/>
      <c r="C554" s="20"/>
      <c r="D554" s="21"/>
      <c r="E554" s="26"/>
      <c r="F554" s="22"/>
      <c r="G554" s="23"/>
      <c r="H554" s="22"/>
      <c r="I554" s="23"/>
      <c r="J554" s="24"/>
      <c r="K554" s="21"/>
      <c r="L554" s="25"/>
      <c r="M554" s="25"/>
      <c r="N554" s="22"/>
      <c r="O554" s="23"/>
      <c r="P554" s="20"/>
      <c r="Q554" s="23"/>
      <c r="R554" s="24"/>
      <c r="S554" s="24"/>
    </row>
    <row r="555" spans="1:19" s="19" customFormat="1">
      <c r="A555" s="18" t="s">
        <v>770</v>
      </c>
      <c r="B555" s="18" t="s">
        <v>171</v>
      </c>
      <c r="C555" s="41">
        <v>800</v>
      </c>
      <c r="D555" s="42" t="s">
        <v>40</v>
      </c>
      <c r="E555" s="43"/>
      <c r="F555" s="44">
        <v>1</v>
      </c>
      <c r="G555" s="39" t="s">
        <v>20</v>
      </c>
      <c r="H555" s="44">
        <v>160</v>
      </c>
      <c r="I555" s="39" t="s">
        <v>40</v>
      </c>
      <c r="J555" s="27">
        <v>7750</v>
      </c>
      <c r="K555" s="42" t="s">
        <v>40</v>
      </c>
      <c r="L555" s="45">
        <v>0.05</v>
      </c>
      <c r="M555" s="45"/>
      <c r="N555" s="44"/>
      <c r="O555" s="39" t="s">
        <v>40</v>
      </c>
      <c r="P555" s="41">
        <f>(C555+(E555*F555*H555))-N555</f>
        <v>800</v>
      </c>
      <c r="Q555" s="39" t="s">
        <v>40</v>
      </c>
      <c r="R555" s="27">
        <f>P555*(J555-(J555*L555)-((J555-(J555*L555))*M555))</f>
        <v>5890000</v>
      </c>
      <c r="S555" s="27">
        <f t="shared" si="256"/>
        <v>5306306.3063063063</v>
      </c>
    </row>
    <row r="556" spans="1:19" s="19" customFormat="1">
      <c r="A556" s="18"/>
      <c r="C556" s="20"/>
      <c r="D556" s="21"/>
      <c r="E556" s="26"/>
      <c r="F556" s="22"/>
      <c r="G556" s="23"/>
      <c r="H556" s="22"/>
      <c r="I556" s="23"/>
      <c r="J556" s="24"/>
      <c r="K556" s="21"/>
      <c r="L556" s="25"/>
      <c r="M556" s="25"/>
      <c r="N556" s="22"/>
      <c r="O556" s="23"/>
      <c r="P556" s="20"/>
      <c r="Q556" s="23"/>
      <c r="R556" s="24"/>
      <c r="S556" s="24"/>
    </row>
    <row r="557" spans="1:19" s="19" customFormat="1">
      <c r="A557" s="62" t="s">
        <v>315</v>
      </c>
      <c r="C557" s="20"/>
      <c r="D557" s="21"/>
      <c r="E557" s="26"/>
      <c r="F557" s="22"/>
      <c r="G557" s="23"/>
      <c r="H557" s="22"/>
      <c r="I557" s="23"/>
      <c r="J557" s="24"/>
      <c r="K557" s="21"/>
      <c r="L557" s="25"/>
      <c r="M557" s="25"/>
      <c r="N557" s="22"/>
      <c r="O557" s="23"/>
      <c r="P557" s="20"/>
      <c r="Q557" s="23"/>
      <c r="R557" s="24"/>
      <c r="S557" s="24"/>
    </row>
    <row r="558" spans="1:19" s="19" customFormat="1">
      <c r="A558" s="18" t="s">
        <v>316</v>
      </c>
      <c r="B558" s="19" t="s">
        <v>317</v>
      </c>
      <c r="C558" s="20">
        <v>145</v>
      </c>
      <c r="D558" s="21" t="s">
        <v>318</v>
      </c>
      <c r="E558" s="26"/>
      <c r="F558" s="22">
        <v>1</v>
      </c>
      <c r="G558" s="23" t="s">
        <v>20</v>
      </c>
      <c r="H558" s="22">
        <v>25</v>
      </c>
      <c r="I558" s="23" t="s">
        <v>318</v>
      </c>
      <c r="J558" s="24">
        <v>55000</v>
      </c>
      <c r="K558" s="21" t="s">
        <v>318</v>
      </c>
      <c r="L558" s="25"/>
      <c r="M558" s="25"/>
      <c r="N558" s="22"/>
      <c r="O558" s="23" t="s">
        <v>318</v>
      </c>
      <c r="P558" s="20">
        <f>(C558+(E558*F558*H558))-N558</f>
        <v>145</v>
      </c>
      <c r="Q558" s="23" t="s">
        <v>318</v>
      </c>
      <c r="R558" s="24">
        <f>P558*(J558-(J558*L558)-((J558-(J558*L558))*M558))</f>
        <v>7975000</v>
      </c>
      <c r="S558" s="24">
        <f t="shared" si="256"/>
        <v>7184684.6846846845</v>
      </c>
    </row>
    <row r="559" spans="1:19" s="19" customFormat="1">
      <c r="A559" s="18"/>
      <c r="C559" s="20"/>
      <c r="D559" s="21"/>
      <c r="E559" s="26"/>
      <c r="F559" s="22"/>
      <c r="G559" s="23"/>
      <c r="H559" s="22"/>
      <c r="I559" s="23"/>
      <c r="J559" s="24"/>
      <c r="K559" s="21"/>
      <c r="L559" s="25"/>
      <c r="M559" s="25"/>
      <c r="N559" s="22"/>
      <c r="O559" s="23"/>
      <c r="P559" s="20"/>
      <c r="Q559" s="23"/>
      <c r="R559" s="24"/>
      <c r="S559" s="24"/>
    </row>
    <row r="560" spans="1:19" s="19" customFormat="1" ht="15.75">
      <c r="A560" s="35" t="s">
        <v>319</v>
      </c>
      <c r="C560" s="20"/>
      <c r="D560" s="21"/>
      <c r="E560" s="26"/>
      <c r="F560" s="22"/>
      <c r="G560" s="23"/>
      <c r="H560" s="22"/>
      <c r="I560" s="23"/>
      <c r="J560" s="24"/>
      <c r="K560" s="21"/>
      <c r="L560" s="25"/>
      <c r="M560" s="25"/>
      <c r="N560" s="22"/>
      <c r="O560" s="23"/>
      <c r="P560" s="20"/>
      <c r="Q560" s="23"/>
      <c r="R560" s="24"/>
      <c r="S560" s="24"/>
    </row>
    <row r="561" spans="1:19" s="78" customFormat="1">
      <c r="A561" s="77" t="s">
        <v>320</v>
      </c>
      <c r="B561" s="78" t="s">
        <v>18</v>
      </c>
      <c r="C561" s="76"/>
      <c r="D561" s="79" t="s">
        <v>98</v>
      </c>
      <c r="E561" s="80"/>
      <c r="F561" s="81">
        <v>1</v>
      </c>
      <c r="G561" s="82" t="s">
        <v>20</v>
      </c>
      <c r="H561" s="81">
        <v>192</v>
      </c>
      <c r="I561" s="82" t="s">
        <v>98</v>
      </c>
      <c r="J561" s="83">
        <v>3450</v>
      </c>
      <c r="K561" s="79" t="s">
        <v>98</v>
      </c>
      <c r="L561" s="84">
        <v>0.125</v>
      </c>
      <c r="M561" s="84">
        <v>0.05</v>
      </c>
      <c r="N561" s="81"/>
      <c r="O561" s="82" t="s">
        <v>98</v>
      </c>
      <c r="P561" s="76">
        <f t="shared" ref="P561:P566" si="294">(C561+(E561*F561*H561))-N561</f>
        <v>0</v>
      </c>
      <c r="Q561" s="82" t="s">
        <v>98</v>
      </c>
      <c r="R561" s="83">
        <f t="shared" ref="R561:R566" si="295">P561*(J561-(J561*L561)-((J561-(J561*L561))*M561))</f>
        <v>0</v>
      </c>
      <c r="S561" s="83">
        <f t="shared" ref="S561:S655" si="296">R561/1.11</f>
        <v>0</v>
      </c>
    </row>
    <row r="562" spans="1:19" s="78" customFormat="1">
      <c r="A562" s="77" t="s">
        <v>321</v>
      </c>
      <c r="B562" s="78" t="s">
        <v>18</v>
      </c>
      <c r="C562" s="76"/>
      <c r="D562" s="79" t="s">
        <v>98</v>
      </c>
      <c r="E562" s="80"/>
      <c r="F562" s="81">
        <v>1</v>
      </c>
      <c r="G562" s="82" t="s">
        <v>20</v>
      </c>
      <c r="H562" s="81">
        <v>160</v>
      </c>
      <c r="I562" s="82" t="s">
        <v>98</v>
      </c>
      <c r="J562" s="83">
        <v>5400</v>
      </c>
      <c r="K562" s="79" t="s">
        <v>98</v>
      </c>
      <c r="L562" s="84">
        <v>0.125</v>
      </c>
      <c r="M562" s="84">
        <v>0.05</v>
      </c>
      <c r="N562" s="81"/>
      <c r="O562" s="82" t="s">
        <v>98</v>
      </c>
      <c r="P562" s="76">
        <f t="shared" si="294"/>
        <v>0</v>
      </c>
      <c r="Q562" s="82" t="s">
        <v>98</v>
      </c>
      <c r="R562" s="83">
        <f t="shared" si="295"/>
        <v>0</v>
      </c>
      <c r="S562" s="83">
        <f t="shared" si="296"/>
        <v>0</v>
      </c>
    </row>
    <row r="563" spans="1:19" s="19" customFormat="1">
      <c r="A563" s="18" t="s">
        <v>322</v>
      </c>
      <c r="B563" s="19" t="s">
        <v>18</v>
      </c>
      <c r="C563" s="20"/>
      <c r="D563" s="21" t="s">
        <v>98</v>
      </c>
      <c r="E563" s="26">
        <v>5</v>
      </c>
      <c r="F563" s="22">
        <v>1</v>
      </c>
      <c r="G563" s="23" t="s">
        <v>20</v>
      </c>
      <c r="H563" s="22">
        <v>192</v>
      </c>
      <c r="I563" s="23" t="s">
        <v>98</v>
      </c>
      <c r="J563" s="24">
        <v>3600</v>
      </c>
      <c r="K563" s="21" t="s">
        <v>98</v>
      </c>
      <c r="L563" s="25">
        <v>0.125</v>
      </c>
      <c r="M563" s="25">
        <v>0.05</v>
      </c>
      <c r="N563" s="22"/>
      <c r="O563" s="23" t="s">
        <v>98</v>
      </c>
      <c r="P563" s="20">
        <f t="shared" si="294"/>
        <v>960</v>
      </c>
      <c r="Q563" s="23" t="s">
        <v>98</v>
      </c>
      <c r="R563" s="24">
        <f t="shared" si="295"/>
        <v>2872800</v>
      </c>
      <c r="S563" s="24">
        <f t="shared" si="296"/>
        <v>2588108.1081081079</v>
      </c>
    </row>
    <row r="564" spans="1:19" s="19" customFormat="1">
      <c r="A564" s="18" t="s">
        <v>323</v>
      </c>
      <c r="B564" s="19" t="s">
        <v>18</v>
      </c>
      <c r="C564" s="20">
        <v>43</v>
      </c>
      <c r="D564" s="21" t="s">
        <v>98</v>
      </c>
      <c r="E564" s="26">
        <v>13</v>
      </c>
      <c r="F564" s="22">
        <v>1</v>
      </c>
      <c r="G564" s="23" t="s">
        <v>20</v>
      </c>
      <c r="H564" s="22">
        <v>96</v>
      </c>
      <c r="I564" s="23" t="s">
        <v>98</v>
      </c>
      <c r="J564" s="24">
        <v>7000</v>
      </c>
      <c r="K564" s="21" t="s">
        <v>98</v>
      </c>
      <c r="L564" s="25">
        <v>0.125</v>
      </c>
      <c r="M564" s="25">
        <v>0.05</v>
      </c>
      <c r="N564" s="22"/>
      <c r="O564" s="23" t="s">
        <v>98</v>
      </c>
      <c r="P564" s="20">
        <f t="shared" si="294"/>
        <v>1291</v>
      </c>
      <c r="Q564" s="23" t="s">
        <v>98</v>
      </c>
      <c r="R564" s="24">
        <f t="shared" si="295"/>
        <v>7512006.25</v>
      </c>
      <c r="S564" s="24">
        <f t="shared" si="296"/>
        <v>6767573.1981981974</v>
      </c>
    </row>
    <row r="565" spans="1:19" s="78" customFormat="1">
      <c r="A565" s="77" t="s">
        <v>754</v>
      </c>
      <c r="B565" s="78" t="s">
        <v>18</v>
      </c>
      <c r="C565" s="76"/>
      <c r="D565" s="79" t="s">
        <v>98</v>
      </c>
      <c r="E565" s="80"/>
      <c r="F565" s="81">
        <v>1</v>
      </c>
      <c r="G565" s="82" t="s">
        <v>20</v>
      </c>
      <c r="H565" s="81">
        <v>160</v>
      </c>
      <c r="I565" s="82" t="s">
        <v>98</v>
      </c>
      <c r="J565" s="83">
        <v>5700</v>
      </c>
      <c r="K565" s="79" t="s">
        <v>98</v>
      </c>
      <c r="L565" s="84">
        <v>0.125</v>
      </c>
      <c r="M565" s="84">
        <v>0.05</v>
      </c>
      <c r="N565" s="81"/>
      <c r="O565" s="82" t="s">
        <v>98</v>
      </c>
      <c r="P565" s="76">
        <f t="shared" si="294"/>
        <v>0</v>
      </c>
      <c r="Q565" s="82" t="s">
        <v>98</v>
      </c>
      <c r="R565" s="83">
        <f t="shared" si="295"/>
        <v>0</v>
      </c>
      <c r="S565" s="83">
        <f t="shared" si="296"/>
        <v>0</v>
      </c>
    </row>
    <row r="566" spans="1:19" s="95" customFormat="1">
      <c r="A566" s="87" t="s">
        <v>324</v>
      </c>
      <c r="B566" s="95" t="s">
        <v>18</v>
      </c>
      <c r="C566" s="96"/>
      <c r="D566" s="97" t="s">
        <v>98</v>
      </c>
      <c r="E566" s="98">
        <v>2</v>
      </c>
      <c r="F566" s="99">
        <v>1</v>
      </c>
      <c r="G566" s="100" t="s">
        <v>20</v>
      </c>
      <c r="H566" s="99">
        <v>80</v>
      </c>
      <c r="I566" s="100" t="s">
        <v>98</v>
      </c>
      <c r="J566" s="101">
        <v>10800</v>
      </c>
      <c r="K566" s="97" t="s">
        <v>98</v>
      </c>
      <c r="L566" s="102">
        <v>0.125</v>
      </c>
      <c r="M566" s="102">
        <v>0.05</v>
      </c>
      <c r="N566" s="99"/>
      <c r="O566" s="100" t="s">
        <v>98</v>
      </c>
      <c r="P566" s="96">
        <f t="shared" si="294"/>
        <v>160</v>
      </c>
      <c r="Q566" s="100" t="s">
        <v>98</v>
      </c>
      <c r="R566" s="101">
        <f t="shared" si="295"/>
        <v>1436400</v>
      </c>
      <c r="S566" s="101">
        <f t="shared" si="296"/>
        <v>1294054.054054054</v>
      </c>
    </row>
    <row r="567" spans="1:19" s="19" customFormat="1">
      <c r="A567" s="18"/>
      <c r="C567" s="20"/>
      <c r="D567" s="21"/>
      <c r="E567" s="26"/>
      <c r="F567" s="22"/>
      <c r="G567" s="23"/>
      <c r="H567" s="22"/>
      <c r="I567" s="23"/>
      <c r="J567" s="24"/>
      <c r="K567" s="21"/>
      <c r="L567" s="25"/>
      <c r="M567" s="25"/>
      <c r="N567" s="22"/>
      <c r="O567" s="23"/>
      <c r="P567" s="20"/>
      <c r="Q567" s="23"/>
      <c r="R567" s="24"/>
      <c r="S567" s="24"/>
    </row>
    <row r="568" spans="1:19" s="19" customFormat="1">
      <c r="A568" s="18" t="s">
        <v>325</v>
      </c>
      <c r="B568" s="19" t="s">
        <v>25</v>
      </c>
      <c r="C568" s="20">
        <v>910</v>
      </c>
      <c r="D568" s="21" t="s">
        <v>98</v>
      </c>
      <c r="E568" s="26">
        <v>9</v>
      </c>
      <c r="F568" s="22">
        <v>1</v>
      </c>
      <c r="G568" s="23" t="s">
        <v>20</v>
      </c>
      <c r="H568" s="22">
        <v>192</v>
      </c>
      <c r="I568" s="23" t="s">
        <v>98</v>
      </c>
      <c r="J568" s="24">
        <f>844800/192</f>
        <v>4400</v>
      </c>
      <c r="K568" s="21" t="s">
        <v>98</v>
      </c>
      <c r="L568" s="25"/>
      <c r="M568" s="25">
        <v>0.17</v>
      </c>
      <c r="N568" s="22"/>
      <c r="O568" s="23" t="s">
        <v>98</v>
      </c>
      <c r="P568" s="20">
        <f>(C568+(E568*F568*H568))-N568</f>
        <v>2638</v>
      </c>
      <c r="Q568" s="23" t="s">
        <v>98</v>
      </c>
      <c r="R568" s="24">
        <f>P568*(J568-(J568*L568)-((J568-(J568*L568))*M568))</f>
        <v>9633976</v>
      </c>
      <c r="S568" s="24">
        <f t="shared" si="296"/>
        <v>8679257.6576576568</v>
      </c>
    </row>
    <row r="569" spans="1:19" s="19" customFormat="1">
      <c r="A569" s="18" t="s">
        <v>326</v>
      </c>
      <c r="B569" s="19" t="s">
        <v>25</v>
      </c>
      <c r="C569" s="20"/>
      <c r="D569" s="21" t="s">
        <v>98</v>
      </c>
      <c r="E569" s="26">
        <v>13</v>
      </c>
      <c r="F569" s="22">
        <v>1</v>
      </c>
      <c r="G569" s="23" t="s">
        <v>20</v>
      </c>
      <c r="H569" s="22">
        <v>96</v>
      </c>
      <c r="I569" s="23" t="s">
        <v>98</v>
      </c>
      <c r="J569" s="24">
        <f>801600/96</f>
        <v>8350</v>
      </c>
      <c r="K569" s="21" t="s">
        <v>98</v>
      </c>
      <c r="L569" s="25"/>
      <c r="M569" s="25">
        <v>0.17</v>
      </c>
      <c r="N569" s="22"/>
      <c r="O569" s="23" t="s">
        <v>98</v>
      </c>
      <c r="P569" s="20">
        <f>(C569+(E569*F569*H569))-N569</f>
        <v>1248</v>
      </c>
      <c r="Q569" s="23" t="s">
        <v>98</v>
      </c>
      <c r="R569" s="24">
        <f>P569*(J569-(J569*L569)-((J569-(J569*L569))*M569))</f>
        <v>8649264</v>
      </c>
      <c r="S569" s="24">
        <f t="shared" si="296"/>
        <v>7792129.7297297288</v>
      </c>
    </row>
    <row r="570" spans="1:19" s="19" customFormat="1">
      <c r="A570" s="18" t="s">
        <v>327</v>
      </c>
      <c r="B570" s="19" t="s">
        <v>25</v>
      </c>
      <c r="C570" s="20">
        <v>160</v>
      </c>
      <c r="D570" s="21" t="s">
        <v>98</v>
      </c>
      <c r="E570" s="26">
        <v>2</v>
      </c>
      <c r="F570" s="22">
        <v>1</v>
      </c>
      <c r="G570" s="23" t="s">
        <v>20</v>
      </c>
      <c r="H570" s="22">
        <v>160</v>
      </c>
      <c r="I570" s="23" t="s">
        <v>98</v>
      </c>
      <c r="J570" s="24">
        <f>1104000/160</f>
        <v>6900</v>
      </c>
      <c r="K570" s="21" t="s">
        <v>98</v>
      </c>
      <c r="L570" s="25"/>
      <c r="M570" s="25">
        <v>0.17</v>
      </c>
      <c r="N570" s="22"/>
      <c r="O570" s="23" t="s">
        <v>98</v>
      </c>
      <c r="P570" s="20">
        <f>(C570+(E570*F570*H570))-N570</f>
        <v>480</v>
      </c>
      <c r="Q570" s="23" t="s">
        <v>98</v>
      </c>
      <c r="R570" s="24">
        <f>P570*(J570-(J570*L570)-((J570-(J570*L570))*M570))</f>
        <v>2748960</v>
      </c>
      <c r="S570" s="24">
        <f t="shared" si="296"/>
        <v>2476540.5405405401</v>
      </c>
    </row>
    <row r="571" spans="1:19" s="19" customFormat="1">
      <c r="A571" s="18" t="s">
        <v>328</v>
      </c>
      <c r="B571" s="19" t="s">
        <v>25</v>
      </c>
      <c r="C571" s="20"/>
      <c r="D571" s="21" t="s">
        <v>98</v>
      </c>
      <c r="E571" s="26">
        <v>11</v>
      </c>
      <c r="F571" s="22">
        <v>1</v>
      </c>
      <c r="G571" s="23" t="s">
        <v>20</v>
      </c>
      <c r="H571" s="22">
        <v>80</v>
      </c>
      <c r="I571" s="23" t="s">
        <v>98</v>
      </c>
      <c r="J571" s="24">
        <f>1040000/80</f>
        <v>13000</v>
      </c>
      <c r="K571" s="21" t="s">
        <v>98</v>
      </c>
      <c r="L571" s="25"/>
      <c r="M571" s="25">
        <v>0.17</v>
      </c>
      <c r="N571" s="22"/>
      <c r="O571" s="23" t="s">
        <v>98</v>
      </c>
      <c r="P571" s="20">
        <f>(C571+(E571*F571*H571))-N571</f>
        <v>880</v>
      </c>
      <c r="Q571" s="23" t="s">
        <v>98</v>
      </c>
      <c r="R571" s="24">
        <f>P571*(J571-(J571*L571)-((J571-(J571*L571))*M571))</f>
        <v>9495200</v>
      </c>
      <c r="S571" s="24">
        <f t="shared" si="296"/>
        <v>8554234.2342342343</v>
      </c>
    </row>
    <row r="572" spans="1:19" s="19" customFormat="1">
      <c r="A572" s="18"/>
      <c r="C572" s="20"/>
      <c r="D572" s="21"/>
      <c r="E572" s="26"/>
      <c r="F572" s="22"/>
      <c r="G572" s="23"/>
      <c r="H572" s="22"/>
      <c r="I572" s="23"/>
      <c r="J572" s="24"/>
      <c r="K572" s="21"/>
      <c r="L572" s="25"/>
      <c r="M572" s="25"/>
      <c r="N572" s="22"/>
      <c r="O572" s="23"/>
      <c r="P572" s="20"/>
      <c r="Q572" s="23"/>
      <c r="R572" s="24"/>
      <c r="S572" s="24"/>
    </row>
    <row r="573" spans="1:19" s="19" customFormat="1" ht="15.75">
      <c r="A573" s="35" t="s">
        <v>775</v>
      </c>
      <c r="C573" s="20"/>
      <c r="D573" s="21"/>
      <c r="E573" s="26"/>
      <c r="F573" s="22"/>
      <c r="G573" s="23"/>
      <c r="H573" s="22"/>
      <c r="I573" s="23"/>
      <c r="J573" s="24"/>
      <c r="K573" s="21"/>
      <c r="L573" s="64"/>
      <c r="M573" s="64"/>
      <c r="N573" s="22"/>
      <c r="O573" s="23"/>
      <c r="P573" s="20"/>
      <c r="Q573" s="23"/>
      <c r="R573" s="24"/>
      <c r="S573" s="24"/>
    </row>
    <row r="574" spans="1:19" s="19" customFormat="1">
      <c r="A574" s="18" t="s">
        <v>776</v>
      </c>
      <c r="B574" s="18" t="s">
        <v>171</v>
      </c>
      <c r="C574" s="41">
        <v>160</v>
      </c>
      <c r="D574" s="42" t="s">
        <v>19</v>
      </c>
      <c r="E574" s="43"/>
      <c r="F574" s="44">
        <v>1</v>
      </c>
      <c r="G574" s="39" t="s">
        <v>20</v>
      </c>
      <c r="H574" s="44">
        <v>10</v>
      </c>
      <c r="I574" s="39" t="s">
        <v>19</v>
      </c>
      <c r="J574" s="27">
        <v>55000</v>
      </c>
      <c r="K574" s="42" t="s">
        <v>19</v>
      </c>
      <c r="L574" s="45">
        <v>0.05</v>
      </c>
      <c r="M574" s="45"/>
      <c r="N574" s="44"/>
      <c r="O574" s="39" t="s">
        <v>19</v>
      </c>
      <c r="P574" s="41">
        <f>(C574+(E574*F574*H574))-N574</f>
        <v>160</v>
      </c>
      <c r="Q574" s="39" t="s">
        <v>19</v>
      </c>
      <c r="R574" s="27">
        <f>P574*(J574-(J574*L574)-((J574-(J574*L574))*M574))</f>
        <v>8360000</v>
      </c>
      <c r="S574" s="27">
        <f t="shared" ref="S574" si="297">R574/1.11</f>
        <v>7531531.5315315304</v>
      </c>
    </row>
    <row r="575" spans="1:19" s="19" customFormat="1">
      <c r="A575" s="18"/>
      <c r="C575" s="20"/>
      <c r="D575" s="21"/>
      <c r="E575" s="26"/>
      <c r="F575" s="22"/>
      <c r="G575" s="23"/>
      <c r="H575" s="22"/>
      <c r="I575" s="23"/>
      <c r="J575" s="24"/>
      <c r="K575" s="21"/>
      <c r="L575" s="25"/>
      <c r="M575" s="25"/>
      <c r="N575" s="22"/>
      <c r="O575" s="23"/>
      <c r="P575" s="20"/>
      <c r="Q575" s="23"/>
      <c r="R575" s="24"/>
      <c r="S575" s="24"/>
    </row>
    <row r="576" spans="1:19" s="19" customFormat="1" ht="15.75">
      <c r="A576" s="35" t="s">
        <v>329</v>
      </c>
      <c r="C576" s="20"/>
      <c r="D576" s="21"/>
      <c r="E576" s="26"/>
      <c r="F576" s="22"/>
      <c r="G576" s="23"/>
      <c r="H576" s="22"/>
      <c r="I576" s="23"/>
      <c r="J576" s="24"/>
      <c r="K576" s="21"/>
      <c r="L576" s="64"/>
      <c r="M576" s="64"/>
      <c r="N576" s="22"/>
      <c r="O576" s="23"/>
      <c r="P576" s="20"/>
      <c r="Q576" s="23"/>
      <c r="R576" s="24"/>
      <c r="S576" s="24"/>
    </row>
    <row r="577" spans="1:20" s="19" customFormat="1">
      <c r="A577" s="62" t="s">
        <v>330</v>
      </c>
      <c r="C577" s="20"/>
      <c r="D577" s="21"/>
      <c r="E577" s="26"/>
      <c r="F577" s="22"/>
      <c r="G577" s="23"/>
      <c r="H577" s="22"/>
      <c r="I577" s="23"/>
      <c r="J577" s="24"/>
      <c r="K577" s="21"/>
      <c r="L577" s="64"/>
      <c r="M577" s="64"/>
      <c r="N577" s="22"/>
      <c r="O577" s="23"/>
      <c r="P577" s="20"/>
      <c r="Q577" s="23"/>
      <c r="R577" s="24"/>
      <c r="S577" s="24"/>
    </row>
    <row r="578" spans="1:20" s="78" customFormat="1">
      <c r="A578" s="77" t="s">
        <v>331</v>
      </c>
      <c r="B578" s="78" t="s">
        <v>18</v>
      </c>
      <c r="C578" s="76"/>
      <c r="D578" s="79" t="s">
        <v>19</v>
      </c>
      <c r="E578" s="80"/>
      <c r="F578" s="81">
        <v>1</v>
      </c>
      <c r="G578" s="82" t="s">
        <v>20</v>
      </c>
      <c r="H578" s="81">
        <v>24</v>
      </c>
      <c r="I578" s="82" t="s">
        <v>19</v>
      </c>
      <c r="J578" s="83">
        <v>35000</v>
      </c>
      <c r="K578" s="79" t="s">
        <v>19</v>
      </c>
      <c r="L578" s="84">
        <v>0.125</v>
      </c>
      <c r="M578" s="84">
        <v>0.05</v>
      </c>
      <c r="N578" s="81"/>
      <c r="O578" s="82" t="s">
        <v>19</v>
      </c>
      <c r="P578" s="76">
        <f t="shared" ref="P578:P583" si="298">(C578+(E578*F578*H578))-N578</f>
        <v>0</v>
      </c>
      <c r="Q578" s="82" t="s">
        <v>19</v>
      </c>
      <c r="R578" s="83">
        <f t="shared" ref="R578:R583" si="299">P578*(J578-(J578*L578)-((J578-(J578*L578))*M578))</f>
        <v>0</v>
      </c>
      <c r="S578" s="83">
        <f t="shared" si="296"/>
        <v>0</v>
      </c>
    </row>
    <row r="579" spans="1:20" s="19" customFormat="1">
      <c r="A579" s="18" t="s">
        <v>332</v>
      </c>
      <c r="B579" s="19" t="s">
        <v>18</v>
      </c>
      <c r="C579" s="20">
        <v>216</v>
      </c>
      <c r="D579" s="21" t="s">
        <v>19</v>
      </c>
      <c r="E579" s="26">
        <v>89</v>
      </c>
      <c r="F579" s="22">
        <v>1</v>
      </c>
      <c r="G579" s="23" t="s">
        <v>20</v>
      </c>
      <c r="H579" s="22">
        <v>72</v>
      </c>
      <c r="I579" s="23" t="s">
        <v>19</v>
      </c>
      <c r="J579" s="24">
        <v>15800</v>
      </c>
      <c r="K579" s="21" t="s">
        <v>19</v>
      </c>
      <c r="L579" s="25">
        <v>0.125</v>
      </c>
      <c r="M579" s="25">
        <v>0.05</v>
      </c>
      <c r="N579" s="22"/>
      <c r="O579" s="23" t="s">
        <v>19</v>
      </c>
      <c r="P579" s="20">
        <f t="shared" si="298"/>
        <v>6624</v>
      </c>
      <c r="Q579" s="23" t="s">
        <v>19</v>
      </c>
      <c r="R579" s="24">
        <f t="shared" si="299"/>
        <v>86997960</v>
      </c>
      <c r="S579" s="24">
        <f t="shared" si="296"/>
        <v>78376540.540540531</v>
      </c>
      <c r="T579" s="24"/>
    </row>
    <row r="580" spans="1:20" s="19" customFormat="1">
      <c r="A580" s="18" t="s">
        <v>333</v>
      </c>
      <c r="B580" s="19" t="s">
        <v>18</v>
      </c>
      <c r="C580" s="20">
        <v>216</v>
      </c>
      <c r="D580" s="21" t="s">
        <v>19</v>
      </c>
      <c r="E580" s="26"/>
      <c r="F580" s="22">
        <v>1</v>
      </c>
      <c r="G580" s="23" t="s">
        <v>20</v>
      </c>
      <c r="H580" s="22">
        <v>72</v>
      </c>
      <c r="I580" s="23" t="s">
        <v>19</v>
      </c>
      <c r="J580" s="24">
        <v>15800</v>
      </c>
      <c r="K580" s="21" t="s">
        <v>19</v>
      </c>
      <c r="L580" s="25">
        <v>0.125</v>
      </c>
      <c r="M580" s="25">
        <v>0.05</v>
      </c>
      <c r="N580" s="22"/>
      <c r="O580" s="23" t="s">
        <v>19</v>
      </c>
      <c r="P580" s="20">
        <f t="shared" si="298"/>
        <v>216</v>
      </c>
      <c r="Q580" s="23" t="s">
        <v>19</v>
      </c>
      <c r="R580" s="24">
        <f t="shared" si="299"/>
        <v>2836890</v>
      </c>
      <c r="S580" s="24">
        <f t="shared" si="296"/>
        <v>2555756.7567567565</v>
      </c>
      <c r="T580" s="24"/>
    </row>
    <row r="581" spans="1:20" s="95" customFormat="1">
      <c r="A581" s="87" t="s">
        <v>334</v>
      </c>
      <c r="B581" s="95" t="s">
        <v>18</v>
      </c>
      <c r="C581" s="96"/>
      <c r="D581" s="97" t="s">
        <v>19</v>
      </c>
      <c r="E581" s="98">
        <v>10</v>
      </c>
      <c r="F581" s="99">
        <v>1</v>
      </c>
      <c r="G581" s="100" t="s">
        <v>20</v>
      </c>
      <c r="H581" s="99">
        <v>72</v>
      </c>
      <c r="I581" s="100" t="s">
        <v>19</v>
      </c>
      <c r="J581" s="101">
        <v>20700</v>
      </c>
      <c r="K581" s="97" t="s">
        <v>19</v>
      </c>
      <c r="L581" s="102">
        <v>0.125</v>
      </c>
      <c r="M581" s="102">
        <v>0.05</v>
      </c>
      <c r="N581" s="99"/>
      <c r="O581" s="100" t="s">
        <v>19</v>
      </c>
      <c r="P581" s="96">
        <f t="shared" si="298"/>
        <v>720</v>
      </c>
      <c r="Q581" s="100" t="s">
        <v>19</v>
      </c>
      <c r="R581" s="101">
        <f t="shared" si="299"/>
        <v>12388950</v>
      </c>
      <c r="S581" s="101">
        <f t="shared" si="296"/>
        <v>11161216.216216216</v>
      </c>
    </row>
    <row r="582" spans="1:20" s="19" customFormat="1">
      <c r="A582" s="18" t="s">
        <v>335</v>
      </c>
      <c r="B582" s="19" t="s">
        <v>18</v>
      </c>
      <c r="C582" s="20">
        <v>36</v>
      </c>
      <c r="D582" s="21" t="s">
        <v>19</v>
      </c>
      <c r="E582" s="26"/>
      <c r="F582" s="22">
        <v>1</v>
      </c>
      <c r="G582" s="23" t="s">
        <v>20</v>
      </c>
      <c r="H582" s="22">
        <v>72</v>
      </c>
      <c r="I582" s="23" t="s">
        <v>19</v>
      </c>
      <c r="J582" s="24">
        <v>20700</v>
      </c>
      <c r="K582" s="21" t="s">
        <v>19</v>
      </c>
      <c r="L582" s="25">
        <v>0.125</v>
      </c>
      <c r="M582" s="25">
        <v>0.05</v>
      </c>
      <c r="N582" s="22"/>
      <c r="O582" s="23" t="s">
        <v>19</v>
      </c>
      <c r="P582" s="20">
        <f t="shared" si="298"/>
        <v>36</v>
      </c>
      <c r="Q582" s="23" t="s">
        <v>19</v>
      </c>
      <c r="R582" s="24">
        <f t="shared" si="299"/>
        <v>619447.5</v>
      </c>
      <c r="S582" s="24">
        <f t="shared" si="296"/>
        <v>558060.81081081077</v>
      </c>
    </row>
    <row r="583" spans="1:20" s="19" customFormat="1">
      <c r="A583" s="18" t="s">
        <v>951</v>
      </c>
      <c r="B583" s="19" t="s">
        <v>18</v>
      </c>
      <c r="C583" s="20"/>
      <c r="D583" s="21" t="s">
        <v>19</v>
      </c>
      <c r="E583" s="26">
        <v>2</v>
      </c>
      <c r="F583" s="22">
        <v>1</v>
      </c>
      <c r="G583" s="23" t="s">
        <v>20</v>
      </c>
      <c r="H583" s="22">
        <v>96</v>
      </c>
      <c r="I583" s="23" t="s">
        <v>19</v>
      </c>
      <c r="J583" s="24">
        <v>19500</v>
      </c>
      <c r="K583" s="21" t="s">
        <v>19</v>
      </c>
      <c r="L583" s="25">
        <v>0.125</v>
      </c>
      <c r="M583" s="25">
        <v>0.05</v>
      </c>
      <c r="N583" s="22"/>
      <c r="O583" s="23" t="s">
        <v>19</v>
      </c>
      <c r="P583" s="20">
        <f t="shared" si="298"/>
        <v>192</v>
      </c>
      <c r="Q583" s="23" t="s">
        <v>19</v>
      </c>
      <c r="R583" s="24">
        <f t="shared" si="299"/>
        <v>3112200</v>
      </c>
      <c r="S583" s="24">
        <f t="shared" ref="S583" si="300">R583/1.11</f>
        <v>2803783.7837837837</v>
      </c>
    </row>
    <row r="584" spans="1:20" s="19" customFormat="1">
      <c r="A584" s="18"/>
      <c r="C584" s="20"/>
      <c r="D584" s="21"/>
      <c r="E584" s="26"/>
      <c r="F584" s="22"/>
      <c r="G584" s="23"/>
      <c r="H584" s="22"/>
      <c r="I584" s="23"/>
      <c r="J584" s="24"/>
      <c r="K584" s="21"/>
      <c r="L584" s="25"/>
      <c r="M584" s="25"/>
      <c r="N584" s="22"/>
      <c r="O584" s="23"/>
      <c r="P584" s="20"/>
      <c r="Q584" s="23"/>
      <c r="R584" s="24"/>
      <c r="S584" s="24"/>
    </row>
    <row r="585" spans="1:20" s="95" customFormat="1">
      <c r="A585" s="87" t="s">
        <v>336</v>
      </c>
      <c r="B585" s="95" t="s">
        <v>25</v>
      </c>
      <c r="C585" s="96"/>
      <c r="D585" s="97" t="s">
        <v>19</v>
      </c>
      <c r="E585" s="98">
        <v>11</v>
      </c>
      <c r="F585" s="99">
        <v>1</v>
      </c>
      <c r="G585" s="100" t="s">
        <v>20</v>
      </c>
      <c r="H585" s="99">
        <v>72</v>
      </c>
      <c r="I585" s="100" t="s">
        <v>19</v>
      </c>
      <c r="J585" s="101">
        <f>1310400/72</f>
        <v>18200</v>
      </c>
      <c r="K585" s="97" t="s">
        <v>19</v>
      </c>
      <c r="L585" s="102"/>
      <c r="M585" s="102">
        <v>0.17</v>
      </c>
      <c r="N585" s="99"/>
      <c r="O585" s="100" t="s">
        <v>19</v>
      </c>
      <c r="P585" s="96">
        <f>(C585+(E585*F585*H585))-N585</f>
        <v>792</v>
      </c>
      <c r="Q585" s="100" t="s">
        <v>19</v>
      </c>
      <c r="R585" s="101">
        <f>P585*(J585-(J585*L585)-((J585-(J585*L585))*M585))</f>
        <v>11963952</v>
      </c>
      <c r="S585" s="101">
        <f t="shared" si="296"/>
        <v>10778335.135135135</v>
      </c>
    </row>
    <row r="586" spans="1:20" s="19" customFormat="1">
      <c r="A586" s="18" t="s">
        <v>337</v>
      </c>
      <c r="B586" s="19" t="s">
        <v>25</v>
      </c>
      <c r="C586" s="20">
        <v>36</v>
      </c>
      <c r="D586" s="21" t="s">
        <v>19</v>
      </c>
      <c r="E586" s="26"/>
      <c r="F586" s="22">
        <v>1</v>
      </c>
      <c r="G586" s="23" t="s">
        <v>20</v>
      </c>
      <c r="H586" s="22">
        <v>72</v>
      </c>
      <c r="I586" s="23" t="s">
        <v>19</v>
      </c>
      <c r="J586" s="24">
        <f>1512000/72</f>
        <v>21000</v>
      </c>
      <c r="K586" s="21" t="s">
        <v>19</v>
      </c>
      <c r="L586" s="25">
        <v>0.125</v>
      </c>
      <c r="M586" s="25">
        <v>0.05</v>
      </c>
      <c r="N586" s="22"/>
      <c r="O586" s="23" t="s">
        <v>19</v>
      </c>
      <c r="P586" s="20">
        <f>(C586+(E586*F586*H586))-N586</f>
        <v>36</v>
      </c>
      <c r="Q586" s="23" t="s">
        <v>19</v>
      </c>
      <c r="R586" s="24">
        <f>P586*(J586-(J586*L586)-((J586-(J586*L586))*M586))</f>
        <v>628425</v>
      </c>
      <c r="S586" s="24">
        <f t="shared" si="296"/>
        <v>566148.64864864864</v>
      </c>
    </row>
    <row r="587" spans="1:20" s="78" customFormat="1">
      <c r="A587" s="77" t="s">
        <v>781</v>
      </c>
      <c r="B587" s="78" t="s">
        <v>25</v>
      </c>
      <c r="C587" s="76"/>
      <c r="D587" s="79" t="s">
        <v>19</v>
      </c>
      <c r="E587" s="80"/>
      <c r="F587" s="81">
        <v>1</v>
      </c>
      <c r="G587" s="82" t="s">
        <v>20</v>
      </c>
      <c r="H587" s="81">
        <v>72</v>
      </c>
      <c r="I587" s="82" t="s">
        <v>19</v>
      </c>
      <c r="J587" s="83">
        <f>1224000/72</f>
        <v>17000</v>
      </c>
      <c r="K587" s="79" t="s">
        <v>19</v>
      </c>
      <c r="L587" s="84"/>
      <c r="M587" s="84">
        <v>0.17</v>
      </c>
      <c r="N587" s="81"/>
      <c r="O587" s="82" t="s">
        <v>19</v>
      </c>
      <c r="P587" s="76">
        <f>(C587+(E587*F587*H587))-N587</f>
        <v>0</v>
      </c>
      <c r="Q587" s="82" t="s">
        <v>19</v>
      </c>
      <c r="R587" s="83">
        <f>P587*(J587-(J587*L587)-((J587-(J587*L587))*M587))</f>
        <v>0</v>
      </c>
      <c r="S587" s="83">
        <f t="shared" si="296"/>
        <v>0</v>
      </c>
    </row>
    <row r="588" spans="1:20" s="78" customFormat="1">
      <c r="A588" s="77" t="s">
        <v>338</v>
      </c>
      <c r="B588" s="78" t="s">
        <v>25</v>
      </c>
      <c r="C588" s="76"/>
      <c r="D588" s="79" t="s">
        <v>19</v>
      </c>
      <c r="E588" s="80"/>
      <c r="F588" s="81">
        <v>1</v>
      </c>
      <c r="G588" s="82" t="s">
        <v>20</v>
      </c>
      <c r="H588" s="81">
        <v>120</v>
      </c>
      <c r="I588" s="82" t="s">
        <v>19</v>
      </c>
      <c r="J588" s="83">
        <v>9000</v>
      </c>
      <c r="K588" s="79" t="s">
        <v>19</v>
      </c>
      <c r="L588" s="84"/>
      <c r="M588" s="84">
        <v>0.17</v>
      </c>
      <c r="N588" s="81"/>
      <c r="O588" s="82" t="s">
        <v>19</v>
      </c>
      <c r="P588" s="76">
        <f>(C588+(E588*F588*H588))-N588</f>
        <v>0</v>
      </c>
      <c r="Q588" s="82" t="s">
        <v>19</v>
      </c>
      <c r="R588" s="83">
        <f>P588*(J588-(J588*L588)-((J588-(J588*L588))*M588))</f>
        <v>0</v>
      </c>
      <c r="S588" s="83">
        <f t="shared" si="296"/>
        <v>0</v>
      </c>
    </row>
    <row r="589" spans="1:20" s="19" customFormat="1">
      <c r="A589" s="18"/>
      <c r="C589" s="20"/>
      <c r="D589" s="21"/>
      <c r="E589" s="26"/>
      <c r="F589" s="22"/>
      <c r="G589" s="23"/>
      <c r="H589" s="22"/>
      <c r="I589" s="23"/>
      <c r="J589" s="24"/>
      <c r="K589" s="21"/>
      <c r="L589" s="25"/>
      <c r="M589" s="25"/>
      <c r="N589" s="22"/>
      <c r="O589" s="23"/>
      <c r="P589" s="20"/>
      <c r="Q589" s="23"/>
      <c r="R589" s="24"/>
      <c r="S589" s="24"/>
    </row>
    <row r="590" spans="1:20" s="19" customFormat="1">
      <c r="A590" s="62" t="s">
        <v>339</v>
      </c>
      <c r="C590" s="20"/>
      <c r="D590" s="21"/>
      <c r="E590" s="26"/>
      <c r="F590" s="22"/>
      <c r="G590" s="23"/>
      <c r="H590" s="22"/>
      <c r="I590" s="23"/>
      <c r="J590" s="24"/>
      <c r="K590" s="21"/>
      <c r="L590" s="25"/>
      <c r="M590" s="25"/>
      <c r="N590" s="22"/>
      <c r="O590" s="23"/>
      <c r="P590" s="20"/>
      <c r="Q590" s="23"/>
      <c r="R590" s="24"/>
      <c r="S590" s="24"/>
    </row>
    <row r="591" spans="1:20" s="78" customFormat="1">
      <c r="A591" s="77" t="s">
        <v>340</v>
      </c>
      <c r="B591" s="78" t="s">
        <v>18</v>
      </c>
      <c r="C591" s="76"/>
      <c r="D591" s="79" t="s">
        <v>19</v>
      </c>
      <c r="E591" s="80"/>
      <c r="F591" s="81">
        <v>2</v>
      </c>
      <c r="G591" s="82" t="s">
        <v>33</v>
      </c>
      <c r="H591" s="81">
        <v>24</v>
      </c>
      <c r="I591" s="82" t="s">
        <v>19</v>
      </c>
      <c r="J591" s="83">
        <v>9200</v>
      </c>
      <c r="K591" s="79" t="s">
        <v>19</v>
      </c>
      <c r="L591" s="84">
        <v>0.125</v>
      </c>
      <c r="M591" s="84">
        <v>0.05</v>
      </c>
      <c r="N591" s="81"/>
      <c r="O591" s="82" t="s">
        <v>19</v>
      </c>
      <c r="P591" s="76">
        <f>(C591+(E591*F591*H591))-N591</f>
        <v>0</v>
      </c>
      <c r="Q591" s="82" t="s">
        <v>19</v>
      </c>
      <c r="R591" s="83">
        <f>P591*(J591-(J591*L591)-((J591-(J591*L591))*M591))</f>
        <v>0</v>
      </c>
      <c r="S591" s="83">
        <f t="shared" si="296"/>
        <v>0</v>
      </c>
    </row>
    <row r="592" spans="1:20" s="78" customFormat="1">
      <c r="A592" s="77" t="s">
        <v>731</v>
      </c>
      <c r="B592" s="78" t="s">
        <v>18</v>
      </c>
      <c r="C592" s="76"/>
      <c r="D592" s="79" t="s">
        <v>19</v>
      </c>
      <c r="E592" s="80"/>
      <c r="F592" s="81">
        <v>4</v>
      </c>
      <c r="G592" s="82" t="s">
        <v>33</v>
      </c>
      <c r="H592" s="81">
        <v>24</v>
      </c>
      <c r="I592" s="82" t="s">
        <v>19</v>
      </c>
      <c r="J592" s="83">
        <v>6300</v>
      </c>
      <c r="K592" s="79" t="s">
        <v>19</v>
      </c>
      <c r="L592" s="84">
        <v>0.125</v>
      </c>
      <c r="M592" s="84">
        <v>0.05</v>
      </c>
      <c r="N592" s="81"/>
      <c r="O592" s="82" t="s">
        <v>19</v>
      </c>
      <c r="P592" s="76">
        <f>(C592+(E592*F592*H592))-N592</f>
        <v>0</v>
      </c>
      <c r="Q592" s="82" t="s">
        <v>19</v>
      </c>
      <c r="R592" s="83">
        <f>P592*(J592-(J592*L592)-((J592-(J592*L592))*M592))</f>
        <v>0</v>
      </c>
      <c r="S592" s="83">
        <f t="shared" si="296"/>
        <v>0</v>
      </c>
    </row>
    <row r="593" spans="1:20" s="19" customFormat="1">
      <c r="A593" s="18"/>
      <c r="C593" s="20"/>
      <c r="D593" s="21"/>
      <c r="E593" s="26"/>
      <c r="F593" s="22"/>
      <c r="G593" s="23"/>
      <c r="H593" s="22"/>
      <c r="I593" s="23"/>
      <c r="J593" s="24"/>
      <c r="K593" s="21"/>
      <c r="L593" s="25"/>
      <c r="M593" s="25"/>
      <c r="N593" s="22"/>
      <c r="O593" s="23"/>
      <c r="P593" s="20"/>
      <c r="Q593" s="23"/>
      <c r="R593" s="24"/>
      <c r="S593" s="24"/>
    </row>
    <row r="594" spans="1:20" s="19" customFormat="1">
      <c r="A594" s="18" t="s">
        <v>341</v>
      </c>
      <c r="B594" s="19" t="s">
        <v>25</v>
      </c>
      <c r="C594" s="20"/>
      <c r="D594" s="21" t="s">
        <v>40</v>
      </c>
      <c r="E594" s="26">
        <v>12</v>
      </c>
      <c r="F594" s="22">
        <v>1</v>
      </c>
      <c r="G594" s="23" t="s">
        <v>20</v>
      </c>
      <c r="H594" s="22">
        <v>12</v>
      </c>
      <c r="I594" s="23" t="s">
        <v>40</v>
      </c>
      <c r="J594" s="24">
        <f>741600/12</f>
        <v>61800</v>
      </c>
      <c r="K594" s="21" t="s">
        <v>40</v>
      </c>
      <c r="L594" s="25"/>
      <c r="M594" s="25">
        <v>0.17</v>
      </c>
      <c r="N594" s="22"/>
      <c r="O594" s="23" t="s">
        <v>40</v>
      </c>
      <c r="P594" s="20">
        <f>(C594+(E594*F594*H594))-N594</f>
        <v>144</v>
      </c>
      <c r="Q594" s="23" t="s">
        <v>40</v>
      </c>
      <c r="R594" s="24">
        <f>P594*(J594-(J594*L594)-((J594-(J594*L594))*M594))</f>
        <v>7386336</v>
      </c>
      <c r="S594" s="24">
        <f t="shared" si="296"/>
        <v>6654356.7567567565</v>
      </c>
    </row>
    <row r="595" spans="1:20" s="19" customFormat="1">
      <c r="A595" s="18" t="s">
        <v>342</v>
      </c>
      <c r="B595" s="19" t="s">
        <v>25</v>
      </c>
      <c r="C595" s="20">
        <v>23</v>
      </c>
      <c r="D595" s="21" t="s">
        <v>40</v>
      </c>
      <c r="E595" s="26">
        <v>11</v>
      </c>
      <c r="F595" s="22">
        <v>1</v>
      </c>
      <c r="G595" s="23" t="s">
        <v>20</v>
      </c>
      <c r="H595" s="22">
        <v>20</v>
      </c>
      <c r="I595" s="23" t="s">
        <v>40</v>
      </c>
      <c r="J595" s="24">
        <f>804000/20</f>
        <v>40200</v>
      </c>
      <c r="K595" s="21" t="s">
        <v>40</v>
      </c>
      <c r="L595" s="25"/>
      <c r="M595" s="25">
        <v>0.17</v>
      </c>
      <c r="N595" s="22"/>
      <c r="O595" s="23" t="s">
        <v>40</v>
      </c>
      <c r="P595" s="20">
        <f>(C595+(E595*F595*H595))-N595</f>
        <v>243</v>
      </c>
      <c r="Q595" s="23" t="s">
        <v>40</v>
      </c>
      <c r="R595" s="24">
        <f>P595*(J595-(J595*L595)-((J595-(J595*L595))*M595))</f>
        <v>8107938</v>
      </c>
      <c r="S595" s="24">
        <f t="shared" si="296"/>
        <v>7304448.6486486476</v>
      </c>
    </row>
    <row r="596" spans="1:20" s="95" customFormat="1">
      <c r="A596" s="87" t="s">
        <v>343</v>
      </c>
      <c r="B596" s="95" t="s">
        <v>25</v>
      </c>
      <c r="C596" s="96"/>
      <c r="D596" s="97" t="s">
        <v>40</v>
      </c>
      <c r="E596" s="98">
        <v>4</v>
      </c>
      <c r="F596" s="99">
        <v>1</v>
      </c>
      <c r="G596" s="100" t="s">
        <v>20</v>
      </c>
      <c r="H596" s="99">
        <v>6</v>
      </c>
      <c r="I596" s="100" t="s">
        <v>40</v>
      </c>
      <c r="J596" s="101">
        <f>810000/6</f>
        <v>135000</v>
      </c>
      <c r="K596" s="97" t="s">
        <v>40</v>
      </c>
      <c r="L596" s="102"/>
      <c r="M596" s="102">
        <v>0.17</v>
      </c>
      <c r="N596" s="99"/>
      <c r="O596" s="100" t="s">
        <v>40</v>
      </c>
      <c r="P596" s="96">
        <f>(C596+(E596*F596*H596))-N596</f>
        <v>24</v>
      </c>
      <c r="Q596" s="100" t="s">
        <v>40</v>
      </c>
      <c r="R596" s="101">
        <f>P596*(J596-(J596*L596)-((J596-(J596*L596))*M596))</f>
        <v>2689200</v>
      </c>
      <c r="S596" s="101">
        <f t="shared" si="296"/>
        <v>2422702.7027027025</v>
      </c>
    </row>
    <row r="597" spans="1:20" s="19" customFormat="1">
      <c r="A597" s="18"/>
      <c r="C597" s="20"/>
      <c r="D597" s="21"/>
      <c r="E597" s="26"/>
      <c r="F597" s="22"/>
      <c r="G597" s="23"/>
      <c r="H597" s="22"/>
      <c r="I597" s="23"/>
      <c r="J597" s="24"/>
      <c r="K597" s="21"/>
      <c r="L597" s="25"/>
      <c r="M597" s="25"/>
      <c r="N597" s="22"/>
      <c r="O597" s="23"/>
      <c r="P597" s="20"/>
      <c r="Q597" s="23"/>
      <c r="R597" s="24"/>
      <c r="S597" s="24"/>
    </row>
    <row r="598" spans="1:20" s="19" customFormat="1">
      <c r="A598" s="62" t="s">
        <v>344</v>
      </c>
      <c r="C598" s="20"/>
      <c r="D598" s="21"/>
      <c r="E598" s="26"/>
      <c r="F598" s="22"/>
      <c r="G598" s="23"/>
      <c r="H598" s="22"/>
      <c r="I598" s="23"/>
      <c r="J598" s="24"/>
      <c r="K598" s="21"/>
      <c r="L598" s="64"/>
      <c r="M598" s="64"/>
      <c r="N598" s="22"/>
      <c r="O598" s="23"/>
      <c r="P598" s="20"/>
      <c r="Q598" s="23"/>
      <c r="R598" s="24"/>
      <c r="S598" s="24"/>
    </row>
    <row r="599" spans="1:20" s="78" customFormat="1">
      <c r="A599" s="77" t="s">
        <v>345</v>
      </c>
      <c r="B599" s="78" t="s">
        <v>18</v>
      </c>
      <c r="C599" s="76"/>
      <c r="D599" s="79" t="s">
        <v>151</v>
      </c>
      <c r="E599" s="80"/>
      <c r="F599" s="81">
        <v>36</v>
      </c>
      <c r="G599" s="82" t="s">
        <v>33</v>
      </c>
      <c r="H599" s="81">
        <v>30</v>
      </c>
      <c r="I599" s="82" t="s">
        <v>151</v>
      </c>
      <c r="J599" s="83">
        <v>3200</v>
      </c>
      <c r="K599" s="79" t="s">
        <v>151</v>
      </c>
      <c r="L599" s="84">
        <v>0.125</v>
      </c>
      <c r="M599" s="84">
        <v>0.05</v>
      </c>
      <c r="N599" s="81"/>
      <c r="O599" s="82" t="s">
        <v>151</v>
      </c>
      <c r="P599" s="76">
        <f>(C599+(E599*F599*H599))-N599</f>
        <v>0</v>
      </c>
      <c r="Q599" s="82" t="s">
        <v>151</v>
      </c>
      <c r="R599" s="83">
        <f>P599*(J599-(J599*L599)-((J599-(J599*L599))*M599))</f>
        <v>0</v>
      </c>
      <c r="S599" s="83">
        <f t="shared" si="296"/>
        <v>0</v>
      </c>
      <c r="T599" s="83"/>
    </row>
    <row r="600" spans="1:20" s="78" customFormat="1">
      <c r="A600" s="77" t="s">
        <v>346</v>
      </c>
      <c r="B600" s="78" t="s">
        <v>18</v>
      </c>
      <c r="C600" s="76"/>
      <c r="D600" s="79" t="s">
        <v>151</v>
      </c>
      <c r="E600" s="80"/>
      <c r="F600" s="81">
        <v>36</v>
      </c>
      <c r="G600" s="82" t="s">
        <v>33</v>
      </c>
      <c r="H600" s="81">
        <v>30</v>
      </c>
      <c r="I600" s="82" t="s">
        <v>151</v>
      </c>
      <c r="J600" s="83">
        <v>2900</v>
      </c>
      <c r="K600" s="79" t="s">
        <v>151</v>
      </c>
      <c r="L600" s="84">
        <v>0.125</v>
      </c>
      <c r="M600" s="84">
        <v>0.05</v>
      </c>
      <c r="N600" s="81"/>
      <c r="O600" s="82" t="s">
        <v>151</v>
      </c>
      <c r="P600" s="76">
        <f>(C600+(E600*F600*H600))-N600</f>
        <v>0</v>
      </c>
      <c r="Q600" s="82" t="s">
        <v>151</v>
      </c>
      <c r="R600" s="83">
        <f>P600*(J600-(J600*L600)-((J600-(J600*L600))*M600))</f>
        <v>0</v>
      </c>
      <c r="S600" s="83">
        <f t="shared" si="296"/>
        <v>0</v>
      </c>
      <c r="T600" s="83"/>
    </row>
    <row r="601" spans="1:20" s="19" customFormat="1">
      <c r="A601" s="18"/>
      <c r="C601" s="20"/>
      <c r="D601" s="21"/>
      <c r="E601" s="26"/>
      <c r="F601" s="22"/>
      <c r="G601" s="23"/>
      <c r="H601" s="22"/>
      <c r="I601" s="23"/>
      <c r="J601" s="24"/>
      <c r="K601" s="21"/>
      <c r="L601" s="25"/>
      <c r="M601" s="25"/>
      <c r="N601" s="22"/>
      <c r="O601" s="23"/>
      <c r="P601" s="20"/>
      <c r="Q601" s="23"/>
      <c r="R601" s="24"/>
      <c r="S601" s="24"/>
    </row>
    <row r="602" spans="1:20" s="19" customFormat="1" ht="15.75">
      <c r="A602" s="35" t="s">
        <v>347</v>
      </c>
      <c r="C602" s="20"/>
      <c r="D602" s="21"/>
      <c r="E602" s="26"/>
      <c r="F602" s="22"/>
      <c r="G602" s="23"/>
      <c r="H602" s="22"/>
      <c r="I602" s="23"/>
      <c r="J602" s="24"/>
      <c r="K602" s="21"/>
      <c r="L602" s="25"/>
      <c r="M602" s="25"/>
      <c r="N602" s="22"/>
      <c r="O602" s="23"/>
      <c r="P602" s="20"/>
      <c r="Q602" s="23"/>
      <c r="R602" s="24"/>
      <c r="S602" s="24"/>
    </row>
    <row r="603" spans="1:20" s="19" customFormat="1">
      <c r="A603" s="40" t="s">
        <v>350</v>
      </c>
      <c r="B603" s="19" t="s">
        <v>18</v>
      </c>
      <c r="C603" s="20"/>
      <c r="D603" s="21" t="s">
        <v>98</v>
      </c>
      <c r="E603" s="26">
        <v>3</v>
      </c>
      <c r="F603" s="22">
        <v>1</v>
      </c>
      <c r="G603" s="23" t="s">
        <v>20</v>
      </c>
      <c r="H603" s="22">
        <v>100</v>
      </c>
      <c r="I603" s="23" t="s">
        <v>98</v>
      </c>
      <c r="J603" s="24">
        <v>8400</v>
      </c>
      <c r="K603" s="21" t="s">
        <v>98</v>
      </c>
      <c r="L603" s="25">
        <v>0.125</v>
      </c>
      <c r="M603" s="25">
        <v>0.05</v>
      </c>
      <c r="N603" s="22"/>
      <c r="O603" s="23" t="s">
        <v>98</v>
      </c>
      <c r="P603" s="20">
        <f>(C603+(E603*F603*H603))-N603</f>
        <v>300</v>
      </c>
      <c r="Q603" s="23" t="s">
        <v>98</v>
      </c>
      <c r="R603" s="24">
        <f>P603*(J603-(J603*L603)-((J603-(J603*L603))*M603))</f>
        <v>2094750</v>
      </c>
      <c r="S603" s="24">
        <f>R603/1.11</f>
        <v>1887162.1621621619</v>
      </c>
      <c r="T603" s="24"/>
    </row>
    <row r="604" spans="1:20" s="19" customFormat="1">
      <c r="A604" s="40" t="s">
        <v>351</v>
      </c>
      <c r="B604" s="19" t="s">
        <v>18</v>
      </c>
      <c r="C604" s="20"/>
      <c r="D604" s="21" t="s">
        <v>98</v>
      </c>
      <c r="E604" s="26">
        <v>2</v>
      </c>
      <c r="F604" s="22">
        <v>1</v>
      </c>
      <c r="G604" s="23" t="s">
        <v>20</v>
      </c>
      <c r="H604" s="22">
        <v>100</v>
      </c>
      <c r="I604" s="23" t="s">
        <v>98</v>
      </c>
      <c r="J604" s="24">
        <v>8400</v>
      </c>
      <c r="K604" s="21" t="s">
        <v>98</v>
      </c>
      <c r="L604" s="25">
        <v>0.125</v>
      </c>
      <c r="M604" s="25">
        <v>0.05</v>
      </c>
      <c r="N604" s="22"/>
      <c r="O604" s="23" t="s">
        <v>98</v>
      </c>
      <c r="P604" s="20">
        <f>(C604+(E604*F604*H604))-N604</f>
        <v>200</v>
      </c>
      <c r="Q604" s="23" t="s">
        <v>98</v>
      </c>
      <c r="R604" s="24">
        <f>P604*(J604-(J604*L604)-((J604-(J604*L604))*M604))</f>
        <v>1396500</v>
      </c>
      <c r="S604" s="24">
        <f>R604/1.11</f>
        <v>1258108.1081081079</v>
      </c>
      <c r="T604" s="24"/>
    </row>
    <row r="605" spans="1:20" s="19" customFormat="1">
      <c r="A605" s="40"/>
      <c r="C605" s="20"/>
      <c r="D605" s="21"/>
      <c r="E605" s="26"/>
      <c r="F605" s="22"/>
      <c r="G605" s="23"/>
      <c r="H605" s="22"/>
      <c r="I605" s="23"/>
      <c r="J605" s="24"/>
      <c r="K605" s="21"/>
      <c r="L605" s="25"/>
      <c r="M605" s="25"/>
      <c r="N605" s="22"/>
      <c r="O605" s="23"/>
      <c r="P605" s="20"/>
      <c r="Q605" s="23"/>
      <c r="R605" s="24"/>
      <c r="S605" s="24"/>
      <c r="T605" s="24"/>
    </row>
    <row r="606" spans="1:20" s="19" customFormat="1">
      <c r="A606" s="40" t="s">
        <v>348</v>
      </c>
      <c r="B606" s="19" t="s">
        <v>25</v>
      </c>
      <c r="C606" s="20">
        <v>60</v>
      </c>
      <c r="D606" s="21" t="s">
        <v>33</v>
      </c>
      <c r="E606" s="26">
        <v>1</v>
      </c>
      <c r="F606" s="22">
        <v>10</v>
      </c>
      <c r="G606" s="23" t="s">
        <v>98</v>
      </c>
      <c r="H606" s="22">
        <v>10</v>
      </c>
      <c r="I606" s="23" t="s">
        <v>33</v>
      </c>
      <c r="J606" s="24">
        <f>980000/100</f>
        <v>9800</v>
      </c>
      <c r="K606" s="21" t="s">
        <v>33</v>
      </c>
      <c r="L606" s="25"/>
      <c r="M606" s="25">
        <v>0.17</v>
      </c>
      <c r="N606" s="22"/>
      <c r="O606" s="23" t="s">
        <v>33</v>
      </c>
      <c r="P606" s="20">
        <f>(C606+(E606*F606*H606))-N606</f>
        <v>160</v>
      </c>
      <c r="Q606" s="23" t="s">
        <v>33</v>
      </c>
      <c r="R606" s="24">
        <f>P606*(J606-(J606*L606)-((J606-(J606*L606))*M606))</f>
        <v>1301440</v>
      </c>
      <c r="S606" s="24">
        <f t="shared" si="296"/>
        <v>1172468.4684684684</v>
      </c>
    </row>
    <row r="607" spans="1:20" s="95" customFormat="1">
      <c r="A607" s="125" t="s">
        <v>349</v>
      </c>
      <c r="B607" s="95" t="s">
        <v>25</v>
      </c>
      <c r="C607" s="96"/>
      <c r="D607" s="97" t="s">
        <v>33</v>
      </c>
      <c r="E607" s="98">
        <v>3</v>
      </c>
      <c r="F607" s="99">
        <v>10</v>
      </c>
      <c r="G607" s="100" t="s">
        <v>98</v>
      </c>
      <c r="H607" s="99">
        <v>10</v>
      </c>
      <c r="I607" s="100" t="s">
        <v>33</v>
      </c>
      <c r="J607" s="101">
        <f>980000/100</f>
        <v>9800</v>
      </c>
      <c r="K607" s="97" t="s">
        <v>33</v>
      </c>
      <c r="L607" s="102"/>
      <c r="M607" s="102">
        <v>0.17</v>
      </c>
      <c r="N607" s="99"/>
      <c r="O607" s="100" t="s">
        <v>33</v>
      </c>
      <c r="P607" s="96">
        <f>(C607+(E607*F607*H607))-N607</f>
        <v>300</v>
      </c>
      <c r="Q607" s="100" t="s">
        <v>33</v>
      </c>
      <c r="R607" s="101">
        <f>P607*(J607-(J607*L607)-((J607-(J607*L607))*M607))</f>
        <v>2440200</v>
      </c>
      <c r="S607" s="101">
        <f t="shared" si="296"/>
        <v>2198378.3783783782</v>
      </c>
    </row>
    <row r="608" spans="1:20" s="19" customFormat="1">
      <c r="A608" s="18"/>
      <c r="C608" s="20"/>
      <c r="D608" s="21"/>
      <c r="E608" s="26"/>
      <c r="F608" s="22"/>
      <c r="G608" s="23"/>
      <c r="H608" s="22"/>
      <c r="I608" s="23"/>
      <c r="J608" s="24"/>
      <c r="K608" s="21"/>
      <c r="L608" s="25"/>
      <c r="M608" s="25"/>
      <c r="N608" s="22"/>
      <c r="O608" s="23"/>
      <c r="P608" s="20"/>
      <c r="Q608" s="23"/>
      <c r="R608" s="24"/>
      <c r="S608" s="24"/>
    </row>
    <row r="609" spans="1:19" s="19" customFormat="1" ht="15.75">
      <c r="A609" s="35" t="s">
        <v>352</v>
      </c>
      <c r="C609" s="20"/>
      <c r="D609" s="21"/>
      <c r="E609" s="26"/>
      <c r="F609" s="22"/>
      <c r="G609" s="23"/>
      <c r="H609" s="22"/>
      <c r="I609" s="23"/>
      <c r="J609" s="24"/>
      <c r="K609" s="21"/>
      <c r="L609" s="25"/>
      <c r="M609" s="25"/>
      <c r="N609" s="22"/>
      <c r="O609" s="23"/>
      <c r="P609" s="20"/>
      <c r="Q609" s="23"/>
      <c r="R609" s="24"/>
      <c r="S609" s="24"/>
    </row>
    <row r="610" spans="1:19" s="19" customFormat="1">
      <c r="A610" s="62" t="s">
        <v>353</v>
      </c>
      <c r="C610" s="20"/>
      <c r="D610" s="21"/>
      <c r="E610" s="26"/>
      <c r="F610" s="22"/>
      <c r="G610" s="23"/>
      <c r="H610" s="22"/>
      <c r="I610" s="23"/>
      <c r="J610" s="24"/>
      <c r="K610" s="21"/>
      <c r="L610" s="25"/>
      <c r="M610" s="25"/>
      <c r="N610" s="22"/>
      <c r="O610" s="23"/>
      <c r="P610" s="20"/>
      <c r="Q610" s="23"/>
      <c r="R610" s="24"/>
      <c r="S610" s="24"/>
    </row>
    <row r="611" spans="1:19" s="78" customFormat="1">
      <c r="A611" s="77" t="s">
        <v>354</v>
      </c>
      <c r="B611" s="78" t="s">
        <v>18</v>
      </c>
      <c r="C611" s="76"/>
      <c r="D611" s="79" t="s">
        <v>40</v>
      </c>
      <c r="E611" s="80"/>
      <c r="F611" s="81">
        <v>1</v>
      </c>
      <c r="G611" s="82" t="s">
        <v>20</v>
      </c>
      <c r="H611" s="81">
        <v>144</v>
      </c>
      <c r="I611" s="82" t="s">
        <v>40</v>
      </c>
      <c r="J611" s="83">
        <v>28200</v>
      </c>
      <c r="K611" s="79" t="s">
        <v>40</v>
      </c>
      <c r="L611" s="84">
        <v>0.125</v>
      </c>
      <c r="M611" s="84">
        <v>0.05</v>
      </c>
      <c r="N611" s="81"/>
      <c r="O611" s="82" t="s">
        <v>40</v>
      </c>
      <c r="P611" s="76">
        <f t="shared" ref="P611:P623" si="301">(C611+(E611*F611*H611))-N611</f>
        <v>0</v>
      </c>
      <c r="Q611" s="82" t="s">
        <v>40</v>
      </c>
      <c r="R611" s="83">
        <f t="shared" ref="R611:R622" si="302">P611*(J611-(J611*L611)-((J611-(J611*L611))*M611))</f>
        <v>0</v>
      </c>
      <c r="S611" s="83">
        <f t="shared" si="296"/>
        <v>0</v>
      </c>
    </row>
    <row r="612" spans="1:19" s="19" customFormat="1">
      <c r="A612" s="159" t="s">
        <v>355</v>
      </c>
      <c r="B612" s="19" t="s">
        <v>18</v>
      </c>
      <c r="C612" s="48"/>
      <c r="D612" s="21" t="s">
        <v>40</v>
      </c>
      <c r="E612" s="26">
        <v>2</v>
      </c>
      <c r="F612" s="22">
        <v>1</v>
      </c>
      <c r="G612" s="23" t="s">
        <v>20</v>
      </c>
      <c r="H612" s="22">
        <v>144</v>
      </c>
      <c r="I612" s="23" t="s">
        <v>40</v>
      </c>
      <c r="J612" s="24">
        <v>7800</v>
      </c>
      <c r="K612" s="21" t="s">
        <v>40</v>
      </c>
      <c r="L612" s="30">
        <v>0.125</v>
      </c>
      <c r="M612" s="25">
        <v>0.05</v>
      </c>
      <c r="N612" s="22"/>
      <c r="O612" s="23" t="s">
        <v>40</v>
      </c>
      <c r="P612" s="20">
        <f>(C612+(E612*F612*H612))-N612</f>
        <v>288</v>
      </c>
      <c r="Q612" s="23" t="s">
        <v>40</v>
      </c>
      <c r="R612" s="24">
        <f>P612*(J612-(J612*L612)-((J612-(J612*L612))*M612))</f>
        <v>1867320</v>
      </c>
      <c r="S612" s="24">
        <f>R612/1.11</f>
        <v>1682270.2702702701</v>
      </c>
    </row>
    <row r="613" spans="1:19" s="78" customFormat="1">
      <c r="A613" s="77" t="s">
        <v>355</v>
      </c>
      <c r="B613" s="78" t="s">
        <v>18</v>
      </c>
      <c r="C613" s="76"/>
      <c r="D613" s="79" t="s">
        <v>40</v>
      </c>
      <c r="E613" s="80"/>
      <c r="F613" s="81">
        <v>1</v>
      </c>
      <c r="G613" s="82" t="s">
        <v>20</v>
      </c>
      <c r="H613" s="81">
        <v>144</v>
      </c>
      <c r="I613" s="82" t="s">
        <v>40</v>
      </c>
      <c r="J613" s="83">
        <v>7800</v>
      </c>
      <c r="K613" s="79" t="s">
        <v>40</v>
      </c>
      <c r="L613" s="84">
        <v>0.1</v>
      </c>
      <c r="M613" s="84">
        <v>0.05</v>
      </c>
      <c r="N613" s="81"/>
      <c r="O613" s="82" t="s">
        <v>40</v>
      </c>
      <c r="P613" s="76">
        <f t="shared" si="301"/>
        <v>0</v>
      </c>
      <c r="Q613" s="82" t="s">
        <v>40</v>
      </c>
      <c r="R613" s="83">
        <f t="shared" si="302"/>
        <v>0</v>
      </c>
      <c r="S613" s="83">
        <f t="shared" si="296"/>
        <v>0</v>
      </c>
    </row>
    <row r="614" spans="1:19" s="19" customFormat="1">
      <c r="A614" s="18" t="s">
        <v>356</v>
      </c>
      <c r="B614" s="19" t="s">
        <v>18</v>
      </c>
      <c r="C614" s="20">
        <v>300</v>
      </c>
      <c r="D614" s="21" t="s">
        <v>40</v>
      </c>
      <c r="E614" s="26">
        <v>1</v>
      </c>
      <c r="F614" s="22">
        <v>1</v>
      </c>
      <c r="G614" s="23" t="s">
        <v>20</v>
      </c>
      <c r="H614" s="22">
        <v>144</v>
      </c>
      <c r="I614" s="23" t="s">
        <v>40</v>
      </c>
      <c r="J614" s="24">
        <v>6900</v>
      </c>
      <c r="K614" s="21" t="s">
        <v>40</v>
      </c>
      <c r="L614" s="25">
        <v>0.125</v>
      </c>
      <c r="M614" s="25">
        <v>0.05</v>
      </c>
      <c r="N614" s="22"/>
      <c r="O614" s="23" t="s">
        <v>40</v>
      </c>
      <c r="P614" s="20">
        <f t="shared" si="301"/>
        <v>444</v>
      </c>
      <c r="Q614" s="23" t="s">
        <v>40</v>
      </c>
      <c r="R614" s="24">
        <f t="shared" si="302"/>
        <v>2546617.5</v>
      </c>
      <c r="S614" s="24">
        <f t="shared" si="296"/>
        <v>2294250</v>
      </c>
    </row>
    <row r="615" spans="1:19" s="78" customFormat="1">
      <c r="A615" s="77" t="s">
        <v>753</v>
      </c>
      <c r="B615" s="78" t="s">
        <v>18</v>
      </c>
      <c r="C615" s="76"/>
      <c r="D615" s="79" t="s">
        <v>40</v>
      </c>
      <c r="E615" s="80">
        <v>1</v>
      </c>
      <c r="F615" s="81">
        <v>1</v>
      </c>
      <c r="G615" s="82" t="s">
        <v>20</v>
      </c>
      <c r="H615" s="81">
        <v>144</v>
      </c>
      <c r="I615" s="82" t="s">
        <v>40</v>
      </c>
      <c r="J615" s="83">
        <v>7020</v>
      </c>
      <c r="K615" s="79" t="s">
        <v>40</v>
      </c>
      <c r="L615" s="84">
        <v>0.125</v>
      </c>
      <c r="M615" s="84">
        <v>0.05</v>
      </c>
      <c r="N615" s="81"/>
      <c r="O615" s="82" t="s">
        <v>40</v>
      </c>
      <c r="P615" s="76">
        <f t="shared" si="301"/>
        <v>144</v>
      </c>
      <c r="Q615" s="82" t="s">
        <v>40</v>
      </c>
      <c r="R615" s="83">
        <f t="shared" si="302"/>
        <v>840294</v>
      </c>
      <c r="S615" s="83">
        <f t="shared" si="296"/>
        <v>757021.62162162154</v>
      </c>
    </row>
    <row r="616" spans="1:19" s="95" customFormat="1">
      <c r="A616" s="87" t="s">
        <v>357</v>
      </c>
      <c r="B616" s="95" t="s">
        <v>18</v>
      </c>
      <c r="C616" s="96"/>
      <c r="D616" s="97" t="s">
        <v>40</v>
      </c>
      <c r="E616" s="98">
        <v>3</v>
      </c>
      <c r="F616" s="99">
        <v>1</v>
      </c>
      <c r="G616" s="100" t="s">
        <v>20</v>
      </c>
      <c r="H616" s="99">
        <v>144</v>
      </c>
      <c r="I616" s="100" t="s">
        <v>40</v>
      </c>
      <c r="J616" s="101">
        <v>7200</v>
      </c>
      <c r="K616" s="97" t="s">
        <v>40</v>
      </c>
      <c r="L616" s="102">
        <v>0.125</v>
      </c>
      <c r="M616" s="102">
        <v>0.05</v>
      </c>
      <c r="N616" s="99"/>
      <c r="O616" s="100" t="s">
        <v>40</v>
      </c>
      <c r="P616" s="96">
        <f t="shared" ref="P616" si="303">(C616+(E616*F616*H616))-N616</f>
        <v>432</v>
      </c>
      <c r="Q616" s="100" t="s">
        <v>40</v>
      </c>
      <c r="R616" s="101">
        <f t="shared" ref="R616" si="304">P616*(J616-(J616*L616)-((J616-(J616*L616))*M616))</f>
        <v>2585520</v>
      </c>
      <c r="S616" s="101">
        <f t="shared" ref="S616" si="305">R616/1.11</f>
        <v>2329297.297297297</v>
      </c>
    </row>
    <row r="617" spans="1:19" s="78" customFormat="1">
      <c r="A617" s="77" t="s">
        <v>719</v>
      </c>
      <c r="B617" s="78" t="s">
        <v>18</v>
      </c>
      <c r="C617" s="76"/>
      <c r="D617" s="79" t="s">
        <v>40</v>
      </c>
      <c r="E617" s="80"/>
      <c r="F617" s="81">
        <v>1</v>
      </c>
      <c r="G617" s="82" t="s">
        <v>20</v>
      </c>
      <c r="H617" s="81">
        <v>144</v>
      </c>
      <c r="I617" s="82" t="s">
        <v>40</v>
      </c>
      <c r="J617" s="83">
        <v>6600</v>
      </c>
      <c r="K617" s="79" t="s">
        <v>40</v>
      </c>
      <c r="L617" s="84">
        <v>0.125</v>
      </c>
      <c r="M617" s="84">
        <v>0.05</v>
      </c>
      <c r="N617" s="81"/>
      <c r="O617" s="82" t="s">
        <v>40</v>
      </c>
      <c r="P617" s="76">
        <f t="shared" si="301"/>
        <v>0</v>
      </c>
      <c r="Q617" s="82" t="s">
        <v>40</v>
      </c>
      <c r="R617" s="83">
        <f t="shared" si="302"/>
        <v>0</v>
      </c>
      <c r="S617" s="83">
        <f t="shared" si="296"/>
        <v>0</v>
      </c>
    </row>
    <row r="618" spans="1:19" s="19" customFormat="1">
      <c r="A618" s="18" t="s">
        <v>649</v>
      </c>
      <c r="B618" s="19" t="s">
        <v>18</v>
      </c>
      <c r="C618" s="20"/>
      <c r="D618" s="21" t="s">
        <v>40</v>
      </c>
      <c r="E618" s="26">
        <v>4</v>
      </c>
      <c r="F618" s="22">
        <v>1</v>
      </c>
      <c r="G618" s="23" t="s">
        <v>20</v>
      </c>
      <c r="H618" s="22">
        <v>144</v>
      </c>
      <c r="I618" s="23" t="s">
        <v>40</v>
      </c>
      <c r="J618" s="24">
        <v>6120</v>
      </c>
      <c r="K618" s="21" t="s">
        <v>40</v>
      </c>
      <c r="L618" s="25">
        <v>0.125</v>
      </c>
      <c r="M618" s="25">
        <v>0.05</v>
      </c>
      <c r="N618" s="22"/>
      <c r="O618" s="23" t="s">
        <v>40</v>
      </c>
      <c r="P618" s="20">
        <f t="shared" ref="P618" si="306">(C618+(E618*F618*H618))-N618</f>
        <v>576</v>
      </c>
      <c r="Q618" s="23" t="s">
        <v>40</v>
      </c>
      <c r="R618" s="24">
        <f t="shared" ref="R618" si="307">P618*(J618-(J618*L618)-((J618-(J618*L618))*M618))</f>
        <v>2930256</v>
      </c>
      <c r="S618" s="24">
        <f t="shared" ref="S618" si="308">R618/1.11</f>
        <v>2639870.2702702698</v>
      </c>
    </row>
    <row r="619" spans="1:19" s="78" customFormat="1">
      <c r="A619" s="77" t="s">
        <v>695</v>
      </c>
      <c r="B619" s="78" t="s">
        <v>18</v>
      </c>
      <c r="C619" s="76"/>
      <c r="D619" s="79" t="s">
        <v>40</v>
      </c>
      <c r="E619" s="80"/>
      <c r="F619" s="81">
        <v>1</v>
      </c>
      <c r="G619" s="82" t="s">
        <v>20</v>
      </c>
      <c r="H619" s="81">
        <v>144</v>
      </c>
      <c r="I619" s="82" t="s">
        <v>40</v>
      </c>
      <c r="J619" s="83">
        <v>6000</v>
      </c>
      <c r="K619" s="79" t="s">
        <v>40</v>
      </c>
      <c r="L619" s="84">
        <v>0.125</v>
      </c>
      <c r="M619" s="84">
        <v>0.05</v>
      </c>
      <c r="N619" s="81"/>
      <c r="O619" s="82" t="s">
        <v>40</v>
      </c>
      <c r="P619" s="76">
        <f t="shared" si="301"/>
        <v>0</v>
      </c>
      <c r="Q619" s="82" t="s">
        <v>40</v>
      </c>
      <c r="R619" s="83">
        <f t="shared" si="302"/>
        <v>0</v>
      </c>
      <c r="S619" s="83">
        <f t="shared" si="296"/>
        <v>0</v>
      </c>
    </row>
    <row r="620" spans="1:19" s="95" customFormat="1">
      <c r="A620" s="158" t="s">
        <v>950</v>
      </c>
      <c r="B620" s="95" t="s">
        <v>18</v>
      </c>
      <c r="C620" s="96"/>
      <c r="D620" s="97" t="s">
        <v>40</v>
      </c>
      <c r="E620" s="98">
        <v>1</v>
      </c>
      <c r="F620" s="99">
        <v>1</v>
      </c>
      <c r="G620" s="100" t="s">
        <v>20</v>
      </c>
      <c r="H620" s="99">
        <v>144</v>
      </c>
      <c r="I620" s="100" t="s">
        <v>40</v>
      </c>
      <c r="J620" s="101">
        <v>42600</v>
      </c>
      <c r="K620" s="21" t="s">
        <v>40</v>
      </c>
      <c r="L620" s="25">
        <v>0.125</v>
      </c>
      <c r="M620" s="25">
        <v>0.05</v>
      </c>
      <c r="N620" s="22"/>
      <c r="O620" s="23" t="s">
        <v>40</v>
      </c>
      <c r="P620" s="20">
        <f t="shared" ref="P620" si="309">(C620+(E620*F620*H620))-N620</f>
        <v>144</v>
      </c>
      <c r="Q620" s="23" t="s">
        <v>40</v>
      </c>
      <c r="R620" s="24">
        <f t="shared" ref="R620" si="310">P620*(J620-(J620*L620)-((J620-(J620*L620))*M620))</f>
        <v>5099220</v>
      </c>
      <c r="S620" s="24">
        <f t="shared" ref="S620" si="311">R620/1.11</f>
        <v>4593891.8918918911</v>
      </c>
    </row>
    <row r="621" spans="1:19" s="19" customFormat="1">
      <c r="A621" s="159" t="s">
        <v>990</v>
      </c>
      <c r="B621" s="19" t="s">
        <v>18</v>
      </c>
      <c r="C621" s="48"/>
      <c r="D621" s="21" t="s">
        <v>40</v>
      </c>
      <c r="E621" s="26">
        <v>1</v>
      </c>
      <c r="F621" s="22">
        <v>1</v>
      </c>
      <c r="G621" s="23" t="s">
        <v>20</v>
      </c>
      <c r="H621" s="22">
        <v>144</v>
      </c>
      <c r="I621" s="23" t="s">
        <v>40</v>
      </c>
      <c r="J621" s="24">
        <v>7200</v>
      </c>
      <c r="K621" s="21" t="s">
        <v>40</v>
      </c>
      <c r="L621" s="30">
        <v>0.125</v>
      </c>
      <c r="M621" s="25">
        <v>0.05</v>
      </c>
      <c r="N621" s="22"/>
      <c r="O621" s="23" t="s">
        <v>40</v>
      </c>
      <c r="P621" s="20">
        <f>(C621+(E621*F621*H621))-N621</f>
        <v>144</v>
      </c>
      <c r="Q621" s="23" t="s">
        <v>40</v>
      </c>
      <c r="R621" s="24">
        <f>P621*(J621-(J621*L621)-((J621-(J621*L621))*M621))</f>
        <v>861840</v>
      </c>
      <c r="S621" s="24">
        <f>R621/1.11</f>
        <v>776432.43243243231</v>
      </c>
    </row>
    <row r="622" spans="1:19" s="19" customFormat="1">
      <c r="A622" s="18" t="s">
        <v>358</v>
      </c>
      <c r="B622" s="19" t="s">
        <v>18</v>
      </c>
      <c r="C622" s="20">
        <v>864</v>
      </c>
      <c r="D622" s="21" t="s">
        <v>40</v>
      </c>
      <c r="E622" s="26"/>
      <c r="F622" s="22">
        <v>1</v>
      </c>
      <c r="G622" s="23" t="s">
        <v>20</v>
      </c>
      <c r="H622" s="22">
        <v>144</v>
      </c>
      <c r="I622" s="23" t="s">
        <v>40</v>
      </c>
      <c r="J622" s="24">
        <v>5100</v>
      </c>
      <c r="K622" s="21" t="s">
        <v>40</v>
      </c>
      <c r="L622" s="25">
        <v>0.125</v>
      </c>
      <c r="M622" s="25">
        <v>0.05</v>
      </c>
      <c r="N622" s="22"/>
      <c r="O622" s="23" t="s">
        <v>40</v>
      </c>
      <c r="P622" s="20">
        <f t="shared" si="301"/>
        <v>864</v>
      </c>
      <c r="Q622" s="23" t="s">
        <v>40</v>
      </c>
      <c r="R622" s="24">
        <f t="shared" si="302"/>
        <v>3662820</v>
      </c>
      <c r="S622" s="24">
        <f t="shared" si="296"/>
        <v>3299837.8378378376</v>
      </c>
    </row>
    <row r="623" spans="1:19" s="19" customFormat="1">
      <c r="A623" s="131" t="s">
        <v>830</v>
      </c>
      <c r="B623" s="19" t="s">
        <v>18</v>
      </c>
      <c r="C623" s="48">
        <v>36</v>
      </c>
      <c r="D623" s="21" t="s">
        <v>40</v>
      </c>
      <c r="E623" s="26"/>
      <c r="F623" s="22">
        <v>1</v>
      </c>
      <c r="G623" s="23" t="s">
        <v>20</v>
      </c>
      <c r="H623" s="22">
        <v>144</v>
      </c>
      <c r="I623" s="23" t="s">
        <v>40</v>
      </c>
      <c r="J623" s="135"/>
      <c r="K623" s="21" t="s">
        <v>40</v>
      </c>
      <c r="L623" s="130">
        <v>0.1</v>
      </c>
      <c r="M623" s="25">
        <v>0.05</v>
      </c>
      <c r="N623" s="22"/>
      <c r="O623" s="23" t="s">
        <v>40</v>
      </c>
      <c r="P623" s="20">
        <f t="shared" si="301"/>
        <v>36</v>
      </c>
      <c r="Q623" s="23" t="s">
        <v>40</v>
      </c>
      <c r="R623" s="24">
        <f>P623*(J623-(J623*L623)-((J623-(J623*L623))*M623))</f>
        <v>0</v>
      </c>
      <c r="S623" s="24">
        <f t="shared" ref="S623" si="312">R623/1.11</f>
        <v>0</v>
      </c>
    </row>
    <row r="624" spans="1:19" s="19" customFormat="1">
      <c r="A624" s="131" t="s">
        <v>359</v>
      </c>
      <c r="B624" s="19" t="s">
        <v>18</v>
      </c>
      <c r="C624" s="48"/>
      <c r="D624" s="21" t="s">
        <v>40</v>
      </c>
      <c r="E624" s="26">
        <v>25</v>
      </c>
      <c r="F624" s="22">
        <v>1</v>
      </c>
      <c r="G624" s="23" t="s">
        <v>20</v>
      </c>
      <c r="H624" s="22">
        <v>144</v>
      </c>
      <c r="I624" s="23" t="s">
        <v>40</v>
      </c>
      <c r="J624" s="135">
        <v>12600</v>
      </c>
      <c r="K624" s="21" t="s">
        <v>40</v>
      </c>
      <c r="L624" s="130">
        <v>0.125</v>
      </c>
      <c r="M624" s="25">
        <v>0.05</v>
      </c>
      <c r="N624" s="22"/>
      <c r="O624" s="23" t="s">
        <v>40</v>
      </c>
      <c r="P624" s="20">
        <f>(C624+(E624*F624*H624))-N624</f>
        <v>3600</v>
      </c>
      <c r="Q624" s="23" t="s">
        <v>40</v>
      </c>
      <c r="R624" s="24">
        <f>P624*(J624-(J624*L624)-((J624-(J624*L624))*M624))</f>
        <v>37705500</v>
      </c>
      <c r="S624" s="24">
        <f>R624/1.11</f>
        <v>33968918.918918915</v>
      </c>
    </row>
    <row r="625" spans="1:19" s="19" customFormat="1">
      <c r="A625" s="159" t="s">
        <v>991</v>
      </c>
      <c r="B625" s="19" t="s">
        <v>18</v>
      </c>
      <c r="C625" s="48"/>
      <c r="D625" s="21" t="s">
        <v>40</v>
      </c>
      <c r="E625" s="26">
        <v>1</v>
      </c>
      <c r="F625" s="22">
        <v>1</v>
      </c>
      <c r="G625" s="23" t="s">
        <v>20</v>
      </c>
      <c r="H625" s="22">
        <v>144</v>
      </c>
      <c r="I625" s="23" t="s">
        <v>40</v>
      </c>
      <c r="J625" s="24">
        <v>13200</v>
      </c>
      <c r="K625" s="21" t="s">
        <v>40</v>
      </c>
      <c r="L625" s="30">
        <v>0.125</v>
      </c>
      <c r="M625" s="25">
        <v>0.05</v>
      </c>
      <c r="N625" s="22"/>
      <c r="O625" s="23" t="s">
        <v>40</v>
      </c>
      <c r="P625" s="20">
        <f>(C625+(E625*F625*H625))-N625</f>
        <v>144</v>
      </c>
      <c r="Q625" s="23" t="s">
        <v>40</v>
      </c>
      <c r="R625" s="24">
        <f>P625*(J625-(J625*L625)-((J625-(J625*L625))*M625))</f>
        <v>1580040</v>
      </c>
      <c r="S625" s="24">
        <f>R625/1.11</f>
        <v>1423459.4594594594</v>
      </c>
    </row>
    <row r="626" spans="1:19" s="19" customFormat="1">
      <c r="A626" s="28" t="s">
        <v>897</v>
      </c>
      <c r="B626" s="19" t="s">
        <v>18</v>
      </c>
      <c r="C626" s="48">
        <f>((1*12*12)+(720/12))</f>
        <v>204</v>
      </c>
      <c r="D626" s="21" t="s">
        <v>40</v>
      </c>
      <c r="E626" s="26"/>
      <c r="F626" s="22">
        <v>1</v>
      </c>
      <c r="G626" s="23" t="s">
        <v>20</v>
      </c>
      <c r="H626" s="22">
        <v>144</v>
      </c>
      <c r="I626" s="23" t="s">
        <v>40</v>
      </c>
      <c r="J626" s="24">
        <v>13200</v>
      </c>
      <c r="K626" s="21" t="s">
        <v>40</v>
      </c>
      <c r="L626" s="30">
        <v>0.1</v>
      </c>
      <c r="M626" s="25">
        <v>0.05</v>
      </c>
      <c r="N626" s="22"/>
      <c r="O626" s="23" t="s">
        <v>40</v>
      </c>
      <c r="P626" s="20">
        <f>(C626+(E626*F626*H626))-N626</f>
        <v>204</v>
      </c>
      <c r="Q626" s="23" t="s">
        <v>40</v>
      </c>
      <c r="R626" s="24">
        <f>P626*(J626-(J626*L626)-((J626-(J626*L626))*M626))</f>
        <v>2302344</v>
      </c>
      <c r="S626" s="24">
        <f>R626/1.11</f>
        <v>2074183.7837837837</v>
      </c>
    </row>
    <row r="627" spans="1:19" s="19" customFormat="1">
      <c r="A627" s="28" t="s">
        <v>897</v>
      </c>
      <c r="B627" s="19" t="s">
        <v>18</v>
      </c>
      <c r="C627" s="48">
        <v>600</v>
      </c>
      <c r="D627" s="21" t="s">
        <v>40</v>
      </c>
      <c r="E627" s="26"/>
      <c r="F627" s="22">
        <v>1</v>
      </c>
      <c r="G627" s="23" t="s">
        <v>20</v>
      </c>
      <c r="H627" s="22">
        <v>144</v>
      </c>
      <c r="I627" s="23" t="s">
        <v>40</v>
      </c>
      <c r="J627" s="24">
        <v>13200</v>
      </c>
      <c r="K627" s="21" t="s">
        <v>40</v>
      </c>
      <c r="L627" s="30">
        <v>0.125</v>
      </c>
      <c r="M627" s="25">
        <v>0.05</v>
      </c>
      <c r="N627" s="22"/>
      <c r="O627" s="23" t="s">
        <v>40</v>
      </c>
      <c r="P627" s="20">
        <f>(C627+(E627*F627*H627))-N627</f>
        <v>600</v>
      </c>
      <c r="Q627" s="23" t="s">
        <v>40</v>
      </c>
      <c r="R627" s="24">
        <f>P627*(J627-(J627*L627)-((J627-(J627*L627))*M627))</f>
        <v>6583500</v>
      </c>
      <c r="S627" s="24">
        <f>R627/1.11</f>
        <v>5931081.0810810803</v>
      </c>
    </row>
    <row r="628" spans="1:19" s="19" customFormat="1">
      <c r="A628" s="159" t="s">
        <v>992</v>
      </c>
      <c r="B628" s="19" t="s">
        <v>18</v>
      </c>
      <c r="C628" s="48"/>
      <c r="D628" s="21" t="s">
        <v>40</v>
      </c>
      <c r="E628" s="26">
        <v>1</v>
      </c>
      <c r="F628" s="22">
        <v>1</v>
      </c>
      <c r="G628" s="23" t="s">
        <v>20</v>
      </c>
      <c r="H628" s="22">
        <v>144</v>
      </c>
      <c r="I628" s="23" t="s">
        <v>40</v>
      </c>
      <c r="J628" s="24">
        <v>13200</v>
      </c>
      <c r="K628" s="21" t="s">
        <v>40</v>
      </c>
      <c r="L628" s="30">
        <v>0.125</v>
      </c>
      <c r="M628" s="25">
        <v>0.05</v>
      </c>
      <c r="N628" s="22"/>
      <c r="O628" s="23" t="s">
        <v>40</v>
      </c>
      <c r="P628" s="20">
        <f t="shared" ref="P628" si="313">(C628+(E628*F628*H628))-N628</f>
        <v>144</v>
      </c>
      <c r="Q628" s="23" t="s">
        <v>40</v>
      </c>
      <c r="R628" s="24">
        <f t="shared" ref="R628" si="314">P628*(J628-(J628*L628)-((J628-(J628*L628))*M628))</f>
        <v>1580040</v>
      </c>
      <c r="S628" s="24">
        <f t="shared" ref="S628" si="315">R628/1.11</f>
        <v>1423459.4594594594</v>
      </c>
    </row>
    <row r="629" spans="1:19" s="19" customFormat="1">
      <c r="A629" s="18"/>
      <c r="C629" s="48"/>
      <c r="D629" s="21"/>
      <c r="E629" s="26"/>
      <c r="F629" s="22"/>
      <c r="G629" s="23"/>
      <c r="H629" s="22"/>
      <c r="I629" s="23"/>
      <c r="J629" s="24"/>
      <c r="K629" s="21"/>
      <c r="L629" s="30"/>
      <c r="M629" s="25"/>
      <c r="N629" s="22"/>
      <c r="O629" s="23"/>
      <c r="P629" s="20"/>
      <c r="Q629" s="23"/>
      <c r="R629" s="24"/>
      <c r="S629" s="24"/>
    </row>
    <row r="630" spans="1:19" s="78" customFormat="1">
      <c r="A630" s="110" t="s">
        <v>360</v>
      </c>
      <c r="B630" s="78" t="s">
        <v>25</v>
      </c>
      <c r="C630" s="76"/>
      <c r="D630" s="79" t="s">
        <v>40</v>
      </c>
      <c r="E630" s="80"/>
      <c r="F630" s="81">
        <v>1</v>
      </c>
      <c r="G630" s="82" t="s">
        <v>20</v>
      </c>
      <c r="H630" s="81">
        <v>144</v>
      </c>
      <c r="I630" s="82" t="s">
        <v>40</v>
      </c>
      <c r="J630" s="83">
        <v>22200</v>
      </c>
      <c r="K630" s="79" t="s">
        <v>40</v>
      </c>
      <c r="L630" s="84"/>
      <c r="M630" s="84">
        <v>0.17</v>
      </c>
      <c r="N630" s="81"/>
      <c r="O630" s="82" t="s">
        <v>40</v>
      </c>
      <c r="P630" s="76">
        <f t="shared" ref="P630:P636" si="316">(C630+(E630*F630*H630))-N630</f>
        <v>0</v>
      </c>
      <c r="Q630" s="82" t="s">
        <v>40</v>
      </c>
      <c r="R630" s="83">
        <f t="shared" ref="R630:R636" si="317">P630*(J630-(J630*L630)-((J630-(J630*L630))*M630))</f>
        <v>0</v>
      </c>
      <c r="S630" s="83">
        <f t="shared" si="296"/>
        <v>0</v>
      </c>
    </row>
    <row r="631" spans="1:19" s="78" customFormat="1">
      <c r="A631" s="110" t="s">
        <v>361</v>
      </c>
      <c r="B631" s="78" t="s">
        <v>25</v>
      </c>
      <c r="C631" s="76"/>
      <c r="D631" s="79" t="s">
        <v>40</v>
      </c>
      <c r="E631" s="80">
        <v>1</v>
      </c>
      <c r="F631" s="81">
        <v>1</v>
      </c>
      <c r="G631" s="82" t="s">
        <v>20</v>
      </c>
      <c r="H631" s="81">
        <v>144</v>
      </c>
      <c r="I631" s="82" t="s">
        <v>40</v>
      </c>
      <c r="J631" s="83">
        <f>1728000/144</f>
        <v>12000</v>
      </c>
      <c r="K631" s="79" t="s">
        <v>40</v>
      </c>
      <c r="L631" s="84"/>
      <c r="M631" s="84">
        <v>0.17</v>
      </c>
      <c r="N631" s="81"/>
      <c r="O631" s="82" t="s">
        <v>40</v>
      </c>
      <c r="P631" s="76">
        <f t="shared" si="316"/>
        <v>144</v>
      </c>
      <c r="Q631" s="82" t="s">
        <v>40</v>
      </c>
      <c r="R631" s="83">
        <f t="shared" si="317"/>
        <v>1434240</v>
      </c>
      <c r="S631" s="83">
        <f t="shared" si="296"/>
        <v>1292108.1081081079</v>
      </c>
    </row>
    <row r="632" spans="1:19" s="78" customFormat="1">
      <c r="A632" s="110" t="s">
        <v>362</v>
      </c>
      <c r="B632" s="78" t="s">
        <v>25</v>
      </c>
      <c r="C632" s="76"/>
      <c r="D632" s="79" t="s">
        <v>40</v>
      </c>
      <c r="E632" s="80"/>
      <c r="F632" s="81">
        <v>1</v>
      </c>
      <c r="G632" s="82" t="s">
        <v>20</v>
      </c>
      <c r="H632" s="81">
        <v>144</v>
      </c>
      <c r="I632" s="82" t="s">
        <v>40</v>
      </c>
      <c r="J632" s="83">
        <v>13800</v>
      </c>
      <c r="K632" s="79" t="s">
        <v>40</v>
      </c>
      <c r="L632" s="84"/>
      <c r="M632" s="84">
        <v>0.17</v>
      </c>
      <c r="N632" s="81"/>
      <c r="O632" s="82" t="s">
        <v>40</v>
      </c>
      <c r="P632" s="76">
        <f t="shared" si="316"/>
        <v>0</v>
      </c>
      <c r="Q632" s="82" t="s">
        <v>40</v>
      </c>
      <c r="R632" s="83">
        <f t="shared" si="317"/>
        <v>0</v>
      </c>
      <c r="S632" s="83">
        <f t="shared" si="296"/>
        <v>0</v>
      </c>
    </row>
    <row r="633" spans="1:19" s="78" customFormat="1">
      <c r="A633" s="110" t="s">
        <v>363</v>
      </c>
      <c r="B633" s="78" t="s">
        <v>25</v>
      </c>
      <c r="C633" s="76"/>
      <c r="D633" s="79" t="s">
        <v>40</v>
      </c>
      <c r="E633" s="80"/>
      <c r="F633" s="81">
        <v>1</v>
      </c>
      <c r="G633" s="82" t="s">
        <v>20</v>
      </c>
      <c r="H633" s="81">
        <v>144</v>
      </c>
      <c r="I633" s="82" t="s">
        <v>40</v>
      </c>
      <c r="J633" s="83">
        <v>13800</v>
      </c>
      <c r="K633" s="79" t="s">
        <v>40</v>
      </c>
      <c r="L633" s="84"/>
      <c r="M633" s="84">
        <v>0.17</v>
      </c>
      <c r="N633" s="81"/>
      <c r="O633" s="82" t="s">
        <v>40</v>
      </c>
      <c r="P633" s="76">
        <f t="shared" si="316"/>
        <v>0</v>
      </c>
      <c r="Q633" s="82" t="s">
        <v>40</v>
      </c>
      <c r="R633" s="83">
        <f t="shared" si="317"/>
        <v>0</v>
      </c>
      <c r="S633" s="83">
        <f t="shared" si="296"/>
        <v>0</v>
      </c>
    </row>
    <row r="634" spans="1:19" s="78" customFormat="1">
      <c r="A634" s="110" t="s">
        <v>364</v>
      </c>
      <c r="B634" s="78" t="s">
        <v>25</v>
      </c>
      <c r="C634" s="76"/>
      <c r="D634" s="79" t="s">
        <v>40</v>
      </c>
      <c r="E634" s="80"/>
      <c r="F634" s="81">
        <v>1</v>
      </c>
      <c r="G634" s="82" t="s">
        <v>20</v>
      </c>
      <c r="H634" s="81">
        <v>144</v>
      </c>
      <c r="I634" s="82" t="s">
        <v>40</v>
      </c>
      <c r="J634" s="83">
        <v>13800</v>
      </c>
      <c r="K634" s="79" t="s">
        <v>40</v>
      </c>
      <c r="L634" s="84"/>
      <c r="M634" s="84">
        <v>0.17</v>
      </c>
      <c r="N634" s="81"/>
      <c r="O634" s="82" t="s">
        <v>40</v>
      </c>
      <c r="P634" s="76">
        <f t="shared" si="316"/>
        <v>0</v>
      </c>
      <c r="Q634" s="82" t="s">
        <v>40</v>
      </c>
      <c r="R634" s="83">
        <f t="shared" si="317"/>
        <v>0</v>
      </c>
      <c r="S634" s="83">
        <f t="shared" si="296"/>
        <v>0</v>
      </c>
    </row>
    <row r="635" spans="1:19" s="78" customFormat="1">
      <c r="A635" s="110" t="s">
        <v>365</v>
      </c>
      <c r="B635" s="78" t="s">
        <v>25</v>
      </c>
      <c r="C635" s="76"/>
      <c r="D635" s="79" t="s">
        <v>40</v>
      </c>
      <c r="E635" s="80"/>
      <c r="F635" s="81">
        <v>1</v>
      </c>
      <c r="G635" s="82" t="s">
        <v>20</v>
      </c>
      <c r="H635" s="81">
        <v>144</v>
      </c>
      <c r="I635" s="82" t="s">
        <v>40</v>
      </c>
      <c r="J635" s="83">
        <f>1987200/144</f>
        <v>13800</v>
      </c>
      <c r="K635" s="79" t="s">
        <v>40</v>
      </c>
      <c r="L635" s="84"/>
      <c r="M635" s="84">
        <v>0.17</v>
      </c>
      <c r="N635" s="81"/>
      <c r="O635" s="82" t="s">
        <v>40</v>
      </c>
      <c r="P635" s="76">
        <f t="shared" si="316"/>
        <v>0</v>
      </c>
      <c r="Q635" s="82" t="s">
        <v>40</v>
      </c>
      <c r="R635" s="83">
        <f t="shared" si="317"/>
        <v>0</v>
      </c>
      <c r="S635" s="83">
        <f t="shared" si="296"/>
        <v>0</v>
      </c>
    </row>
    <row r="636" spans="1:19" s="19" customFormat="1">
      <c r="A636" s="40" t="s">
        <v>366</v>
      </c>
      <c r="B636" s="19" t="s">
        <v>25</v>
      </c>
      <c r="C636" s="20">
        <v>108</v>
      </c>
      <c r="D636" s="21" t="s">
        <v>40</v>
      </c>
      <c r="E636" s="26"/>
      <c r="F636" s="22">
        <v>1</v>
      </c>
      <c r="G636" s="23" t="s">
        <v>20</v>
      </c>
      <c r="H636" s="22">
        <v>144</v>
      </c>
      <c r="I636" s="23" t="s">
        <v>40</v>
      </c>
      <c r="J636" s="24">
        <f>2073600/12/12</f>
        <v>14400</v>
      </c>
      <c r="K636" s="21" t="s">
        <v>40</v>
      </c>
      <c r="L636" s="25"/>
      <c r="M636" s="25">
        <v>0.17</v>
      </c>
      <c r="N636" s="22"/>
      <c r="O636" s="23" t="s">
        <v>40</v>
      </c>
      <c r="P636" s="20">
        <f t="shared" si="316"/>
        <v>108</v>
      </c>
      <c r="Q636" s="23" t="s">
        <v>40</v>
      </c>
      <c r="R636" s="24">
        <f t="shared" si="317"/>
        <v>1290816</v>
      </c>
      <c r="S636" s="24">
        <f t="shared" si="296"/>
        <v>1162897.2972972973</v>
      </c>
    </row>
    <row r="637" spans="1:19" s="19" customFormat="1">
      <c r="A637" s="168" t="s">
        <v>993</v>
      </c>
      <c r="B637" s="19" t="s">
        <v>25</v>
      </c>
      <c r="C637" s="20"/>
      <c r="D637" s="21" t="s">
        <v>40</v>
      </c>
      <c r="E637" s="26">
        <v>2</v>
      </c>
      <c r="F637" s="22">
        <v>1</v>
      </c>
      <c r="G637" s="23" t="s">
        <v>20</v>
      </c>
      <c r="H637" s="22">
        <v>144</v>
      </c>
      <c r="I637" s="23" t="s">
        <v>40</v>
      </c>
      <c r="J637" s="24">
        <v>10200</v>
      </c>
      <c r="K637" s="21" t="s">
        <v>40</v>
      </c>
      <c r="L637" s="25"/>
      <c r="M637" s="25">
        <v>0.17</v>
      </c>
      <c r="N637" s="22"/>
      <c r="O637" s="23" t="s">
        <v>40</v>
      </c>
      <c r="P637" s="20">
        <f t="shared" ref="P637" si="318">(C637+(E637*F637*H637))-N637</f>
        <v>288</v>
      </c>
      <c r="Q637" s="23" t="s">
        <v>40</v>
      </c>
      <c r="R637" s="24">
        <f t="shared" ref="R637" si="319">P637*(J637-(J637*L637)-((J637-(J637*L637))*M637))</f>
        <v>2438208</v>
      </c>
      <c r="S637" s="24">
        <f t="shared" ref="S637" si="320">R637/1.11</f>
        <v>2196583.7837837837</v>
      </c>
    </row>
    <row r="638" spans="1:19" s="19" customFormat="1">
      <c r="A638" s="168" t="s">
        <v>1017</v>
      </c>
      <c r="B638" s="19" t="s">
        <v>25</v>
      </c>
      <c r="C638" s="20">
        <f>1152/12</f>
        <v>96</v>
      </c>
      <c r="D638" s="21" t="s">
        <v>40</v>
      </c>
      <c r="E638" s="26"/>
      <c r="F638" s="22">
        <v>1</v>
      </c>
      <c r="G638" s="23" t="s">
        <v>20</v>
      </c>
      <c r="H638" s="22">
        <v>144</v>
      </c>
      <c r="I638" s="23" t="s">
        <v>40</v>
      </c>
      <c r="J638" s="24">
        <v>19200</v>
      </c>
      <c r="K638" s="21" t="s">
        <v>40</v>
      </c>
      <c r="L638" s="25">
        <v>2.5000000000000001E-2</v>
      </c>
      <c r="M638" s="25">
        <v>0.17</v>
      </c>
      <c r="N638" s="22"/>
      <c r="O638" s="23" t="s">
        <v>40</v>
      </c>
      <c r="P638" s="20">
        <f t="shared" ref="P638" si="321">(C638+(E638*F638*H638))-N638</f>
        <v>96</v>
      </c>
      <c r="Q638" s="23" t="s">
        <v>40</v>
      </c>
      <c r="R638" s="24">
        <f t="shared" ref="R638" si="322">P638*(J638-(J638*L638)-((J638-(J638*L638))*M638))</f>
        <v>1491609.6000000001</v>
      </c>
      <c r="S638" s="24">
        <f t="shared" ref="S638" si="323">R638/1.11</f>
        <v>1343792.4324324324</v>
      </c>
    </row>
    <row r="639" spans="1:19" s="19" customFormat="1">
      <c r="A639" s="40"/>
      <c r="C639" s="20"/>
      <c r="D639" s="21"/>
      <c r="E639" s="26"/>
      <c r="F639" s="22"/>
      <c r="G639" s="23"/>
      <c r="H639" s="22"/>
      <c r="I639" s="23"/>
      <c r="J639" s="24"/>
      <c r="K639" s="21"/>
      <c r="L639" s="25"/>
      <c r="M639" s="25"/>
      <c r="N639" s="22"/>
      <c r="O639" s="23"/>
      <c r="P639" s="20"/>
      <c r="Q639" s="23"/>
      <c r="R639" s="24"/>
      <c r="S639" s="24"/>
    </row>
    <row r="640" spans="1:19" s="19" customFormat="1">
      <c r="A640" s="62" t="s">
        <v>367</v>
      </c>
      <c r="C640" s="20"/>
      <c r="D640" s="21"/>
      <c r="E640" s="26"/>
      <c r="F640" s="22"/>
      <c r="G640" s="23"/>
      <c r="H640" s="22"/>
      <c r="I640" s="23"/>
      <c r="J640" s="24"/>
      <c r="K640" s="21"/>
      <c r="L640" s="25"/>
      <c r="M640" s="25"/>
      <c r="N640" s="22"/>
      <c r="O640" s="23"/>
      <c r="P640" s="20"/>
      <c r="Q640" s="23"/>
      <c r="R640" s="24"/>
      <c r="S640" s="24"/>
    </row>
    <row r="641" spans="1:19" s="19" customFormat="1">
      <c r="A641" s="18" t="s">
        <v>368</v>
      </c>
      <c r="B641" s="19" t="s">
        <v>181</v>
      </c>
      <c r="C641" s="20">
        <v>2109</v>
      </c>
      <c r="D641" s="21" t="s">
        <v>40</v>
      </c>
      <c r="E641" s="26"/>
      <c r="F641" s="22">
        <v>1</v>
      </c>
      <c r="G641" s="23" t="s">
        <v>20</v>
      </c>
      <c r="H641" s="22">
        <v>240</v>
      </c>
      <c r="I641" s="23" t="s">
        <v>40</v>
      </c>
      <c r="J641" s="24">
        <v>10000</v>
      </c>
      <c r="K641" s="21" t="s">
        <v>40</v>
      </c>
      <c r="L641" s="25"/>
      <c r="M641" s="25"/>
      <c r="N641" s="22"/>
      <c r="O641" s="23" t="s">
        <v>40</v>
      </c>
      <c r="P641" s="20">
        <f>(C641+(E641*F641*H641))-N641</f>
        <v>2109</v>
      </c>
      <c r="Q641" s="23" t="s">
        <v>40</v>
      </c>
      <c r="R641" s="24">
        <f>P641*(J641-(J641*L641)-((J641-(J641*L641))*M641))</f>
        <v>21090000</v>
      </c>
      <c r="S641" s="24">
        <f t="shared" si="296"/>
        <v>19000000</v>
      </c>
    </row>
    <row r="642" spans="1:19" s="19" customFormat="1">
      <c r="A642" s="18" t="s">
        <v>369</v>
      </c>
      <c r="B642" s="19" t="s">
        <v>181</v>
      </c>
      <c r="C642" s="20">
        <v>1472</v>
      </c>
      <c r="D642" s="21" t="s">
        <v>40</v>
      </c>
      <c r="E642" s="26"/>
      <c r="F642" s="22">
        <v>1</v>
      </c>
      <c r="G642" s="23" t="s">
        <v>20</v>
      </c>
      <c r="H642" s="22">
        <v>240</v>
      </c>
      <c r="I642" s="23" t="s">
        <v>40</v>
      </c>
      <c r="J642" s="24">
        <v>10000</v>
      </c>
      <c r="K642" s="21" t="s">
        <v>40</v>
      </c>
      <c r="L642" s="25"/>
      <c r="M642" s="25"/>
      <c r="N642" s="22"/>
      <c r="O642" s="23" t="s">
        <v>40</v>
      </c>
      <c r="P642" s="20">
        <f>(C642+(E642*F642*H642))-N642</f>
        <v>1472</v>
      </c>
      <c r="Q642" s="23" t="s">
        <v>40</v>
      </c>
      <c r="R642" s="24">
        <f>P642*(J642-(J642*L642)-((J642-(J642*L642))*M642))</f>
        <v>14720000</v>
      </c>
      <c r="S642" s="24">
        <f t="shared" si="296"/>
        <v>13261261.26126126</v>
      </c>
    </row>
    <row r="643" spans="1:19" s="19" customFormat="1">
      <c r="A643" s="18" t="s">
        <v>370</v>
      </c>
      <c r="B643" s="19" t="s">
        <v>181</v>
      </c>
      <c r="C643" s="20">
        <v>1145</v>
      </c>
      <c r="D643" s="21" t="s">
        <v>40</v>
      </c>
      <c r="E643" s="26"/>
      <c r="F643" s="22">
        <v>1</v>
      </c>
      <c r="G643" s="23" t="s">
        <v>20</v>
      </c>
      <c r="H643" s="22">
        <v>240</v>
      </c>
      <c r="I643" s="23" t="s">
        <v>40</v>
      </c>
      <c r="J643" s="24">
        <v>10000</v>
      </c>
      <c r="K643" s="21" t="s">
        <v>40</v>
      </c>
      <c r="L643" s="25"/>
      <c r="M643" s="25"/>
      <c r="N643" s="22"/>
      <c r="O643" s="23" t="s">
        <v>40</v>
      </c>
      <c r="P643" s="20">
        <f>(C643+(E643*F643*H643))-N643</f>
        <v>1145</v>
      </c>
      <c r="Q643" s="23" t="s">
        <v>40</v>
      </c>
      <c r="R643" s="24">
        <f>P643*(J643-(J643*L643)-((J643-(J643*L643))*M643))</f>
        <v>11450000</v>
      </c>
      <c r="S643" s="24">
        <f t="shared" si="296"/>
        <v>10315315.315315314</v>
      </c>
    </row>
    <row r="644" spans="1:19" s="19" customFormat="1">
      <c r="A644" s="18" t="s">
        <v>371</v>
      </c>
      <c r="B644" s="19" t="s">
        <v>181</v>
      </c>
      <c r="C644" s="20">
        <v>19</v>
      </c>
      <c r="D644" s="21" t="s">
        <v>40</v>
      </c>
      <c r="E644" s="26"/>
      <c r="F644" s="22">
        <v>1</v>
      </c>
      <c r="G644" s="23" t="s">
        <v>20</v>
      </c>
      <c r="H644" s="22">
        <v>240</v>
      </c>
      <c r="I644" s="23" t="s">
        <v>40</v>
      </c>
      <c r="J644" s="24">
        <v>10000</v>
      </c>
      <c r="K644" s="21" t="s">
        <v>40</v>
      </c>
      <c r="L644" s="25"/>
      <c r="M644" s="25"/>
      <c r="N644" s="22"/>
      <c r="O644" s="23" t="s">
        <v>40</v>
      </c>
      <c r="P644" s="20">
        <f>(C644+(E644*F644*H644))-N644</f>
        <v>19</v>
      </c>
      <c r="Q644" s="23" t="s">
        <v>40</v>
      </c>
      <c r="R644" s="24">
        <f>P644*(J644-(J644*L644)-((J644-(J644*L644))*M644))</f>
        <v>190000</v>
      </c>
      <c r="S644" s="24">
        <f t="shared" si="296"/>
        <v>171171.17117117115</v>
      </c>
    </row>
    <row r="645" spans="1:19" s="19" customFormat="1">
      <c r="A645" s="18"/>
      <c r="C645" s="20"/>
      <c r="D645" s="21"/>
      <c r="E645" s="26"/>
      <c r="F645" s="22"/>
      <c r="G645" s="23"/>
      <c r="H645" s="22"/>
      <c r="I645" s="23"/>
      <c r="J645" s="24"/>
      <c r="K645" s="21"/>
      <c r="L645" s="25"/>
      <c r="M645" s="25"/>
      <c r="N645" s="22"/>
      <c r="O645" s="23"/>
      <c r="P645" s="20"/>
      <c r="Q645" s="23"/>
      <c r="R645" s="24"/>
      <c r="S645" s="24"/>
    </row>
    <row r="646" spans="1:19" s="78" customFormat="1">
      <c r="A646" s="77" t="s">
        <v>401</v>
      </c>
      <c r="B646" s="78" t="s">
        <v>260</v>
      </c>
      <c r="C646" s="76"/>
      <c r="D646" s="79" t="s">
        <v>40</v>
      </c>
      <c r="E646" s="80"/>
      <c r="F646" s="81">
        <v>1</v>
      </c>
      <c r="G646" s="82" t="s">
        <v>20</v>
      </c>
      <c r="H646" s="81">
        <v>120</v>
      </c>
      <c r="I646" s="82" t="s">
        <v>40</v>
      </c>
      <c r="J646" s="83">
        <v>25500</v>
      </c>
      <c r="K646" s="79" t="s">
        <v>40</v>
      </c>
      <c r="L646" s="84"/>
      <c r="M646" s="84"/>
      <c r="N646" s="81"/>
      <c r="O646" s="82" t="s">
        <v>40</v>
      </c>
      <c r="P646" s="76">
        <f>(C646+(E646*F646*H646))-N646</f>
        <v>0</v>
      </c>
      <c r="Q646" s="82" t="s">
        <v>40</v>
      </c>
      <c r="R646" s="83">
        <f>P646*(J646-(J646*L646)-((J646-(J646*L646))*M646))</f>
        <v>0</v>
      </c>
      <c r="S646" s="83">
        <f>R646/1.11</f>
        <v>0</v>
      </c>
    </row>
    <row r="647" spans="1:19" s="78" customFormat="1">
      <c r="A647" s="77" t="s">
        <v>742</v>
      </c>
      <c r="B647" s="78" t="s">
        <v>260</v>
      </c>
      <c r="C647" s="76"/>
      <c r="D647" s="79" t="s">
        <v>40</v>
      </c>
      <c r="E647" s="80"/>
      <c r="F647" s="81">
        <v>1</v>
      </c>
      <c r="G647" s="82" t="s">
        <v>20</v>
      </c>
      <c r="H647" s="81">
        <v>120</v>
      </c>
      <c r="I647" s="82" t="s">
        <v>40</v>
      </c>
      <c r="J647" s="83">
        <v>19000</v>
      </c>
      <c r="K647" s="79" t="s">
        <v>40</v>
      </c>
      <c r="L647" s="84"/>
      <c r="M647" s="84"/>
      <c r="N647" s="81"/>
      <c r="O647" s="82" t="s">
        <v>40</v>
      </c>
      <c r="P647" s="76">
        <f>(C647+(E647*F647*H647))-N647</f>
        <v>0</v>
      </c>
      <c r="Q647" s="82" t="s">
        <v>40</v>
      </c>
      <c r="R647" s="83">
        <f>P647*(J647-(J647*L647)-((J647-(J647*L647))*M647))</f>
        <v>0</v>
      </c>
      <c r="S647" s="83">
        <f t="shared" ref="S647" si="324">R647/1.11</f>
        <v>0</v>
      </c>
    </row>
    <row r="648" spans="1:19" s="95" customFormat="1">
      <c r="A648" s="158" t="s">
        <v>959</v>
      </c>
      <c r="B648" s="95" t="s">
        <v>260</v>
      </c>
      <c r="C648" s="96"/>
      <c r="D648" s="97" t="s">
        <v>40</v>
      </c>
      <c r="E648" s="98">
        <v>1</v>
      </c>
      <c r="F648" s="99">
        <v>1</v>
      </c>
      <c r="G648" s="100" t="s">
        <v>20</v>
      </c>
      <c r="H648" s="99">
        <v>120</v>
      </c>
      <c r="I648" s="100" t="s">
        <v>40</v>
      </c>
      <c r="J648" s="101">
        <v>25500</v>
      </c>
      <c r="K648" s="97" t="s">
        <v>40</v>
      </c>
      <c r="L648" s="102"/>
      <c r="M648" s="102"/>
      <c r="N648" s="99"/>
      <c r="O648" s="100" t="s">
        <v>40</v>
      </c>
      <c r="P648" s="96">
        <f>(C648+(E648*F648*H648))-N648</f>
        <v>120</v>
      </c>
      <c r="Q648" s="100" t="s">
        <v>40</v>
      </c>
      <c r="R648" s="101">
        <f>P648*(J648-(J648*L648)-((J648-(J648*L648))*M648))</f>
        <v>3060000</v>
      </c>
      <c r="S648" s="101">
        <f t="shared" ref="S648" si="325">R648/1.11</f>
        <v>2756756.7567567565</v>
      </c>
    </row>
    <row r="649" spans="1:19" s="19" customFormat="1">
      <c r="A649" s="18"/>
      <c r="C649" s="20"/>
      <c r="D649" s="21"/>
      <c r="E649" s="26"/>
      <c r="F649" s="22"/>
      <c r="G649" s="23"/>
      <c r="H649" s="22"/>
      <c r="I649" s="23"/>
      <c r="J649" s="24"/>
      <c r="K649" s="21"/>
      <c r="L649" s="25"/>
      <c r="M649" s="25"/>
      <c r="N649" s="22"/>
      <c r="O649" s="23"/>
      <c r="P649" s="20"/>
      <c r="Q649" s="23"/>
      <c r="R649" s="24"/>
      <c r="S649" s="24"/>
    </row>
    <row r="650" spans="1:19" s="78" customFormat="1">
      <c r="A650" s="77" t="s">
        <v>372</v>
      </c>
      <c r="B650" s="78" t="s">
        <v>18</v>
      </c>
      <c r="C650" s="76"/>
      <c r="D650" s="79" t="s">
        <v>40</v>
      </c>
      <c r="E650" s="80"/>
      <c r="F650" s="81">
        <v>1</v>
      </c>
      <c r="G650" s="82" t="s">
        <v>20</v>
      </c>
      <c r="H650" s="81">
        <v>144</v>
      </c>
      <c r="I650" s="82" t="s">
        <v>40</v>
      </c>
      <c r="J650" s="83">
        <v>19800</v>
      </c>
      <c r="K650" s="79" t="s">
        <v>40</v>
      </c>
      <c r="L650" s="84">
        <v>0.125</v>
      </c>
      <c r="M650" s="84">
        <v>0.05</v>
      </c>
      <c r="N650" s="81"/>
      <c r="O650" s="82" t="s">
        <v>40</v>
      </c>
      <c r="P650" s="76">
        <f t="shared" ref="P650:P669" si="326">(C650+(E650*F650*H650))-N650</f>
        <v>0</v>
      </c>
      <c r="Q650" s="82" t="s">
        <v>40</v>
      </c>
      <c r="R650" s="83">
        <f t="shared" ref="R650:R669" si="327">P650*(J650-(J650*L650)-((J650-(J650*L650))*M650))</f>
        <v>0</v>
      </c>
      <c r="S650" s="83">
        <f t="shared" si="296"/>
        <v>0</v>
      </c>
    </row>
    <row r="651" spans="1:19" s="78" customFormat="1">
      <c r="A651" s="77" t="s">
        <v>373</v>
      </c>
      <c r="B651" s="78" t="s">
        <v>18</v>
      </c>
      <c r="C651" s="76"/>
      <c r="D651" s="79" t="s">
        <v>40</v>
      </c>
      <c r="E651" s="80"/>
      <c r="F651" s="81">
        <v>1</v>
      </c>
      <c r="G651" s="82" t="s">
        <v>20</v>
      </c>
      <c r="H651" s="81">
        <v>144</v>
      </c>
      <c r="I651" s="82" t="s">
        <v>40</v>
      </c>
      <c r="J651" s="83">
        <v>20400</v>
      </c>
      <c r="K651" s="79" t="s">
        <v>40</v>
      </c>
      <c r="L651" s="84">
        <v>0.125</v>
      </c>
      <c r="M651" s="84">
        <v>0.05</v>
      </c>
      <c r="N651" s="81"/>
      <c r="O651" s="82" t="s">
        <v>40</v>
      </c>
      <c r="P651" s="76">
        <f t="shared" si="326"/>
        <v>0</v>
      </c>
      <c r="Q651" s="82" t="s">
        <v>40</v>
      </c>
      <c r="R651" s="83">
        <f t="shared" si="327"/>
        <v>0</v>
      </c>
      <c r="S651" s="83">
        <f t="shared" si="296"/>
        <v>0</v>
      </c>
    </row>
    <row r="652" spans="1:19" s="78" customFormat="1">
      <c r="A652" s="110" t="s">
        <v>658</v>
      </c>
      <c r="B652" s="78" t="s">
        <v>18</v>
      </c>
      <c r="C652" s="76"/>
      <c r="D652" s="79" t="s">
        <v>40</v>
      </c>
      <c r="E652" s="80"/>
      <c r="F652" s="81">
        <v>1</v>
      </c>
      <c r="G652" s="82" t="s">
        <v>20</v>
      </c>
      <c r="H652" s="81">
        <v>144</v>
      </c>
      <c r="I652" s="82" t="s">
        <v>40</v>
      </c>
      <c r="J652" s="83">
        <v>69600</v>
      </c>
      <c r="K652" s="79" t="s">
        <v>40</v>
      </c>
      <c r="L652" s="84">
        <v>0.125</v>
      </c>
      <c r="M652" s="84">
        <v>0.05</v>
      </c>
      <c r="N652" s="81"/>
      <c r="O652" s="82" t="s">
        <v>40</v>
      </c>
      <c r="P652" s="76">
        <f t="shared" si="326"/>
        <v>0</v>
      </c>
      <c r="Q652" s="82" t="s">
        <v>40</v>
      </c>
      <c r="R652" s="83">
        <f t="shared" si="327"/>
        <v>0</v>
      </c>
      <c r="S652" s="83">
        <f t="shared" si="296"/>
        <v>0</v>
      </c>
    </row>
    <row r="653" spans="1:19" s="78" customFormat="1">
      <c r="A653" s="110" t="s">
        <v>789</v>
      </c>
      <c r="B653" s="78" t="s">
        <v>18</v>
      </c>
      <c r="C653" s="76"/>
      <c r="D653" s="79" t="s">
        <v>40</v>
      </c>
      <c r="E653" s="80"/>
      <c r="F653" s="81">
        <v>1</v>
      </c>
      <c r="G653" s="82" t="s">
        <v>20</v>
      </c>
      <c r="H653" s="81">
        <v>144</v>
      </c>
      <c r="I653" s="82" t="s">
        <v>40</v>
      </c>
      <c r="J653" s="83">
        <v>32400</v>
      </c>
      <c r="K653" s="79" t="s">
        <v>40</v>
      </c>
      <c r="L653" s="84">
        <v>0.125</v>
      </c>
      <c r="M653" s="84">
        <v>0.05</v>
      </c>
      <c r="N653" s="81"/>
      <c r="O653" s="82" t="s">
        <v>40</v>
      </c>
      <c r="P653" s="76">
        <f t="shared" si="326"/>
        <v>0</v>
      </c>
      <c r="Q653" s="82" t="s">
        <v>40</v>
      </c>
      <c r="R653" s="83">
        <f t="shared" si="327"/>
        <v>0</v>
      </c>
      <c r="S653" s="83">
        <f t="shared" si="296"/>
        <v>0</v>
      </c>
    </row>
    <row r="654" spans="1:19" s="19" customFormat="1">
      <c r="A654" s="40" t="s">
        <v>917</v>
      </c>
      <c r="B654" s="19" t="s">
        <v>18</v>
      </c>
      <c r="C654" s="20"/>
      <c r="D654" s="21" t="s">
        <v>40</v>
      </c>
      <c r="E654" s="26">
        <v>1</v>
      </c>
      <c r="F654" s="22">
        <v>1</v>
      </c>
      <c r="G654" s="23" t="s">
        <v>20</v>
      </c>
      <c r="H654" s="22">
        <v>144</v>
      </c>
      <c r="I654" s="23" t="s">
        <v>40</v>
      </c>
      <c r="J654" s="24">
        <v>34200</v>
      </c>
      <c r="K654" s="21" t="s">
        <v>40</v>
      </c>
      <c r="L654" s="25">
        <v>0.125</v>
      </c>
      <c r="M654" s="25">
        <v>0.05</v>
      </c>
      <c r="N654" s="22"/>
      <c r="O654" s="23" t="s">
        <v>40</v>
      </c>
      <c r="P654" s="20">
        <f t="shared" ref="P654" si="328">(C654+(E654*F654*H654))-N654</f>
        <v>144</v>
      </c>
      <c r="Q654" s="23" t="s">
        <v>40</v>
      </c>
      <c r="R654" s="24">
        <f t="shared" ref="R654" si="329">P654*(J654-(J654*L654)-((J654-(J654*L654))*M654))</f>
        <v>4093740</v>
      </c>
      <c r="S654" s="24">
        <f t="shared" si="296"/>
        <v>3688054.0540540535</v>
      </c>
    </row>
    <row r="655" spans="1:19" s="78" customFormat="1">
      <c r="A655" s="110" t="s">
        <v>374</v>
      </c>
      <c r="B655" s="78" t="s">
        <v>18</v>
      </c>
      <c r="C655" s="76"/>
      <c r="D655" s="79" t="s">
        <v>40</v>
      </c>
      <c r="E655" s="80"/>
      <c r="F655" s="81">
        <v>1</v>
      </c>
      <c r="G655" s="82" t="s">
        <v>20</v>
      </c>
      <c r="H655" s="81">
        <v>144</v>
      </c>
      <c r="I655" s="82" t="s">
        <v>40</v>
      </c>
      <c r="J655" s="83">
        <v>27000</v>
      </c>
      <c r="K655" s="79" t="s">
        <v>40</v>
      </c>
      <c r="L655" s="84">
        <v>0.125</v>
      </c>
      <c r="M655" s="84">
        <v>0.05</v>
      </c>
      <c r="N655" s="81"/>
      <c r="O655" s="82" t="s">
        <v>40</v>
      </c>
      <c r="P655" s="76">
        <f t="shared" si="326"/>
        <v>0</v>
      </c>
      <c r="Q655" s="82" t="s">
        <v>40</v>
      </c>
      <c r="R655" s="83">
        <f t="shared" si="327"/>
        <v>0</v>
      </c>
      <c r="S655" s="83">
        <f t="shared" si="296"/>
        <v>0</v>
      </c>
    </row>
    <row r="656" spans="1:19" s="78" customFormat="1">
      <c r="A656" s="110" t="s">
        <v>714</v>
      </c>
      <c r="B656" s="78" t="s">
        <v>18</v>
      </c>
      <c r="C656" s="76"/>
      <c r="D656" s="79" t="s">
        <v>40</v>
      </c>
      <c r="E656" s="80">
        <v>2</v>
      </c>
      <c r="F656" s="81">
        <v>1</v>
      </c>
      <c r="G656" s="82" t="s">
        <v>20</v>
      </c>
      <c r="H656" s="81">
        <v>144</v>
      </c>
      <c r="I656" s="82" t="s">
        <v>40</v>
      </c>
      <c r="J656" s="83">
        <v>21600</v>
      </c>
      <c r="K656" s="79" t="s">
        <v>40</v>
      </c>
      <c r="L656" s="84">
        <v>0.125</v>
      </c>
      <c r="M656" s="84">
        <v>0.05</v>
      </c>
      <c r="N656" s="81"/>
      <c r="O656" s="82" t="s">
        <v>40</v>
      </c>
      <c r="P656" s="76">
        <f t="shared" si="326"/>
        <v>288</v>
      </c>
      <c r="Q656" s="82" t="s">
        <v>40</v>
      </c>
      <c r="R656" s="83">
        <f t="shared" si="327"/>
        <v>5171040</v>
      </c>
      <c r="S656" s="83">
        <f t="shared" ref="S656:S739" si="330">R656/1.11</f>
        <v>4658594.5945945941</v>
      </c>
    </row>
    <row r="657" spans="1:19" s="78" customFormat="1">
      <c r="A657" s="110" t="s">
        <v>375</v>
      </c>
      <c r="B657" s="78" t="s">
        <v>18</v>
      </c>
      <c r="C657" s="76"/>
      <c r="D657" s="79" t="s">
        <v>40</v>
      </c>
      <c r="E657" s="80">
        <v>4</v>
      </c>
      <c r="F657" s="81">
        <v>1</v>
      </c>
      <c r="G657" s="82" t="s">
        <v>20</v>
      </c>
      <c r="H657" s="81">
        <v>144</v>
      </c>
      <c r="I657" s="82" t="s">
        <v>40</v>
      </c>
      <c r="J657" s="83">
        <v>43200</v>
      </c>
      <c r="K657" s="79" t="s">
        <v>40</v>
      </c>
      <c r="L657" s="84">
        <v>0.125</v>
      </c>
      <c r="M657" s="84">
        <v>0.05</v>
      </c>
      <c r="N657" s="81"/>
      <c r="O657" s="82" t="s">
        <v>40</v>
      </c>
      <c r="P657" s="76">
        <f t="shared" si="326"/>
        <v>576</v>
      </c>
      <c r="Q657" s="82" t="s">
        <v>40</v>
      </c>
      <c r="R657" s="83">
        <f t="shared" si="327"/>
        <v>20684160</v>
      </c>
      <c r="S657" s="83">
        <f t="shared" si="330"/>
        <v>18634378.378378376</v>
      </c>
    </row>
    <row r="658" spans="1:19" s="78" customFormat="1">
      <c r="A658" s="110" t="s">
        <v>376</v>
      </c>
      <c r="B658" s="78" t="s">
        <v>18</v>
      </c>
      <c r="C658" s="76"/>
      <c r="D658" s="79" t="s">
        <v>40</v>
      </c>
      <c r="E658" s="80"/>
      <c r="F658" s="81">
        <v>1</v>
      </c>
      <c r="G658" s="82" t="s">
        <v>20</v>
      </c>
      <c r="H658" s="81">
        <v>144</v>
      </c>
      <c r="I658" s="82" t="s">
        <v>40</v>
      </c>
      <c r="J658" s="83">
        <v>22800</v>
      </c>
      <c r="K658" s="79" t="s">
        <v>40</v>
      </c>
      <c r="L658" s="84">
        <v>0.125</v>
      </c>
      <c r="M658" s="84">
        <v>0.05</v>
      </c>
      <c r="N658" s="81"/>
      <c r="O658" s="82" t="s">
        <v>40</v>
      </c>
      <c r="P658" s="76">
        <f t="shared" si="326"/>
        <v>0</v>
      </c>
      <c r="Q658" s="82" t="s">
        <v>40</v>
      </c>
      <c r="R658" s="83">
        <f t="shared" si="327"/>
        <v>0</v>
      </c>
      <c r="S658" s="83">
        <f t="shared" si="330"/>
        <v>0</v>
      </c>
    </row>
    <row r="659" spans="1:19" s="95" customFormat="1">
      <c r="A659" s="171" t="s">
        <v>376</v>
      </c>
      <c r="B659" s="95" t="s">
        <v>18</v>
      </c>
      <c r="C659" s="96"/>
      <c r="D659" s="97" t="s">
        <v>40</v>
      </c>
      <c r="E659" s="98">
        <v>1</v>
      </c>
      <c r="F659" s="99">
        <v>1</v>
      </c>
      <c r="G659" s="100" t="s">
        <v>20</v>
      </c>
      <c r="H659" s="99">
        <v>144</v>
      </c>
      <c r="I659" s="100" t="s">
        <v>40</v>
      </c>
      <c r="J659" s="101">
        <v>24600</v>
      </c>
      <c r="K659" s="97" t="s">
        <v>40</v>
      </c>
      <c r="L659" s="102">
        <v>0.125</v>
      </c>
      <c r="M659" s="102">
        <v>0.05</v>
      </c>
      <c r="N659" s="99"/>
      <c r="O659" s="100" t="s">
        <v>40</v>
      </c>
      <c r="P659" s="96">
        <f t="shared" ref="P659" si="331">(C659+(E659*F659*H659))-N659</f>
        <v>144</v>
      </c>
      <c r="Q659" s="100" t="s">
        <v>40</v>
      </c>
      <c r="R659" s="101">
        <f t="shared" ref="R659" si="332">P659*(J659-(J659*L659)-((J659-(J659*L659))*M659))</f>
        <v>2944620</v>
      </c>
      <c r="S659" s="101">
        <f t="shared" ref="S659" si="333">R659/1.11</f>
        <v>2652810.8108108104</v>
      </c>
    </row>
    <row r="660" spans="1:19" s="19" customFormat="1">
      <c r="A660" s="137" t="s">
        <v>377</v>
      </c>
      <c r="B660" s="19" t="s">
        <v>18</v>
      </c>
      <c r="C660" s="20"/>
      <c r="D660" s="21" t="s">
        <v>40</v>
      </c>
      <c r="E660" s="26">
        <v>7</v>
      </c>
      <c r="F660" s="22">
        <v>1</v>
      </c>
      <c r="G660" s="23" t="s">
        <v>20</v>
      </c>
      <c r="H660" s="22">
        <v>144</v>
      </c>
      <c r="I660" s="23" t="s">
        <v>40</v>
      </c>
      <c r="J660" s="135">
        <v>28200</v>
      </c>
      <c r="K660" s="21" t="s">
        <v>40</v>
      </c>
      <c r="L660" s="25">
        <v>0.125</v>
      </c>
      <c r="M660" s="25">
        <v>0.05</v>
      </c>
      <c r="N660" s="22"/>
      <c r="O660" s="65" t="s">
        <v>40</v>
      </c>
      <c r="P660" s="20">
        <f t="shared" ref="P660:P661" si="334">(C660+(E660*F660*H660))-N660</f>
        <v>1008</v>
      </c>
      <c r="Q660" s="23" t="s">
        <v>40</v>
      </c>
      <c r="R660" s="24">
        <f t="shared" ref="R660:R661" si="335">P660*(J660-(J660*L660)-((J660-(J660*L660))*M660))</f>
        <v>23628780</v>
      </c>
      <c r="S660" s="24">
        <f t="shared" ref="S660:S661" si="336">R660/1.11</f>
        <v>21287189.189189188</v>
      </c>
    </row>
    <row r="661" spans="1:19" s="19" customFormat="1">
      <c r="A661" s="137" t="s">
        <v>377</v>
      </c>
      <c r="B661" s="19" t="s">
        <v>18</v>
      </c>
      <c r="C661" s="20">
        <v>312</v>
      </c>
      <c r="D661" s="21" t="s">
        <v>40</v>
      </c>
      <c r="E661" s="26"/>
      <c r="F661" s="22">
        <v>1</v>
      </c>
      <c r="G661" s="23" t="s">
        <v>20</v>
      </c>
      <c r="H661" s="22">
        <v>144</v>
      </c>
      <c r="I661" s="23" t="s">
        <v>40</v>
      </c>
      <c r="J661" s="135">
        <v>26400</v>
      </c>
      <c r="K661" s="21" t="s">
        <v>40</v>
      </c>
      <c r="L661" s="25">
        <v>0.125</v>
      </c>
      <c r="M661" s="25">
        <v>0.05</v>
      </c>
      <c r="N661" s="22"/>
      <c r="O661" s="65" t="s">
        <v>40</v>
      </c>
      <c r="P661" s="20">
        <f t="shared" si="334"/>
        <v>312</v>
      </c>
      <c r="Q661" s="23" t="s">
        <v>40</v>
      </c>
      <c r="R661" s="24">
        <f t="shared" si="335"/>
        <v>6846840</v>
      </c>
      <c r="S661" s="24">
        <f t="shared" si="336"/>
        <v>6168324.3243243238</v>
      </c>
    </row>
    <row r="662" spans="1:19" s="19" customFormat="1">
      <c r="A662" s="137" t="s">
        <v>867</v>
      </c>
      <c r="B662" s="19" t="s">
        <v>18</v>
      </c>
      <c r="C662" s="20">
        <v>351</v>
      </c>
      <c r="D662" s="21" t="s">
        <v>40</v>
      </c>
      <c r="E662" s="26"/>
      <c r="F662" s="22">
        <v>1</v>
      </c>
      <c r="G662" s="23" t="s">
        <v>20</v>
      </c>
      <c r="H662" s="22">
        <v>144</v>
      </c>
      <c r="I662" s="23" t="s">
        <v>40</v>
      </c>
      <c r="J662" s="135"/>
      <c r="K662" s="21" t="s">
        <v>40</v>
      </c>
      <c r="L662" s="25">
        <v>0.125</v>
      </c>
      <c r="M662" s="25">
        <v>0.05</v>
      </c>
      <c r="N662" s="22"/>
      <c r="O662" s="65" t="s">
        <v>40</v>
      </c>
      <c r="P662" s="20">
        <f t="shared" si="326"/>
        <v>351</v>
      </c>
      <c r="Q662" s="23" t="s">
        <v>40</v>
      </c>
      <c r="R662" s="24">
        <f t="shared" si="327"/>
        <v>0</v>
      </c>
      <c r="S662" s="24">
        <f t="shared" si="330"/>
        <v>0</v>
      </c>
    </row>
    <row r="663" spans="1:19" s="19" customFormat="1">
      <c r="A663" s="40" t="s">
        <v>378</v>
      </c>
      <c r="B663" s="19" t="s">
        <v>18</v>
      </c>
      <c r="C663" s="20">
        <v>233</v>
      </c>
      <c r="D663" s="21" t="s">
        <v>40</v>
      </c>
      <c r="E663" s="26">
        <v>13</v>
      </c>
      <c r="F663" s="22">
        <v>1</v>
      </c>
      <c r="G663" s="23" t="s">
        <v>20</v>
      </c>
      <c r="H663" s="22">
        <v>144</v>
      </c>
      <c r="I663" s="23" t="s">
        <v>40</v>
      </c>
      <c r="J663" s="24">
        <v>27600</v>
      </c>
      <c r="K663" s="21" t="s">
        <v>40</v>
      </c>
      <c r="L663" s="25">
        <v>0.125</v>
      </c>
      <c r="M663" s="25">
        <v>0.05</v>
      </c>
      <c r="N663" s="22"/>
      <c r="O663" s="23" t="s">
        <v>40</v>
      </c>
      <c r="P663" s="20">
        <f t="shared" si="326"/>
        <v>2105</v>
      </c>
      <c r="Q663" s="23" t="s">
        <v>40</v>
      </c>
      <c r="R663" s="24">
        <f t="shared" si="327"/>
        <v>48293962.5</v>
      </c>
      <c r="S663" s="24">
        <f t="shared" si="330"/>
        <v>43508074.324324317</v>
      </c>
    </row>
    <row r="664" spans="1:19" s="69" customFormat="1">
      <c r="A664" s="110" t="s">
        <v>379</v>
      </c>
      <c r="B664" s="69" t="s">
        <v>18</v>
      </c>
      <c r="C664" s="70"/>
      <c r="D664" s="71" t="s">
        <v>40</v>
      </c>
      <c r="E664" s="72"/>
      <c r="F664" s="73">
        <v>1</v>
      </c>
      <c r="G664" s="74" t="s">
        <v>20</v>
      </c>
      <c r="H664" s="73">
        <v>144</v>
      </c>
      <c r="I664" s="74" t="s">
        <v>40</v>
      </c>
      <c r="J664" s="16">
        <v>25800</v>
      </c>
      <c r="K664" s="71" t="s">
        <v>40</v>
      </c>
      <c r="L664" s="75">
        <v>0.125</v>
      </c>
      <c r="M664" s="75">
        <v>0.05</v>
      </c>
      <c r="N664" s="73"/>
      <c r="O664" s="74" t="s">
        <v>40</v>
      </c>
      <c r="P664" s="70">
        <f t="shared" si="326"/>
        <v>0</v>
      </c>
      <c r="Q664" s="74" t="s">
        <v>40</v>
      </c>
      <c r="R664" s="16">
        <f t="shared" si="327"/>
        <v>0</v>
      </c>
      <c r="S664" s="16">
        <f t="shared" si="330"/>
        <v>0</v>
      </c>
    </row>
    <row r="665" spans="1:19" s="19" customFormat="1">
      <c r="A665" s="18" t="s">
        <v>919</v>
      </c>
      <c r="B665" s="19" t="s">
        <v>18</v>
      </c>
      <c r="C665" s="20"/>
      <c r="D665" s="21" t="s">
        <v>40</v>
      </c>
      <c r="E665" s="26">
        <v>1</v>
      </c>
      <c r="F665" s="22">
        <v>1</v>
      </c>
      <c r="G665" s="23" t="s">
        <v>20</v>
      </c>
      <c r="H665" s="22">
        <v>144</v>
      </c>
      <c r="I665" s="23" t="s">
        <v>40</v>
      </c>
      <c r="J665" s="24">
        <v>22200</v>
      </c>
      <c r="K665" s="21" t="s">
        <v>40</v>
      </c>
      <c r="L665" s="25">
        <v>0.125</v>
      </c>
      <c r="M665" s="25">
        <v>0.05</v>
      </c>
      <c r="N665" s="22"/>
      <c r="O665" s="23" t="s">
        <v>40</v>
      </c>
      <c r="P665" s="20">
        <f t="shared" ref="P665" si="337">(C665+(E665*F665*H665))-N665</f>
        <v>144</v>
      </c>
      <c r="Q665" s="23" t="s">
        <v>40</v>
      </c>
      <c r="R665" s="24">
        <f t="shared" ref="R665" si="338">P665*(J665-(J665*L665)-((J665-(J665*L665))*M665))</f>
        <v>2657340</v>
      </c>
      <c r="S665" s="24">
        <f t="shared" ref="S665" si="339">R665/1.11</f>
        <v>2394000</v>
      </c>
    </row>
    <row r="666" spans="1:19">
      <c r="A666" s="17" t="s">
        <v>380</v>
      </c>
      <c r="B666" s="2" t="s">
        <v>18</v>
      </c>
      <c r="D666" s="4" t="s">
        <v>40</v>
      </c>
      <c r="E666" s="5">
        <v>8</v>
      </c>
      <c r="F666" s="6">
        <v>1</v>
      </c>
      <c r="G666" s="7" t="s">
        <v>20</v>
      </c>
      <c r="H666" s="6">
        <v>144</v>
      </c>
      <c r="I666" s="7" t="s">
        <v>40</v>
      </c>
      <c r="J666" s="8">
        <v>14100</v>
      </c>
      <c r="K666" s="4" t="s">
        <v>40</v>
      </c>
      <c r="L666" s="9">
        <v>0.125</v>
      </c>
      <c r="M666" s="9">
        <v>0.05</v>
      </c>
      <c r="O666" s="7" t="s">
        <v>40</v>
      </c>
      <c r="P666" s="3">
        <f t="shared" si="326"/>
        <v>1152</v>
      </c>
      <c r="Q666" s="7" t="s">
        <v>40</v>
      </c>
      <c r="R666" s="8">
        <f t="shared" si="327"/>
        <v>13502160</v>
      </c>
      <c r="S666" s="8">
        <f t="shared" si="330"/>
        <v>12164108.108108107</v>
      </c>
    </row>
    <row r="667" spans="1:19" s="69" customFormat="1">
      <c r="A667" s="68" t="s">
        <v>701</v>
      </c>
      <c r="B667" s="69" t="s">
        <v>18</v>
      </c>
      <c r="C667" s="70"/>
      <c r="D667" s="71" t="s">
        <v>40</v>
      </c>
      <c r="E667" s="72"/>
      <c r="F667" s="73">
        <v>1</v>
      </c>
      <c r="G667" s="74" t="s">
        <v>20</v>
      </c>
      <c r="H667" s="73">
        <v>144</v>
      </c>
      <c r="I667" s="74" t="s">
        <v>40</v>
      </c>
      <c r="J667" s="16">
        <v>25800</v>
      </c>
      <c r="K667" s="71" t="s">
        <v>40</v>
      </c>
      <c r="L667" s="75">
        <v>0.125</v>
      </c>
      <c r="M667" s="75">
        <v>0.05</v>
      </c>
      <c r="N667" s="73"/>
      <c r="O667" s="74" t="s">
        <v>40</v>
      </c>
      <c r="P667" s="70">
        <f t="shared" si="326"/>
        <v>0</v>
      </c>
      <c r="Q667" s="74" t="s">
        <v>40</v>
      </c>
      <c r="R667" s="16">
        <f t="shared" si="327"/>
        <v>0</v>
      </c>
      <c r="S667" s="16">
        <f t="shared" si="330"/>
        <v>0</v>
      </c>
    </row>
    <row r="668" spans="1:19">
      <c r="A668" s="17" t="s">
        <v>381</v>
      </c>
      <c r="B668" s="2" t="s">
        <v>18</v>
      </c>
      <c r="C668" s="3">
        <v>432</v>
      </c>
      <c r="D668" s="4" t="s">
        <v>40</v>
      </c>
      <c r="E668" s="5">
        <v>8</v>
      </c>
      <c r="F668" s="6">
        <v>1</v>
      </c>
      <c r="G668" s="7" t="s">
        <v>20</v>
      </c>
      <c r="H668" s="6">
        <v>144</v>
      </c>
      <c r="I668" s="7" t="s">
        <v>40</v>
      </c>
      <c r="J668" s="8">
        <v>20400</v>
      </c>
      <c r="K668" s="4" t="s">
        <v>40</v>
      </c>
      <c r="L668" s="9">
        <v>0.125</v>
      </c>
      <c r="M668" s="9">
        <v>0.05</v>
      </c>
      <c r="O668" s="7" t="s">
        <v>40</v>
      </c>
      <c r="P668" s="3">
        <f t="shared" si="326"/>
        <v>1584</v>
      </c>
      <c r="Q668" s="7" t="s">
        <v>40</v>
      </c>
      <c r="R668" s="8">
        <f t="shared" si="327"/>
        <v>26860680</v>
      </c>
      <c r="S668" s="8">
        <f t="shared" si="330"/>
        <v>24198810.810810808</v>
      </c>
    </row>
    <row r="669" spans="1:19" s="69" customFormat="1">
      <c r="A669" s="68" t="s">
        <v>798</v>
      </c>
      <c r="B669" s="69" t="s">
        <v>18</v>
      </c>
      <c r="C669" s="70"/>
      <c r="D669" s="71" t="s">
        <v>40</v>
      </c>
      <c r="E669" s="72"/>
      <c r="F669" s="73">
        <v>1</v>
      </c>
      <c r="G669" s="74" t="s">
        <v>20</v>
      </c>
      <c r="H669" s="73">
        <v>144</v>
      </c>
      <c r="I669" s="74" t="s">
        <v>40</v>
      </c>
      <c r="J669" s="16">
        <v>17400</v>
      </c>
      <c r="K669" s="71" t="s">
        <v>40</v>
      </c>
      <c r="L669" s="75">
        <v>0.125</v>
      </c>
      <c r="M669" s="75">
        <v>0.1</v>
      </c>
      <c r="N669" s="73"/>
      <c r="O669" s="74" t="s">
        <v>40</v>
      </c>
      <c r="P669" s="70">
        <f t="shared" si="326"/>
        <v>0</v>
      </c>
      <c r="Q669" s="74" t="s">
        <v>40</v>
      </c>
      <c r="R669" s="16">
        <f t="shared" si="327"/>
        <v>0</v>
      </c>
      <c r="S669" s="16">
        <f t="shared" si="330"/>
        <v>0</v>
      </c>
    </row>
    <row r="671" spans="1:19" s="69" customFormat="1">
      <c r="A671" s="68" t="s">
        <v>382</v>
      </c>
      <c r="B671" s="69" t="s">
        <v>25</v>
      </c>
      <c r="C671" s="76"/>
      <c r="D671" s="71" t="s">
        <v>40</v>
      </c>
      <c r="E671" s="72"/>
      <c r="F671" s="73">
        <v>1</v>
      </c>
      <c r="G671" s="74" t="s">
        <v>20</v>
      </c>
      <c r="H671" s="73">
        <v>144</v>
      </c>
      <c r="I671" s="74" t="s">
        <v>40</v>
      </c>
      <c r="J671" s="16">
        <v>25200</v>
      </c>
      <c r="K671" s="71" t="s">
        <v>40</v>
      </c>
      <c r="L671" s="75"/>
      <c r="M671" s="75">
        <v>0.17</v>
      </c>
      <c r="N671" s="73"/>
      <c r="O671" s="74" t="s">
        <v>40</v>
      </c>
      <c r="P671" s="70">
        <f t="shared" ref="P671:P704" si="340">(C671+(E671*F671*H671))-N671</f>
        <v>0</v>
      </c>
      <c r="Q671" s="74" t="s">
        <v>40</v>
      </c>
      <c r="R671" s="16">
        <f t="shared" ref="R671:R704" si="341">P671*(J671-(J671*L671)-((J671-(J671*L671))*M671))</f>
        <v>0</v>
      </c>
      <c r="S671" s="16">
        <f t="shared" si="330"/>
        <v>0</v>
      </c>
    </row>
    <row r="672" spans="1:19">
      <c r="A672" s="17" t="s">
        <v>674</v>
      </c>
      <c r="B672" s="2" t="s">
        <v>25</v>
      </c>
      <c r="C672" s="3">
        <v>432</v>
      </c>
      <c r="D672" s="4" t="s">
        <v>40</v>
      </c>
      <c r="E672" s="5">
        <v>5</v>
      </c>
      <c r="F672" s="6">
        <v>1</v>
      </c>
      <c r="G672" s="7" t="s">
        <v>20</v>
      </c>
      <c r="H672" s="6">
        <v>144</v>
      </c>
      <c r="I672" s="7" t="s">
        <v>40</v>
      </c>
      <c r="J672" s="8">
        <f>3758400/144</f>
        <v>26100</v>
      </c>
      <c r="K672" s="4" t="s">
        <v>40</v>
      </c>
      <c r="M672" s="9">
        <v>0.17</v>
      </c>
      <c r="O672" s="7" t="s">
        <v>40</v>
      </c>
      <c r="P672" s="3">
        <f t="shared" si="340"/>
        <v>1152</v>
      </c>
      <c r="Q672" s="7" t="s">
        <v>40</v>
      </c>
      <c r="R672" s="8">
        <f t="shared" si="341"/>
        <v>24955776</v>
      </c>
      <c r="S672" s="8">
        <f t="shared" si="330"/>
        <v>22482681.081081077</v>
      </c>
    </row>
    <row r="673" spans="1:19">
      <c r="A673" s="17" t="s">
        <v>383</v>
      </c>
      <c r="B673" s="2" t="s">
        <v>25</v>
      </c>
      <c r="C673" s="3">
        <v>60</v>
      </c>
      <c r="D673" s="4" t="s">
        <v>40</v>
      </c>
      <c r="F673" s="6">
        <v>1</v>
      </c>
      <c r="G673" s="7" t="s">
        <v>20</v>
      </c>
      <c r="H673" s="6">
        <v>144</v>
      </c>
      <c r="I673" s="7" t="s">
        <v>40</v>
      </c>
      <c r="J673" s="8">
        <f>3715200/144</f>
        <v>25800</v>
      </c>
      <c r="K673" s="4" t="s">
        <v>40</v>
      </c>
      <c r="M673" s="9">
        <v>0.17</v>
      </c>
      <c r="O673" s="7" t="s">
        <v>40</v>
      </c>
      <c r="P673" s="3">
        <f t="shared" si="340"/>
        <v>60</v>
      </c>
      <c r="Q673" s="7" t="s">
        <v>40</v>
      </c>
      <c r="R673" s="8">
        <f t="shared" si="341"/>
        <v>1284840</v>
      </c>
      <c r="S673" s="8">
        <f t="shared" si="330"/>
        <v>1157513.5135135134</v>
      </c>
    </row>
    <row r="674" spans="1:19" s="69" customFormat="1">
      <c r="A674" s="68" t="s">
        <v>394</v>
      </c>
      <c r="B674" s="69" t="s">
        <v>25</v>
      </c>
      <c r="C674" s="76"/>
      <c r="D674" s="71" t="s">
        <v>40</v>
      </c>
      <c r="E674" s="72"/>
      <c r="F674" s="73">
        <v>1</v>
      </c>
      <c r="G674" s="74" t="s">
        <v>20</v>
      </c>
      <c r="H674" s="73">
        <v>144</v>
      </c>
      <c r="I674" s="74" t="s">
        <v>40</v>
      </c>
      <c r="J674" s="16">
        <v>25800</v>
      </c>
      <c r="K674" s="71" t="s">
        <v>40</v>
      </c>
      <c r="L674" s="75"/>
      <c r="M674" s="75">
        <v>0.17</v>
      </c>
      <c r="N674" s="73"/>
      <c r="O674" s="74" t="s">
        <v>40</v>
      </c>
      <c r="P674" s="70">
        <f t="shared" si="340"/>
        <v>0</v>
      </c>
      <c r="Q674" s="74" t="s">
        <v>40</v>
      </c>
      <c r="R674" s="16">
        <f t="shared" si="341"/>
        <v>0</v>
      </c>
      <c r="S674" s="16">
        <f>R674/1.11</f>
        <v>0</v>
      </c>
    </row>
    <row r="675" spans="1:19">
      <c r="A675" s="40" t="s">
        <v>778</v>
      </c>
      <c r="B675" s="2" t="s">
        <v>25</v>
      </c>
      <c r="C675" s="3">
        <v>288</v>
      </c>
      <c r="D675" s="4" t="s">
        <v>40</v>
      </c>
      <c r="F675" s="6">
        <v>1</v>
      </c>
      <c r="G675" s="7" t="s">
        <v>20</v>
      </c>
      <c r="H675" s="6">
        <v>144</v>
      </c>
      <c r="I675" s="7" t="s">
        <v>40</v>
      </c>
      <c r="J675" s="8">
        <f>3628800/144</f>
        <v>25200</v>
      </c>
      <c r="K675" s="4" t="s">
        <v>40</v>
      </c>
      <c r="M675" s="9">
        <v>0.17</v>
      </c>
      <c r="O675" s="7" t="s">
        <v>40</v>
      </c>
      <c r="P675" s="3">
        <f t="shared" si="340"/>
        <v>288</v>
      </c>
      <c r="Q675" s="7" t="s">
        <v>40</v>
      </c>
      <c r="R675" s="8">
        <f t="shared" si="341"/>
        <v>6023808</v>
      </c>
      <c r="S675" s="8">
        <f t="shared" ref="S675" si="342">R675/1.11</f>
        <v>5426854.0540540535</v>
      </c>
    </row>
    <row r="676" spans="1:19">
      <c r="A676" s="137" t="s">
        <v>384</v>
      </c>
      <c r="B676" s="2" t="s">
        <v>25</v>
      </c>
      <c r="C676" s="3">
        <f>21408/12</f>
        <v>1784</v>
      </c>
      <c r="D676" s="4" t="s">
        <v>40</v>
      </c>
      <c r="E676" s="5">
        <v>44</v>
      </c>
      <c r="F676" s="6">
        <v>1</v>
      </c>
      <c r="G676" s="7" t="s">
        <v>20</v>
      </c>
      <c r="H676" s="6">
        <v>144</v>
      </c>
      <c r="I676" s="7" t="s">
        <v>40</v>
      </c>
      <c r="J676" s="8">
        <f>3758400/144</f>
        <v>26100</v>
      </c>
      <c r="K676" s="4" t="s">
        <v>40</v>
      </c>
      <c r="L676" s="130"/>
      <c r="M676" s="9">
        <v>0.17</v>
      </c>
      <c r="O676" s="7" t="s">
        <v>40</v>
      </c>
      <c r="P676" s="3">
        <f t="shared" si="340"/>
        <v>8120</v>
      </c>
      <c r="Q676" s="7" t="s">
        <v>40</v>
      </c>
      <c r="R676" s="8">
        <f t="shared" si="341"/>
        <v>175903560</v>
      </c>
      <c r="S676" s="8">
        <f t="shared" si="330"/>
        <v>158471675.67567566</v>
      </c>
    </row>
    <row r="677" spans="1:19">
      <c r="A677" s="137" t="s">
        <v>384</v>
      </c>
      <c r="B677" s="2" t="s">
        <v>25</v>
      </c>
      <c r="D677" s="4" t="s">
        <v>40</v>
      </c>
      <c r="E677" s="5">
        <v>10</v>
      </c>
      <c r="F677" s="6">
        <v>1</v>
      </c>
      <c r="G677" s="7" t="s">
        <v>20</v>
      </c>
      <c r="H677" s="6">
        <v>144</v>
      </c>
      <c r="I677" s="7" t="s">
        <v>40</v>
      </c>
      <c r="J677" s="8">
        <f>3758400/144</f>
        <v>26100</v>
      </c>
      <c r="K677" s="4" t="s">
        <v>40</v>
      </c>
      <c r="L677" s="130">
        <v>0.05</v>
      </c>
      <c r="M677" s="9">
        <v>0.17</v>
      </c>
      <c r="O677" s="7" t="s">
        <v>40</v>
      </c>
      <c r="P677" s="3">
        <f t="shared" ref="P677" si="343">(C677+(E677*F677*H677))-N677</f>
        <v>1440</v>
      </c>
      <c r="Q677" s="7" t="s">
        <v>40</v>
      </c>
      <c r="R677" s="8">
        <f t="shared" ref="R677" si="344">P677*(J677-(J677*L677)-((J677-(J677*L677))*M677))</f>
        <v>29634983.999999996</v>
      </c>
      <c r="S677" s="8">
        <f t="shared" ref="S677" si="345">R677/1.11</f>
        <v>26698183.783783779</v>
      </c>
    </row>
    <row r="678" spans="1:19" s="160" customFormat="1">
      <c r="A678" s="168" t="s">
        <v>384</v>
      </c>
      <c r="B678" s="160" t="s">
        <v>25</v>
      </c>
      <c r="C678" s="161"/>
      <c r="D678" s="162" t="s">
        <v>40</v>
      </c>
      <c r="E678" s="163">
        <v>15</v>
      </c>
      <c r="F678" s="164">
        <v>1</v>
      </c>
      <c r="G678" s="165" t="s">
        <v>20</v>
      </c>
      <c r="H678" s="164">
        <v>144</v>
      </c>
      <c r="I678" s="165" t="s">
        <v>40</v>
      </c>
      <c r="J678" s="166">
        <f>3758400/144</f>
        <v>26100</v>
      </c>
      <c r="K678" s="162" t="s">
        <v>40</v>
      </c>
      <c r="L678" s="167">
        <v>2.5000000000000001E-2</v>
      </c>
      <c r="M678" s="167">
        <v>0.17</v>
      </c>
      <c r="N678" s="164"/>
      <c r="O678" s="165" t="s">
        <v>40</v>
      </c>
      <c r="P678" s="161">
        <f t="shared" ref="P678" si="346">(C678+(E678*F678*H678))-N678</f>
        <v>2160</v>
      </c>
      <c r="Q678" s="165" t="s">
        <v>40</v>
      </c>
      <c r="R678" s="166">
        <f t="shared" ref="R678" si="347">P678*(J678-(J678*L678)-((J678-(J678*L678))*M678))</f>
        <v>45622278</v>
      </c>
      <c r="S678" s="166">
        <f t="shared" ref="S678" si="348">R678/1.11</f>
        <v>41101151.351351351</v>
      </c>
    </row>
    <row r="679" spans="1:19" s="69" customFormat="1">
      <c r="A679" s="110" t="s">
        <v>385</v>
      </c>
      <c r="B679" s="69" t="s">
        <v>25</v>
      </c>
      <c r="C679" s="76"/>
      <c r="D679" s="71" t="s">
        <v>40</v>
      </c>
      <c r="E679" s="72"/>
      <c r="F679" s="73">
        <v>1</v>
      </c>
      <c r="G679" s="74" t="s">
        <v>20</v>
      </c>
      <c r="H679" s="73">
        <v>144</v>
      </c>
      <c r="I679" s="74" t="s">
        <v>40</v>
      </c>
      <c r="J679" s="16">
        <f>3628800/144</f>
        <v>25200</v>
      </c>
      <c r="K679" s="71" t="s">
        <v>40</v>
      </c>
      <c r="L679" s="75"/>
      <c r="M679" s="75">
        <v>0.17</v>
      </c>
      <c r="N679" s="73"/>
      <c r="O679" s="74" t="s">
        <v>40</v>
      </c>
      <c r="P679" s="70">
        <f t="shared" si="340"/>
        <v>0</v>
      </c>
      <c r="Q679" s="74" t="s">
        <v>40</v>
      </c>
      <c r="R679" s="16">
        <f t="shared" si="341"/>
        <v>0</v>
      </c>
      <c r="S679" s="16">
        <f t="shared" si="330"/>
        <v>0</v>
      </c>
    </row>
    <row r="680" spans="1:19" s="69" customFormat="1">
      <c r="A680" s="110" t="s">
        <v>386</v>
      </c>
      <c r="B680" s="69" t="s">
        <v>25</v>
      </c>
      <c r="C680" s="76"/>
      <c r="D680" s="71" t="s">
        <v>40</v>
      </c>
      <c r="E680" s="72"/>
      <c r="F680" s="73">
        <v>1</v>
      </c>
      <c r="G680" s="74" t="s">
        <v>20</v>
      </c>
      <c r="H680" s="73">
        <v>144</v>
      </c>
      <c r="I680" s="74" t="s">
        <v>40</v>
      </c>
      <c r="J680" s="16">
        <f>3628800/144</f>
        <v>25200</v>
      </c>
      <c r="K680" s="71" t="s">
        <v>40</v>
      </c>
      <c r="L680" s="75"/>
      <c r="M680" s="75">
        <v>0.17</v>
      </c>
      <c r="N680" s="73"/>
      <c r="O680" s="74" t="s">
        <v>40</v>
      </c>
      <c r="P680" s="70">
        <f t="shared" si="340"/>
        <v>0</v>
      </c>
      <c r="Q680" s="74" t="s">
        <v>40</v>
      </c>
      <c r="R680" s="16">
        <f t="shared" si="341"/>
        <v>0</v>
      </c>
      <c r="S680" s="16">
        <f t="shared" si="330"/>
        <v>0</v>
      </c>
    </row>
    <row r="681" spans="1:19" s="78" customFormat="1">
      <c r="A681" s="77" t="s">
        <v>868</v>
      </c>
      <c r="B681" s="78" t="s">
        <v>25</v>
      </c>
      <c r="C681" s="114"/>
      <c r="D681" s="79" t="s">
        <v>40</v>
      </c>
      <c r="E681" s="80"/>
      <c r="F681" s="81">
        <v>1</v>
      </c>
      <c r="G681" s="82" t="s">
        <v>20</v>
      </c>
      <c r="H681" s="81">
        <v>144</v>
      </c>
      <c r="I681" s="82" t="s">
        <v>40</v>
      </c>
      <c r="J681" s="83">
        <f>5875200/144</f>
        <v>40800</v>
      </c>
      <c r="K681" s="79" t="s">
        <v>40</v>
      </c>
      <c r="L681" s="84"/>
      <c r="M681" s="84">
        <v>0.17</v>
      </c>
      <c r="N681" s="81"/>
      <c r="O681" s="82" t="s">
        <v>40</v>
      </c>
      <c r="P681" s="76">
        <f t="shared" si="340"/>
        <v>0</v>
      </c>
      <c r="Q681" s="82" t="s">
        <v>40</v>
      </c>
      <c r="R681" s="83">
        <f t="shared" si="341"/>
        <v>0</v>
      </c>
      <c r="S681" s="83">
        <f t="shared" si="330"/>
        <v>0</v>
      </c>
    </row>
    <row r="682" spans="1:19" s="19" customFormat="1">
      <c r="A682" s="131" t="s">
        <v>387</v>
      </c>
      <c r="B682" s="19" t="s">
        <v>25</v>
      </c>
      <c r="C682" s="20"/>
      <c r="D682" s="21" t="s">
        <v>40</v>
      </c>
      <c r="E682" s="26">
        <v>123</v>
      </c>
      <c r="F682" s="22">
        <v>1</v>
      </c>
      <c r="G682" s="23" t="s">
        <v>20</v>
      </c>
      <c r="H682" s="22">
        <v>144</v>
      </c>
      <c r="I682" s="23" t="s">
        <v>40</v>
      </c>
      <c r="J682" s="24">
        <f>5616000/144</f>
        <v>39000</v>
      </c>
      <c r="K682" s="21" t="s">
        <v>40</v>
      </c>
      <c r="L682" s="130">
        <v>2.5000000000000001E-2</v>
      </c>
      <c r="M682" s="25">
        <v>0.17</v>
      </c>
      <c r="N682" s="22"/>
      <c r="O682" s="23" t="s">
        <v>40</v>
      </c>
      <c r="P682" s="20">
        <f t="shared" ref="P682" si="349">(C682+(E682*F682*H682))-N682</f>
        <v>17712</v>
      </c>
      <c r="Q682" s="23" t="s">
        <v>40</v>
      </c>
      <c r="R682" s="24">
        <f t="shared" ref="R682" si="350">P682*(J682-(J682*L682)-((J682-(J682*L682))*M682))</f>
        <v>559004004</v>
      </c>
      <c r="S682" s="24">
        <f t="shared" ref="S682" si="351">R682/1.11</f>
        <v>503607210.81081074</v>
      </c>
    </row>
    <row r="683" spans="1:19" s="19" customFormat="1">
      <c r="A683" s="131" t="s">
        <v>387</v>
      </c>
      <c r="B683" s="19" t="s">
        <v>25</v>
      </c>
      <c r="C683" s="20">
        <v>1965</v>
      </c>
      <c r="D683" s="21" t="s">
        <v>40</v>
      </c>
      <c r="E683" s="26">
        <v>132</v>
      </c>
      <c r="F683" s="22">
        <v>1</v>
      </c>
      <c r="G683" s="23" t="s">
        <v>20</v>
      </c>
      <c r="H683" s="22">
        <v>144</v>
      </c>
      <c r="I683" s="23" t="s">
        <v>40</v>
      </c>
      <c r="J683" s="24">
        <f>5616000/144</f>
        <v>39000</v>
      </c>
      <c r="K683" s="21" t="s">
        <v>40</v>
      </c>
      <c r="L683" s="130"/>
      <c r="M683" s="25">
        <v>0.17</v>
      </c>
      <c r="N683" s="22"/>
      <c r="O683" s="23" t="s">
        <v>40</v>
      </c>
      <c r="P683" s="20">
        <f t="shared" si="340"/>
        <v>20973</v>
      </c>
      <c r="Q683" s="23" t="s">
        <v>40</v>
      </c>
      <c r="R683" s="24">
        <f t="shared" si="341"/>
        <v>678896010</v>
      </c>
      <c r="S683" s="24">
        <f t="shared" si="330"/>
        <v>611618027.02702701</v>
      </c>
    </row>
    <row r="684" spans="1:19" s="95" customFormat="1">
      <c r="A684" s="105" t="s">
        <v>388</v>
      </c>
      <c r="B684" s="95" t="s">
        <v>25</v>
      </c>
      <c r="C684" s="96"/>
      <c r="D684" s="97" t="s">
        <v>40</v>
      </c>
      <c r="E684" s="98">
        <v>58</v>
      </c>
      <c r="F684" s="99">
        <v>1</v>
      </c>
      <c r="G684" s="100" t="s">
        <v>20</v>
      </c>
      <c r="H684" s="99">
        <v>144</v>
      </c>
      <c r="I684" s="100" t="s">
        <v>40</v>
      </c>
      <c r="J684" s="101">
        <v>39000</v>
      </c>
      <c r="K684" s="97" t="s">
        <v>40</v>
      </c>
      <c r="L684" s="107">
        <v>2.5000000000000001E-2</v>
      </c>
      <c r="M684" s="102">
        <v>0.17</v>
      </c>
      <c r="N684" s="99"/>
      <c r="O684" s="100" t="s">
        <v>40</v>
      </c>
      <c r="P684" s="96">
        <f t="shared" ref="P684" si="352">(C684+(E684*F684*H684))-N684</f>
        <v>8352</v>
      </c>
      <c r="Q684" s="100" t="s">
        <v>40</v>
      </c>
      <c r="R684" s="101">
        <f t="shared" ref="R684" si="353">P684*(J684-(J684*L684)-((J684-(J684*L684))*M684))</f>
        <v>263595384</v>
      </c>
      <c r="S684" s="101">
        <f t="shared" ref="S684" si="354">R684/1.11</f>
        <v>237473318.91891891</v>
      </c>
    </row>
    <row r="685" spans="1:19" s="95" customFormat="1">
      <c r="A685" s="105" t="s">
        <v>388</v>
      </c>
      <c r="B685" s="95" t="s">
        <v>25</v>
      </c>
      <c r="C685" s="96"/>
      <c r="D685" s="97" t="s">
        <v>40</v>
      </c>
      <c r="E685" s="98">
        <v>6</v>
      </c>
      <c r="F685" s="99">
        <v>1</v>
      </c>
      <c r="G685" s="100" t="s">
        <v>20</v>
      </c>
      <c r="H685" s="99">
        <v>144</v>
      </c>
      <c r="I685" s="100" t="s">
        <v>40</v>
      </c>
      <c r="J685" s="101">
        <v>39000</v>
      </c>
      <c r="K685" s="97" t="s">
        <v>40</v>
      </c>
      <c r="L685" s="107"/>
      <c r="M685" s="102">
        <v>0.17</v>
      </c>
      <c r="N685" s="99"/>
      <c r="O685" s="100" t="s">
        <v>40</v>
      </c>
      <c r="P685" s="96">
        <f t="shared" ref="P685" si="355">(C685+(E685*F685*H685))-N685</f>
        <v>864</v>
      </c>
      <c r="Q685" s="100" t="s">
        <v>40</v>
      </c>
      <c r="R685" s="101">
        <f t="shared" ref="R685" si="356">P685*(J685-(J685*L685)-((J685-(J685*L685))*M685))</f>
        <v>27967680</v>
      </c>
      <c r="S685" s="101">
        <f t="shared" ref="S685" si="357">R685/1.11</f>
        <v>25196108.108108107</v>
      </c>
    </row>
    <row r="686" spans="1:19" s="95" customFormat="1">
      <c r="A686" s="87" t="s">
        <v>871</v>
      </c>
      <c r="B686" s="95" t="s">
        <v>25</v>
      </c>
      <c r="C686" s="96"/>
      <c r="D686" s="97" t="s">
        <v>40</v>
      </c>
      <c r="E686" s="98">
        <v>4</v>
      </c>
      <c r="F686" s="99">
        <v>1</v>
      </c>
      <c r="G686" s="100" t="s">
        <v>20</v>
      </c>
      <c r="H686" s="99">
        <v>144</v>
      </c>
      <c r="I686" s="100" t="s">
        <v>40</v>
      </c>
      <c r="J686" s="101">
        <v>39000</v>
      </c>
      <c r="K686" s="97" t="s">
        <v>40</v>
      </c>
      <c r="L686" s="102"/>
      <c r="M686" s="102">
        <v>0.17</v>
      </c>
      <c r="N686" s="99"/>
      <c r="O686" s="100" t="s">
        <v>40</v>
      </c>
      <c r="P686" s="96">
        <f t="shared" si="340"/>
        <v>576</v>
      </c>
      <c r="Q686" s="100" t="s">
        <v>40</v>
      </c>
      <c r="R686" s="101">
        <f t="shared" ref="R686" si="358">P686*(J686-(J686*L686)-((J686-(J686*L686))*M686))</f>
        <v>18645120</v>
      </c>
      <c r="S686" s="101">
        <f t="shared" ref="S686" si="359">R686/1.11</f>
        <v>16797405.405405402</v>
      </c>
    </row>
    <row r="687" spans="1:19" s="95" customFormat="1">
      <c r="A687" s="87" t="s">
        <v>920</v>
      </c>
      <c r="B687" s="95" t="s">
        <v>25</v>
      </c>
      <c r="C687" s="96"/>
      <c r="D687" s="97" t="s">
        <v>40</v>
      </c>
      <c r="E687" s="98">
        <v>1</v>
      </c>
      <c r="F687" s="99">
        <v>1</v>
      </c>
      <c r="G687" s="100" t="s">
        <v>20</v>
      </c>
      <c r="H687" s="99">
        <v>144</v>
      </c>
      <c r="I687" s="100" t="s">
        <v>40</v>
      </c>
      <c r="J687" s="101">
        <v>39000</v>
      </c>
      <c r="K687" s="97" t="s">
        <v>40</v>
      </c>
      <c r="L687" s="102"/>
      <c r="M687" s="102">
        <v>0.17</v>
      </c>
      <c r="N687" s="99"/>
      <c r="O687" s="100" t="s">
        <v>40</v>
      </c>
      <c r="P687" s="96">
        <f t="shared" ref="P687" si="360">(C687+(E687*F687*H687))-N687</f>
        <v>144</v>
      </c>
      <c r="Q687" s="100" t="s">
        <v>40</v>
      </c>
      <c r="R687" s="101">
        <f t="shared" ref="R687" si="361">P687*(J687-(J687*L687)-((J687-(J687*L687))*M687))</f>
        <v>4661280</v>
      </c>
      <c r="S687" s="101">
        <f t="shared" ref="S687" si="362">R687/1.11</f>
        <v>4199351.3513513505</v>
      </c>
    </row>
    <row r="688" spans="1:19" s="19" customFormat="1">
      <c r="A688" s="18" t="s">
        <v>389</v>
      </c>
      <c r="B688" s="19" t="s">
        <v>25</v>
      </c>
      <c r="C688" s="20">
        <v>537</v>
      </c>
      <c r="D688" s="21" t="s">
        <v>40</v>
      </c>
      <c r="E688" s="26"/>
      <c r="F688" s="22">
        <v>1</v>
      </c>
      <c r="G688" s="23" t="s">
        <v>20</v>
      </c>
      <c r="H688" s="22">
        <v>144</v>
      </c>
      <c r="I688" s="23" t="s">
        <v>40</v>
      </c>
      <c r="J688" s="24">
        <f>5356800/144</f>
        <v>37200</v>
      </c>
      <c r="K688" s="21" t="s">
        <v>40</v>
      </c>
      <c r="L688" s="25"/>
      <c r="M688" s="25">
        <v>0.17</v>
      </c>
      <c r="N688" s="22"/>
      <c r="O688" s="23" t="s">
        <v>40</v>
      </c>
      <c r="P688" s="20">
        <f t="shared" si="340"/>
        <v>537</v>
      </c>
      <c r="Q688" s="23" t="s">
        <v>40</v>
      </c>
      <c r="R688" s="24">
        <f t="shared" si="341"/>
        <v>16580412</v>
      </c>
      <c r="S688" s="24">
        <f t="shared" si="330"/>
        <v>14937308.108108107</v>
      </c>
    </row>
    <row r="689" spans="1:19" s="19" customFormat="1">
      <c r="A689" s="131" t="s">
        <v>746</v>
      </c>
      <c r="B689" s="19" t="s">
        <v>25</v>
      </c>
      <c r="C689" s="20"/>
      <c r="D689" s="21" t="s">
        <v>40</v>
      </c>
      <c r="E689" s="26">
        <v>10</v>
      </c>
      <c r="F689" s="22">
        <v>1</v>
      </c>
      <c r="G689" s="23" t="s">
        <v>20</v>
      </c>
      <c r="H689" s="22">
        <v>144</v>
      </c>
      <c r="I689" s="23" t="s">
        <v>40</v>
      </c>
      <c r="J689" s="24">
        <f>5702400/144</f>
        <v>39600</v>
      </c>
      <c r="K689" s="21" t="s">
        <v>40</v>
      </c>
      <c r="L689" s="130">
        <v>0.05</v>
      </c>
      <c r="M689" s="25">
        <v>0.17</v>
      </c>
      <c r="N689" s="22"/>
      <c r="O689" s="23" t="s">
        <v>40</v>
      </c>
      <c r="P689" s="20">
        <f t="shared" ref="P689" si="363">(C689+(E689*F689*H689))-N689</f>
        <v>1440</v>
      </c>
      <c r="Q689" s="23" t="s">
        <v>40</v>
      </c>
      <c r="R689" s="24">
        <f t="shared" ref="R689" si="364">P689*(J689-(J689*L689)-((J689-(J689*L689))*M689))</f>
        <v>44963424</v>
      </c>
      <c r="S689" s="24">
        <f t="shared" ref="S689" si="365">R689/1.11</f>
        <v>40507589.189189188</v>
      </c>
    </row>
    <row r="690" spans="1:19" s="19" customFormat="1">
      <c r="A690" s="131" t="s">
        <v>746</v>
      </c>
      <c r="B690" s="19" t="s">
        <v>25</v>
      </c>
      <c r="C690" s="20">
        <v>566</v>
      </c>
      <c r="D690" s="21" t="s">
        <v>40</v>
      </c>
      <c r="E690" s="26">
        <v>2</v>
      </c>
      <c r="F690" s="22">
        <v>1</v>
      </c>
      <c r="G690" s="23" t="s">
        <v>20</v>
      </c>
      <c r="H690" s="22">
        <v>144</v>
      </c>
      <c r="I690" s="23" t="s">
        <v>40</v>
      </c>
      <c r="J690" s="24">
        <f>5702400/144</f>
        <v>39600</v>
      </c>
      <c r="K690" s="21" t="s">
        <v>40</v>
      </c>
      <c r="L690" s="130"/>
      <c r="M690" s="25">
        <v>0.17</v>
      </c>
      <c r="N690" s="22"/>
      <c r="O690" s="23" t="s">
        <v>40</v>
      </c>
      <c r="P690" s="20">
        <f t="shared" si="340"/>
        <v>854</v>
      </c>
      <c r="Q690" s="23" t="s">
        <v>40</v>
      </c>
      <c r="R690" s="24">
        <f t="shared" si="341"/>
        <v>28069272</v>
      </c>
      <c r="S690" s="24">
        <f t="shared" si="330"/>
        <v>25287632.432432432</v>
      </c>
    </row>
    <row r="691" spans="1:19" s="19" customFormat="1">
      <c r="A691" s="18" t="s">
        <v>747</v>
      </c>
      <c r="B691" s="19" t="s">
        <v>25</v>
      </c>
      <c r="C691" s="48"/>
      <c r="D691" s="21" t="s">
        <v>40</v>
      </c>
      <c r="E691" s="26">
        <v>1</v>
      </c>
      <c r="F691" s="22">
        <v>1</v>
      </c>
      <c r="G691" s="23" t="s">
        <v>20</v>
      </c>
      <c r="H691" s="22">
        <v>144</v>
      </c>
      <c r="I691" s="23" t="s">
        <v>40</v>
      </c>
      <c r="J691" s="24">
        <f>5702400/144</f>
        <v>39600</v>
      </c>
      <c r="K691" s="21" t="s">
        <v>40</v>
      </c>
      <c r="L691" s="25"/>
      <c r="M691" s="25">
        <v>0.17</v>
      </c>
      <c r="N691" s="22"/>
      <c r="O691" s="23" t="s">
        <v>40</v>
      </c>
      <c r="P691" s="20">
        <f t="shared" si="340"/>
        <v>144</v>
      </c>
      <c r="Q691" s="23" t="s">
        <v>40</v>
      </c>
      <c r="R691" s="24">
        <f t="shared" si="341"/>
        <v>4732992</v>
      </c>
      <c r="S691" s="24">
        <f t="shared" si="330"/>
        <v>4263956.7567567565</v>
      </c>
    </row>
    <row r="692" spans="1:19" s="19" customFormat="1">
      <c r="A692" s="18" t="s">
        <v>390</v>
      </c>
      <c r="B692" s="19" t="s">
        <v>25</v>
      </c>
      <c r="C692" s="20">
        <v>318</v>
      </c>
      <c r="D692" s="21" t="s">
        <v>40</v>
      </c>
      <c r="E692" s="26">
        <v>24</v>
      </c>
      <c r="F692" s="22">
        <v>1</v>
      </c>
      <c r="G692" s="23" t="s">
        <v>20</v>
      </c>
      <c r="H692" s="22">
        <v>144</v>
      </c>
      <c r="I692" s="23" t="s">
        <v>40</v>
      </c>
      <c r="J692" s="24">
        <f>5702400/144</f>
        <v>39600</v>
      </c>
      <c r="K692" s="21" t="s">
        <v>40</v>
      </c>
      <c r="L692" s="25"/>
      <c r="M692" s="25">
        <v>0.17</v>
      </c>
      <c r="N692" s="22"/>
      <c r="O692" s="23" t="s">
        <v>40</v>
      </c>
      <c r="P692" s="20">
        <f t="shared" si="340"/>
        <v>3774</v>
      </c>
      <c r="Q692" s="23" t="s">
        <v>40</v>
      </c>
      <c r="R692" s="24">
        <f t="shared" si="341"/>
        <v>124043832</v>
      </c>
      <c r="S692" s="24">
        <f t="shared" si="330"/>
        <v>111751199.99999999</v>
      </c>
    </row>
    <row r="693" spans="1:19" s="19" customFormat="1">
      <c r="A693" s="18" t="s">
        <v>921</v>
      </c>
      <c r="B693" s="19" t="s">
        <v>25</v>
      </c>
      <c r="C693" s="20"/>
      <c r="D693" s="21" t="s">
        <v>40</v>
      </c>
      <c r="E693" s="26">
        <v>2</v>
      </c>
      <c r="F693" s="22">
        <v>1</v>
      </c>
      <c r="G693" s="23" t="s">
        <v>20</v>
      </c>
      <c r="H693" s="22">
        <v>144</v>
      </c>
      <c r="I693" s="23" t="s">
        <v>40</v>
      </c>
      <c r="J693" s="24">
        <v>33000</v>
      </c>
      <c r="K693" s="21" t="s">
        <v>40</v>
      </c>
      <c r="L693" s="25"/>
      <c r="M693" s="25">
        <v>0.17</v>
      </c>
      <c r="N693" s="22"/>
      <c r="O693" s="23" t="s">
        <v>40</v>
      </c>
      <c r="P693" s="20">
        <f t="shared" ref="P693" si="366">(C693+(E693*F693*H693))-N693</f>
        <v>288</v>
      </c>
      <c r="Q693" s="23" t="s">
        <v>40</v>
      </c>
      <c r="R693" s="24">
        <f t="shared" ref="R693" si="367">P693*(J693-(J693*L693)-((J693-(J693*L693))*M693))</f>
        <v>7888320</v>
      </c>
      <c r="S693" s="24">
        <f t="shared" ref="S693" si="368">R693/1.11</f>
        <v>7106594.5945945941</v>
      </c>
    </row>
    <row r="694" spans="1:19">
      <c r="A694" s="17" t="s">
        <v>391</v>
      </c>
      <c r="B694" s="2" t="s">
        <v>25</v>
      </c>
      <c r="C694" s="3">
        <v>738</v>
      </c>
      <c r="D694" s="4" t="s">
        <v>40</v>
      </c>
      <c r="E694" s="5">
        <v>12</v>
      </c>
      <c r="F694" s="6">
        <v>1</v>
      </c>
      <c r="G694" s="7" t="s">
        <v>20</v>
      </c>
      <c r="H694" s="6">
        <v>144</v>
      </c>
      <c r="I694" s="7" t="s">
        <v>40</v>
      </c>
      <c r="J694" s="8">
        <f>2764800/144</f>
        <v>19200</v>
      </c>
      <c r="K694" s="4" t="s">
        <v>40</v>
      </c>
      <c r="M694" s="9">
        <v>0.17</v>
      </c>
      <c r="O694" s="7" t="s">
        <v>40</v>
      </c>
      <c r="P694" s="3">
        <f t="shared" si="340"/>
        <v>2466</v>
      </c>
      <c r="Q694" s="7" t="s">
        <v>40</v>
      </c>
      <c r="R694" s="8">
        <f t="shared" si="341"/>
        <v>39298176</v>
      </c>
      <c r="S694" s="8">
        <f t="shared" si="330"/>
        <v>35403762.162162162</v>
      </c>
    </row>
    <row r="695" spans="1:19" s="69" customFormat="1">
      <c r="A695" s="68" t="s">
        <v>392</v>
      </c>
      <c r="B695" s="69" t="s">
        <v>25</v>
      </c>
      <c r="C695" s="70"/>
      <c r="D695" s="71" t="s">
        <v>40</v>
      </c>
      <c r="E695" s="72"/>
      <c r="F695" s="73">
        <v>1</v>
      </c>
      <c r="G695" s="74" t="s">
        <v>20</v>
      </c>
      <c r="H695" s="73">
        <v>144</v>
      </c>
      <c r="I695" s="74" t="s">
        <v>40</v>
      </c>
      <c r="J695" s="16">
        <f>2764800/144</f>
        <v>19200</v>
      </c>
      <c r="K695" s="71" t="s">
        <v>40</v>
      </c>
      <c r="L695" s="75"/>
      <c r="M695" s="75">
        <v>0.17</v>
      </c>
      <c r="N695" s="73"/>
      <c r="O695" s="74" t="s">
        <v>40</v>
      </c>
      <c r="P695" s="70">
        <f t="shared" si="340"/>
        <v>0</v>
      </c>
      <c r="Q695" s="74" t="s">
        <v>40</v>
      </c>
      <c r="R695" s="16">
        <f t="shared" si="341"/>
        <v>0</v>
      </c>
      <c r="S695" s="16">
        <f t="shared" si="330"/>
        <v>0</v>
      </c>
    </row>
    <row r="696" spans="1:19" s="69" customFormat="1">
      <c r="A696" s="68" t="s">
        <v>393</v>
      </c>
      <c r="B696" s="69" t="s">
        <v>25</v>
      </c>
      <c r="C696" s="70"/>
      <c r="D696" s="71" t="s">
        <v>40</v>
      </c>
      <c r="E696" s="72"/>
      <c r="F696" s="73">
        <v>1</v>
      </c>
      <c r="G696" s="74" t="s">
        <v>20</v>
      </c>
      <c r="H696" s="73">
        <v>144</v>
      </c>
      <c r="I696" s="74" t="s">
        <v>40</v>
      </c>
      <c r="J696" s="16">
        <v>23400</v>
      </c>
      <c r="K696" s="71" t="s">
        <v>40</v>
      </c>
      <c r="L696" s="75"/>
      <c r="M696" s="75">
        <v>0.17</v>
      </c>
      <c r="N696" s="73"/>
      <c r="O696" s="74" t="s">
        <v>40</v>
      </c>
      <c r="P696" s="70">
        <f t="shared" si="340"/>
        <v>0</v>
      </c>
      <c r="Q696" s="74" t="s">
        <v>40</v>
      </c>
      <c r="R696" s="16">
        <f t="shared" si="341"/>
        <v>0</v>
      </c>
      <c r="S696" s="16">
        <f t="shared" si="330"/>
        <v>0</v>
      </c>
    </row>
    <row r="697" spans="1:19" s="19" customFormat="1">
      <c r="A697" s="18" t="s">
        <v>395</v>
      </c>
      <c r="B697" s="19" t="s">
        <v>25</v>
      </c>
      <c r="C697" s="20">
        <v>423</v>
      </c>
      <c r="D697" s="21" t="s">
        <v>40</v>
      </c>
      <c r="E697" s="26">
        <v>7</v>
      </c>
      <c r="F697" s="22">
        <v>1</v>
      </c>
      <c r="G697" s="23" t="s">
        <v>20</v>
      </c>
      <c r="H697" s="22">
        <v>144</v>
      </c>
      <c r="I697" s="23" t="s">
        <v>40</v>
      </c>
      <c r="J697" s="24">
        <f>3542400/144</f>
        <v>24600</v>
      </c>
      <c r="K697" s="21" t="s">
        <v>40</v>
      </c>
      <c r="L697" s="25"/>
      <c r="M697" s="25">
        <v>0.17</v>
      </c>
      <c r="N697" s="22"/>
      <c r="O697" s="23" t="s">
        <v>40</v>
      </c>
      <c r="P697" s="20">
        <f t="shared" si="340"/>
        <v>1431</v>
      </c>
      <c r="Q697" s="23" t="s">
        <v>40</v>
      </c>
      <c r="R697" s="24">
        <f t="shared" si="341"/>
        <v>29218158</v>
      </c>
      <c r="S697" s="24">
        <f t="shared" si="330"/>
        <v>26322664.864864863</v>
      </c>
    </row>
    <row r="698" spans="1:19" s="19" customFormat="1">
      <c r="A698" s="18" t="s">
        <v>396</v>
      </c>
      <c r="B698" s="19" t="s">
        <v>25</v>
      </c>
      <c r="C698" s="20">
        <v>2721</v>
      </c>
      <c r="D698" s="21" t="s">
        <v>40</v>
      </c>
      <c r="E698" s="26">
        <v>90</v>
      </c>
      <c r="F698" s="22">
        <v>1</v>
      </c>
      <c r="G698" s="23" t="s">
        <v>20</v>
      </c>
      <c r="H698" s="22">
        <v>144</v>
      </c>
      <c r="I698" s="23" t="s">
        <v>40</v>
      </c>
      <c r="J698" s="24">
        <f>3110400/144</f>
        <v>21600</v>
      </c>
      <c r="K698" s="21" t="s">
        <v>40</v>
      </c>
      <c r="L698" s="25"/>
      <c r="M698" s="25">
        <v>0.17</v>
      </c>
      <c r="N698" s="22"/>
      <c r="O698" s="23" t="s">
        <v>40</v>
      </c>
      <c r="P698" s="20">
        <f t="shared" si="340"/>
        <v>15681</v>
      </c>
      <c r="Q698" s="23" t="s">
        <v>40</v>
      </c>
      <c r="R698" s="24">
        <f t="shared" si="341"/>
        <v>281128968</v>
      </c>
      <c r="S698" s="24">
        <f t="shared" si="330"/>
        <v>253269340.54054052</v>
      </c>
    </row>
    <row r="699" spans="1:19" s="19" customFormat="1">
      <c r="A699" s="18" t="s">
        <v>780</v>
      </c>
      <c r="B699" s="19" t="s">
        <v>25</v>
      </c>
      <c r="C699" s="20"/>
      <c r="D699" s="21" t="s">
        <v>40</v>
      </c>
      <c r="E699" s="26">
        <v>6</v>
      </c>
      <c r="F699" s="22">
        <v>1</v>
      </c>
      <c r="G699" s="23" t="s">
        <v>20</v>
      </c>
      <c r="H699" s="22">
        <v>144</v>
      </c>
      <c r="I699" s="23" t="s">
        <v>40</v>
      </c>
      <c r="J699" s="24">
        <f>3456000/144</f>
        <v>24000</v>
      </c>
      <c r="K699" s="21" t="s">
        <v>40</v>
      </c>
      <c r="L699" s="25"/>
      <c r="M699" s="25">
        <v>0.17</v>
      </c>
      <c r="N699" s="22"/>
      <c r="O699" s="23" t="s">
        <v>40</v>
      </c>
      <c r="P699" s="20">
        <f t="shared" si="340"/>
        <v>864</v>
      </c>
      <c r="Q699" s="23" t="s">
        <v>40</v>
      </c>
      <c r="R699" s="24">
        <f t="shared" si="341"/>
        <v>17210880</v>
      </c>
      <c r="S699" s="24">
        <f t="shared" si="330"/>
        <v>15505297.297297295</v>
      </c>
    </row>
    <row r="700" spans="1:19" s="19" customFormat="1">
      <c r="A700" s="18" t="s">
        <v>397</v>
      </c>
      <c r="B700" s="19" t="s">
        <v>25</v>
      </c>
      <c r="C700" s="20">
        <v>576</v>
      </c>
      <c r="D700" s="21" t="s">
        <v>40</v>
      </c>
      <c r="E700" s="26">
        <v>11</v>
      </c>
      <c r="F700" s="22">
        <v>1</v>
      </c>
      <c r="G700" s="23" t="s">
        <v>20</v>
      </c>
      <c r="H700" s="22">
        <v>144</v>
      </c>
      <c r="I700" s="23" t="s">
        <v>40</v>
      </c>
      <c r="J700" s="24">
        <f>3758400/144</f>
        <v>26100</v>
      </c>
      <c r="K700" s="21" t="s">
        <v>40</v>
      </c>
      <c r="L700" s="25"/>
      <c r="M700" s="25">
        <v>0.17</v>
      </c>
      <c r="N700" s="22"/>
      <c r="O700" s="23" t="s">
        <v>40</v>
      </c>
      <c r="P700" s="20">
        <f t="shared" si="340"/>
        <v>2160</v>
      </c>
      <c r="Q700" s="23" t="s">
        <v>40</v>
      </c>
      <c r="R700" s="24">
        <f t="shared" si="341"/>
        <v>46792080</v>
      </c>
      <c r="S700" s="24">
        <f t="shared" si="330"/>
        <v>42155027.027027026</v>
      </c>
    </row>
    <row r="701" spans="1:19" s="19" customFormat="1">
      <c r="A701" s="18" t="s">
        <v>709</v>
      </c>
      <c r="B701" s="19" t="s">
        <v>25</v>
      </c>
      <c r="C701" s="20">
        <v>27</v>
      </c>
      <c r="D701" s="21" t="s">
        <v>40</v>
      </c>
      <c r="E701" s="26">
        <v>2</v>
      </c>
      <c r="F701" s="22">
        <v>1</v>
      </c>
      <c r="G701" s="23" t="s">
        <v>20</v>
      </c>
      <c r="H701" s="22">
        <v>144</v>
      </c>
      <c r="I701" s="23" t="s">
        <v>40</v>
      </c>
      <c r="J701" s="24">
        <f>5616000/144</f>
        <v>39000</v>
      </c>
      <c r="K701" s="21" t="s">
        <v>40</v>
      </c>
      <c r="L701" s="25"/>
      <c r="M701" s="25">
        <v>0.17</v>
      </c>
      <c r="N701" s="22"/>
      <c r="O701" s="23" t="s">
        <v>40</v>
      </c>
      <c r="P701" s="20">
        <f t="shared" si="340"/>
        <v>315</v>
      </c>
      <c r="Q701" s="23" t="s">
        <v>40</v>
      </c>
      <c r="R701" s="24">
        <f t="shared" si="341"/>
        <v>10196550</v>
      </c>
      <c r="S701" s="24">
        <f t="shared" si="330"/>
        <v>9186081.0810810812</v>
      </c>
    </row>
    <row r="702" spans="1:19" s="19" customFormat="1">
      <c r="A702" s="18" t="s">
        <v>398</v>
      </c>
      <c r="B702" s="19" t="s">
        <v>25</v>
      </c>
      <c r="C702" s="20"/>
      <c r="D702" s="21" t="s">
        <v>40</v>
      </c>
      <c r="E702" s="26">
        <v>2</v>
      </c>
      <c r="F702" s="22">
        <v>1</v>
      </c>
      <c r="G702" s="23" t="s">
        <v>20</v>
      </c>
      <c r="H702" s="22">
        <v>144</v>
      </c>
      <c r="I702" s="23" t="s">
        <v>40</v>
      </c>
      <c r="J702" s="24">
        <f>5270400/144</f>
        <v>36600</v>
      </c>
      <c r="K702" s="21" t="s">
        <v>40</v>
      </c>
      <c r="L702" s="25"/>
      <c r="M702" s="25">
        <v>0.17</v>
      </c>
      <c r="N702" s="22"/>
      <c r="O702" s="23" t="s">
        <v>40</v>
      </c>
      <c r="P702" s="20">
        <f t="shared" si="340"/>
        <v>288</v>
      </c>
      <c r="Q702" s="23" t="s">
        <v>40</v>
      </c>
      <c r="R702" s="24">
        <f t="shared" si="341"/>
        <v>8748864</v>
      </c>
      <c r="S702" s="24">
        <f t="shared" si="330"/>
        <v>7881859.4594594585</v>
      </c>
    </row>
    <row r="703" spans="1:19" s="78" customFormat="1">
      <c r="A703" s="77" t="s">
        <v>399</v>
      </c>
      <c r="B703" s="78" t="s">
        <v>25</v>
      </c>
      <c r="C703" s="76"/>
      <c r="D703" s="79" t="s">
        <v>40</v>
      </c>
      <c r="E703" s="80"/>
      <c r="F703" s="81">
        <v>1</v>
      </c>
      <c r="G703" s="82" t="s">
        <v>20</v>
      </c>
      <c r="H703" s="81">
        <v>144</v>
      </c>
      <c r="I703" s="82" t="s">
        <v>40</v>
      </c>
      <c r="J703" s="83">
        <f>5616000/144</f>
        <v>39000</v>
      </c>
      <c r="K703" s="79" t="s">
        <v>40</v>
      </c>
      <c r="L703" s="84"/>
      <c r="M703" s="84">
        <v>0.17</v>
      </c>
      <c r="N703" s="81"/>
      <c r="O703" s="82" t="s">
        <v>40</v>
      </c>
      <c r="P703" s="76">
        <f t="shared" si="340"/>
        <v>0</v>
      </c>
      <c r="Q703" s="82" t="s">
        <v>40</v>
      </c>
      <c r="R703" s="83">
        <f t="shared" si="341"/>
        <v>0</v>
      </c>
      <c r="S703" s="83">
        <f t="shared" si="330"/>
        <v>0</v>
      </c>
    </row>
    <row r="704" spans="1:19">
      <c r="A704" s="17" t="s">
        <v>400</v>
      </c>
      <c r="B704" s="2" t="s">
        <v>25</v>
      </c>
      <c r="D704" s="4" t="s">
        <v>40</v>
      </c>
      <c r="E704" s="5">
        <v>2</v>
      </c>
      <c r="F704" s="6">
        <v>1</v>
      </c>
      <c r="G704" s="7" t="s">
        <v>20</v>
      </c>
      <c r="H704" s="6">
        <v>144</v>
      </c>
      <c r="I704" s="7" t="s">
        <v>40</v>
      </c>
      <c r="J704" s="8">
        <f>5616000/144</f>
        <v>39000</v>
      </c>
      <c r="K704" s="4" t="s">
        <v>40</v>
      </c>
      <c r="M704" s="9">
        <v>0.17</v>
      </c>
      <c r="O704" s="7" t="s">
        <v>40</v>
      </c>
      <c r="P704" s="3">
        <f t="shared" si="340"/>
        <v>288</v>
      </c>
      <c r="Q704" s="7" t="s">
        <v>40</v>
      </c>
      <c r="R704" s="8">
        <f t="shared" si="341"/>
        <v>9322560</v>
      </c>
      <c r="S704" s="8">
        <f t="shared" si="330"/>
        <v>8398702.7027027011</v>
      </c>
    </row>
    <row r="706" spans="1:19" s="19" customFormat="1">
      <c r="A706" s="18" t="s">
        <v>402</v>
      </c>
      <c r="B706" s="19" t="s">
        <v>260</v>
      </c>
      <c r="C706" s="20">
        <v>2304</v>
      </c>
      <c r="D706" s="21" t="s">
        <v>40</v>
      </c>
      <c r="E706" s="26"/>
      <c r="F706" s="22">
        <v>1</v>
      </c>
      <c r="G706" s="23" t="s">
        <v>20</v>
      </c>
      <c r="H706" s="22">
        <v>144</v>
      </c>
      <c r="I706" s="23" t="s">
        <v>40</v>
      </c>
      <c r="J706" s="24">
        <v>22500</v>
      </c>
      <c r="K706" s="21" t="s">
        <v>40</v>
      </c>
      <c r="L706" s="25"/>
      <c r="M706" s="25"/>
      <c r="N706" s="22"/>
      <c r="O706" s="23" t="s">
        <v>40</v>
      </c>
      <c r="P706" s="20">
        <f t="shared" ref="P706:P715" si="369">(C706+(E706*F706*H706))-N706</f>
        <v>2304</v>
      </c>
      <c r="Q706" s="23" t="s">
        <v>40</v>
      </c>
      <c r="R706" s="24">
        <f t="shared" ref="R706:R715" si="370">P706*(J706-(J706*L706)-((J706-(J706*L706))*M706))</f>
        <v>51840000</v>
      </c>
      <c r="S706" s="24">
        <f t="shared" si="330"/>
        <v>46702702.702702701</v>
      </c>
    </row>
    <row r="707" spans="1:19" s="69" customFormat="1">
      <c r="A707" s="68" t="s">
        <v>403</v>
      </c>
      <c r="B707" s="69" t="s">
        <v>260</v>
      </c>
      <c r="C707" s="70"/>
      <c r="D707" s="71" t="s">
        <v>40</v>
      </c>
      <c r="E707" s="72"/>
      <c r="F707" s="73">
        <v>1</v>
      </c>
      <c r="G707" s="74" t="s">
        <v>20</v>
      </c>
      <c r="H707" s="73">
        <v>144</v>
      </c>
      <c r="I707" s="74" t="s">
        <v>40</v>
      </c>
      <c r="J707" s="16">
        <v>26000</v>
      </c>
      <c r="K707" s="71" t="s">
        <v>40</v>
      </c>
      <c r="L707" s="75"/>
      <c r="M707" s="75"/>
      <c r="N707" s="73"/>
      <c r="O707" s="74" t="s">
        <v>40</v>
      </c>
      <c r="P707" s="70">
        <f t="shared" si="369"/>
        <v>0</v>
      </c>
      <c r="Q707" s="74" t="s">
        <v>40</v>
      </c>
      <c r="R707" s="16">
        <f t="shared" si="370"/>
        <v>0</v>
      </c>
      <c r="S707" s="16">
        <f t="shared" si="330"/>
        <v>0</v>
      </c>
    </row>
    <row r="708" spans="1:19" s="19" customFormat="1">
      <c r="A708" s="18" t="s">
        <v>404</v>
      </c>
      <c r="B708" s="19" t="s">
        <v>260</v>
      </c>
      <c r="C708" s="20">
        <v>90</v>
      </c>
      <c r="D708" s="21" t="s">
        <v>40</v>
      </c>
      <c r="E708" s="26">
        <v>10</v>
      </c>
      <c r="F708" s="22">
        <v>1</v>
      </c>
      <c r="G708" s="23" t="s">
        <v>20</v>
      </c>
      <c r="H708" s="22">
        <v>96</v>
      </c>
      <c r="I708" s="23" t="s">
        <v>40</v>
      </c>
      <c r="J708" s="24">
        <v>31500</v>
      </c>
      <c r="K708" s="21" t="s">
        <v>40</v>
      </c>
      <c r="L708" s="25"/>
      <c r="M708" s="25"/>
      <c r="N708" s="22"/>
      <c r="O708" s="23" t="s">
        <v>40</v>
      </c>
      <c r="P708" s="20">
        <f t="shared" si="369"/>
        <v>1050</v>
      </c>
      <c r="Q708" s="23" t="s">
        <v>40</v>
      </c>
      <c r="R708" s="24">
        <f t="shared" si="370"/>
        <v>33075000</v>
      </c>
      <c r="S708" s="24">
        <f t="shared" si="330"/>
        <v>29797297.297297295</v>
      </c>
    </row>
    <row r="709" spans="1:19" s="69" customFormat="1">
      <c r="A709" s="68" t="s">
        <v>715</v>
      </c>
      <c r="B709" s="69" t="s">
        <v>260</v>
      </c>
      <c r="C709" s="70"/>
      <c r="D709" s="71" t="s">
        <v>40</v>
      </c>
      <c r="E709" s="72"/>
      <c r="F709" s="73">
        <v>1</v>
      </c>
      <c r="G709" s="74" t="s">
        <v>20</v>
      </c>
      <c r="H709" s="73">
        <v>144</v>
      </c>
      <c r="I709" s="74" t="s">
        <v>40</v>
      </c>
      <c r="J709" s="16">
        <f>31818+(31818*10%)</f>
        <v>34999.800000000003</v>
      </c>
      <c r="K709" s="71" t="s">
        <v>40</v>
      </c>
      <c r="L709" s="75"/>
      <c r="M709" s="75"/>
      <c r="N709" s="73"/>
      <c r="O709" s="74" t="s">
        <v>40</v>
      </c>
      <c r="P709" s="70">
        <f t="shared" si="369"/>
        <v>0</v>
      </c>
      <c r="Q709" s="74" t="s">
        <v>40</v>
      </c>
      <c r="R709" s="16">
        <f t="shared" si="370"/>
        <v>0</v>
      </c>
      <c r="S709" s="16">
        <f t="shared" si="330"/>
        <v>0</v>
      </c>
    </row>
    <row r="710" spans="1:19" s="19" customFormat="1">
      <c r="A710" s="18" t="s">
        <v>831</v>
      </c>
      <c r="B710" s="19" t="s">
        <v>260</v>
      </c>
      <c r="C710" s="20"/>
      <c r="D710" s="21" t="s">
        <v>40</v>
      </c>
      <c r="E710" s="26">
        <v>22</v>
      </c>
      <c r="F710" s="22">
        <v>1</v>
      </c>
      <c r="G710" s="23" t="s">
        <v>20</v>
      </c>
      <c r="H710" s="22">
        <v>144</v>
      </c>
      <c r="I710" s="23" t="s">
        <v>40</v>
      </c>
      <c r="J710" s="24">
        <v>18250</v>
      </c>
      <c r="K710" s="21" t="s">
        <v>40</v>
      </c>
      <c r="L710" s="25"/>
      <c r="M710" s="25"/>
      <c r="N710" s="22"/>
      <c r="O710" s="23" t="s">
        <v>40</v>
      </c>
      <c r="P710" s="20">
        <f t="shared" ref="P710" si="371">(C710+(E710*F710*H710))-N710</f>
        <v>3168</v>
      </c>
      <c r="Q710" s="23" t="s">
        <v>40</v>
      </c>
      <c r="R710" s="24">
        <f t="shared" ref="R710" si="372">P710*(J710-(J710*L710)-((J710-(J710*L710))*M710))</f>
        <v>57816000</v>
      </c>
      <c r="S710" s="24">
        <f t="shared" ref="S710" si="373">R710/1.11</f>
        <v>52086486.48648648</v>
      </c>
    </row>
    <row r="711" spans="1:19" s="19" customFormat="1">
      <c r="A711" s="18" t="s">
        <v>831</v>
      </c>
      <c r="B711" s="19" t="s">
        <v>260</v>
      </c>
      <c r="C711" s="20">
        <f>115+69+60+144</f>
        <v>388</v>
      </c>
      <c r="D711" s="21" t="s">
        <v>40</v>
      </c>
      <c r="E711" s="26"/>
      <c r="F711" s="22">
        <v>1</v>
      </c>
      <c r="G711" s="23" t="s">
        <v>20</v>
      </c>
      <c r="H711" s="22">
        <v>144</v>
      </c>
      <c r="I711" s="23" t="s">
        <v>40</v>
      </c>
      <c r="J711" s="24">
        <v>16175</v>
      </c>
      <c r="K711" s="21" t="s">
        <v>40</v>
      </c>
      <c r="L711" s="25"/>
      <c r="M711" s="25"/>
      <c r="N711" s="22"/>
      <c r="O711" s="23" t="s">
        <v>40</v>
      </c>
      <c r="P711" s="20">
        <f>(C711+(E711*F711*H711))-N711</f>
        <v>388</v>
      </c>
      <c r="Q711" s="23" t="s">
        <v>40</v>
      </c>
      <c r="R711" s="24">
        <f>P711*(J711-(J711*L711)-((J711-(J711*L711))*M711))</f>
        <v>6275900</v>
      </c>
      <c r="S711" s="24">
        <f>R711/1.11</f>
        <v>5653963.9639639631</v>
      </c>
    </row>
    <row r="712" spans="1:19" s="19" customFormat="1">
      <c r="A712" s="18" t="s">
        <v>944</v>
      </c>
      <c r="B712" s="19" t="s">
        <v>260</v>
      </c>
      <c r="C712" s="20"/>
      <c r="D712" s="21" t="s">
        <v>40</v>
      </c>
      <c r="E712" s="26">
        <v>1</v>
      </c>
      <c r="F712" s="22">
        <v>1</v>
      </c>
      <c r="G712" s="23" t="s">
        <v>20</v>
      </c>
      <c r="H712" s="22">
        <v>144</v>
      </c>
      <c r="I712" s="23" t="s">
        <v>40</v>
      </c>
      <c r="J712" s="24">
        <v>0</v>
      </c>
      <c r="K712" s="21" t="s">
        <v>40</v>
      </c>
      <c r="L712" s="25"/>
      <c r="M712" s="25"/>
      <c r="N712" s="22"/>
      <c r="O712" s="23" t="s">
        <v>40</v>
      </c>
      <c r="P712" s="20">
        <f>(C712+(E712*F712*H712))-N712</f>
        <v>144</v>
      </c>
      <c r="Q712" s="23" t="s">
        <v>40</v>
      </c>
      <c r="R712" s="24">
        <f>P712*(J712-(J712*L712)-((J712-(J712*L712))*M712))</f>
        <v>0</v>
      </c>
      <c r="S712" s="24">
        <f>R712/1.11</f>
        <v>0</v>
      </c>
    </row>
    <row r="713" spans="1:19" s="19" customFormat="1">
      <c r="A713" s="18" t="s">
        <v>883</v>
      </c>
      <c r="B713" s="19" t="s">
        <v>260</v>
      </c>
      <c r="C713" s="20"/>
      <c r="D713" s="21" t="s">
        <v>40</v>
      </c>
      <c r="E713" s="26">
        <v>1</v>
      </c>
      <c r="F713" s="22">
        <v>1</v>
      </c>
      <c r="G713" s="23" t="s">
        <v>20</v>
      </c>
      <c r="H713" s="22">
        <v>72</v>
      </c>
      <c r="I713" s="23" t="s">
        <v>40</v>
      </c>
      <c r="J713" s="24">
        <v>18250</v>
      </c>
      <c r="K713" s="21" t="s">
        <v>40</v>
      </c>
      <c r="L713" s="25"/>
      <c r="M713" s="25"/>
      <c r="N713" s="22"/>
      <c r="O713" s="23" t="s">
        <v>40</v>
      </c>
      <c r="P713" s="20">
        <f>(C713+(E713*F713*H713))-N713</f>
        <v>72</v>
      </c>
      <c r="Q713" s="23" t="s">
        <v>40</v>
      </c>
      <c r="R713" s="24">
        <f>P713*(J713-(J713*L713)-((J713-(J713*L713))*M713))</f>
        <v>1314000</v>
      </c>
      <c r="S713" s="24">
        <f>R713/1.11</f>
        <v>1183783.7837837837</v>
      </c>
    </row>
    <row r="714" spans="1:19" s="19" customFormat="1">
      <c r="A714" s="18" t="s">
        <v>883</v>
      </c>
      <c r="B714" s="19" t="s">
        <v>260</v>
      </c>
      <c r="C714" s="20"/>
      <c r="D714" s="21" t="s">
        <v>40</v>
      </c>
      <c r="E714" s="26">
        <v>1</v>
      </c>
      <c r="F714" s="22">
        <v>1</v>
      </c>
      <c r="G714" s="23" t="s">
        <v>20</v>
      </c>
      <c r="H714" s="22">
        <v>72</v>
      </c>
      <c r="I714" s="23" t="s">
        <v>40</v>
      </c>
      <c r="J714" s="24">
        <v>0</v>
      </c>
      <c r="K714" s="21" t="s">
        <v>40</v>
      </c>
      <c r="L714" s="25"/>
      <c r="M714" s="25"/>
      <c r="N714" s="22"/>
      <c r="O714" s="23" t="s">
        <v>40</v>
      </c>
      <c r="P714" s="20">
        <f t="shared" ref="P714" si="374">(C714+(E714*F714*H714))-N714</f>
        <v>72</v>
      </c>
      <c r="Q714" s="23" t="s">
        <v>40</v>
      </c>
      <c r="R714" s="24">
        <f t="shared" ref="R714" si="375">P714*(J714-(J714*L714)-((J714-(J714*L714))*M714))</f>
        <v>0</v>
      </c>
      <c r="S714" s="24">
        <f t="shared" ref="S714" si="376">R714/1.11</f>
        <v>0</v>
      </c>
    </row>
    <row r="715" spans="1:19" s="19" customFormat="1">
      <c r="A715" s="18" t="s">
        <v>816</v>
      </c>
      <c r="B715" s="19" t="s">
        <v>260</v>
      </c>
      <c r="C715" s="20"/>
      <c r="D715" s="21" t="s">
        <v>40</v>
      </c>
      <c r="E715" s="26">
        <v>1</v>
      </c>
      <c r="F715" s="22">
        <v>1</v>
      </c>
      <c r="G715" s="23" t="s">
        <v>20</v>
      </c>
      <c r="H715" s="22">
        <v>120</v>
      </c>
      <c r="I715" s="23" t="s">
        <v>40</v>
      </c>
      <c r="J715" s="24">
        <v>18250</v>
      </c>
      <c r="K715" s="21" t="s">
        <v>40</v>
      </c>
      <c r="L715" s="25"/>
      <c r="M715" s="25"/>
      <c r="N715" s="22"/>
      <c r="O715" s="23" t="s">
        <v>40</v>
      </c>
      <c r="P715" s="20">
        <f t="shared" si="369"/>
        <v>120</v>
      </c>
      <c r="Q715" s="23" t="s">
        <v>40</v>
      </c>
      <c r="R715" s="24">
        <f t="shared" si="370"/>
        <v>2190000</v>
      </c>
      <c r="S715" s="24">
        <f t="shared" si="330"/>
        <v>1972972.9729729728</v>
      </c>
    </row>
    <row r="716" spans="1:19" s="19" customFormat="1">
      <c r="A716" s="18" t="s">
        <v>817</v>
      </c>
      <c r="B716" s="19" t="s">
        <v>260</v>
      </c>
      <c r="C716" s="20"/>
      <c r="D716" s="21" t="s">
        <v>40</v>
      </c>
      <c r="E716" s="26">
        <v>1</v>
      </c>
      <c r="F716" s="22">
        <v>1</v>
      </c>
      <c r="G716" s="23" t="s">
        <v>20</v>
      </c>
      <c r="H716" s="22">
        <v>120</v>
      </c>
      <c r="I716" s="23" t="s">
        <v>40</v>
      </c>
      <c r="J716" s="24">
        <v>18250</v>
      </c>
      <c r="K716" s="21" t="s">
        <v>40</v>
      </c>
      <c r="L716" s="25"/>
      <c r="M716" s="25"/>
      <c r="N716" s="22"/>
      <c r="O716" s="23" t="s">
        <v>40</v>
      </c>
      <c r="P716" s="20">
        <f t="shared" ref="P716:P718" si="377">(C716+(E716*F716*H716))-N716</f>
        <v>120</v>
      </c>
      <c r="Q716" s="23" t="s">
        <v>40</v>
      </c>
      <c r="R716" s="24">
        <f t="shared" ref="R716:R718" si="378">P716*(J716-(J716*L716)-((J716-(J716*L716))*M716))</f>
        <v>2190000</v>
      </c>
      <c r="S716" s="24">
        <f t="shared" ref="S716:S718" si="379">R716/1.11</f>
        <v>1972972.9729729728</v>
      </c>
    </row>
    <row r="717" spans="1:19" s="19" customFormat="1">
      <c r="A717" s="18" t="s">
        <v>818</v>
      </c>
      <c r="B717" s="19" t="s">
        <v>260</v>
      </c>
      <c r="C717" s="20"/>
      <c r="D717" s="21" t="s">
        <v>40</v>
      </c>
      <c r="E717" s="26">
        <v>1</v>
      </c>
      <c r="F717" s="22">
        <v>1</v>
      </c>
      <c r="G717" s="23" t="s">
        <v>20</v>
      </c>
      <c r="H717" s="22">
        <v>120</v>
      </c>
      <c r="I717" s="23" t="s">
        <v>40</v>
      </c>
      <c r="J717" s="24">
        <v>18250</v>
      </c>
      <c r="K717" s="21" t="s">
        <v>40</v>
      </c>
      <c r="L717" s="25"/>
      <c r="M717" s="25"/>
      <c r="N717" s="22"/>
      <c r="O717" s="23" t="s">
        <v>40</v>
      </c>
      <c r="P717" s="20">
        <f t="shared" si="377"/>
        <v>120</v>
      </c>
      <c r="Q717" s="23" t="s">
        <v>40</v>
      </c>
      <c r="R717" s="24">
        <f t="shared" si="378"/>
        <v>2190000</v>
      </c>
      <c r="S717" s="24">
        <f t="shared" si="379"/>
        <v>1972972.9729729728</v>
      </c>
    </row>
    <row r="718" spans="1:19" s="19" customFormat="1">
      <c r="A718" s="18" t="s">
        <v>819</v>
      </c>
      <c r="B718" s="19" t="s">
        <v>260</v>
      </c>
      <c r="C718" s="20"/>
      <c r="D718" s="21" t="s">
        <v>40</v>
      </c>
      <c r="E718" s="26">
        <v>1</v>
      </c>
      <c r="F718" s="22">
        <v>1</v>
      </c>
      <c r="G718" s="23" t="s">
        <v>20</v>
      </c>
      <c r="H718" s="22">
        <v>120</v>
      </c>
      <c r="I718" s="23" t="s">
        <v>40</v>
      </c>
      <c r="J718" s="24">
        <v>18250</v>
      </c>
      <c r="K718" s="21" t="s">
        <v>40</v>
      </c>
      <c r="L718" s="25"/>
      <c r="M718" s="25"/>
      <c r="N718" s="22"/>
      <c r="O718" s="23" t="s">
        <v>40</v>
      </c>
      <c r="P718" s="20">
        <f t="shared" si="377"/>
        <v>120</v>
      </c>
      <c r="Q718" s="23" t="s">
        <v>40</v>
      </c>
      <c r="R718" s="24">
        <f t="shared" si="378"/>
        <v>2190000</v>
      </c>
      <c r="S718" s="24">
        <f t="shared" si="379"/>
        <v>1972972.9729729728</v>
      </c>
    </row>
    <row r="719" spans="1:19" s="19" customFormat="1">
      <c r="A719" s="18" t="s">
        <v>886</v>
      </c>
      <c r="B719" s="19" t="s">
        <v>260</v>
      </c>
      <c r="C719" s="20"/>
      <c r="D719" s="21" t="s">
        <v>40</v>
      </c>
      <c r="E719" s="26">
        <v>1</v>
      </c>
      <c r="F719" s="22">
        <v>1</v>
      </c>
      <c r="G719" s="23" t="s">
        <v>20</v>
      </c>
      <c r="H719" s="22">
        <v>120</v>
      </c>
      <c r="I719" s="23" t="s">
        <v>40</v>
      </c>
      <c r="J719" s="24">
        <v>18250</v>
      </c>
      <c r="K719" s="21" t="s">
        <v>40</v>
      </c>
      <c r="L719" s="25"/>
      <c r="M719" s="25"/>
      <c r="N719" s="22"/>
      <c r="O719" s="23" t="s">
        <v>40</v>
      </c>
      <c r="P719" s="20">
        <f t="shared" ref="P719" si="380">(C719+(E719*F719*H719))-N719</f>
        <v>120</v>
      </c>
      <c r="Q719" s="23" t="s">
        <v>40</v>
      </c>
      <c r="R719" s="24">
        <f t="shared" ref="R719" si="381">P719*(J719-(J719*L719)-((J719-(J719*L719))*M719))</f>
        <v>2190000</v>
      </c>
      <c r="S719" s="24">
        <f t="shared" ref="S719" si="382">R719/1.11</f>
        <v>1972972.9729729728</v>
      </c>
    </row>
    <row r="720" spans="1:19" s="19" customFormat="1">
      <c r="A720" s="18" t="s">
        <v>887</v>
      </c>
      <c r="B720" s="19" t="s">
        <v>260</v>
      </c>
      <c r="C720" s="20"/>
      <c r="D720" s="21" t="s">
        <v>40</v>
      </c>
      <c r="E720" s="26">
        <v>1</v>
      </c>
      <c r="F720" s="22">
        <v>1</v>
      </c>
      <c r="G720" s="23" t="s">
        <v>20</v>
      </c>
      <c r="H720" s="22">
        <v>120</v>
      </c>
      <c r="I720" s="23" t="s">
        <v>40</v>
      </c>
      <c r="J720" s="24">
        <v>18250</v>
      </c>
      <c r="K720" s="21" t="s">
        <v>40</v>
      </c>
      <c r="L720" s="25"/>
      <c r="M720" s="25"/>
      <c r="N720" s="22"/>
      <c r="O720" s="23" t="s">
        <v>40</v>
      </c>
      <c r="P720" s="20">
        <f t="shared" ref="P720:P725" si="383">(C720+(E720*F720*H720))-N720</f>
        <v>120</v>
      </c>
      <c r="Q720" s="23" t="s">
        <v>40</v>
      </c>
      <c r="R720" s="24">
        <f t="shared" ref="R720:R725" si="384">P720*(J720-(J720*L720)-((J720-(J720*L720))*M720))</f>
        <v>2190000</v>
      </c>
      <c r="S720" s="24">
        <f t="shared" ref="S720:S725" si="385">R720/1.11</f>
        <v>1972972.9729729728</v>
      </c>
    </row>
    <row r="721" spans="1:19" s="19" customFormat="1">
      <c r="A721" s="18" t="s">
        <v>888</v>
      </c>
      <c r="B721" s="19" t="s">
        <v>260</v>
      </c>
      <c r="C721" s="20"/>
      <c r="D721" s="21" t="s">
        <v>40</v>
      </c>
      <c r="E721" s="26">
        <v>2</v>
      </c>
      <c r="F721" s="22">
        <v>1</v>
      </c>
      <c r="G721" s="23" t="s">
        <v>20</v>
      </c>
      <c r="H721" s="22">
        <v>120</v>
      </c>
      <c r="I721" s="23" t="s">
        <v>40</v>
      </c>
      <c r="J721" s="24">
        <v>18250</v>
      </c>
      <c r="K721" s="21" t="s">
        <v>40</v>
      </c>
      <c r="L721" s="25"/>
      <c r="M721" s="25"/>
      <c r="N721" s="22"/>
      <c r="O721" s="23" t="s">
        <v>40</v>
      </c>
      <c r="P721" s="20">
        <f t="shared" si="383"/>
        <v>240</v>
      </c>
      <c r="Q721" s="23" t="s">
        <v>40</v>
      </c>
      <c r="R721" s="24">
        <f t="shared" si="384"/>
        <v>4380000</v>
      </c>
      <c r="S721" s="24">
        <f t="shared" si="385"/>
        <v>3945945.9459459456</v>
      </c>
    </row>
    <row r="722" spans="1:19" s="19" customFormat="1">
      <c r="A722" s="18" t="s">
        <v>889</v>
      </c>
      <c r="B722" s="19" t="s">
        <v>260</v>
      </c>
      <c r="C722" s="20"/>
      <c r="D722" s="21" t="s">
        <v>40</v>
      </c>
      <c r="E722" s="26">
        <v>2</v>
      </c>
      <c r="F722" s="22">
        <v>1</v>
      </c>
      <c r="G722" s="23" t="s">
        <v>20</v>
      </c>
      <c r="H722" s="22">
        <v>120</v>
      </c>
      <c r="I722" s="23" t="s">
        <v>40</v>
      </c>
      <c r="J722" s="24">
        <v>18250</v>
      </c>
      <c r="K722" s="21" t="s">
        <v>40</v>
      </c>
      <c r="L722" s="25"/>
      <c r="M722" s="25"/>
      <c r="N722" s="22"/>
      <c r="O722" s="23" t="s">
        <v>40</v>
      </c>
      <c r="P722" s="20">
        <f t="shared" si="383"/>
        <v>240</v>
      </c>
      <c r="Q722" s="23" t="s">
        <v>40</v>
      </c>
      <c r="R722" s="24">
        <f t="shared" si="384"/>
        <v>4380000</v>
      </c>
      <c r="S722" s="24">
        <f t="shared" si="385"/>
        <v>3945945.9459459456</v>
      </c>
    </row>
    <row r="723" spans="1:19" s="19" customFormat="1">
      <c r="A723" s="18" t="s">
        <v>890</v>
      </c>
      <c r="B723" s="19" t="s">
        <v>260</v>
      </c>
      <c r="C723" s="20"/>
      <c r="D723" s="21" t="s">
        <v>40</v>
      </c>
      <c r="E723" s="26">
        <v>2</v>
      </c>
      <c r="F723" s="22">
        <v>1</v>
      </c>
      <c r="G723" s="23" t="s">
        <v>20</v>
      </c>
      <c r="H723" s="22">
        <v>120</v>
      </c>
      <c r="I723" s="23" t="s">
        <v>40</v>
      </c>
      <c r="J723" s="24">
        <v>18250</v>
      </c>
      <c r="K723" s="21" t="s">
        <v>40</v>
      </c>
      <c r="L723" s="25"/>
      <c r="M723" s="25"/>
      <c r="N723" s="22"/>
      <c r="O723" s="23" t="s">
        <v>40</v>
      </c>
      <c r="P723" s="20">
        <f t="shared" si="383"/>
        <v>240</v>
      </c>
      <c r="Q723" s="23" t="s">
        <v>40</v>
      </c>
      <c r="R723" s="24">
        <f t="shared" si="384"/>
        <v>4380000</v>
      </c>
      <c r="S723" s="24">
        <f t="shared" si="385"/>
        <v>3945945.9459459456</v>
      </c>
    </row>
    <row r="724" spans="1:19" s="19" customFormat="1">
      <c r="A724" s="18" t="s">
        <v>891</v>
      </c>
      <c r="B724" s="19" t="s">
        <v>260</v>
      </c>
      <c r="C724" s="20"/>
      <c r="D724" s="21" t="s">
        <v>40</v>
      </c>
      <c r="E724" s="26">
        <v>1</v>
      </c>
      <c r="F724" s="22">
        <v>1</v>
      </c>
      <c r="G724" s="23" t="s">
        <v>20</v>
      </c>
      <c r="H724" s="22">
        <v>120</v>
      </c>
      <c r="I724" s="23" t="s">
        <v>40</v>
      </c>
      <c r="J724" s="24">
        <v>18250</v>
      </c>
      <c r="K724" s="21" t="s">
        <v>40</v>
      </c>
      <c r="L724" s="25"/>
      <c r="M724" s="25"/>
      <c r="N724" s="22"/>
      <c r="O724" s="23" t="s">
        <v>40</v>
      </c>
      <c r="P724" s="20">
        <f t="shared" si="383"/>
        <v>120</v>
      </c>
      <c r="Q724" s="23" t="s">
        <v>40</v>
      </c>
      <c r="R724" s="24">
        <f t="shared" si="384"/>
        <v>2190000</v>
      </c>
      <c r="S724" s="24">
        <f t="shared" si="385"/>
        <v>1972972.9729729728</v>
      </c>
    </row>
    <row r="725" spans="1:19" s="19" customFormat="1">
      <c r="A725" s="18" t="s">
        <v>892</v>
      </c>
      <c r="B725" s="19" t="s">
        <v>260</v>
      </c>
      <c r="C725" s="20"/>
      <c r="D725" s="21" t="s">
        <v>40</v>
      </c>
      <c r="E725" s="26">
        <v>2</v>
      </c>
      <c r="F725" s="22">
        <v>1</v>
      </c>
      <c r="G725" s="23" t="s">
        <v>20</v>
      </c>
      <c r="H725" s="22">
        <v>120</v>
      </c>
      <c r="I725" s="23" t="s">
        <v>40</v>
      </c>
      <c r="J725" s="24">
        <v>18250</v>
      </c>
      <c r="K725" s="21" t="s">
        <v>40</v>
      </c>
      <c r="L725" s="25"/>
      <c r="M725" s="25"/>
      <c r="N725" s="22"/>
      <c r="O725" s="23" t="s">
        <v>40</v>
      </c>
      <c r="P725" s="20">
        <f t="shared" si="383"/>
        <v>240</v>
      </c>
      <c r="Q725" s="23" t="s">
        <v>40</v>
      </c>
      <c r="R725" s="24">
        <f t="shared" si="384"/>
        <v>4380000</v>
      </c>
      <c r="S725" s="24">
        <f t="shared" si="385"/>
        <v>3945945.9459459456</v>
      </c>
    </row>
    <row r="726" spans="1:19" s="19" customFormat="1">
      <c r="A726" s="18" t="s">
        <v>893</v>
      </c>
      <c r="B726" s="19" t="s">
        <v>260</v>
      </c>
      <c r="C726" s="20"/>
      <c r="D726" s="21" t="s">
        <v>40</v>
      </c>
      <c r="E726" s="26">
        <v>1</v>
      </c>
      <c r="F726" s="22">
        <v>1</v>
      </c>
      <c r="G726" s="23" t="s">
        <v>20</v>
      </c>
      <c r="H726" s="22">
        <v>120</v>
      </c>
      <c r="I726" s="23" t="s">
        <v>40</v>
      </c>
      <c r="J726" s="24">
        <v>18250</v>
      </c>
      <c r="K726" s="21" t="s">
        <v>40</v>
      </c>
      <c r="L726" s="25"/>
      <c r="M726" s="25"/>
      <c r="N726" s="22"/>
      <c r="O726" s="23" t="s">
        <v>40</v>
      </c>
      <c r="P726" s="20">
        <f t="shared" ref="P726" si="386">(C726+(E726*F726*H726))-N726</f>
        <v>120</v>
      </c>
      <c r="Q726" s="23" t="s">
        <v>40</v>
      </c>
      <c r="R726" s="24">
        <f t="shared" ref="R726" si="387">P726*(J726-(J726*L726)-((J726-(J726*L726))*M726))</f>
        <v>2190000</v>
      </c>
      <c r="S726" s="24">
        <f t="shared" ref="S726" si="388">R726/1.11</f>
        <v>1972972.9729729728</v>
      </c>
    </row>
    <row r="727" spans="1:19" s="19" customFormat="1">
      <c r="A727" s="18" t="s">
        <v>894</v>
      </c>
      <c r="B727" s="19" t="s">
        <v>260</v>
      </c>
      <c r="C727" s="20"/>
      <c r="D727" s="21" t="s">
        <v>40</v>
      </c>
      <c r="E727" s="26">
        <v>1</v>
      </c>
      <c r="F727" s="22">
        <v>1</v>
      </c>
      <c r="G727" s="23" t="s">
        <v>20</v>
      </c>
      <c r="H727" s="22">
        <v>60</v>
      </c>
      <c r="I727" s="23" t="s">
        <v>40</v>
      </c>
      <c r="J727" s="24">
        <v>18250</v>
      </c>
      <c r="K727" s="21" t="s">
        <v>40</v>
      </c>
      <c r="L727" s="25"/>
      <c r="M727" s="25"/>
      <c r="N727" s="22"/>
      <c r="O727" s="23" t="s">
        <v>40</v>
      </c>
      <c r="P727" s="20">
        <f t="shared" ref="P727" si="389">(C727+(E727*F727*H727))-N727</f>
        <v>60</v>
      </c>
      <c r="Q727" s="23" t="s">
        <v>40</v>
      </c>
      <c r="R727" s="24">
        <f t="shared" ref="R727" si="390">P727*(J727-(J727*L727)-((J727-(J727*L727))*M727))</f>
        <v>1095000</v>
      </c>
      <c r="S727" s="24">
        <f t="shared" ref="S727" si="391">R727/1.11</f>
        <v>986486.48648648639</v>
      </c>
    </row>
    <row r="728" spans="1:19" s="19" customFormat="1">
      <c r="A728" s="18" t="s">
        <v>894</v>
      </c>
      <c r="B728" s="19" t="s">
        <v>260</v>
      </c>
      <c r="C728" s="20"/>
      <c r="D728" s="21" t="s">
        <v>40</v>
      </c>
      <c r="E728" s="26">
        <v>1</v>
      </c>
      <c r="F728" s="22">
        <v>1</v>
      </c>
      <c r="G728" s="23" t="s">
        <v>20</v>
      </c>
      <c r="H728" s="22">
        <v>60</v>
      </c>
      <c r="I728" s="23" t="s">
        <v>40</v>
      </c>
      <c r="J728" s="24">
        <v>0</v>
      </c>
      <c r="K728" s="21" t="s">
        <v>40</v>
      </c>
      <c r="L728" s="25"/>
      <c r="M728" s="25"/>
      <c r="N728" s="22"/>
      <c r="O728" s="23" t="s">
        <v>40</v>
      </c>
      <c r="P728" s="20">
        <v>0</v>
      </c>
      <c r="Q728" s="23" t="s">
        <v>40</v>
      </c>
      <c r="R728" s="24">
        <v>0</v>
      </c>
      <c r="S728" s="24">
        <v>0</v>
      </c>
    </row>
    <row r="729" spans="1:19" s="19" customFormat="1">
      <c r="A729" s="18" t="s">
        <v>946</v>
      </c>
      <c r="B729" s="19" t="s">
        <v>260</v>
      </c>
      <c r="C729" s="20"/>
      <c r="D729" s="21" t="s">
        <v>40</v>
      </c>
      <c r="E729" s="26">
        <v>5</v>
      </c>
      <c r="F729" s="22">
        <v>1</v>
      </c>
      <c r="G729" s="23" t="s">
        <v>20</v>
      </c>
      <c r="H729" s="22">
        <v>120</v>
      </c>
      <c r="I729" s="23" t="s">
        <v>931</v>
      </c>
      <c r="J729" s="24">
        <v>16750</v>
      </c>
      <c r="K729" s="21" t="s">
        <v>40</v>
      </c>
      <c r="L729" s="25"/>
      <c r="M729" s="25"/>
      <c r="N729" s="22"/>
      <c r="O729" s="23" t="s">
        <v>40</v>
      </c>
      <c r="P729" s="20">
        <f t="shared" ref="P729" si="392">(C729+(E729*F729*H729))-N729</f>
        <v>600</v>
      </c>
      <c r="Q729" s="23" t="s">
        <v>40</v>
      </c>
      <c r="R729" s="24">
        <f t="shared" ref="R729" si="393">P729*(J729-(J729*L729)-((J729-(J729*L729))*M729))</f>
        <v>10050000</v>
      </c>
      <c r="S729" s="24">
        <f t="shared" ref="S729" si="394">R729/1.11</f>
        <v>9054054.0540540535</v>
      </c>
    </row>
    <row r="730" spans="1:19" s="19" customFormat="1">
      <c r="A730" s="159" t="s">
        <v>960</v>
      </c>
      <c r="B730" s="19" t="s">
        <v>260</v>
      </c>
      <c r="C730" s="20"/>
      <c r="D730" s="21" t="s">
        <v>40</v>
      </c>
      <c r="E730" s="26">
        <v>1</v>
      </c>
      <c r="F730" s="22">
        <v>1</v>
      </c>
      <c r="G730" s="23" t="s">
        <v>20</v>
      </c>
      <c r="H730" s="22">
        <v>144</v>
      </c>
      <c r="I730" s="23" t="s">
        <v>931</v>
      </c>
      <c r="J730" s="24">
        <v>24000</v>
      </c>
      <c r="K730" s="21" t="s">
        <v>40</v>
      </c>
      <c r="L730" s="25"/>
      <c r="M730" s="25"/>
      <c r="N730" s="22"/>
      <c r="O730" s="23" t="s">
        <v>40</v>
      </c>
      <c r="P730" s="20">
        <f t="shared" ref="P730" si="395">(C730+(E730*F730*H730))-N730</f>
        <v>144</v>
      </c>
      <c r="Q730" s="23" t="s">
        <v>40</v>
      </c>
      <c r="R730" s="24">
        <f t="shared" ref="R730" si="396">P730*(J730-(J730*L730)-((J730-(J730*L730))*M730))</f>
        <v>3456000</v>
      </c>
      <c r="S730" s="24">
        <f t="shared" ref="S730" si="397">R730/1.11</f>
        <v>3113513.5135135134</v>
      </c>
    </row>
    <row r="732" spans="1:19">
      <c r="A732" s="17" t="s">
        <v>704</v>
      </c>
      <c r="B732" s="2" t="s">
        <v>690</v>
      </c>
      <c r="C732" s="3">
        <v>43</v>
      </c>
      <c r="D732" s="4" t="s">
        <v>40</v>
      </c>
      <c r="E732" s="5">
        <v>20</v>
      </c>
      <c r="F732" s="6">
        <v>1</v>
      </c>
      <c r="G732" s="7" t="s">
        <v>20</v>
      </c>
      <c r="H732" s="6">
        <v>96</v>
      </c>
      <c r="I732" s="7" t="s">
        <v>40</v>
      </c>
      <c r="J732" s="8">
        <v>26500</v>
      </c>
      <c r="K732" s="4" t="s">
        <v>40</v>
      </c>
      <c r="O732" s="7" t="s">
        <v>40</v>
      </c>
      <c r="P732" s="3">
        <f>(C732+(E732*F732*H732))-N732</f>
        <v>1963</v>
      </c>
      <c r="Q732" s="7" t="s">
        <v>40</v>
      </c>
      <c r="R732" s="8">
        <f>P732*(J732-(J732*L732)-((J732-(J732*L732))*M732))</f>
        <v>52019500</v>
      </c>
      <c r="S732" s="8">
        <f t="shared" si="330"/>
        <v>46864414.414414413</v>
      </c>
    </row>
    <row r="734" spans="1:19">
      <c r="A734" s="17" t="s">
        <v>743</v>
      </c>
      <c r="B734" s="2" t="s">
        <v>171</v>
      </c>
      <c r="C734" s="3">
        <v>249</v>
      </c>
      <c r="D734" s="4" t="s">
        <v>40</v>
      </c>
      <c r="F734" s="6">
        <v>1</v>
      </c>
      <c r="G734" s="7" t="s">
        <v>20</v>
      </c>
      <c r="H734" s="6">
        <v>144</v>
      </c>
      <c r="I734" s="7" t="s">
        <v>40</v>
      </c>
      <c r="J734" s="8">
        <v>19000</v>
      </c>
      <c r="K734" s="4" t="s">
        <v>40</v>
      </c>
      <c r="L734" s="9">
        <v>0.02</v>
      </c>
      <c r="O734" s="7" t="s">
        <v>40</v>
      </c>
      <c r="P734" s="3">
        <f>(C734+(E734*F734*H734))-N734</f>
        <v>249</v>
      </c>
      <c r="Q734" s="7" t="s">
        <v>40</v>
      </c>
      <c r="R734" s="8">
        <f>P734*(J734-(J734*L734)-((J734-(J734*L734))*M734))</f>
        <v>4636380</v>
      </c>
      <c r="S734" s="8">
        <f t="shared" ref="S734" si="398">R734/1.11</f>
        <v>4176918.9189189184</v>
      </c>
    </row>
    <row r="735" spans="1:19">
      <c r="A735" s="17" t="s">
        <v>405</v>
      </c>
      <c r="B735" s="2" t="s">
        <v>171</v>
      </c>
      <c r="C735" s="3">
        <v>360</v>
      </c>
      <c r="D735" s="4" t="s">
        <v>40</v>
      </c>
      <c r="F735" s="6">
        <v>1</v>
      </c>
      <c r="G735" s="7" t="s">
        <v>20</v>
      </c>
      <c r="H735" s="6">
        <v>192</v>
      </c>
      <c r="I735" s="7" t="s">
        <v>40</v>
      </c>
      <c r="J735" s="8">
        <v>12750</v>
      </c>
      <c r="K735" s="4" t="s">
        <v>40</v>
      </c>
      <c r="L735" s="9">
        <v>0.05</v>
      </c>
      <c r="O735" s="7" t="s">
        <v>40</v>
      </c>
      <c r="P735" s="3">
        <f>(C735+(E735*F735*H735))-N735</f>
        <v>360</v>
      </c>
      <c r="Q735" s="7" t="s">
        <v>40</v>
      </c>
      <c r="R735" s="8">
        <f>P735*(J735-(J735*L735)-((J735-(J735*L735))*M735))</f>
        <v>4360500</v>
      </c>
      <c r="S735" s="8">
        <f t="shared" si="330"/>
        <v>3928378.3783783782</v>
      </c>
    </row>
    <row r="736" spans="1:19">
      <c r="A736" s="159" t="s">
        <v>961</v>
      </c>
      <c r="B736" s="2" t="s">
        <v>171</v>
      </c>
      <c r="C736" s="3">
        <f>2292/12</f>
        <v>191</v>
      </c>
      <c r="D736" s="4" t="s">
        <v>40</v>
      </c>
      <c r="E736" s="5">
        <v>12</v>
      </c>
      <c r="F736" s="6">
        <v>1</v>
      </c>
      <c r="G736" s="7" t="s">
        <v>20</v>
      </c>
      <c r="H736" s="6">
        <v>192</v>
      </c>
      <c r="I736" s="7" t="s">
        <v>40</v>
      </c>
      <c r="J736" s="8">
        <v>9500</v>
      </c>
      <c r="K736" s="4" t="s">
        <v>40</v>
      </c>
      <c r="L736" s="9">
        <v>7.0000000000000007E-2</v>
      </c>
      <c r="O736" s="7" t="s">
        <v>40</v>
      </c>
      <c r="P736" s="3">
        <f>(C736+(E736*F736*H736))-N736</f>
        <v>2495</v>
      </c>
      <c r="Q736" s="7" t="s">
        <v>40</v>
      </c>
      <c r="R736" s="8">
        <f>P736*(J736-(J736*L736)-((J736-(J736*L736))*M736))</f>
        <v>22043325</v>
      </c>
      <c r="S736" s="8">
        <f t="shared" ref="S736" si="399">R736/1.11</f>
        <v>19858851.351351351</v>
      </c>
    </row>
    <row r="738" spans="1:19">
      <c r="A738" s="15" t="s">
        <v>406</v>
      </c>
    </row>
    <row r="739" spans="1:19" s="78" customFormat="1">
      <c r="A739" s="115" t="s">
        <v>407</v>
      </c>
      <c r="B739" s="78" t="s">
        <v>18</v>
      </c>
      <c r="C739" s="76"/>
      <c r="D739" s="79" t="s">
        <v>151</v>
      </c>
      <c r="E739" s="80"/>
      <c r="F739" s="81">
        <v>8</v>
      </c>
      <c r="G739" s="82" t="s">
        <v>33</v>
      </c>
      <c r="H739" s="81">
        <v>24</v>
      </c>
      <c r="I739" s="82" t="s">
        <v>151</v>
      </c>
      <c r="J739" s="83">
        <v>16500</v>
      </c>
      <c r="K739" s="79" t="s">
        <v>151</v>
      </c>
      <c r="L739" s="84">
        <v>0.125</v>
      </c>
      <c r="M739" s="84">
        <v>0.05</v>
      </c>
      <c r="N739" s="81"/>
      <c r="O739" s="82" t="s">
        <v>151</v>
      </c>
      <c r="P739" s="76">
        <f t="shared" ref="P739:P744" si="400">(C739+(E739*F739*H739))-N739</f>
        <v>0</v>
      </c>
      <c r="Q739" s="82" t="s">
        <v>151</v>
      </c>
      <c r="R739" s="83">
        <f t="shared" ref="R739:R744" si="401">P739*(J739-(J739*L739)-((J739-(J739*L739))*M739))</f>
        <v>0</v>
      </c>
      <c r="S739" s="83">
        <f t="shared" si="330"/>
        <v>0</v>
      </c>
    </row>
    <row r="740" spans="1:19" s="69" customFormat="1">
      <c r="A740" s="115" t="s">
        <v>799</v>
      </c>
      <c r="B740" s="69" t="s">
        <v>18</v>
      </c>
      <c r="C740" s="70"/>
      <c r="D740" s="71" t="s">
        <v>151</v>
      </c>
      <c r="E740" s="72"/>
      <c r="F740" s="73">
        <v>12</v>
      </c>
      <c r="G740" s="74" t="s">
        <v>33</v>
      </c>
      <c r="H740" s="73">
        <v>24</v>
      </c>
      <c r="I740" s="74" t="s">
        <v>151</v>
      </c>
      <c r="J740" s="16">
        <v>14400</v>
      </c>
      <c r="K740" s="71" t="s">
        <v>151</v>
      </c>
      <c r="L740" s="75">
        <v>0.125</v>
      </c>
      <c r="M740" s="75">
        <v>0.05</v>
      </c>
      <c r="N740" s="73"/>
      <c r="O740" s="74" t="s">
        <v>151</v>
      </c>
      <c r="P740" s="70">
        <f t="shared" si="400"/>
        <v>0</v>
      </c>
      <c r="Q740" s="74" t="s">
        <v>151</v>
      </c>
      <c r="R740" s="16">
        <f t="shared" si="401"/>
        <v>0</v>
      </c>
      <c r="S740" s="16">
        <f t="shared" ref="S740:S856" si="402">R740/1.11</f>
        <v>0</v>
      </c>
    </row>
    <row r="741" spans="1:19">
      <c r="A741" s="49" t="s">
        <v>408</v>
      </c>
      <c r="B741" s="2" t="s">
        <v>18</v>
      </c>
      <c r="C741" s="3">
        <v>7</v>
      </c>
      <c r="D741" s="4" t="s">
        <v>151</v>
      </c>
      <c r="F741" s="6">
        <v>8</v>
      </c>
      <c r="G741" s="7" t="s">
        <v>33</v>
      </c>
      <c r="H741" s="6">
        <v>30</v>
      </c>
      <c r="I741" s="7" t="s">
        <v>151</v>
      </c>
      <c r="K741" s="4" t="s">
        <v>151</v>
      </c>
      <c r="L741" s="9">
        <v>0.1</v>
      </c>
      <c r="M741" s="9">
        <v>0.05</v>
      </c>
      <c r="O741" s="7" t="s">
        <v>151</v>
      </c>
      <c r="P741" s="3">
        <f t="shared" si="400"/>
        <v>7</v>
      </c>
      <c r="Q741" s="7" t="s">
        <v>151</v>
      </c>
      <c r="R741" s="8">
        <f t="shared" si="401"/>
        <v>0</v>
      </c>
      <c r="S741" s="8">
        <f t="shared" si="402"/>
        <v>0</v>
      </c>
    </row>
    <row r="742" spans="1:19" s="69" customFormat="1">
      <c r="A742" s="115" t="s">
        <v>409</v>
      </c>
      <c r="B742" s="69" t="s">
        <v>18</v>
      </c>
      <c r="C742" s="70"/>
      <c r="D742" s="71" t="s">
        <v>151</v>
      </c>
      <c r="E742" s="72"/>
      <c r="F742" s="73">
        <v>8</v>
      </c>
      <c r="G742" s="74" t="s">
        <v>33</v>
      </c>
      <c r="H742" s="73">
        <v>24</v>
      </c>
      <c r="I742" s="74" t="s">
        <v>151</v>
      </c>
      <c r="J742" s="16">
        <v>21000</v>
      </c>
      <c r="K742" s="71" t="s">
        <v>151</v>
      </c>
      <c r="L742" s="75">
        <v>0.125</v>
      </c>
      <c r="M742" s="75">
        <v>0.05</v>
      </c>
      <c r="N742" s="73"/>
      <c r="O742" s="74" t="s">
        <v>151</v>
      </c>
      <c r="P742" s="70">
        <f t="shared" si="400"/>
        <v>0</v>
      </c>
      <c r="Q742" s="74" t="s">
        <v>151</v>
      </c>
      <c r="R742" s="16">
        <f t="shared" si="401"/>
        <v>0</v>
      </c>
      <c r="S742" s="16">
        <f t="shared" si="402"/>
        <v>0</v>
      </c>
    </row>
    <row r="743" spans="1:19" s="85" customFormat="1">
      <c r="A743" s="129" t="s">
        <v>410</v>
      </c>
      <c r="B743" s="85" t="s">
        <v>18</v>
      </c>
      <c r="C743" s="88"/>
      <c r="D743" s="89" t="s">
        <v>151</v>
      </c>
      <c r="E743" s="90">
        <v>6</v>
      </c>
      <c r="F743" s="91">
        <v>8</v>
      </c>
      <c r="G743" s="92" t="s">
        <v>33</v>
      </c>
      <c r="H743" s="91">
        <v>24</v>
      </c>
      <c r="I743" s="92" t="s">
        <v>151</v>
      </c>
      <c r="J743" s="93">
        <v>16800</v>
      </c>
      <c r="K743" s="89" t="s">
        <v>151</v>
      </c>
      <c r="L743" s="94">
        <v>0.125</v>
      </c>
      <c r="M743" s="94">
        <v>0.05</v>
      </c>
      <c r="N743" s="91"/>
      <c r="O743" s="92" t="s">
        <v>151</v>
      </c>
      <c r="P743" s="88">
        <f t="shared" si="400"/>
        <v>1152</v>
      </c>
      <c r="Q743" s="92" t="s">
        <v>151</v>
      </c>
      <c r="R743" s="93">
        <f t="shared" si="401"/>
        <v>16087680</v>
      </c>
      <c r="S743" s="93">
        <f t="shared" si="402"/>
        <v>14493405.405405404</v>
      </c>
    </row>
    <row r="744" spans="1:19" s="69" customFormat="1">
      <c r="A744" s="115" t="s">
        <v>411</v>
      </c>
      <c r="B744" s="69" t="s">
        <v>18</v>
      </c>
      <c r="C744" s="70"/>
      <c r="D744" s="71" t="s">
        <v>151</v>
      </c>
      <c r="E744" s="72"/>
      <c r="F744" s="73">
        <v>6</v>
      </c>
      <c r="G744" s="74" t="s">
        <v>33</v>
      </c>
      <c r="H744" s="73">
        <v>24</v>
      </c>
      <c r="I744" s="74" t="s">
        <v>151</v>
      </c>
      <c r="J744" s="16">
        <v>21000</v>
      </c>
      <c r="K744" s="71" t="s">
        <v>151</v>
      </c>
      <c r="L744" s="75">
        <v>0.125</v>
      </c>
      <c r="M744" s="75">
        <v>0.05</v>
      </c>
      <c r="N744" s="73"/>
      <c r="O744" s="74" t="s">
        <v>151</v>
      </c>
      <c r="P744" s="70">
        <f t="shared" si="400"/>
        <v>0</v>
      </c>
      <c r="Q744" s="74" t="s">
        <v>151</v>
      </c>
      <c r="R744" s="16">
        <f t="shared" si="401"/>
        <v>0</v>
      </c>
      <c r="S744" s="16">
        <f t="shared" si="402"/>
        <v>0</v>
      </c>
    </row>
    <row r="745" spans="1:19" s="69" customFormat="1">
      <c r="A745" s="116"/>
      <c r="C745" s="70"/>
      <c r="D745" s="71"/>
      <c r="E745" s="72"/>
      <c r="F745" s="73"/>
      <c r="G745" s="74"/>
      <c r="H745" s="73"/>
      <c r="I745" s="74"/>
      <c r="J745" s="16"/>
      <c r="K745" s="71"/>
      <c r="L745" s="75"/>
      <c r="M745" s="75"/>
      <c r="N745" s="73"/>
      <c r="O745" s="74"/>
      <c r="P745" s="70"/>
      <c r="Q745" s="74"/>
      <c r="R745" s="16"/>
      <c r="S745" s="16"/>
    </row>
    <row r="746" spans="1:19" s="69" customFormat="1">
      <c r="A746" s="68" t="s">
        <v>412</v>
      </c>
      <c r="B746" s="69" t="s">
        <v>25</v>
      </c>
      <c r="C746" s="70"/>
      <c r="D746" s="71" t="s">
        <v>151</v>
      </c>
      <c r="E746" s="72"/>
      <c r="F746" s="73">
        <v>8</v>
      </c>
      <c r="G746" s="74" t="s">
        <v>33</v>
      </c>
      <c r="H746" s="73">
        <v>30</v>
      </c>
      <c r="I746" s="74" t="s">
        <v>151</v>
      </c>
      <c r="J746" s="16">
        <f>4800000/8/30</f>
        <v>20000</v>
      </c>
      <c r="K746" s="71" t="s">
        <v>151</v>
      </c>
      <c r="L746" s="75"/>
      <c r="M746" s="75">
        <v>0.17</v>
      </c>
      <c r="N746" s="73"/>
      <c r="O746" s="74" t="s">
        <v>151</v>
      </c>
      <c r="P746" s="70">
        <f>(C746+(E746*F746*H746))-N746</f>
        <v>0</v>
      </c>
      <c r="Q746" s="74" t="s">
        <v>151</v>
      </c>
      <c r="R746" s="16">
        <f>P746*(J746-(J746*L746)-((J746-(J746*L746))*M746))</f>
        <v>0</v>
      </c>
      <c r="S746" s="16">
        <f t="shared" si="402"/>
        <v>0</v>
      </c>
    </row>
    <row r="747" spans="1:19" s="69" customFormat="1">
      <c r="A747" s="68" t="s">
        <v>675</v>
      </c>
      <c r="B747" s="69" t="s">
        <v>25</v>
      </c>
      <c r="C747" s="70"/>
      <c r="D747" s="71" t="s">
        <v>151</v>
      </c>
      <c r="E747" s="72"/>
      <c r="F747" s="73">
        <v>6</v>
      </c>
      <c r="G747" s="74" t="s">
        <v>33</v>
      </c>
      <c r="H747" s="73">
        <v>30</v>
      </c>
      <c r="I747" s="74" t="s">
        <v>151</v>
      </c>
      <c r="J747" s="16">
        <f>2664000/6/30</f>
        <v>14800</v>
      </c>
      <c r="K747" s="71" t="s">
        <v>151</v>
      </c>
      <c r="L747" s="75"/>
      <c r="M747" s="75">
        <v>0.17</v>
      </c>
      <c r="N747" s="73"/>
      <c r="O747" s="74" t="s">
        <v>151</v>
      </c>
      <c r="P747" s="70">
        <f>(C747+(E747*F747*H747))-N747</f>
        <v>0</v>
      </c>
      <c r="Q747" s="74" t="s">
        <v>151</v>
      </c>
      <c r="R747" s="16">
        <f>P747*(J747-(J747*L747)-((J747-(J747*L747))*M747))</f>
        <v>0</v>
      </c>
      <c r="S747" s="16">
        <f t="shared" si="402"/>
        <v>0</v>
      </c>
    </row>
    <row r="749" spans="1:19">
      <c r="A749" s="15" t="s">
        <v>413</v>
      </c>
    </row>
    <row r="750" spans="1:19" s="69" customFormat="1">
      <c r="A750" s="68" t="s">
        <v>414</v>
      </c>
      <c r="B750" s="69" t="s">
        <v>18</v>
      </c>
      <c r="C750" s="70"/>
      <c r="D750" s="71" t="s">
        <v>40</v>
      </c>
      <c r="E750" s="72">
        <v>1</v>
      </c>
      <c r="F750" s="73">
        <v>48</v>
      </c>
      <c r="G750" s="74" t="s">
        <v>33</v>
      </c>
      <c r="H750" s="73">
        <v>12</v>
      </c>
      <c r="I750" s="74" t="s">
        <v>19</v>
      </c>
      <c r="J750" s="16">
        <v>5800</v>
      </c>
      <c r="K750" s="71" t="s">
        <v>19</v>
      </c>
      <c r="L750" s="75">
        <v>0.125</v>
      </c>
      <c r="M750" s="75">
        <v>0.05</v>
      </c>
      <c r="N750" s="73"/>
      <c r="O750" s="74" t="s">
        <v>19</v>
      </c>
      <c r="P750" s="70">
        <f>(C750+(E750*F750*H750))-N750</f>
        <v>576</v>
      </c>
      <c r="Q750" s="74" t="s">
        <v>19</v>
      </c>
      <c r="R750" s="16">
        <f>P750*(J750-(J750*L750)-((J750-(J750*L750))*M750))</f>
        <v>2777040</v>
      </c>
      <c r="S750" s="16">
        <f>R750/1.11</f>
        <v>2501837.8378378376</v>
      </c>
    </row>
    <row r="751" spans="1:19" s="85" customFormat="1">
      <c r="A751" s="158" t="s">
        <v>978</v>
      </c>
      <c r="B751" s="85" t="s">
        <v>18</v>
      </c>
      <c r="C751" s="88"/>
      <c r="D751" s="89" t="s">
        <v>40</v>
      </c>
      <c r="E751" s="90">
        <v>1</v>
      </c>
      <c r="F751" s="91">
        <v>1</v>
      </c>
      <c r="G751" s="92" t="s">
        <v>20</v>
      </c>
      <c r="H751" s="91">
        <v>480</v>
      </c>
      <c r="I751" s="92" t="s">
        <v>19</v>
      </c>
      <c r="J751" s="93">
        <v>4250</v>
      </c>
      <c r="K751" s="89" t="s">
        <v>19</v>
      </c>
      <c r="L751" s="94">
        <v>0.125</v>
      </c>
      <c r="M751" s="94">
        <v>0.05</v>
      </c>
      <c r="N751" s="91"/>
      <c r="O751" s="92" t="s">
        <v>19</v>
      </c>
      <c r="P751" s="88">
        <f>(C751+(E751*F751*H751))-N751</f>
        <v>480</v>
      </c>
      <c r="Q751" s="92" t="s">
        <v>19</v>
      </c>
      <c r="R751" s="93">
        <f>P751*(J751-(J751*L751)-((J751-(J751*L751))*M751))</f>
        <v>1695750</v>
      </c>
      <c r="S751" s="93">
        <f>R751/1.11</f>
        <v>1527702.7027027025</v>
      </c>
    </row>
    <row r="753" spans="1:19">
      <c r="A753" s="49" t="s">
        <v>771</v>
      </c>
      <c r="B753" s="2" t="s">
        <v>25</v>
      </c>
      <c r="C753" s="3">
        <v>576</v>
      </c>
      <c r="D753" s="4" t="s">
        <v>19</v>
      </c>
      <c r="F753" s="6">
        <v>24</v>
      </c>
      <c r="G753" s="7" t="s">
        <v>33</v>
      </c>
      <c r="H753" s="6">
        <v>24</v>
      </c>
      <c r="I753" s="7" t="s">
        <v>19</v>
      </c>
      <c r="J753" s="8">
        <f>2822400/24/24</f>
        <v>4900</v>
      </c>
      <c r="K753" s="4" t="s">
        <v>19</v>
      </c>
      <c r="M753" s="9">
        <v>0.17</v>
      </c>
      <c r="O753" s="7" t="s">
        <v>19</v>
      </c>
      <c r="P753" s="3">
        <f>(C753+(E753*F753*H753))-N753</f>
        <v>576</v>
      </c>
      <c r="Q753" s="7" t="s">
        <v>19</v>
      </c>
      <c r="R753" s="8">
        <f>P753*(J753-(J753*L753)-((J753-(J753*L753))*M753))</f>
        <v>2342592</v>
      </c>
      <c r="S753" s="8">
        <f t="shared" si="402"/>
        <v>2110443.2432432431</v>
      </c>
    </row>
    <row r="754" spans="1:19">
      <c r="A754" s="49" t="s">
        <v>772</v>
      </c>
      <c r="B754" s="2" t="s">
        <v>25</v>
      </c>
      <c r="C754" s="3">
        <v>4</v>
      </c>
      <c r="D754" s="4" t="s">
        <v>40</v>
      </c>
      <c r="F754" s="6">
        <v>24</v>
      </c>
      <c r="G754" s="7" t="s">
        <v>33</v>
      </c>
      <c r="H754" s="6">
        <v>2</v>
      </c>
      <c r="I754" s="7" t="s">
        <v>40</v>
      </c>
      <c r="J754" s="8">
        <f>2592000/24/2</f>
        <v>54000</v>
      </c>
      <c r="K754" s="4" t="s">
        <v>40</v>
      </c>
      <c r="M754" s="9">
        <v>0.17</v>
      </c>
      <c r="O754" s="7" t="s">
        <v>40</v>
      </c>
      <c r="P754" s="3">
        <f>(C754+(E754*F754*H754))-N754</f>
        <v>4</v>
      </c>
      <c r="Q754" s="7" t="s">
        <v>40</v>
      </c>
      <c r="R754" s="8">
        <f>P754*(J754-(J754*L754)-((J754-(J754*L754))*M754))</f>
        <v>179280</v>
      </c>
      <c r="S754" s="8">
        <f t="shared" si="402"/>
        <v>161513.51351351349</v>
      </c>
    </row>
    <row r="755" spans="1:19">
      <c r="A755" s="49" t="s">
        <v>773</v>
      </c>
      <c r="B755" s="2" t="s">
        <v>25</v>
      </c>
      <c r="C755" s="3">
        <v>576</v>
      </c>
      <c r="D755" s="4" t="s">
        <v>19</v>
      </c>
      <c r="F755" s="6">
        <v>24</v>
      </c>
      <c r="G755" s="7" t="s">
        <v>33</v>
      </c>
      <c r="H755" s="6">
        <v>24</v>
      </c>
      <c r="I755" s="7" t="s">
        <v>19</v>
      </c>
      <c r="J755" s="8">
        <f>1900800/24/24</f>
        <v>3300</v>
      </c>
      <c r="K755" s="4" t="s">
        <v>19</v>
      </c>
      <c r="M755" s="9">
        <v>0.17</v>
      </c>
      <c r="O755" s="7" t="s">
        <v>19</v>
      </c>
      <c r="P755" s="3">
        <f>(C755+(E755*F755*H755))-N755</f>
        <v>576</v>
      </c>
      <c r="Q755" s="7" t="s">
        <v>19</v>
      </c>
      <c r="R755" s="8">
        <f>P755*(J755-(J755*L755)-((J755-(J755*L755))*M755))</f>
        <v>1577664</v>
      </c>
      <c r="S755" s="8">
        <f t="shared" si="402"/>
        <v>1421318.9189189188</v>
      </c>
    </row>
    <row r="756" spans="1:19">
      <c r="A756" s="50"/>
    </row>
    <row r="757" spans="1:19">
      <c r="A757" s="15" t="s">
        <v>415</v>
      </c>
    </row>
    <row r="758" spans="1:19" s="69" customFormat="1">
      <c r="A758" s="68" t="s">
        <v>416</v>
      </c>
      <c r="B758" s="69" t="s">
        <v>18</v>
      </c>
      <c r="C758" s="70"/>
      <c r="D758" s="71" t="s">
        <v>98</v>
      </c>
      <c r="E758" s="72"/>
      <c r="F758" s="73">
        <v>18</v>
      </c>
      <c r="G758" s="74" t="s">
        <v>33</v>
      </c>
      <c r="H758" s="73">
        <v>12</v>
      </c>
      <c r="I758" s="74" t="s">
        <v>98</v>
      </c>
      <c r="J758" s="16">
        <f>36000/12</f>
        <v>3000</v>
      </c>
      <c r="K758" s="71" t="s">
        <v>98</v>
      </c>
      <c r="L758" s="75">
        <v>0.125</v>
      </c>
      <c r="M758" s="75">
        <v>0.05</v>
      </c>
      <c r="N758" s="73"/>
      <c r="O758" s="74" t="s">
        <v>98</v>
      </c>
      <c r="P758" s="70">
        <f>(C758+(E758*F758*H758))-N758</f>
        <v>0</v>
      </c>
      <c r="Q758" s="74" t="s">
        <v>98</v>
      </c>
      <c r="R758" s="16">
        <f>P758*(J758-(J758*L758)-((J758-(J758*L758))*M758))</f>
        <v>0</v>
      </c>
      <c r="S758" s="16">
        <f t="shared" si="402"/>
        <v>0</v>
      </c>
    </row>
    <row r="759" spans="1:19" s="69" customFormat="1">
      <c r="A759" s="68" t="s">
        <v>417</v>
      </c>
      <c r="B759" s="69" t="s">
        <v>18</v>
      </c>
      <c r="C759" s="70"/>
      <c r="D759" s="71" t="s">
        <v>40</v>
      </c>
      <c r="E759" s="72"/>
      <c r="F759" s="73">
        <v>18</v>
      </c>
      <c r="G759" s="74" t="s">
        <v>33</v>
      </c>
      <c r="H759" s="73">
        <v>24</v>
      </c>
      <c r="I759" s="74" t="s">
        <v>40</v>
      </c>
      <c r="J759" s="16">
        <v>27600</v>
      </c>
      <c r="K759" s="71" t="s">
        <v>40</v>
      </c>
      <c r="L759" s="75">
        <v>0.125</v>
      </c>
      <c r="M759" s="75">
        <v>0.05</v>
      </c>
      <c r="N759" s="73"/>
      <c r="O759" s="74" t="s">
        <v>40</v>
      </c>
      <c r="P759" s="70">
        <f>(C759+(E759*F759*H759))-N759</f>
        <v>0</v>
      </c>
      <c r="Q759" s="74" t="s">
        <v>40</v>
      </c>
      <c r="R759" s="16">
        <f>P759*(J759-(J759*L759)-((J759-(J759*L759))*M759))</f>
        <v>0</v>
      </c>
      <c r="S759" s="16">
        <f t="shared" si="402"/>
        <v>0</v>
      </c>
    </row>
    <row r="760" spans="1:19" s="69" customFormat="1">
      <c r="A760" s="68"/>
      <c r="C760" s="70"/>
      <c r="D760" s="71"/>
      <c r="E760" s="72"/>
      <c r="F760" s="73"/>
      <c r="G760" s="74"/>
      <c r="H760" s="73"/>
      <c r="I760" s="74"/>
      <c r="J760" s="16"/>
      <c r="K760" s="71"/>
      <c r="L760" s="75"/>
      <c r="M760" s="75"/>
      <c r="N760" s="73"/>
      <c r="O760" s="74"/>
      <c r="P760" s="70"/>
      <c r="Q760" s="74"/>
      <c r="R760" s="16"/>
      <c r="S760" s="16"/>
    </row>
    <row r="761" spans="1:19" s="69" customFormat="1">
      <c r="A761" s="68" t="s">
        <v>418</v>
      </c>
      <c r="B761" s="69" t="s">
        <v>260</v>
      </c>
      <c r="C761" s="70"/>
      <c r="D761" s="71" t="s">
        <v>40</v>
      </c>
      <c r="E761" s="72"/>
      <c r="F761" s="73">
        <v>1</v>
      </c>
      <c r="G761" s="74" t="s">
        <v>20</v>
      </c>
      <c r="H761" s="73">
        <v>96</v>
      </c>
      <c r="I761" s="74" t="s">
        <v>40</v>
      </c>
      <c r="J761" s="16">
        <v>9500</v>
      </c>
      <c r="K761" s="71" t="s">
        <v>40</v>
      </c>
      <c r="L761" s="75"/>
      <c r="M761" s="75"/>
      <c r="N761" s="73"/>
      <c r="O761" s="74" t="s">
        <v>40</v>
      </c>
      <c r="P761" s="70">
        <f>(C761+(E761*F761*H761))-N761</f>
        <v>0</v>
      </c>
      <c r="Q761" s="74" t="s">
        <v>40</v>
      </c>
      <c r="R761" s="16">
        <f>P761*(J761-(J761*L761)-((J761-(J761*L761))*M761))</f>
        <v>0</v>
      </c>
      <c r="S761" s="16">
        <f t="shared" si="402"/>
        <v>0</v>
      </c>
    </row>
    <row r="762" spans="1:19" s="85" customFormat="1">
      <c r="A762" s="104" t="s">
        <v>877</v>
      </c>
      <c r="B762" s="85" t="s">
        <v>260</v>
      </c>
      <c r="C762" s="88"/>
      <c r="D762" s="89" t="s">
        <v>98</v>
      </c>
      <c r="E762" s="90">
        <v>2</v>
      </c>
      <c r="F762" s="91">
        <v>1</v>
      </c>
      <c r="G762" s="92" t="s">
        <v>20</v>
      </c>
      <c r="H762" s="91">
        <v>80</v>
      </c>
      <c r="I762" s="92" t="s">
        <v>98</v>
      </c>
      <c r="J762" s="93">
        <v>22500</v>
      </c>
      <c r="K762" s="89" t="s">
        <v>98</v>
      </c>
      <c r="L762" s="94"/>
      <c r="M762" s="94"/>
      <c r="N762" s="91"/>
      <c r="O762" s="92" t="s">
        <v>98</v>
      </c>
      <c r="P762" s="88">
        <f>(C762+(E762*F762*H762))-N762</f>
        <v>160</v>
      </c>
      <c r="Q762" s="92" t="s">
        <v>98</v>
      </c>
      <c r="R762" s="93">
        <f>P762*(J762-(J762*L762)-((J762-(J762*L762))*M762))</f>
        <v>3600000</v>
      </c>
      <c r="S762" s="93">
        <f t="shared" ref="S762" si="403">R762/1.11</f>
        <v>3243243.2432432431</v>
      </c>
    </row>
    <row r="764" spans="1:19">
      <c r="A764" s="17" t="s">
        <v>419</v>
      </c>
      <c r="B764" s="2" t="s">
        <v>25</v>
      </c>
      <c r="C764" s="3">
        <v>417</v>
      </c>
      <c r="D764" s="4" t="s">
        <v>19</v>
      </c>
      <c r="E764" s="5">
        <v>1</v>
      </c>
      <c r="F764" s="6">
        <v>144</v>
      </c>
      <c r="G764" s="7" t="s">
        <v>33</v>
      </c>
      <c r="H764" s="6">
        <v>24</v>
      </c>
      <c r="I764" s="7" t="s">
        <v>833</v>
      </c>
      <c r="J764" s="8">
        <v>1950</v>
      </c>
      <c r="K764" s="4" t="s">
        <v>40</v>
      </c>
      <c r="M764" s="9">
        <v>0.17</v>
      </c>
      <c r="O764" s="7" t="s">
        <v>40</v>
      </c>
      <c r="P764" s="3">
        <f>(C764+(E764*F764*H764))-N764</f>
        <v>3873</v>
      </c>
      <c r="Q764" s="7" t="s">
        <v>40</v>
      </c>
      <c r="R764" s="8">
        <f>P764*(J764-(J764*L764)-((J764-(J764*L764))*M764))</f>
        <v>6268450.5</v>
      </c>
      <c r="S764" s="8">
        <f t="shared" si="402"/>
        <v>5647252.702702702</v>
      </c>
    </row>
    <row r="765" spans="1:19" s="85" customFormat="1">
      <c r="A765" s="104" t="s">
        <v>420</v>
      </c>
      <c r="B765" s="85" t="s">
        <v>25</v>
      </c>
      <c r="C765" s="88"/>
      <c r="D765" s="89" t="s">
        <v>33</v>
      </c>
      <c r="E765" s="90">
        <v>1</v>
      </c>
      <c r="F765" s="91">
        <v>1</v>
      </c>
      <c r="G765" s="92" t="s">
        <v>20</v>
      </c>
      <c r="H765" s="91">
        <v>120</v>
      </c>
      <c r="I765" s="92" t="s">
        <v>33</v>
      </c>
      <c r="J765" s="93">
        <f>2160000/120</f>
        <v>18000</v>
      </c>
      <c r="K765" s="89" t="s">
        <v>33</v>
      </c>
      <c r="L765" s="94"/>
      <c r="M765" s="94">
        <v>0.17</v>
      </c>
      <c r="N765" s="91"/>
      <c r="O765" s="92" t="s">
        <v>33</v>
      </c>
      <c r="P765" s="88">
        <f>(C765+(E765*F765*H765))-N765</f>
        <v>120</v>
      </c>
      <c r="Q765" s="92" t="s">
        <v>33</v>
      </c>
      <c r="R765" s="93">
        <f>P765*(J765-(J765*L765)-((J765-(J765*L765))*M765))</f>
        <v>1792800</v>
      </c>
      <c r="S765" s="93">
        <f t="shared" si="402"/>
        <v>1615135.1351351349</v>
      </c>
    </row>
    <row r="767" spans="1:19">
      <c r="A767" s="17" t="s">
        <v>421</v>
      </c>
      <c r="B767" s="2" t="s">
        <v>181</v>
      </c>
      <c r="C767" s="3">
        <v>2400</v>
      </c>
      <c r="D767" s="4" t="s">
        <v>33</v>
      </c>
      <c r="F767" s="6">
        <v>1</v>
      </c>
      <c r="G767" s="7" t="s">
        <v>20</v>
      </c>
      <c r="H767" s="6">
        <v>240</v>
      </c>
      <c r="I767" s="7" t="s">
        <v>33</v>
      </c>
      <c r="J767" s="8">
        <v>5500</v>
      </c>
      <c r="K767" s="4" t="s">
        <v>33</v>
      </c>
      <c r="O767" s="7" t="s">
        <v>33</v>
      </c>
      <c r="P767" s="3">
        <f>(C767+(E767*F767*H767))-N767</f>
        <v>2400</v>
      </c>
      <c r="Q767" s="7" t="s">
        <v>33</v>
      </c>
      <c r="R767" s="8">
        <f>P767*(J767-(J767*L767)-((J767-(J767*L767))*M767))</f>
        <v>13200000</v>
      </c>
      <c r="S767" s="8">
        <f t="shared" si="402"/>
        <v>11891891.891891891</v>
      </c>
    </row>
    <row r="769" spans="1:19">
      <c r="A769" s="15" t="s">
        <v>512</v>
      </c>
    </row>
    <row r="770" spans="1:19" s="19" customFormat="1">
      <c r="A770" s="131" t="s">
        <v>943</v>
      </c>
      <c r="B770" s="19" t="s">
        <v>18</v>
      </c>
      <c r="C770" s="20">
        <v>984</v>
      </c>
      <c r="D770" s="21" t="s">
        <v>19</v>
      </c>
      <c r="E770" s="26">
        <v>2</v>
      </c>
      <c r="F770" s="22">
        <v>48</v>
      </c>
      <c r="G770" s="23" t="s">
        <v>33</v>
      </c>
      <c r="H770" s="22">
        <v>12</v>
      </c>
      <c r="I770" s="23" t="s">
        <v>19</v>
      </c>
      <c r="J770" s="24">
        <v>2350</v>
      </c>
      <c r="K770" s="21" t="s">
        <v>19</v>
      </c>
      <c r="L770" s="130">
        <v>0.1</v>
      </c>
      <c r="M770" s="25">
        <v>0.05</v>
      </c>
      <c r="N770" s="22"/>
      <c r="O770" s="23" t="s">
        <v>19</v>
      </c>
      <c r="P770" s="20">
        <f>(C770+(E770*F770*H770))-N770</f>
        <v>2136</v>
      </c>
      <c r="Q770" s="23" t="s">
        <v>19</v>
      </c>
      <c r="R770" s="24">
        <f>P770*(J770-(J770*L770)-((J770-(J770*L770))*M770))</f>
        <v>4291758</v>
      </c>
      <c r="S770" s="8">
        <f>R770/1.11</f>
        <v>3866448.6486486485</v>
      </c>
    </row>
    <row r="771" spans="1:19" s="19" customFormat="1">
      <c r="A771" s="131" t="s">
        <v>943</v>
      </c>
      <c r="B771" s="19" t="s">
        <v>18</v>
      </c>
      <c r="C771" s="20">
        <v>192</v>
      </c>
      <c r="D771" s="21" t="s">
        <v>19</v>
      </c>
      <c r="E771" s="26">
        <v>1</v>
      </c>
      <c r="F771" s="22">
        <v>48</v>
      </c>
      <c r="G771" s="23" t="s">
        <v>33</v>
      </c>
      <c r="H771" s="22">
        <v>12</v>
      </c>
      <c r="I771" s="23" t="s">
        <v>19</v>
      </c>
      <c r="J771" s="24">
        <v>2350</v>
      </c>
      <c r="K771" s="21" t="s">
        <v>19</v>
      </c>
      <c r="L771" s="130">
        <v>0.125</v>
      </c>
      <c r="M771" s="25">
        <v>0.05</v>
      </c>
      <c r="N771" s="22"/>
      <c r="O771" s="23" t="s">
        <v>19</v>
      </c>
      <c r="P771" s="20">
        <f>(C771+(E771*F771*H771))-N771</f>
        <v>768</v>
      </c>
      <c r="Q771" s="23" t="s">
        <v>19</v>
      </c>
      <c r="R771" s="24">
        <f>P771*(J771-(J771*L771)-((J771-(J771*L771))*M771))</f>
        <v>1500240</v>
      </c>
      <c r="S771" s="8">
        <f>R771/1.11</f>
        <v>1351567.5675675673</v>
      </c>
    </row>
    <row r="772" spans="1:19" s="19" customFormat="1">
      <c r="A772" s="18"/>
      <c r="C772" s="20"/>
      <c r="D772" s="21"/>
      <c r="E772" s="26"/>
      <c r="F772" s="22"/>
      <c r="G772" s="23"/>
      <c r="H772" s="22"/>
      <c r="I772" s="23"/>
      <c r="J772" s="24"/>
      <c r="K772" s="21"/>
      <c r="L772" s="25"/>
      <c r="M772" s="25"/>
      <c r="N772" s="22"/>
      <c r="O772" s="23"/>
      <c r="P772" s="20"/>
      <c r="Q772" s="23"/>
      <c r="R772" s="24"/>
      <c r="S772" s="8"/>
    </row>
    <row r="773" spans="1:19" s="85" customFormat="1">
      <c r="A773" s="128" t="s">
        <v>513</v>
      </c>
      <c r="B773" s="85" t="s">
        <v>25</v>
      </c>
      <c r="C773" s="88"/>
      <c r="D773" s="89" t="s">
        <v>40</v>
      </c>
      <c r="E773" s="90">
        <v>5</v>
      </c>
      <c r="F773" s="91">
        <v>1</v>
      </c>
      <c r="G773" s="92" t="s">
        <v>20</v>
      </c>
      <c r="H773" s="91">
        <v>60</v>
      </c>
      <c r="I773" s="92" t="s">
        <v>40</v>
      </c>
      <c r="J773" s="93">
        <f>2160000/60</f>
        <v>36000</v>
      </c>
      <c r="K773" s="89" t="s">
        <v>40</v>
      </c>
      <c r="L773" s="94"/>
      <c r="M773" s="94">
        <v>0.17</v>
      </c>
      <c r="N773" s="91"/>
      <c r="O773" s="92" t="s">
        <v>40</v>
      </c>
      <c r="P773" s="88">
        <f>(C773+(E773*F773*H773))-N773</f>
        <v>300</v>
      </c>
      <c r="Q773" s="92" t="s">
        <v>40</v>
      </c>
      <c r="R773" s="93">
        <f>P773*(J773-(J773*L773)-((J773-(J773*L773))*M773))</f>
        <v>8964000</v>
      </c>
      <c r="S773" s="93">
        <f>R773/1.11</f>
        <v>8075675.6756756753</v>
      </c>
    </row>
    <row r="774" spans="1:19">
      <c r="A774" s="46" t="s">
        <v>514</v>
      </c>
      <c r="B774" s="2" t="s">
        <v>25</v>
      </c>
      <c r="C774" s="3">
        <v>175</v>
      </c>
      <c r="D774" s="4" t="s">
        <v>40</v>
      </c>
      <c r="F774" s="6">
        <v>12</v>
      </c>
      <c r="G774" s="7" t="s">
        <v>83</v>
      </c>
      <c r="H774" s="6">
        <v>12</v>
      </c>
      <c r="I774" s="7" t="s">
        <v>40</v>
      </c>
      <c r="J774" s="8">
        <f>1555200/144</f>
        <v>10800</v>
      </c>
      <c r="K774" s="4" t="s">
        <v>40</v>
      </c>
      <c r="L774" s="9">
        <v>0.05</v>
      </c>
      <c r="M774" s="9">
        <v>0.17</v>
      </c>
      <c r="O774" s="7" t="s">
        <v>40</v>
      </c>
      <c r="P774" s="3">
        <f>(C774+(E774*F774*H774))-N774</f>
        <v>175</v>
      </c>
      <c r="Q774" s="7" t="s">
        <v>40</v>
      </c>
      <c r="R774" s="8">
        <f>P774*(J774-(J774*L774)-((J774-(J774*L774))*M774))</f>
        <v>1490264.9999999998</v>
      </c>
      <c r="S774" s="8">
        <f>R774/1.11</f>
        <v>1342581.0810810807</v>
      </c>
    </row>
    <row r="775" spans="1:19">
      <c r="A775" s="40"/>
    </row>
    <row r="776" spans="1:19">
      <c r="A776" s="172" t="s">
        <v>1014</v>
      </c>
      <c r="B776" s="2" t="s">
        <v>597</v>
      </c>
      <c r="C776" s="3">
        <v>12</v>
      </c>
      <c r="D776" s="4" t="s">
        <v>151</v>
      </c>
      <c r="F776" s="6">
        <v>1</v>
      </c>
      <c r="G776" s="7" t="s">
        <v>98</v>
      </c>
      <c r="H776" s="6">
        <v>12</v>
      </c>
      <c r="I776" s="7" t="s">
        <v>151</v>
      </c>
      <c r="J776" s="8">
        <f>3195.95</f>
        <v>3195.95</v>
      </c>
      <c r="K776" s="4" t="s">
        <v>151</v>
      </c>
      <c r="O776" s="7" t="s">
        <v>151</v>
      </c>
      <c r="P776" s="3">
        <f>(C776+(E776*F776*H776))-N776</f>
        <v>12</v>
      </c>
      <c r="Q776" s="7" t="s">
        <v>40</v>
      </c>
      <c r="R776" s="8">
        <f>P776*(J776-(J776*L776)-((J776-(J776*L776))*M776))</f>
        <v>38351.399999999994</v>
      </c>
      <c r="S776" s="8">
        <f>R776/1.11</f>
        <v>34550.810810810799</v>
      </c>
    </row>
    <row r="777" spans="1:19">
      <c r="A777" s="40"/>
    </row>
    <row r="778" spans="1:19">
      <c r="A778" s="15" t="s">
        <v>515</v>
      </c>
    </row>
    <row r="779" spans="1:19" s="69" customFormat="1">
      <c r="A779" s="113" t="s">
        <v>516</v>
      </c>
      <c r="B779" s="69" t="s">
        <v>25</v>
      </c>
      <c r="C779" s="70"/>
      <c r="D779" s="71" t="s">
        <v>40</v>
      </c>
      <c r="E779" s="72">
        <v>1</v>
      </c>
      <c r="F779" s="73">
        <v>1</v>
      </c>
      <c r="G779" s="74" t="s">
        <v>20</v>
      </c>
      <c r="H779" s="73">
        <v>60</v>
      </c>
      <c r="I779" s="74" t="s">
        <v>40</v>
      </c>
      <c r="J779" s="16">
        <f>2268000/60</f>
        <v>37800</v>
      </c>
      <c r="K779" s="71" t="s">
        <v>40</v>
      </c>
      <c r="L779" s="75"/>
      <c r="M779" s="75">
        <v>0.17</v>
      </c>
      <c r="N779" s="73"/>
      <c r="O779" s="74" t="s">
        <v>40</v>
      </c>
      <c r="P779" s="70">
        <f>(C779+(E779*F779*H779))-N779</f>
        <v>60</v>
      </c>
      <c r="Q779" s="74" t="s">
        <v>40</v>
      </c>
      <c r="R779" s="16">
        <f>P779*(J779-(J779*L779)-((J779-(J779*L779))*M779))</f>
        <v>1882440</v>
      </c>
      <c r="S779" s="16">
        <f>R779/1.11</f>
        <v>1695891.8918918918</v>
      </c>
    </row>
    <row r="781" spans="1:19" s="19" customFormat="1">
      <c r="A781" s="131" t="s">
        <v>739</v>
      </c>
      <c r="B781" s="19" t="s">
        <v>597</v>
      </c>
      <c r="C781" s="20">
        <v>12</v>
      </c>
      <c r="D781" s="21" t="s">
        <v>151</v>
      </c>
      <c r="E781" s="26"/>
      <c r="F781" s="22">
        <v>1</v>
      </c>
      <c r="G781" s="23" t="s">
        <v>151</v>
      </c>
      <c r="H781" s="22">
        <v>1</v>
      </c>
      <c r="I781" s="23" t="s">
        <v>151</v>
      </c>
      <c r="J781" s="135">
        <v>4000</v>
      </c>
      <c r="K781" s="21" t="s">
        <v>19</v>
      </c>
      <c r="L781" s="25"/>
      <c r="M781" s="25">
        <v>1.0999999999999999E-2</v>
      </c>
      <c r="N781" s="22"/>
      <c r="O781" s="23" t="s">
        <v>19</v>
      </c>
      <c r="P781" s="20">
        <f>(C781+(E781*F781*H781))-N781</f>
        <v>12</v>
      </c>
      <c r="Q781" s="23" t="s">
        <v>19</v>
      </c>
      <c r="R781" s="24">
        <f>P781*(J781-(J781*L781)-((J781-(J781*L781))*M781))</f>
        <v>47472</v>
      </c>
      <c r="S781" s="24">
        <f t="shared" ref="S781" si="404">R781/1.11</f>
        <v>42767.567567567567</v>
      </c>
    </row>
    <row r="782" spans="1:19" s="19" customFormat="1">
      <c r="A782" s="131" t="s">
        <v>869</v>
      </c>
      <c r="B782" s="19" t="s">
        <v>597</v>
      </c>
      <c r="C782" s="20">
        <v>48</v>
      </c>
      <c r="D782" s="21" t="s">
        <v>151</v>
      </c>
      <c r="E782" s="26"/>
      <c r="F782" s="22">
        <v>1</v>
      </c>
      <c r="G782" s="23" t="s">
        <v>151</v>
      </c>
      <c r="H782" s="22">
        <v>1</v>
      </c>
      <c r="I782" s="23" t="s">
        <v>151</v>
      </c>
      <c r="J782" s="135"/>
      <c r="K782" s="21" t="s">
        <v>19</v>
      </c>
      <c r="L782" s="25"/>
      <c r="M782" s="25">
        <v>1.0999999999999999E-2</v>
      </c>
      <c r="N782" s="22"/>
      <c r="O782" s="23" t="s">
        <v>19</v>
      </c>
      <c r="P782" s="20">
        <f>(C782+(E782*F782*H782))-N782</f>
        <v>48</v>
      </c>
      <c r="Q782" s="23" t="s">
        <v>19</v>
      </c>
      <c r="R782" s="24">
        <f>P782*(J782-(J782*L782)-((J782-(J782*L782))*M782))</f>
        <v>0</v>
      </c>
      <c r="S782" s="24">
        <f t="shared" ref="S782" si="405">R782/1.11</f>
        <v>0</v>
      </c>
    </row>
    <row r="783" spans="1:19">
      <c r="A783" s="40"/>
    </row>
    <row r="784" spans="1:19">
      <c r="A784" s="15" t="s">
        <v>517</v>
      </c>
    </row>
    <row r="785" spans="1:19" s="78" customFormat="1">
      <c r="A785" s="77" t="s">
        <v>518</v>
      </c>
      <c r="B785" s="78" t="s">
        <v>18</v>
      </c>
      <c r="C785" s="76"/>
      <c r="D785" s="79" t="s">
        <v>151</v>
      </c>
      <c r="E785" s="80"/>
      <c r="F785" s="81">
        <v>8</v>
      </c>
      <c r="G785" s="82" t="s">
        <v>33</v>
      </c>
      <c r="H785" s="81">
        <v>12</v>
      </c>
      <c r="I785" s="82" t="s">
        <v>151</v>
      </c>
      <c r="J785" s="83">
        <v>17000</v>
      </c>
      <c r="K785" s="79" t="s">
        <v>151</v>
      </c>
      <c r="L785" s="84">
        <v>0.125</v>
      </c>
      <c r="M785" s="84">
        <v>0.05</v>
      </c>
      <c r="N785" s="81"/>
      <c r="O785" s="82" t="s">
        <v>151</v>
      </c>
      <c r="P785" s="76">
        <f t="shared" ref="P785:P790" si="406">(C785+(E785*F785*H785))-N785</f>
        <v>0</v>
      </c>
      <c r="Q785" s="82" t="s">
        <v>151</v>
      </c>
      <c r="R785" s="83">
        <f t="shared" ref="R785:R790" si="407">P785*(J785-(J785*L785)-((J785-(J785*L785))*M785))</f>
        <v>0</v>
      </c>
      <c r="S785" s="16">
        <f t="shared" ref="S785:S790" si="408">R785/1.11</f>
        <v>0</v>
      </c>
    </row>
    <row r="786" spans="1:19" s="78" customFormat="1">
      <c r="A786" s="77" t="s">
        <v>519</v>
      </c>
      <c r="B786" s="78" t="s">
        <v>18</v>
      </c>
      <c r="C786" s="76"/>
      <c r="D786" s="79" t="s">
        <v>151</v>
      </c>
      <c r="E786" s="80"/>
      <c r="F786" s="81">
        <v>8</v>
      </c>
      <c r="G786" s="82" t="s">
        <v>33</v>
      </c>
      <c r="H786" s="81">
        <v>6</v>
      </c>
      <c r="I786" s="82" t="s">
        <v>151</v>
      </c>
      <c r="J786" s="83">
        <v>34000</v>
      </c>
      <c r="K786" s="79" t="s">
        <v>151</v>
      </c>
      <c r="L786" s="84">
        <v>0.125</v>
      </c>
      <c r="M786" s="84">
        <v>0.05</v>
      </c>
      <c r="N786" s="81"/>
      <c r="O786" s="82" t="s">
        <v>151</v>
      </c>
      <c r="P786" s="76">
        <f t="shared" si="406"/>
        <v>0</v>
      </c>
      <c r="Q786" s="82" t="s">
        <v>151</v>
      </c>
      <c r="R786" s="83">
        <f t="shared" si="407"/>
        <v>0</v>
      </c>
      <c r="S786" s="16">
        <f t="shared" si="408"/>
        <v>0</v>
      </c>
    </row>
    <row r="787" spans="1:19" s="19" customFormat="1">
      <c r="A787" s="18" t="s">
        <v>520</v>
      </c>
      <c r="B787" s="19" t="s">
        <v>18</v>
      </c>
      <c r="C787" s="20">
        <v>62</v>
      </c>
      <c r="D787" s="21" t="s">
        <v>151</v>
      </c>
      <c r="E787" s="26">
        <v>1</v>
      </c>
      <c r="F787" s="22">
        <v>6</v>
      </c>
      <c r="G787" s="23" t="s">
        <v>33</v>
      </c>
      <c r="H787" s="22">
        <v>24</v>
      </c>
      <c r="I787" s="23" t="s">
        <v>151</v>
      </c>
      <c r="J787" s="24">
        <v>31500</v>
      </c>
      <c r="K787" s="21" t="s">
        <v>151</v>
      </c>
      <c r="L787" s="25">
        <v>0.125</v>
      </c>
      <c r="M787" s="25">
        <v>0.05</v>
      </c>
      <c r="N787" s="22"/>
      <c r="O787" s="23" t="s">
        <v>151</v>
      </c>
      <c r="P787" s="20">
        <f t="shared" si="406"/>
        <v>206</v>
      </c>
      <c r="Q787" s="23" t="s">
        <v>151</v>
      </c>
      <c r="R787" s="24">
        <f t="shared" si="407"/>
        <v>5393981.25</v>
      </c>
      <c r="S787" s="8">
        <f t="shared" si="408"/>
        <v>4859442.5675675673</v>
      </c>
    </row>
    <row r="788" spans="1:19" s="19" customFormat="1">
      <c r="A788" s="159" t="s">
        <v>520</v>
      </c>
      <c r="B788" s="19" t="s">
        <v>18</v>
      </c>
      <c r="C788" s="20"/>
      <c r="D788" s="21" t="s">
        <v>151</v>
      </c>
      <c r="E788" s="26">
        <v>1</v>
      </c>
      <c r="F788" s="22">
        <v>6</v>
      </c>
      <c r="G788" s="23" t="s">
        <v>33</v>
      </c>
      <c r="H788" s="22">
        <v>24</v>
      </c>
      <c r="I788" s="23" t="s">
        <v>151</v>
      </c>
      <c r="J788" s="24">
        <v>28000</v>
      </c>
      <c r="K788" s="21" t="s">
        <v>151</v>
      </c>
      <c r="L788" s="25">
        <v>0.125</v>
      </c>
      <c r="M788" s="25">
        <v>0.05</v>
      </c>
      <c r="N788" s="22"/>
      <c r="O788" s="23" t="s">
        <v>151</v>
      </c>
      <c r="P788" s="20">
        <f t="shared" si="406"/>
        <v>144</v>
      </c>
      <c r="Q788" s="23" t="s">
        <v>151</v>
      </c>
      <c r="R788" s="24">
        <f t="shared" si="407"/>
        <v>3351600</v>
      </c>
      <c r="S788" s="8">
        <f t="shared" si="408"/>
        <v>3019459.4594594594</v>
      </c>
    </row>
    <row r="789" spans="1:19" s="78" customFormat="1">
      <c r="A789" s="77" t="s">
        <v>521</v>
      </c>
      <c r="B789" s="78" t="s">
        <v>18</v>
      </c>
      <c r="C789" s="76"/>
      <c r="D789" s="79" t="s">
        <v>151</v>
      </c>
      <c r="E789" s="80"/>
      <c r="F789" s="81">
        <v>6</v>
      </c>
      <c r="G789" s="82" t="s">
        <v>33</v>
      </c>
      <c r="H789" s="81">
        <v>12</v>
      </c>
      <c r="I789" s="82" t="s">
        <v>151</v>
      </c>
      <c r="J789" s="83">
        <v>63000</v>
      </c>
      <c r="K789" s="79" t="s">
        <v>151</v>
      </c>
      <c r="L789" s="84">
        <v>0.125</v>
      </c>
      <c r="M789" s="84">
        <v>0.05</v>
      </c>
      <c r="N789" s="81"/>
      <c r="O789" s="82" t="s">
        <v>151</v>
      </c>
      <c r="P789" s="76">
        <f t="shared" si="406"/>
        <v>0</v>
      </c>
      <c r="Q789" s="82" t="s">
        <v>151</v>
      </c>
      <c r="R789" s="83">
        <f t="shared" si="407"/>
        <v>0</v>
      </c>
      <c r="S789" s="16">
        <f t="shared" si="408"/>
        <v>0</v>
      </c>
    </row>
    <row r="790" spans="1:19" s="78" customFormat="1">
      <c r="A790" s="77" t="s">
        <v>522</v>
      </c>
      <c r="B790" s="78" t="s">
        <v>18</v>
      </c>
      <c r="C790" s="76"/>
      <c r="D790" s="79" t="s">
        <v>151</v>
      </c>
      <c r="E790" s="80"/>
      <c r="F790" s="81">
        <v>6</v>
      </c>
      <c r="G790" s="82" t="s">
        <v>33</v>
      </c>
      <c r="H790" s="81">
        <v>24</v>
      </c>
      <c r="I790" s="82" t="s">
        <v>151</v>
      </c>
      <c r="J790" s="83"/>
      <c r="K790" s="79" t="s">
        <v>151</v>
      </c>
      <c r="L790" s="84">
        <v>0.1</v>
      </c>
      <c r="M790" s="84">
        <v>0.05</v>
      </c>
      <c r="N790" s="81"/>
      <c r="O790" s="82" t="s">
        <v>151</v>
      </c>
      <c r="P790" s="76">
        <f t="shared" si="406"/>
        <v>0</v>
      </c>
      <c r="Q790" s="82" t="s">
        <v>151</v>
      </c>
      <c r="R790" s="83">
        <f t="shared" si="407"/>
        <v>0</v>
      </c>
      <c r="S790" s="16">
        <f t="shared" si="408"/>
        <v>0</v>
      </c>
    </row>
    <row r="791" spans="1:19" s="78" customFormat="1">
      <c r="A791" s="77"/>
      <c r="C791" s="76"/>
      <c r="D791" s="79"/>
      <c r="E791" s="80"/>
      <c r="F791" s="81"/>
      <c r="G791" s="82"/>
      <c r="H791" s="81"/>
      <c r="I791" s="82"/>
      <c r="J791" s="83"/>
      <c r="K791" s="79"/>
      <c r="L791" s="84"/>
      <c r="M791" s="84"/>
      <c r="N791" s="81"/>
      <c r="O791" s="82"/>
      <c r="P791" s="76"/>
      <c r="Q791" s="82"/>
      <c r="R791" s="83"/>
      <c r="S791" s="16"/>
    </row>
    <row r="792" spans="1:19" s="95" customFormat="1">
      <c r="A792" s="87" t="s">
        <v>873</v>
      </c>
      <c r="B792" s="95" t="s">
        <v>25</v>
      </c>
      <c r="C792" s="96"/>
      <c r="D792" s="97" t="s">
        <v>151</v>
      </c>
      <c r="E792" s="98">
        <v>10</v>
      </c>
      <c r="F792" s="99">
        <v>6</v>
      </c>
      <c r="G792" s="100" t="s">
        <v>33</v>
      </c>
      <c r="H792" s="99">
        <v>24</v>
      </c>
      <c r="I792" s="100" t="s">
        <v>151</v>
      </c>
      <c r="J792" s="101">
        <v>25000</v>
      </c>
      <c r="K792" s="97" t="s">
        <v>151</v>
      </c>
      <c r="L792" s="102">
        <v>0.05</v>
      </c>
      <c r="M792" s="102">
        <v>0.17</v>
      </c>
      <c r="N792" s="99"/>
      <c r="O792" s="100" t="s">
        <v>151</v>
      </c>
      <c r="P792" s="96">
        <f>(C792+(E792*F792*H792))-N792</f>
        <v>1440</v>
      </c>
      <c r="Q792" s="100" t="s">
        <v>151</v>
      </c>
      <c r="R792" s="101">
        <f>P792*(J792-(J792*L792)-((J792-(J792*L792))*M792))</f>
        <v>28386000</v>
      </c>
      <c r="S792" s="101">
        <f>R792/1.11</f>
        <v>25572972.97297297</v>
      </c>
    </row>
    <row r="793" spans="1:19" s="95" customFormat="1">
      <c r="A793" s="87" t="s">
        <v>912</v>
      </c>
      <c r="B793" s="95" t="s">
        <v>25</v>
      </c>
      <c r="C793" s="96"/>
      <c r="D793" s="97" t="s">
        <v>151</v>
      </c>
      <c r="E793" s="98">
        <v>3</v>
      </c>
      <c r="F793" s="99">
        <v>6</v>
      </c>
      <c r="G793" s="100" t="s">
        <v>33</v>
      </c>
      <c r="H793" s="99">
        <v>12</v>
      </c>
      <c r="I793" s="100" t="s">
        <v>151</v>
      </c>
      <c r="J793" s="101">
        <v>49000</v>
      </c>
      <c r="K793" s="97" t="s">
        <v>151</v>
      </c>
      <c r="L793" s="102">
        <v>0.05</v>
      </c>
      <c r="M793" s="102">
        <v>0.17</v>
      </c>
      <c r="N793" s="99"/>
      <c r="O793" s="100" t="s">
        <v>151</v>
      </c>
      <c r="P793" s="96">
        <f>(C793+(E793*F793*H793))-N793</f>
        <v>216</v>
      </c>
      <c r="Q793" s="100" t="s">
        <v>151</v>
      </c>
      <c r="R793" s="101">
        <f>P793*(J793-(J793*L793)-((J793-(J793*L793))*M793))</f>
        <v>8345484</v>
      </c>
      <c r="S793" s="101">
        <f>R793/1.11</f>
        <v>7518454.0540540535</v>
      </c>
    </row>
    <row r="795" spans="1:19" ht="15.75">
      <c r="A795" s="14" t="s">
        <v>422</v>
      </c>
    </row>
    <row r="796" spans="1:19" s="19" customFormat="1">
      <c r="A796" s="18" t="s">
        <v>423</v>
      </c>
      <c r="B796" s="19" t="s">
        <v>18</v>
      </c>
      <c r="C796" s="20">
        <v>59</v>
      </c>
      <c r="D796" s="21" t="s">
        <v>83</v>
      </c>
      <c r="E796" s="26">
        <v>123</v>
      </c>
      <c r="F796" s="22">
        <v>1</v>
      </c>
      <c r="G796" s="23" t="s">
        <v>20</v>
      </c>
      <c r="H796" s="22">
        <v>30</v>
      </c>
      <c r="I796" s="23" t="s">
        <v>83</v>
      </c>
      <c r="J796" s="24">
        <v>104400</v>
      </c>
      <c r="K796" s="21" t="s">
        <v>83</v>
      </c>
      <c r="L796" s="25">
        <v>0.125</v>
      </c>
      <c r="M796" s="25">
        <v>0.05</v>
      </c>
      <c r="N796" s="22"/>
      <c r="O796" s="23" t="s">
        <v>83</v>
      </c>
      <c r="P796" s="20">
        <f t="shared" ref="P796:P804" si="409">(C796+(E796*F796*H796))-N796</f>
        <v>3749</v>
      </c>
      <c r="Q796" s="23" t="s">
        <v>83</v>
      </c>
      <c r="R796" s="24">
        <f t="shared" ref="R796:R804" si="410">P796*(J796-(J796*L796)-((J796-(J796*L796))*M796))</f>
        <v>325347592.5</v>
      </c>
      <c r="S796" s="24">
        <f t="shared" si="402"/>
        <v>293105939.18918914</v>
      </c>
    </row>
    <row r="797" spans="1:19" s="78" customFormat="1">
      <c r="A797" s="77" t="s">
        <v>654</v>
      </c>
      <c r="B797" s="78" t="s">
        <v>18</v>
      </c>
      <c r="C797" s="76"/>
      <c r="D797" s="79" t="s">
        <v>83</v>
      </c>
      <c r="E797" s="80"/>
      <c r="F797" s="81">
        <v>1</v>
      </c>
      <c r="G797" s="82" t="s">
        <v>20</v>
      </c>
      <c r="H797" s="81">
        <v>30</v>
      </c>
      <c r="I797" s="82" t="s">
        <v>83</v>
      </c>
      <c r="J797" s="83">
        <v>102000</v>
      </c>
      <c r="K797" s="79" t="s">
        <v>83</v>
      </c>
      <c r="L797" s="84">
        <v>0.125</v>
      </c>
      <c r="M797" s="84">
        <v>0.05</v>
      </c>
      <c r="N797" s="81"/>
      <c r="O797" s="82" t="s">
        <v>83</v>
      </c>
      <c r="P797" s="76">
        <f t="shared" si="409"/>
        <v>0</v>
      </c>
      <c r="Q797" s="82" t="s">
        <v>83</v>
      </c>
      <c r="R797" s="83">
        <f t="shared" si="410"/>
        <v>0</v>
      </c>
      <c r="S797" s="83">
        <f t="shared" si="402"/>
        <v>0</v>
      </c>
    </row>
    <row r="798" spans="1:19" s="95" customFormat="1">
      <c r="A798" s="87" t="s">
        <v>654</v>
      </c>
      <c r="B798" s="95" t="s">
        <v>18</v>
      </c>
      <c r="C798" s="96"/>
      <c r="D798" s="97" t="s">
        <v>83</v>
      </c>
      <c r="E798" s="98">
        <v>2</v>
      </c>
      <c r="F798" s="99">
        <v>1</v>
      </c>
      <c r="G798" s="100" t="s">
        <v>20</v>
      </c>
      <c r="H798" s="99">
        <v>30</v>
      </c>
      <c r="I798" s="100" t="s">
        <v>83</v>
      </c>
      <c r="J798" s="101">
        <v>109200</v>
      </c>
      <c r="K798" s="97" t="s">
        <v>83</v>
      </c>
      <c r="L798" s="102">
        <v>0.125</v>
      </c>
      <c r="M798" s="102">
        <v>0.05</v>
      </c>
      <c r="N798" s="99"/>
      <c r="O798" s="100" t="s">
        <v>83</v>
      </c>
      <c r="P798" s="96">
        <f t="shared" ref="P798" si="411">(C798+(E798*F798*H798))-N798</f>
        <v>60</v>
      </c>
      <c r="Q798" s="100" t="s">
        <v>83</v>
      </c>
      <c r="R798" s="101">
        <f t="shared" ref="R798" si="412">P798*(J798-(J798*L798)-((J798-(J798*L798))*M798))</f>
        <v>5446350</v>
      </c>
      <c r="S798" s="101">
        <f t="shared" ref="S798" si="413">R798/1.11</f>
        <v>4906621.6216216208</v>
      </c>
    </row>
    <row r="799" spans="1:19" s="69" customFormat="1">
      <c r="A799" s="68" t="s">
        <v>424</v>
      </c>
      <c r="B799" s="69" t="s">
        <v>18</v>
      </c>
      <c r="C799" s="70"/>
      <c r="D799" s="71" t="s">
        <v>83</v>
      </c>
      <c r="E799" s="72">
        <v>5</v>
      </c>
      <c r="F799" s="73">
        <v>1</v>
      </c>
      <c r="G799" s="74" t="s">
        <v>20</v>
      </c>
      <c r="H799" s="73">
        <v>30</v>
      </c>
      <c r="I799" s="74" t="s">
        <v>83</v>
      </c>
      <c r="J799" s="16">
        <v>99000</v>
      </c>
      <c r="K799" s="71" t="s">
        <v>83</v>
      </c>
      <c r="L799" s="75">
        <v>0.125</v>
      </c>
      <c r="M799" s="75">
        <v>0.05</v>
      </c>
      <c r="N799" s="73"/>
      <c r="O799" s="74" t="s">
        <v>83</v>
      </c>
      <c r="P799" s="70">
        <f t="shared" si="409"/>
        <v>150</v>
      </c>
      <c r="Q799" s="74" t="s">
        <v>83</v>
      </c>
      <c r="R799" s="16">
        <f t="shared" si="410"/>
        <v>12344062.5</v>
      </c>
      <c r="S799" s="16">
        <f t="shared" si="402"/>
        <v>11120777.027027026</v>
      </c>
    </row>
    <row r="800" spans="1:19">
      <c r="A800" s="159" t="s">
        <v>976</v>
      </c>
      <c r="B800" s="2" t="s">
        <v>18</v>
      </c>
      <c r="D800" s="4" t="s">
        <v>83</v>
      </c>
      <c r="E800" s="5">
        <v>1</v>
      </c>
      <c r="F800" s="6">
        <v>1</v>
      </c>
      <c r="G800" s="7" t="s">
        <v>20</v>
      </c>
      <c r="H800" s="6">
        <v>30</v>
      </c>
      <c r="I800" s="7" t="s">
        <v>83</v>
      </c>
      <c r="J800" s="8">
        <v>139200</v>
      </c>
      <c r="K800" s="4" t="s">
        <v>83</v>
      </c>
      <c r="L800" s="9">
        <v>0.125</v>
      </c>
      <c r="M800" s="9">
        <v>0.05</v>
      </c>
      <c r="O800" s="7" t="s">
        <v>83</v>
      </c>
      <c r="P800" s="3">
        <f t="shared" ref="P800" si="414">(C800+(E800*F800*H800))-N800</f>
        <v>30</v>
      </c>
      <c r="Q800" s="7" t="s">
        <v>83</v>
      </c>
      <c r="R800" s="8">
        <f t="shared" ref="R800" si="415">P800*(J800-(J800*L800)-((J800-(J800*L800))*M800))</f>
        <v>3471300</v>
      </c>
      <c r="S800" s="8">
        <f t="shared" ref="S800" si="416">R800/1.11</f>
        <v>3127297.297297297</v>
      </c>
    </row>
    <row r="801" spans="1:19">
      <c r="A801" s="17" t="s">
        <v>425</v>
      </c>
      <c r="B801" s="2" t="s">
        <v>18</v>
      </c>
      <c r="D801" s="4" t="s">
        <v>83</v>
      </c>
      <c r="E801" s="5">
        <v>6</v>
      </c>
      <c r="F801" s="6">
        <v>1</v>
      </c>
      <c r="G801" s="7" t="s">
        <v>20</v>
      </c>
      <c r="H801" s="6">
        <v>30</v>
      </c>
      <c r="I801" s="7" t="s">
        <v>83</v>
      </c>
      <c r="J801" s="8">
        <v>96000</v>
      </c>
      <c r="K801" s="4" t="s">
        <v>83</v>
      </c>
      <c r="L801" s="9">
        <v>0.125</v>
      </c>
      <c r="M801" s="9">
        <v>0.05</v>
      </c>
      <c r="O801" s="7" t="s">
        <v>83</v>
      </c>
      <c r="P801" s="3">
        <f t="shared" si="409"/>
        <v>180</v>
      </c>
      <c r="Q801" s="7" t="s">
        <v>83</v>
      </c>
      <c r="R801" s="8">
        <f t="shared" si="410"/>
        <v>14364000</v>
      </c>
      <c r="S801" s="8">
        <f t="shared" si="402"/>
        <v>12940540.540540539</v>
      </c>
    </row>
    <row r="802" spans="1:19" s="69" customFormat="1">
      <c r="A802" s="68" t="s">
        <v>426</v>
      </c>
      <c r="B802" s="69" t="s">
        <v>18</v>
      </c>
      <c r="C802" s="70"/>
      <c r="D802" s="71" t="s">
        <v>83</v>
      </c>
      <c r="E802" s="72"/>
      <c r="F802" s="73">
        <v>1</v>
      </c>
      <c r="G802" s="74" t="s">
        <v>20</v>
      </c>
      <c r="H802" s="73">
        <v>30</v>
      </c>
      <c r="I802" s="74" t="s">
        <v>83</v>
      </c>
      <c r="J802" s="16">
        <v>109000</v>
      </c>
      <c r="K802" s="71" t="s">
        <v>83</v>
      </c>
      <c r="L802" s="75">
        <v>0.125</v>
      </c>
      <c r="M802" s="75">
        <v>0.05</v>
      </c>
      <c r="N802" s="73"/>
      <c r="O802" s="74" t="s">
        <v>83</v>
      </c>
      <c r="P802" s="70">
        <f t="shared" si="409"/>
        <v>0</v>
      </c>
      <c r="Q802" s="74" t="s">
        <v>83</v>
      </c>
      <c r="R802" s="16">
        <f t="shared" si="410"/>
        <v>0</v>
      </c>
      <c r="S802" s="16">
        <f t="shared" si="402"/>
        <v>0</v>
      </c>
    </row>
    <row r="803" spans="1:19" s="69" customFormat="1">
      <c r="A803" s="68" t="s">
        <v>797</v>
      </c>
      <c r="B803" s="69" t="s">
        <v>18</v>
      </c>
      <c r="C803" s="70"/>
      <c r="D803" s="71" t="s">
        <v>83</v>
      </c>
      <c r="E803" s="72"/>
      <c r="F803" s="73">
        <v>1</v>
      </c>
      <c r="G803" s="74" t="s">
        <v>20</v>
      </c>
      <c r="H803" s="73">
        <v>30</v>
      </c>
      <c r="I803" s="74" t="s">
        <v>83</v>
      </c>
      <c r="J803" s="16">
        <v>144000</v>
      </c>
      <c r="K803" s="71" t="s">
        <v>83</v>
      </c>
      <c r="L803" s="75">
        <v>0.125</v>
      </c>
      <c r="M803" s="75">
        <v>0.05</v>
      </c>
      <c r="N803" s="73"/>
      <c r="O803" s="74" t="s">
        <v>83</v>
      </c>
      <c r="P803" s="70">
        <f t="shared" si="409"/>
        <v>0</v>
      </c>
      <c r="Q803" s="74" t="s">
        <v>83</v>
      </c>
      <c r="R803" s="16">
        <f t="shared" si="410"/>
        <v>0</v>
      </c>
      <c r="S803" s="16">
        <f t="shared" si="402"/>
        <v>0</v>
      </c>
    </row>
    <row r="804" spans="1:19" s="69" customFormat="1">
      <c r="A804" s="68" t="s">
        <v>733</v>
      </c>
      <c r="B804" s="69" t="s">
        <v>18</v>
      </c>
      <c r="C804" s="70"/>
      <c r="D804" s="71" t="s">
        <v>83</v>
      </c>
      <c r="E804" s="72">
        <v>1</v>
      </c>
      <c r="F804" s="73">
        <v>1</v>
      </c>
      <c r="G804" s="74" t="s">
        <v>20</v>
      </c>
      <c r="H804" s="73">
        <v>30</v>
      </c>
      <c r="I804" s="74" t="s">
        <v>83</v>
      </c>
      <c r="J804" s="16">
        <v>144000</v>
      </c>
      <c r="K804" s="71" t="s">
        <v>83</v>
      </c>
      <c r="L804" s="75">
        <v>0.125</v>
      </c>
      <c r="M804" s="75">
        <v>0.05</v>
      </c>
      <c r="N804" s="73"/>
      <c r="O804" s="74" t="s">
        <v>83</v>
      </c>
      <c r="P804" s="70">
        <f t="shared" si="409"/>
        <v>30</v>
      </c>
      <c r="Q804" s="74" t="s">
        <v>83</v>
      </c>
      <c r="R804" s="16">
        <f t="shared" si="410"/>
        <v>3591000</v>
      </c>
      <c r="S804" s="16">
        <f t="shared" si="402"/>
        <v>3235135.1351351347</v>
      </c>
    </row>
    <row r="805" spans="1:19" s="95" customFormat="1">
      <c r="A805" s="87" t="s">
        <v>928</v>
      </c>
      <c r="B805" s="95" t="s">
        <v>18</v>
      </c>
      <c r="C805" s="96"/>
      <c r="D805" s="97" t="s">
        <v>83</v>
      </c>
      <c r="E805" s="98">
        <v>1</v>
      </c>
      <c r="F805" s="99">
        <v>1</v>
      </c>
      <c r="G805" s="100" t="s">
        <v>20</v>
      </c>
      <c r="H805" s="99">
        <v>30</v>
      </c>
      <c r="I805" s="100" t="s">
        <v>83</v>
      </c>
      <c r="J805" s="101">
        <v>99000</v>
      </c>
      <c r="K805" s="97" t="s">
        <v>83</v>
      </c>
      <c r="L805" s="102">
        <v>0.125</v>
      </c>
      <c r="M805" s="102">
        <v>0.05</v>
      </c>
      <c r="N805" s="99"/>
      <c r="O805" s="100" t="s">
        <v>83</v>
      </c>
      <c r="P805" s="96">
        <f t="shared" ref="P805" si="417">(C805+(E805*F805*H805))-N805</f>
        <v>30</v>
      </c>
      <c r="Q805" s="100" t="s">
        <v>83</v>
      </c>
      <c r="R805" s="101">
        <f t="shared" ref="R805" si="418">P805*(J805-(J805*L805)-((J805-(J805*L805))*M805))</f>
        <v>2468812.5</v>
      </c>
      <c r="S805" s="101">
        <f t="shared" ref="S805" si="419">R805/1.11</f>
        <v>2224155.405405405</v>
      </c>
    </row>
    <row r="807" spans="1:19" s="17" customFormat="1">
      <c r="A807" s="40" t="s">
        <v>752</v>
      </c>
      <c r="B807" s="17" t="s">
        <v>25</v>
      </c>
      <c r="C807" s="51">
        <v>5</v>
      </c>
      <c r="D807" s="52" t="s">
        <v>83</v>
      </c>
      <c r="E807" s="32"/>
      <c r="F807" s="53">
        <v>1</v>
      </c>
      <c r="G807" s="54" t="s">
        <v>20</v>
      </c>
      <c r="H807" s="53">
        <v>20</v>
      </c>
      <c r="I807" s="54" t="s">
        <v>83</v>
      </c>
      <c r="J807" s="55">
        <f>2448000/20</f>
        <v>122400</v>
      </c>
      <c r="K807" s="52" t="s">
        <v>83</v>
      </c>
      <c r="L807" s="56"/>
      <c r="M807" s="56">
        <v>0.17</v>
      </c>
      <c r="N807" s="53"/>
      <c r="O807" s="54" t="s">
        <v>83</v>
      </c>
      <c r="P807" s="51">
        <f t="shared" ref="P807:P828" si="420">(C807+(E807*F807*H807))-N807</f>
        <v>5</v>
      </c>
      <c r="Q807" s="54" t="s">
        <v>83</v>
      </c>
      <c r="R807" s="55">
        <f t="shared" ref="R807:R828" si="421">P807*(J807-(J807*L807)-((J807-(J807*L807))*M807))</f>
        <v>507960</v>
      </c>
      <c r="S807" s="8">
        <f t="shared" ref="S807:S808" si="422">R807/1.11</f>
        <v>457621.6216216216</v>
      </c>
    </row>
    <row r="808" spans="1:19" s="18" customFormat="1">
      <c r="A808" s="40" t="s">
        <v>427</v>
      </c>
      <c r="B808" s="18" t="s">
        <v>25</v>
      </c>
      <c r="C808" s="41">
        <v>40</v>
      </c>
      <c r="D808" s="42" t="s">
        <v>83</v>
      </c>
      <c r="E808" s="43">
        <v>10</v>
      </c>
      <c r="F808" s="44">
        <v>1</v>
      </c>
      <c r="G808" s="39" t="s">
        <v>20</v>
      </c>
      <c r="H808" s="44">
        <v>20</v>
      </c>
      <c r="I808" s="39" t="s">
        <v>83</v>
      </c>
      <c r="J808" s="27">
        <v>115200</v>
      </c>
      <c r="K808" s="42" t="s">
        <v>83</v>
      </c>
      <c r="L808" s="45"/>
      <c r="M808" s="45">
        <v>0.17</v>
      </c>
      <c r="N808" s="44"/>
      <c r="O808" s="39" t="s">
        <v>83</v>
      </c>
      <c r="P808" s="41">
        <f t="shared" ref="P808" si="423">(C808+(E808*F808*H808))-N808</f>
        <v>240</v>
      </c>
      <c r="Q808" s="39" t="s">
        <v>83</v>
      </c>
      <c r="R808" s="27">
        <f t="shared" ref="R808" si="424">P808*(J808-(J808*L808)-((J808-(J808*L808))*M808))</f>
        <v>22947840</v>
      </c>
      <c r="S808" s="24">
        <f t="shared" si="422"/>
        <v>20673729.729729727</v>
      </c>
    </row>
    <row r="809" spans="1:19" s="68" customFormat="1">
      <c r="A809" s="110" t="s">
        <v>744</v>
      </c>
      <c r="B809" s="68" t="s">
        <v>25</v>
      </c>
      <c r="C809" s="117"/>
      <c r="D809" s="118" t="s">
        <v>83</v>
      </c>
      <c r="E809" s="119"/>
      <c r="F809" s="120">
        <v>1</v>
      </c>
      <c r="G809" s="121" t="s">
        <v>20</v>
      </c>
      <c r="H809" s="120">
        <v>20</v>
      </c>
      <c r="I809" s="121" t="s">
        <v>83</v>
      </c>
      <c r="J809" s="122">
        <f>2880000/20</f>
        <v>144000</v>
      </c>
      <c r="K809" s="118" t="s">
        <v>83</v>
      </c>
      <c r="L809" s="123"/>
      <c r="M809" s="123">
        <v>0.17</v>
      </c>
      <c r="N809" s="120"/>
      <c r="O809" s="121" t="s">
        <v>83</v>
      </c>
      <c r="P809" s="117">
        <f t="shared" si="420"/>
        <v>0</v>
      </c>
      <c r="Q809" s="121" t="s">
        <v>83</v>
      </c>
      <c r="R809" s="122">
        <f t="shared" si="421"/>
        <v>0</v>
      </c>
      <c r="S809" s="16">
        <f t="shared" si="402"/>
        <v>0</v>
      </c>
    </row>
    <row r="810" spans="1:19" s="17" customFormat="1">
      <c r="A810" s="40" t="s">
        <v>657</v>
      </c>
      <c r="B810" s="17" t="s">
        <v>25</v>
      </c>
      <c r="C810" s="51">
        <v>60</v>
      </c>
      <c r="D810" s="52" t="s">
        <v>83</v>
      </c>
      <c r="E810" s="32">
        <v>7</v>
      </c>
      <c r="F810" s="53">
        <v>1</v>
      </c>
      <c r="G810" s="54" t="s">
        <v>20</v>
      </c>
      <c r="H810" s="53">
        <v>20</v>
      </c>
      <c r="I810" s="54" t="s">
        <v>83</v>
      </c>
      <c r="J810" s="55">
        <f>2448000/20</f>
        <v>122400</v>
      </c>
      <c r="K810" s="52" t="s">
        <v>83</v>
      </c>
      <c r="L810" s="56"/>
      <c r="M810" s="56">
        <v>0.17</v>
      </c>
      <c r="N810" s="53"/>
      <c r="O810" s="54" t="s">
        <v>83</v>
      </c>
      <c r="P810" s="51">
        <f t="shared" si="420"/>
        <v>200</v>
      </c>
      <c r="Q810" s="54" t="s">
        <v>83</v>
      </c>
      <c r="R810" s="55">
        <f t="shared" si="421"/>
        <v>20318400</v>
      </c>
      <c r="S810" s="8">
        <f t="shared" si="402"/>
        <v>18304864.864864863</v>
      </c>
    </row>
    <row r="811" spans="1:19" s="17" customFormat="1">
      <c r="A811" s="40" t="s">
        <v>428</v>
      </c>
      <c r="B811" s="17" t="s">
        <v>25</v>
      </c>
      <c r="C811" s="51">
        <v>20</v>
      </c>
      <c r="D811" s="52" t="s">
        <v>83</v>
      </c>
      <c r="E811" s="32">
        <v>22</v>
      </c>
      <c r="F811" s="53">
        <v>1</v>
      </c>
      <c r="G811" s="54" t="s">
        <v>20</v>
      </c>
      <c r="H811" s="53">
        <v>20</v>
      </c>
      <c r="I811" s="54" t="s">
        <v>83</v>
      </c>
      <c r="J811" s="55">
        <f>2112000/20</f>
        <v>105600</v>
      </c>
      <c r="K811" s="52" t="s">
        <v>83</v>
      </c>
      <c r="L811" s="56"/>
      <c r="M811" s="56">
        <v>0.17</v>
      </c>
      <c r="N811" s="53"/>
      <c r="O811" s="54" t="s">
        <v>83</v>
      </c>
      <c r="P811" s="51">
        <f t="shared" si="420"/>
        <v>460</v>
      </c>
      <c r="Q811" s="54" t="s">
        <v>83</v>
      </c>
      <c r="R811" s="55">
        <f t="shared" si="421"/>
        <v>40318080</v>
      </c>
      <c r="S811" s="8">
        <f t="shared" si="402"/>
        <v>36322594.59459459</v>
      </c>
    </row>
    <row r="812" spans="1:19" s="17" customFormat="1">
      <c r="A812" s="40" t="s">
        <v>429</v>
      </c>
      <c r="B812" s="17" t="s">
        <v>25</v>
      </c>
      <c r="C812" s="51"/>
      <c r="D812" s="52" t="s">
        <v>83</v>
      </c>
      <c r="E812" s="32">
        <v>2</v>
      </c>
      <c r="F812" s="53">
        <v>1</v>
      </c>
      <c r="G812" s="54" t="s">
        <v>20</v>
      </c>
      <c r="H812" s="53">
        <v>20</v>
      </c>
      <c r="I812" s="54" t="s">
        <v>83</v>
      </c>
      <c r="J812" s="55">
        <f>2448000/20</f>
        <v>122400</v>
      </c>
      <c r="K812" s="52" t="s">
        <v>83</v>
      </c>
      <c r="L812" s="56"/>
      <c r="M812" s="56">
        <v>0.17</v>
      </c>
      <c r="N812" s="53"/>
      <c r="O812" s="54" t="s">
        <v>83</v>
      </c>
      <c r="P812" s="51">
        <f t="shared" si="420"/>
        <v>40</v>
      </c>
      <c r="Q812" s="54" t="s">
        <v>83</v>
      </c>
      <c r="R812" s="55">
        <f t="shared" si="421"/>
        <v>4063680</v>
      </c>
      <c r="S812" s="8">
        <f t="shared" si="402"/>
        <v>3660972.9729729728</v>
      </c>
    </row>
    <row r="813" spans="1:19" s="17" customFormat="1">
      <c r="A813" s="40" t="s">
        <v>430</v>
      </c>
      <c r="B813" s="17" t="s">
        <v>25</v>
      </c>
      <c r="C813" s="51">
        <v>20</v>
      </c>
      <c r="D813" s="52" t="s">
        <v>83</v>
      </c>
      <c r="E813" s="32"/>
      <c r="F813" s="53">
        <v>1</v>
      </c>
      <c r="G813" s="54" t="s">
        <v>20</v>
      </c>
      <c r="H813" s="53">
        <v>20</v>
      </c>
      <c r="I813" s="54" t="s">
        <v>83</v>
      </c>
      <c r="J813" s="55">
        <f>2256000/20</f>
        <v>112800</v>
      </c>
      <c r="K813" s="52" t="s">
        <v>83</v>
      </c>
      <c r="L813" s="56"/>
      <c r="M813" s="56">
        <v>0.17</v>
      </c>
      <c r="N813" s="53"/>
      <c r="O813" s="54" t="s">
        <v>83</v>
      </c>
      <c r="P813" s="51">
        <f t="shared" si="420"/>
        <v>20</v>
      </c>
      <c r="Q813" s="54" t="s">
        <v>83</v>
      </c>
      <c r="R813" s="55">
        <f t="shared" si="421"/>
        <v>1872480</v>
      </c>
      <c r="S813" s="8">
        <f t="shared" si="402"/>
        <v>1686918.9189189188</v>
      </c>
    </row>
    <row r="814" spans="1:19" s="17" customFormat="1">
      <c r="A814" s="40" t="s">
        <v>431</v>
      </c>
      <c r="B814" s="17" t="s">
        <v>25</v>
      </c>
      <c r="C814" s="41"/>
      <c r="D814" s="52" t="s">
        <v>83</v>
      </c>
      <c r="E814" s="32">
        <v>1</v>
      </c>
      <c r="F814" s="53">
        <v>1</v>
      </c>
      <c r="G814" s="54" t="s">
        <v>20</v>
      </c>
      <c r="H814" s="53">
        <v>20</v>
      </c>
      <c r="I814" s="54" t="s">
        <v>83</v>
      </c>
      <c r="J814" s="55">
        <f>8500*12</f>
        <v>102000</v>
      </c>
      <c r="K814" s="52" t="s">
        <v>83</v>
      </c>
      <c r="L814" s="56"/>
      <c r="M814" s="56">
        <v>0.17</v>
      </c>
      <c r="N814" s="57"/>
      <c r="O814" s="54" t="s">
        <v>83</v>
      </c>
      <c r="P814" s="51">
        <f t="shared" si="420"/>
        <v>20</v>
      </c>
      <c r="Q814" s="54" t="s">
        <v>83</v>
      </c>
      <c r="R814" s="55">
        <f t="shared" si="421"/>
        <v>1693200</v>
      </c>
      <c r="S814" s="8">
        <f t="shared" si="402"/>
        <v>1525405.4054054052</v>
      </c>
    </row>
    <row r="815" spans="1:19" s="17" customFormat="1">
      <c r="A815" s="168" t="s">
        <v>1008</v>
      </c>
      <c r="B815" s="17" t="s">
        <v>25</v>
      </c>
      <c r="C815" s="41"/>
      <c r="D815" s="52" t="s">
        <v>83</v>
      </c>
      <c r="E815" s="32">
        <v>2</v>
      </c>
      <c r="F815" s="53">
        <v>1</v>
      </c>
      <c r="G815" s="54" t="s">
        <v>20</v>
      </c>
      <c r="H815" s="53">
        <v>20</v>
      </c>
      <c r="I815" s="54" t="s">
        <v>83</v>
      </c>
      <c r="J815" s="55">
        <v>105600</v>
      </c>
      <c r="K815" s="52" t="s">
        <v>83</v>
      </c>
      <c r="L815" s="56"/>
      <c r="M815" s="56">
        <v>0.17</v>
      </c>
      <c r="N815" s="57"/>
      <c r="O815" s="54" t="s">
        <v>83</v>
      </c>
      <c r="P815" s="51">
        <f t="shared" ref="P815" si="425">(C815+(E815*F815*H815))-N815</f>
        <v>40</v>
      </c>
      <c r="Q815" s="54" t="s">
        <v>83</v>
      </c>
      <c r="R815" s="55">
        <f t="shared" ref="R815" si="426">P815*(J815-(J815*L815)-((J815-(J815*L815))*M815))</f>
        <v>3505920</v>
      </c>
      <c r="S815" s="8">
        <f t="shared" ref="S815" si="427">R815/1.11</f>
        <v>3158486.4864864862</v>
      </c>
    </row>
    <row r="816" spans="1:19" s="68" customFormat="1">
      <c r="A816" s="110" t="s">
        <v>432</v>
      </c>
      <c r="B816" s="68" t="s">
        <v>25</v>
      </c>
      <c r="C816" s="124"/>
      <c r="D816" s="118" t="s">
        <v>83</v>
      </c>
      <c r="E816" s="119"/>
      <c r="F816" s="120">
        <v>1</v>
      </c>
      <c r="G816" s="121" t="s">
        <v>20</v>
      </c>
      <c r="H816" s="120">
        <v>20</v>
      </c>
      <c r="I816" s="121" t="s">
        <v>83</v>
      </c>
      <c r="J816" s="122">
        <v>103200</v>
      </c>
      <c r="K816" s="118" t="s">
        <v>83</v>
      </c>
      <c r="L816" s="123"/>
      <c r="M816" s="123">
        <v>0.17</v>
      </c>
      <c r="N816" s="120"/>
      <c r="O816" s="121" t="s">
        <v>83</v>
      </c>
      <c r="P816" s="117">
        <f t="shared" si="420"/>
        <v>0</v>
      </c>
      <c r="Q816" s="121" t="s">
        <v>83</v>
      </c>
      <c r="R816" s="122">
        <f t="shared" si="421"/>
        <v>0</v>
      </c>
      <c r="S816" s="16">
        <f t="shared" si="402"/>
        <v>0</v>
      </c>
    </row>
    <row r="817" spans="1:19" s="69" customFormat="1">
      <c r="A817" s="68" t="s">
        <v>433</v>
      </c>
      <c r="B817" s="69" t="s">
        <v>25</v>
      </c>
      <c r="C817" s="76"/>
      <c r="D817" s="71" t="s">
        <v>83</v>
      </c>
      <c r="E817" s="72"/>
      <c r="F817" s="73">
        <v>1</v>
      </c>
      <c r="G817" s="74" t="s">
        <v>20</v>
      </c>
      <c r="H817" s="73">
        <v>20</v>
      </c>
      <c r="I817" s="74" t="s">
        <v>83</v>
      </c>
      <c r="J817" s="16">
        <f>1980000/20</f>
        <v>99000</v>
      </c>
      <c r="K817" s="71" t="s">
        <v>83</v>
      </c>
      <c r="L817" s="75"/>
      <c r="M817" s="75">
        <v>0.17</v>
      </c>
      <c r="N817" s="73"/>
      <c r="O817" s="74" t="s">
        <v>83</v>
      </c>
      <c r="P817" s="70">
        <f t="shared" si="420"/>
        <v>0</v>
      </c>
      <c r="Q817" s="74" t="s">
        <v>83</v>
      </c>
      <c r="R817" s="16">
        <f t="shared" si="421"/>
        <v>0</v>
      </c>
      <c r="S817" s="16">
        <f t="shared" si="402"/>
        <v>0</v>
      </c>
    </row>
    <row r="818" spans="1:19" s="18" customFormat="1">
      <c r="A818" s="40" t="s">
        <v>434</v>
      </c>
      <c r="B818" s="18" t="s">
        <v>25</v>
      </c>
      <c r="C818" s="41">
        <v>115</v>
      </c>
      <c r="D818" s="42" t="s">
        <v>83</v>
      </c>
      <c r="E818" s="43">
        <v>10</v>
      </c>
      <c r="F818" s="44">
        <v>1</v>
      </c>
      <c r="G818" s="39" t="s">
        <v>20</v>
      </c>
      <c r="H818" s="44">
        <v>20</v>
      </c>
      <c r="I818" s="39" t="s">
        <v>83</v>
      </c>
      <c r="J818" s="27">
        <f>2208000/20</f>
        <v>110400</v>
      </c>
      <c r="K818" s="42" t="s">
        <v>83</v>
      </c>
      <c r="L818" s="45"/>
      <c r="M818" s="45">
        <v>0.17</v>
      </c>
      <c r="N818" s="44"/>
      <c r="O818" s="39" t="s">
        <v>83</v>
      </c>
      <c r="P818" s="41">
        <f t="shared" si="420"/>
        <v>315</v>
      </c>
      <c r="Q818" s="39" t="s">
        <v>83</v>
      </c>
      <c r="R818" s="27">
        <f t="shared" si="421"/>
        <v>28864080</v>
      </c>
      <c r="S818" s="24">
        <f t="shared" si="402"/>
        <v>26003675.675675672</v>
      </c>
    </row>
    <row r="819" spans="1:19" s="18" customFormat="1">
      <c r="A819" s="40" t="s">
        <v>435</v>
      </c>
      <c r="B819" s="18" t="s">
        <v>25</v>
      </c>
      <c r="C819" s="41">
        <v>96</v>
      </c>
      <c r="D819" s="42" t="s">
        <v>83</v>
      </c>
      <c r="E819" s="43">
        <v>9</v>
      </c>
      <c r="F819" s="44">
        <v>1</v>
      </c>
      <c r="G819" s="39" t="s">
        <v>20</v>
      </c>
      <c r="H819" s="44">
        <v>20</v>
      </c>
      <c r="I819" s="39" t="s">
        <v>83</v>
      </c>
      <c r="J819" s="27">
        <f>2208000/20</f>
        <v>110400</v>
      </c>
      <c r="K819" s="42" t="s">
        <v>83</v>
      </c>
      <c r="L819" s="45"/>
      <c r="M819" s="45">
        <v>0.17</v>
      </c>
      <c r="N819" s="44"/>
      <c r="O819" s="39" t="s">
        <v>83</v>
      </c>
      <c r="P819" s="41">
        <f t="shared" si="420"/>
        <v>276</v>
      </c>
      <c r="Q819" s="39" t="s">
        <v>83</v>
      </c>
      <c r="R819" s="27">
        <f t="shared" si="421"/>
        <v>25290432</v>
      </c>
      <c r="S819" s="24">
        <f t="shared" si="402"/>
        <v>22784172.97297297</v>
      </c>
    </row>
    <row r="820" spans="1:19" s="17" customFormat="1">
      <c r="A820" s="168" t="s">
        <v>436</v>
      </c>
      <c r="B820" s="17" t="s">
        <v>25</v>
      </c>
      <c r="C820" s="51"/>
      <c r="D820" s="52" t="s">
        <v>83</v>
      </c>
      <c r="E820" s="32">
        <v>2</v>
      </c>
      <c r="F820" s="53">
        <v>1</v>
      </c>
      <c r="G820" s="54" t="s">
        <v>20</v>
      </c>
      <c r="H820" s="53">
        <v>20</v>
      </c>
      <c r="I820" s="54" t="s">
        <v>83</v>
      </c>
      <c r="J820" s="55">
        <v>112800</v>
      </c>
      <c r="K820" s="52" t="s">
        <v>83</v>
      </c>
      <c r="L820" s="56"/>
      <c r="M820" s="56">
        <v>0.17</v>
      </c>
      <c r="N820" s="53"/>
      <c r="O820" s="54" t="s">
        <v>83</v>
      </c>
      <c r="P820" s="51">
        <f t="shared" ref="P820" si="428">(C820+(E820*F820*H820))-N820</f>
        <v>40</v>
      </c>
      <c r="Q820" s="54" t="s">
        <v>83</v>
      </c>
      <c r="R820" s="55">
        <f t="shared" ref="R820" si="429">P820*(J820-(J820*L820)-((J820-(J820*L820))*M820))</f>
        <v>3744960</v>
      </c>
      <c r="S820" s="8">
        <f t="shared" ref="S820" si="430">R820/1.11</f>
        <v>3373837.8378378376</v>
      </c>
    </row>
    <row r="821" spans="1:19" s="17" customFormat="1">
      <c r="A821" s="40" t="s">
        <v>436</v>
      </c>
      <c r="B821" s="17" t="s">
        <v>25</v>
      </c>
      <c r="C821" s="51">
        <v>19</v>
      </c>
      <c r="D821" s="52" t="s">
        <v>83</v>
      </c>
      <c r="E821" s="32"/>
      <c r="F821" s="53">
        <v>1</v>
      </c>
      <c r="G821" s="54" t="s">
        <v>20</v>
      </c>
      <c r="H821" s="53">
        <v>20</v>
      </c>
      <c r="I821" s="54" t="s">
        <v>83</v>
      </c>
      <c r="J821" s="55">
        <f>2112000/20</f>
        <v>105600</v>
      </c>
      <c r="K821" s="52" t="s">
        <v>83</v>
      </c>
      <c r="L821" s="56"/>
      <c r="M821" s="56">
        <v>0.17</v>
      </c>
      <c r="N821" s="53"/>
      <c r="O821" s="54" t="s">
        <v>83</v>
      </c>
      <c r="P821" s="51">
        <f t="shared" si="420"/>
        <v>19</v>
      </c>
      <c r="Q821" s="54" t="s">
        <v>83</v>
      </c>
      <c r="R821" s="55">
        <f t="shared" si="421"/>
        <v>1665312</v>
      </c>
      <c r="S821" s="8">
        <f t="shared" si="402"/>
        <v>1500281.0810810809</v>
      </c>
    </row>
    <row r="822" spans="1:19" s="68" customFormat="1">
      <c r="A822" s="110" t="s">
        <v>437</v>
      </c>
      <c r="B822" s="68" t="s">
        <v>25</v>
      </c>
      <c r="C822" s="117"/>
      <c r="D822" s="118" t="s">
        <v>83</v>
      </c>
      <c r="E822" s="119">
        <v>2</v>
      </c>
      <c r="F822" s="120">
        <v>1</v>
      </c>
      <c r="G822" s="121" t="s">
        <v>20</v>
      </c>
      <c r="H822" s="120">
        <v>20</v>
      </c>
      <c r="I822" s="121" t="s">
        <v>83</v>
      </c>
      <c r="J822" s="122">
        <f>2160000/20</f>
        <v>108000</v>
      </c>
      <c r="K822" s="118" t="s">
        <v>83</v>
      </c>
      <c r="L822" s="123"/>
      <c r="M822" s="123">
        <v>0.17</v>
      </c>
      <c r="N822" s="120"/>
      <c r="O822" s="121" t="s">
        <v>83</v>
      </c>
      <c r="P822" s="117">
        <f t="shared" si="420"/>
        <v>40</v>
      </c>
      <c r="Q822" s="121" t="s">
        <v>83</v>
      </c>
      <c r="R822" s="122">
        <f t="shared" si="421"/>
        <v>3585600</v>
      </c>
      <c r="S822" s="16">
        <f t="shared" si="402"/>
        <v>3230270.2702702698</v>
      </c>
    </row>
    <row r="823" spans="1:19" s="17" customFormat="1">
      <c r="A823" s="40" t="s">
        <v>438</v>
      </c>
      <c r="B823" s="17" t="s">
        <v>25</v>
      </c>
      <c r="C823" s="51"/>
      <c r="D823" s="52" t="s">
        <v>83</v>
      </c>
      <c r="E823" s="32">
        <v>16</v>
      </c>
      <c r="F823" s="53">
        <v>1</v>
      </c>
      <c r="G823" s="54" t="s">
        <v>20</v>
      </c>
      <c r="H823" s="53">
        <v>20</v>
      </c>
      <c r="I823" s="54" t="s">
        <v>83</v>
      </c>
      <c r="J823" s="55">
        <f>2160000/20</f>
        <v>108000</v>
      </c>
      <c r="K823" s="52" t="s">
        <v>83</v>
      </c>
      <c r="L823" s="56"/>
      <c r="M823" s="56">
        <v>0.17</v>
      </c>
      <c r="N823" s="53"/>
      <c r="O823" s="54" t="s">
        <v>83</v>
      </c>
      <c r="P823" s="51">
        <f t="shared" si="420"/>
        <v>320</v>
      </c>
      <c r="Q823" s="54" t="s">
        <v>83</v>
      </c>
      <c r="R823" s="55">
        <f t="shared" si="421"/>
        <v>28684800</v>
      </c>
      <c r="S823" s="8">
        <f t="shared" si="402"/>
        <v>25842162.162162159</v>
      </c>
    </row>
    <row r="824" spans="1:19" s="104" customFormat="1">
      <c r="A824" s="125" t="s">
        <v>710</v>
      </c>
      <c r="B824" s="104" t="s">
        <v>25</v>
      </c>
      <c r="C824" s="151"/>
      <c r="D824" s="152" t="s">
        <v>83</v>
      </c>
      <c r="E824" s="153">
        <v>6</v>
      </c>
      <c r="F824" s="154">
        <v>1</v>
      </c>
      <c r="G824" s="155" t="s">
        <v>20</v>
      </c>
      <c r="H824" s="154">
        <v>20</v>
      </c>
      <c r="I824" s="155" t="s">
        <v>83</v>
      </c>
      <c r="J824" s="156">
        <f>2256000/20</f>
        <v>112800</v>
      </c>
      <c r="K824" s="152" t="s">
        <v>83</v>
      </c>
      <c r="L824" s="157"/>
      <c r="M824" s="157">
        <v>0.17</v>
      </c>
      <c r="N824" s="154"/>
      <c r="O824" s="155" t="s">
        <v>83</v>
      </c>
      <c r="P824" s="151">
        <f t="shared" si="420"/>
        <v>120</v>
      </c>
      <c r="Q824" s="155" t="s">
        <v>83</v>
      </c>
      <c r="R824" s="156">
        <f t="shared" si="421"/>
        <v>11234880</v>
      </c>
      <c r="S824" s="93">
        <f t="shared" si="402"/>
        <v>10121513.513513513</v>
      </c>
    </row>
    <row r="825" spans="1:19" s="104" customFormat="1">
      <c r="A825" s="171" t="s">
        <v>1009</v>
      </c>
      <c r="B825" s="104" t="s">
        <v>25</v>
      </c>
      <c r="C825" s="151"/>
      <c r="D825" s="152" t="s">
        <v>83</v>
      </c>
      <c r="E825" s="153">
        <v>2</v>
      </c>
      <c r="F825" s="154">
        <v>1</v>
      </c>
      <c r="G825" s="155" t="s">
        <v>20</v>
      </c>
      <c r="H825" s="154">
        <v>20</v>
      </c>
      <c r="I825" s="155" t="s">
        <v>83</v>
      </c>
      <c r="J825" s="156">
        <v>120000</v>
      </c>
      <c r="K825" s="152" t="s">
        <v>83</v>
      </c>
      <c r="L825" s="157"/>
      <c r="M825" s="157">
        <v>0.17</v>
      </c>
      <c r="N825" s="154"/>
      <c r="O825" s="155" t="s">
        <v>83</v>
      </c>
      <c r="P825" s="151">
        <f t="shared" ref="P825" si="431">(C825+(E825*F825*H825))-N825</f>
        <v>40</v>
      </c>
      <c r="Q825" s="155" t="s">
        <v>83</v>
      </c>
      <c r="R825" s="156">
        <f t="shared" ref="R825" si="432">P825*(J825-(J825*L825)-((J825-(J825*L825))*M825))</f>
        <v>3984000</v>
      </c>
      <c r="S825" s="93">
        <f t="shared" ref="S825" si="433">R825/1.11</f>
        <v>3589189.1891891886</v>
      </c>
    </row>
    <row r="826" spans="1:19" s="17" customFormat="1">
      <c r="A826" s="40" t="s">
        <v>439</v>
      </c>
      <c r="B826" s="17" t="s">
        <v>25</v>
      </c>
      <c r="C826" s="51"/>
      <c r="D826" s="52" t="s">
        <v>83</v>
      </c>
      <c r="E826" s="32">
        <v>2</v>
      </c>
      <c r="F826" s="53">
        <v>1</v>
      </c>
      <c r="G826" s="54" t="s">
        <v>20</v>
      </c>
      <c r="H826" s="53">
        <v>20</v>
      </c>
      <c r="I826" s="54" t="s">
        <v>83</v>
      </c>
      <c r="J826" s="55">
        <f>2112000/20</f>
        <v>105600</v>
      </c>
      <c r="K826" s="52" t="s">
        <v>83</v>
      </c>
      <c r="L826" s="56"/>
      <c r="M826" s="56">
        <v>0.17</v>
      </c>
      <c r="N826" s="53"/>
      <c r="O826" s="54" t="s">
        <v>83</v>
      </c>
      <c r="P826" s="51">
        <f t="shared" si="420"/>
        <v>40</v>
      </c>
      <c r="Q826" s="54" t="s">
        <v>83</v>
      </c>
      <c r="R826" s="55">
        <f t="shared" si="421"/>
        <v>3505920</v>
      </c>
      <c r="S826" s="8">
        <f t="shared" si="402"/>
        <v>3158486.4864864862</v>
      </c>
    </row>
    <row r="827" spans="1:19" s="68" customFormat="1">
      <c r="A827" s="110" t="s">
        <v>440</v>
      </c>
      <c r="B827" s="68" t="s">
        <v>25</v>
      </c>
      <c r="C827" s="117"/>
      <c r="D827" s="118" t="s">
        <v>83</v>
      </c>
      <c r="E827" s="119"/>
      <c r="F827" s="120">
        <v>1</v>
      </c>
      <c r="G827" s="121" t="s">
        <v>20</v>
      </c>
      <c r="H827" s="120">
        <v>20</v>
      </c>
      <c r="I827" s="121" t="s">
        <v>83</v>
      </c>
      <c r="J827" s="122">
        <f>2352000/20</f>
        <v>117600</v>
      </c>
      <c r="K827" s="118" t="s">
        <v>83</v>
      </c>
      <c r="L827" s="123"/>
      <c r="M827" s="123">
        <v>0.17</v>
      </c>
      <c r="N827" s="120"/>
      <c r="O827" s="121" t="s">
        <v>83</v>
      </c>
      <c r="P827" s="117">
        <f t="shared" si="420"/>
        <v>0</v>
      </c>
      <c r="Q827" s="121" t="s">
        <v>83</v>
      </c>
      <c r="R827" s="122">
        <f t="shared" si="421"/>
        <v>0</v>
      </c>
      <c r="S827" s="16">
        <f t="shared" si="402"/>
        <v>0</v>
      </c>
    </row>
    <row r="828" spans="1:19" s="17" customFormat="1">
      <c r="A828" s="40" t="s">
        <v>745</v>
      </c>
      <c r="B828" s="17" t="s">
        <v>25</v>
      </c>
      <c r="C828" s="51"/>
      <c r="D828" s="52" t="s">
        <v>83</v>
      </c>
      <c r="E828" s="32">
        <v>1</v>
      </c>
      <c r="F828" s="53">
        <v>1</v>
      </c>
      <c r="G828" s="54" t="s">
        <v>20</v>
      </c>
      <c r="H828" s="53">
        <v>20</v>
      </c>
      <c r="I828" s="54" t="s">
        <v>83</v>
      </c>
      <c r="J828" s="55">
        <f>2256000/20</f>
        <v>112800</v>
      </c>
      <c r="K828" s="52" t="s">
        <v>83</v>
      </c>
      <c r="L828" s="56"/>
      <c r="M828" s="56">
        <v>0.17</v>
      </c>
      <c r="N828" s="53"/>
      <c r="O828" s="54" t="s">
        <v>83</v>
      </c>
      <c r="P828" s="51">
        <f t="shared" si="420"/>
        <v>20</v>
      </c>
      <c r="Q828" s="54" t="s">
        <v>83</v>
      </c>
      <c r="R828" s="55">
        <f t="shared" si="421"/>
        <v>1872480</v>
      </c>
      <c r="S828" s="8">
        <f t="shared" si="402"/>
        <v>1686918.9189189188</v>
      </c>
    </row>
    <row r="829" spans="1:19" s="17" customFormat="1">
      <c r="A829" s="40"/>
      <c r="C829" s="51"/>
      <c r="D829" s="52"/>
      <c r="E829" s="32"/>
      <c r="F829" s="53"/>
      <c r="G829" s="54"/>
      <c r="H829" s="53"/>
      <c r="I829" s="54"/>
      <c r="J829" s="55"/>
      <c r="K829" s="52"/>
      <c r="L829" s="56"/>
      <c r="M829" s="56"/>
      <c r="N829" s="53"/>
      <c r="O829" s="54"/>
      <c r="P829" s="51"/>
      <c r="Q829" s="54"/>
      <c r="R829" s="55"/>
      <c r="S829" s="8"/>
    </row>
    <row r="830" spans="1:19" s="17" customFormat="1">
      <c r="A830" s="40" t="s">
        <v>441</v>
      </c>
      <c r="B830" s="17" t="s">
        <v>181</v>
      </c>
      <c r="C830" s="51">
        <v>181</v>
      </c>
      <c r="D830" s="52" t="s">
        <v>83</v>
      </c>
      <c r="E830" s="32"/>
      <c r="F830" s="53">
        <v>1</v>
      </c>
      <c r="G830" s="54" t="s">
        <v>20</v>
      </c>
      <c r="H830" s="53">
        <v>30</v>
      </c>
      <c r="I830" s="54" t="s">
        <v>83</v>
      </c>
      <c r="J830" s="55">
        <v>155000</v>
      </c>
      <c r="K830" s="52" t="s">
        <v>83</v>
      </c>
      <c r="L830" s="56"/>
      <c r="M830" s="56"/>
      <c r="N830" s="53"/>
      <c r="O830" s="54" t="s">
        <v>83</v>
      </c>
      <c r="P830" s="51">
        <f>(C830+(E830*F830*H830))-N830</f>
        <v>181</v>
      </c>
      <c r="Q830" s="54" t="s">
        <v>83</v>
      </c>
      <c r="R830" s="55">
        <f>P830*(J830-(J830*L830)-((J830-(J830*L830))*M830))</f>
        <v>28055000</v>
      </c>
      <c r="S830" s="8">
        <f t="shared" si="402"/>
        <v>25274774.774774771</v>
      </c>
    </row>
    <row r="831" spans="1:19" s="17" customFormat="1">
      <c r="A831" s="40" t="s">
        <v>945</v>
      </c>
      <c r="B831" s="17" t="s">
        <v>181</v>
      </c>
      <c r="C831" s="51"/>
      <c r="D831" s="52" t="s">
        <v>33</v>
      </c>
      <c r="E831" s="32">
        <v>30</v>
      </c>
      <c r="F831" s="53">
        <v>1</v>
      </c>
      <c r="G831" s="54" t="s">
        <v>20</v>
      </c>
      <c r="H831" s="53">
        <v>40</v>
      </c>
      <c r="I831" s="54" t="s">
        <v>33</v>
      </c>
      <c r="J831" s="55">
        <v>52703</v>
      </c>
      <c r="K831" s="52" t="s">
        <v>33</v>
      </c>
      <c r="L831" s="56"/>
      <c r="M831" s="56"/>
      <c r="N831" s="53"/>
      <c r="O831" s="54" t="s">
        <v>33</v>
      </c>
      <c r="P831" s="51">
        <f>(C831+(E831*F831*H831))-N831</f>
        <v>1200</v>
      </c>
      <c r="Q831" s="54" t="s">
        <v>33</v>
      </c>
      <c r="R831" s="55">
        <f>P831*(J831-(J831*L831)-((J831-(J831*L831))*M831))</f>
        <v>63243600</v>
      </c>
      <c r="S831" s="8">
        <f t="shared" ref="S831" si="434">R831/1.11</f>
        <v>56976216.216216214</v>
      </c>
    </row>
    <row r="832" spans="1:19" s="17" customFormat="1">
      <c r="A832" s="40"/>
      <c r="C832" s="51"/>
      <c r="D832" s="52"/>
      <c r="E832" s="32"/>
      <c r="F832" s="53"/>
      <c r="G832" s="54"/>
      <c r="H832" s="53"/>
      <c r="I832" s="54"/>
      <c r="J832" s="55"/>
      <c r="K832" s="52"/>
      <c r="L832" s="56"/>
      <c r="M832" s="56"/>
      <c r="N832" s="53"/>
      <c r="O832" s="54"/>
      <c r="P832" s="51"/>
      <c r="Q832" s="54"/>
      <c r="R832" s="55"/>
      <c r="S832" s="8"/>
    </row>
    <row r="833" spans="1:19">
      <c r="A833" s="15" t="s">
        <v>442</v>
      </c>
    </row>
    <row r="834" spans="1:19">
      <c r="A834" s="17" t="s">
        <v>443</v>
      </c>
      <c r="B834" s="2" t="s">
        <v>181</v>
      </c>
      <c r="C834" s="3">
        <v>103</v>
      </c>
      <c r="D834" s="4" t="s">
        <v>33</v>
      </c>
      <c r="F834" s="6">
        <v>1</v>
      </c>
      <c r="G834" s="7" t="s">
        <v>20</v>
      </c>
      <c r="H834" s="6">
        <v>40</v>
      </c>
      <c r="I834" s="7" t="s">
        <v>33</v>
      </c>
      <c r="J834" s="8">
        <v>33600</v>
      </c>
      <c r="K834" s="4" t="s">
        <v>33</v>
      </c>
      <c r="O834" s="7" t="s">
        <v>33</v>
      </c>
      <c r="P834" s="3">
        <f>(C834+(E834*F834*H834))-N834</f>
        <v>103</v>
      </c>
      <c r="Q834" s="7" t="s">
        <v>33</v>
      </c>
      <c r="R834" s="8">
        <f>P834*(J834-(J834*L834)-((J834-(J834*L834))*M834))</f>
        <v>3460800</v>
      </c>
      <c r="S834" s="8">
        <f t="shared" si="402"/>
        <v>3117837.8378378376</v>
      </c>
    </row>
    <row r="835" spans="1:19">
      <c r="A835" s="17" t="s">
        <v>444</v>
      </c>
      <c r="B835" s="2" t="s">
        <v>181</v>
      </c>
      <c r="C835" s="3">
        <v>118</v>
      </c>
      <c r="D835" s="4" t="s">
        <v>33</v>
      </c>
      <c r="F835" s="6">
        <v>1</v>
      </c>
      <c r="G835" s="7" t="s">
        <v>20</v>
      </c>
      <c r="H835" s="6">
        <v>40</v>
      </c>
      <c r="I835" s="7" t="s">
        <v>33</v>
      </c>
      <c r="J835" s="8">
        <v>33600</v>
      </c>
      <c r="K835" s="4" t="s">
        <v>33</v>
      </c>
      <c r="O835" s="7" t="s">
        <v>33</v>
      </c>
      <c r="P835" s="3">
        <f>(C835+(E835*F835*H835))-N835</f>
        <v>118</v>
      </c>
      <c r="Q835" s="7" t="s">
        <v>33</v>
      </c>
      <c r="R835" s="8">
        <f>P835*(J835-(J835*L835)-((J835-(J835*L835))*M835))</f>
        <v>3964800</v>
      </c>
      <c r="S835" s="8">
        <f t="shared" si="402"/>
        <v>3571891.8918918916</v>
      </c>
    </row>
    <row r="836" spans="1:19">
      <c r="A836" s="17" t="s">
        <v>445</v>
      </c>
      <c r="B836" s="2" t="s">
        <v>181</v>
      </c>
      <c r="C836" s="3">
        <v>318</v>
      </c>
      <c r="D836" s="4" t="s">
        <v>33</v>
      </c>
      <c r="F836" s="6">
        <v>1</v>
      </c>
      <c r="G836" s="7" t="s">
        <v>20</v>
      </c>
      <c r="H836" s="6">
        <v>40</v>
      </c>
      <c r="I836" s="7" t="s">
        <v>33</v>
      </c>
      <c r="J836" s="8">
        <v>33600</v>
      </c>
      <c r="K836" s="4" t="s">
        <v>33</v>
      </c>
      <c r="O836" s="7" t="s">
        <v>33</v>
      </c>
      <c r="P836" s="3">
        <f>(C836+(E836*F836*H836))-N836</f>
        <v>318</v>
      </c>
      <c r="Q836" s="7" t="s">
        <v>33</v>
      </c>
      <c r="R836" s="8">
        <f>P836*(J836-(J836*L836)-((J836-(J836*L836))*M836))</f>
        <v>10684800</v>
      </c>
      <c r="S836" s="8">
        <f t="shared" si="402"/>
        <v>9625945.9459459446</v>
      </c>
    </row>
    <row r="837" spans="1:19" s="69" customFormat="1">
      <c r="A837" s="68" t="s">
        <v>446</v>
      </c>
      <c r="B837" s="69" t="s">
        <v>181</v>
      </c>
      <c r="C837" s="76"/>
      <c r="D837" s="71" t="s">
        <v>33</v>
      </c>
      <c r="E837" s="72"/>
      <c r="F837" s="73">
        <v>1</v>
      </c>
      <c r="G837" s="74" t="s">
        <v>20</v>
      </c>
      <c r="H837" s="73">
        <v>40</v>
      </c>
      <c r="I837" s="74" t="s">
        <v>33</v>
      </c>
      <c r="J837" s="16">
        <v>33600</v>
      </c>
      <c r="K837" s="71" t="s">
        <v>33</v>
      </c>
      <c r="L837" s="75"/>
      <c r="M837" s="75"/>
      <c r="N837" s="73"/>
      <c r="O837" s="74" t="s">
        <v>33</v>
      </c>
      <c r="P837" s="70">
        <f>(C837+(E837*F837*H837))-N837</f>
        <v>0</v>
      </c>
      <c r="Q837" s="74" t="s">
        <v>33</v>
      </c>
      <c r="R837" s="16">
        <f>P837*(J837-(J837*L837)-((J837-(J837*L837))*M837))</f>
        <v>0</v>
      </c>
      <c r="S837" s="16">
        <f t="shared" si="402"/>
        <v>0</v>
      </c>
    </row>
    <row r="838" spans="1:19" s="69" customFormat="1">
      <c r="A838" s="68" t="s">
        <v>447</v>
      </c>
      <c r="B838" s="69" t="s">
        <v>181</v>
      </c>
      <c r="C838" s="76"/>
      <c r="D838" s="71" t="s">
        <v>33</v>
      </c>
      <c r="E838" s="72"/>
      <c r="F838" s="73">
        <v>1</v>
      </c>
      <c r="G838" s="74" t="s">
        <v>20</v>
      </c>
      <c r="H838" s="73">
        <v>24</v>
      </c>
      <c r="I838" s="74" t="s">
        <v>33</v>
      </c>
      <c r="J838" s="16">
        <v>38400</v>
      </c>
      <c r="K838" s="71" t="s">
        <v>33</v>
      </c>
      <c r="L838" s="75"/>
      <c r="M838" s="75"/>
      <c r="N838" s="73"/>
      <c r="O838" s="74" t="s">
        <v>33</v>
      </c>
      <c r="P838" s="70">
        <f>(C838+(E838*F838*H838))-N838</f>
        <v>0</v>
      </c>
      <c r="Q838" s="74" t="s">
        <v>33</v>
      </c>
      <c r="R838" s="16">
        <f>P838*(J838-(J838*L838)-((J838-(J838*L838))*M838))</f>
        <v>0</v>
      </c>
      <c r="S838" s="16">
        <f t="shared" si="402"/>
        <v>0</v>
      </c>
    </row>
    <row r="839" spans="1:19">
      <c r="C839" s="20"/>
    </row>
    <row r="840" spans="1:19">
      <c r="A840" s="15" t="s">
        <v>448</v>
      </c>
      <c r="C840" s="20"/>
    </row>
    <row r="841" spans="1:19">
      <c r="A841" s="50" t="s">
        <v>449</v>
      </c>
      <c r="B841" s="2" t="s">
        <v>18</v>
      </c>
      <c r="C841" s="20">
        <v>698</v>
      </c>
      <c r="D841" s="4" t="s">
        <v>83</v>
      </c>
      <c r="F841" s="6">
        <v>1</v>
      </c>
      <c r="G841" s="7" t="s">
        <v>20</v>
      </c>
      <c r="H841" s="6">
        <v>12</v>
      </c>
      <c r="I841" s="7" t="s">
        <v>83</v>
      </c>
      <c r="J841" s="8">
        <v>255600</v>
      </c>
      <c r="K841" s="4" t="s">
        <v>83</v>
      </c>
      <c r="L841" s="9">
        <v>0.125</v>
      </c>
      <c r="M841" s="9">
        <v>0.05</v>
      </c>
      <c r="O841" s="7" t="s">
        <v>83</v>
      </c>
      <c r="P841" s="3">
        <f>(C841+(E841*F841*H841))-N841</f>
        <v>698</v>
      </c>
      <c r="Q841" s="7" t="s">
        <v>83</v>
      </c>
      <c r="R841" s="8">
        <f>P841*(J841-(J841*L841)-((J841-(J841*L841))*M841))</f>
        <v>148302315</v>
      </c>
      <c r="S841" s="8">
        <f t="shared" ref="S841:S842" si="435">R841/1.11</f>
        <v>133605689.18918918</v>
      </c>
    </row>
    <row r="842" spans="1:19" s="69" customFormat="1">
      <c r="A842" s="116" t="s">
        <v>450</v>
      </c>
      <c r="B842" s="69" t="s">
        <v>25</v>
      </c>
      <c r="C842" s="76"/>
      <c r="D842" s="71" t="s">
        <v>40</v>
      </c>
      <c r="E842" s="72"/>
      <c r="F842" s="73">
        <v>12</v>
      </c>
      <c r="G842" s="74" t="s">
        <v>33</v>
      </c>
      <c r="H842" s="73">
        <v>6</v>
      </c>
      <c r="I842" s="74" t="s">
        <v>40</v>
      </c>
      <c r="J842" s="16">
        <v>21000</v>
      </c>
      <c r="K842" s="71" t="s">
        <v>40</v>
      </c>
      <c r="L842" s="75"/>
      <c r="M842" s="75">
        <v>0.17</v>
      </c>
      <c r="N842" s="73"/>
      <c r="O842" s="74" t="s">
        <v>40</v>
      </c>
      <c r="P842" s="70">
        <f>(C842+(E842*F842*H842))-N842</f>
        <v>0</v>
      </c>
      <c r="Q842" s="74" t="s">
        <v>40</v>
      </c>
      <c r="R842" s="16">
        <f>P842*(J842-(J842*L842)-((J842-(J842*L842))*M842))</f>
        <v>0</v>
      </c>
      <c r="S842" s="16">
        <f t="shared" si="435"/>
        <v>0</v>
      </c>
    </row>
    <row r="843" spans="1:19">
      <c r="A843" s="50"/>
      <c r="C843" s="20"/>
    </row>
    <row r="844" spans="1:19">
      <c r="A844" s="15" t="s">
        <v>451</v>
      </c>
      <c r="C844" s="20"/>
    </row>
    <row r="845" spans="1:19" s="69" customFormat="1">
      <c r="A845" s="116" t="s">
        <v>452</v>
      </c>
      <c r="B845" s="69" t="s">
        <v>18</v>
      </c>
      <c r="C845" s="76"/>
      <c r="D845" s="71" t="s">
        <v>40</v>
      </c>
      <c r="E845" s="72"/>
      <c r="F845" s="73">
        <v>1</v>
      </c>
      <c r="G845" s="74" t="s">
        <v>20</v>
      </c>
      <c r="H845" s="73">
        <v>144</v>
      </c>
      <c r="I845" s="74" t="s">
        <v>40</v>
      </c>
      <c r="J845" s="16">
        <v>49200</v>
      </c>
      <c r="K845" s="71" t="s">
        <v>40</v>
      </c>
      <c r="L845" s="75">
        <v>0.125</v>
      </c>
      <c r="M845" s="75">
        <v>0.05</v>
      </c>
      <c r="N845" s="73"/>
      <c r="O845" s="74" t="s">
        <v>40</v>
      </c>
      <c r="P845" s="70">
        <f t="shared" ref="P845:P851" si="436">(C845+(E845*F845*H845))-N845</f>
        <v>0</v>
      </c>
      <c r="Q845" s="74" t="s">
        <v>40</v>
      </c>
      <c r="R845" s="16">
        <f t="shared" ref="R845:R851" si="437">P845*(J845-(J845*L845)-((J845-(J845*L845))*M845))</f>
        <v>0</v>
      </c>
      <c r="S845" s="16">
        <f t="shared" si="402"/>
        <v>0</v>
      </c>
    </row>
    <row r="846" spans="1:19" s="78" customFormat="1">
      <c r="A846" s="116" t="s">
        <v>453</v>
      </c>
      <c r="B846" s="78" t="s">
        <v>18</v>
      </c>
      <c r="C846" s="76"/>
      <c r="D846" s="79" t="s">
        <v>40</v>
      </c>
      <c r="E846" s="80"/>
      <c r="F846" s="81">
        <v>1</v>
      </c>
      <c r="G846" s="82" t="s">
        <v>20</v>
      </c>
      <c r="H846" s="81">
        <v>120</v>
      </c>
      <c r="I846" s="82" t="s">
        <v>40</v>
      </c>
      <c r="J846" s="83">
        <v>30600</v>
      </c>
      <c r="K846" s="79" t="s">
        <v>40</v>
      </c>
      <c r="L846" s="84">
        <v>0.125</v>
      </c>
      <c r="M846" s="84">
        <v>0.05</v>
      </c>
      <c r="N846" s="81"/>
      <c r="O846" s="82" t="s">
        <v>40</v>
      </c>
      <c r="P846" s="76">
        <f t="shared" si="436"/>
        <v>0</v>
      </c>
      <c r="Q846" s="82" t="s">
        <v>40</v>
      </c>
      <c r="R846" s="83">
        <f t="shared" si="437"/>
        <v>0</v>
      </c>
      <c r="S846" s="83">
        <f t="shared" si="402"/>
        <v>0</v>
      </c>
    </row>
    <row r="847" spans="1:19">
      <c r="A847" s="50" t="s">
        <v>454</v>
      </c>
      <c r="B847" s="2" t="s">
        <v>18</v>
      </c>
      <c r="C847" s="3">
        <v>108</v>
      </c>
      <c r="D847" s="4" t="s">
        <v>40</v>
      </c>
      <c r="F847" s="6">
        <v>1</v>
      </c>
      <c r="G847" s="7" t="s">
        <v>20</v>
      </c>
      <c r="H847" s="6">
        <v>144</v>
      </c>
      <c r="I847" s="7" t="s">
        <v>40</v>
      </c>
      <c r="J847" s="8">
        <v>23400</v>
      </c>
      <c r="K847" s="4" t="s">
        <v>40</v>
      </c>
      <c r="L847" s="9">
        <v>0.125</v>
      </c>
      <c r="M847" s="9">
        <v>0.05</v>
      </c>
      <c r="O847" s="7" t="s">
        <v>40</v>
      </c>
      <c r="P847" s="3">
        <f t="shared" si="436"/>
        <v>108</v>
      </c>
      <c r="Q847" s="7" t="s">
        <v>40</v>
      </c>
      <c r="R847" s="8">
        <f t="shared" si="437"/>
        <v>2100735</v>
      </c>
      <c r="S847" s="8">
        <f t="shared" si="402"/>
        <v>1892554.054054054</v>
      </c>
    </row>
    <row r="848" spans="1:19" s="69" customFormat="1">
      <c r="A848" s="116" t="s">
        <v>455</v>
      </c>
      <c r="B848" s="69" t="s">
        <v>18</v>
      </c>
      <c r="C848" s="70"/>
      <c r="D848" s="71" t="s">
        <v>40</v>
      </c>
      <c r="E848" s="72"/>
      <c r="F848" s="73">
        <v>1</v>
      </c>
      <c r="G848" s="74" t="s">
        <v>20</v>
      </c>
      <c r="H848" s="73">
        <v>144</v>
      </c>
      <c r="I848" s="74" t="s">
        <v>40</v>
      </c>
      <c r="J848" s="16">
        <v>40800</v>
      </c>
      <c r="K848" s="71" t="s">
        <v>40</v>
      </c>
      <c r="L848" s="75">
        <v>0.125</v>
      </c>
      <c r="M848" s="75">
        <v>0.05</v>
      </c>
      <c r="N848" s="73"/>
      <c r="O848" s="74" t="s">
        <v>40</v>
      </c>
      <c r="P848" s="70">
        <f t="shared" si="436"/>
        <v>0</v>
      </c>
      <c r="Q848" s="74" t="s">
        <v>40</v>
      </c>
      <c r="R848" s="16">
        <f t="shared" si="437"/>
        <v>0</v>
      </c>
      <c r="S848" s="16">
        <f t="shared" si="402"/>
        <v>0</v>
      </c>
    </row>
    <row r="849" spans="1:19">
      <c r="A849" s="50" t="s">
        <v>734</v>
      </c>
      <c r="B849" s="2" t="s">
        <v>18</v>
      </c>
      <c r="C849" s="3">
        <v>144</v>
      </c>
      <c r="D849" s="4" t="s">
        <v>40</v>
      </c>
      <c r="F849" s="6">
        <v>1</v>
      </c>
      <c r="G849" s="7" t="s">
        <v>20</v>
      </c>
      <c r="H849" s="6">
        <v>144</v>
      </c>
      <c r="I849" s="7" t="s">
        <v>40</v>
      </c>
      <c r="J849" s="8">
        <v>40800</v>
      </c>
      <c r="K849" s="4" t="s">
        <v>40</v>
      </c>
      <c r="L849" s="9">
        <v>0.125</v>
      </c>
      <c r="M849" s="9">
        <v>0.05</v>
      </c>
      <c r="O849" s="7" t="s">
        <v>40</v>
      </c>
      <c r="P849" s="3">
        <f t="shared" si="436"/>
        <v>144</v>
      </c>
      <c r="Q849" s="7" t="s">
        <v>40</v>
      </c>
      <c r="R849" s="8">
        <f t="shared" si="437"/>
        <v>4883760</v>
      </c>
      <c r="S849" s="8">
        <f t="shared" si="402"/>
        <v>4399783.7837837832</v>
      </c>
    </row>
    <row r="850" spans="1:19" s="19" customFormat="1">
      <c r="A850" s="50" t="s">
        <v>456</v>
      </c>
      <c r="B850" s="19" t="s">
        <v>18</v>
      </c>
      <c r="C850" s="20"/>
      <c r="D850" s="21" t="s">
        <v>40</v>
      </c>
      <c r="E850" s="26">
        <v>5</v>
      </c>
      <c r="F850" s="22">
        <v>1</v>
      </c>
      <c r="G850" s="23" t="s">
        <v>20</v>
      </c>
      <c r="H850" s="22">
        <v>144</v>
      </c>
      <c r="I850" s="23" t="s">
        <v>40</v>
      </c>
      <c r="J850" s="24">
        <v>40800</v>
      </c>
      <c r="K850" s="21" t="s">
        <v>40</v>
      </c>
      <c r="L850" s="25">
        <v>0.125</v>
      </c>
      <c r="M850" s="25">
        <v>0.05</v>
      </c>
      <c r="N850" s="22"/>
      <c r="O850" s="23" t="s">
        <v>40</v>
      </c>
      <c r="P850" s="20">
        <f t="shared" ref="P850" si="438">(C850+(E850*F850*H850))-N850</f>
        <v>720</v>
      </c>
      <c r="Q850" s="23" t="s">
        <v>40</v>
      </c>
      <c r="R850" s="24">
        <f t="shared" ref="R850" si="439">P850*(J850-(J850*L850)-((J850-(J850*L850))*M850))</f>
        <v>24418800</v>
      </c>
      <c r="S850" s="24">
        <f t="shared" ref="S850" si="440">R850/1.11</f>
        <v>21998918.918918919</v>
      </c>
    </row>
    <row r="851" spans="1:19" s="69" customFormat="1">
      <c r="A851" s="116" t="s">
        <v>794</v>
      </c>
      <c r="B851" s="69" t="s">
        <v>18</v>
      </c>
      <c r="C851" s="70"/>
      <c r="D851" s="71" t="s">
        <v>40</v>
      </c>
      <c r="E851" s="72"/>
      <c r="F851" s="73">
        <v>1</v>
      </c>
      <c r="G851" s="74" t="s">
        <v>20</v>
      </c>
      <c r="H851" s="73">
        <v>144</v>
      </c>
      <c r="I851" s="74" t="s">
        <v>40</v>
      </c>
      <c r="J851" s="16">
        <v>25200</v>
      </c>
      <c r="K851" s="71" t="s">
        <v>40</v>
      </c>
      <c r="L851" s="75">
        <v>0.125</v>
      </c>
      <c r="M851" s="75">
        <v>0.05</v>
      </c>
      <c r="N851" s="73"/>
      <c r="O851" s="74" t="s">
        <v>40</v>
      </c>
      <c r="P851" s="70">
        <f t="shared" si="436"/>
        <v>0</v>
      </c>
      <c r="Q851" s="74" t="s">
        <v>40</v>
      </c>
      <c r="R851" s="16">
        <f t="shared" si="437"/>
        <v>0</v>
      </c>
      <c r="S851" s="16">
        <f t="shared" si="402"/>
        <v>0</v>
      </c>
    </row>
    <row r="852" spans="1:19">
      <c r="A852" s="50"/>
    </row>
    <row r="853" spans="1:19">
      <c r="A853" s="17" t="s">
        <v>457</v>
      </c>
      <c r="B853" s="2" t="s">
        <v>25</v>
      </c>
      <c r="C853" s="3">
        <v>142</v>
      </c>
      <c r="D853" s="4" t="s">
        <v>40</v>
      </c>
      <c r="E853" s="5">
        <v>2</v>
      </c>
      <c r="F853" s="6">
        <v>1</v>
      </c>
      <c r="G853" s="7" t="s">
        <v>20</v>
      </c>
      <c r="H853" s="6">
        <v>144</v>
      </c>
      <c r="I853" s="7" t="s">
        <v>40</v>
      </c>
      <c r="J853" s="8">
        <f>6739200/144</f>
        <v>46800</v>
      </c>
      <c r="K853" s="4" t="s">
        <v>40</v>
      </c>
      <c r="M853" s="9">
        <v>0.17</v>
      </c>
      <c r="O853" s="7" t="s">
        <v>40</v>
      </c>
      <c r="P853" s="3">
        <f t="shared" ref="P853:P859" si="441">(C853+(E853*F853*H853))-N853</f>
        <v>430</v>
      </c>
      <c r="Q853" s="7" t="s">
        <v>40</v>
      </c>
      <c r="R853" s="8">
        <f t="shared" ref="R853:R859" si="442">P853*(J853-(J853*L853)-((J853-(J853*L853))*M853))</f>
        <v>16702920</v>
      </c>
      <c r="S853" s="8">
        <f t="shared" si="402"/>
        <v>15047675.675675675</v>
      </c>
    </row>
    <row r="854" spans="1:19">
      <c r="A854" s="159" t="s">
        <v>457</v>
      </c>
      <c r="B854" s="2" t="s">
        <v>25</v>
      </c>
      <c r="D854" s="4" t="s">
        <v>40</v>
      </c>
      <c r="E854" s="5">
        <v>2</v>
      </c>
      <c r="F854" s="6">
        <v>1</v>
      </c>
      <c r="G854" s="7" t="s">
        <v>20</v>
      </c>
      <c r="H854" s="6">
        <v>144</v>
      </c>
      <c r="I854" s="7" t="s">
        <v>40</v>
      </c>
      <c r="J854" s="8">
        <v>51600</v>
      </c>
      <c r="K854" s="4" t="s">
        <v>40</v>
      </c>
      <c r="M854" s="9">
        <v>0.17</v>
      </c>
      <c r="O854" s="7" t="s">
        <v>40</v>
      </c>
      <c r="P854" s="3">
        <f t="shared" si="441"/>
        <v>288</v>
      </c>
      <c r="Q854" s="7" t="s">
        <v>40</v>
      </c>
      <c r="R854" s="8">
        <f t="shared" si="442"/>
        <v>12334464</v>
      </c>
      <c r="S854" s="8">
        <f t="shared" ref="S854" si="443">R854/1.11</f>
        <v>11112129.729729729</v>
      </c>
    </row>
    <row r="855" spans="1:19" s="69" customFormat="1">
      <c r="A855" s="68" t="s">
        <v>458</v>
      </c>
      <c r="B855" s="69" t="s">
        <v>25</v>
      </c>
      <c r="C855" s="76"/>
      <c r="D855" s="71" t="s">
        <v>40</v>
      </c>
      <c r="E855" s="72"/>
      <c r="F855" s="73">
        <v>1</v>
      </c>
      <c r="G855" s="74" t="s">
        <v>20</v>
      </c>
      <c r="H855" s="73">
        <v>144</v>
      </c>
      <c r="I855" s="74" t="s">
        <v>40</v>
      </c>
      <c r="J855" s="16">
        <f>4492800/144</f>
        <v>31200</v>
      </c>
      <c r="K855" s="71" t="s">
        <v>40</v>
      </c>
      <c r="L855" s="75"/>
      <c r="M855" s="75">
        <v>0.17</v>
      </c>
      <c r="N855" s="73"/>
      <c r="O855" s="74" t="s">
        <v>40</v>
      </c>
      <c r="P855" s="70">
        <f t="shared" si="441"/>
        <v>0</v>
      </c>
      <c r="Q855" s="74" t="s">
        <v>40</v>
      </c>
      <c r="R855" s="16">
        <f t="shared" si="442"/>
        <v>0</v>
      </c>
      <c r="S855" s="16">
        <f t="shared" si="402"/>
        <v>0</v>
      </c>
    </row>
    <row r="856" spans="1:19" s="69" customFormat="1">
      <c r="A856" s="68" t="s">
        <v>459</v>
      </c>
      <c r="B856" s="69" t="s">
        <v>25</v>
      </c>
      <c r="C856" s="76"/>
      <c r="D856" s="71" t="s">
        <v>40</v>
      </c>
      <c r="E856" s="72"/>
      <c r="F856" s="73">
        <v>1</v>
      </c>
      <c r="G856" s="74" t="s">
        <v>20</v>
      </c>
      <c r="H856" s="73">
        <v>144</v>
      </c>
      <c r="I856" s="74" t="s">
        <v>40</v>
      </c>
      <c r="J856" s="16">
        <v>29400</v>
      </c>
      <c r="K856" s="71" t="s">
        <v>40</v>
      </c>
      <c r="L856" s="75"/>
      <c r="M856" s="75">
        <v>0.17</v>
      </c>
      <c r="N856" s="73"/>
      <c r="O856" s="74" t="s">
        <v>40</v>
      </c>
      <c r="P856" s="70">
        <f t="shared" si="441"/>
        <v>0</v>
      </c>
      <c r="Q856" s="74" t="s">
        <v>40</v>
      </c>
      <c r="R856" s="16">
        <f t="shared" si="442"/>
        <v>0</v>
      </c>
      <c r="S856" s="16">
        <f t="shared" si="402"/>
        <v>0</v>
      </c>
    </row>
    <row r="857" spans="1:19" s="69" customFormat="1">
      <c r="A857" s="68" t="s">
        <v>460</v>
      </c>
      <c r="B857" s="69" t="s">
        <v>25</v>
      </c>
      <c r="C857" s="76"/>
      <c r="D857" s="71" t="s">
        <v>40</v>
      </c>
      <c r="E857" s="72"/>
      <c r="F857" s="73">
        <v>1</v>
      </c>
      <c r="G857" s="74" t="s">
        <v>20</v>
      </c>
      <c r="H857" s="73">
        <v>144</v>
      </c>
      <c r="I857" s="74" t="s">
        <v>40</v>
      </c>
      <c r="J857" s="16">
        <f>2764800/144</f>
        <v>19200</v>
      </c>
      <c r="K857" s="71" t="s">
        <v>40</v>
      </c>
      <c r="L857" s="75"/>
      <c r="M857" s="75">
        <v>0.17</v>
      </c>
      <c r="N857" s="73"/>
      <c r="O857" s="74" t="s">
        <v>40</v>
      </c>
      <c r="P857" s="70">
        <f t="shared" si="441"/>
        <v>0</v>
      </c>
      <c r="Q857" s="74" t="s">
        <v>40</v>
      </c>
      <c r="R857" s="16">
        <f t="shared" si="442"/>
        <v>0</v>
      </c>
      <c r="S857" s="16">
        <f t="shared" ref="S857:S1000" si="444">R857/1.11</f>
        <v>0</v>
      </c>
    </row>
    <row r="858" spans="1:19" s="85" customFormat="1">
      <c r="A858" s="158" t="s">
        <v>460</v>
      </c>
      <c r="B858" s="85" t="s">
        <v>25</v>
      </c>
      <c r="C858" s="96"/>
      <c r="D858" s="89" t="s">
        <v>40</v>
      </c>
      <c r="E858" s="90">
        <v>1</v>
      </c>
      <c r="F858" s="91">
        <v>1</v>
      </c>
      <c r="G858" s="92" t="s">
        <v>20</v>
      </c>
      <c r="H858" s="91">
        <v>144</v>
      </c>
      <c r="I858" s="92" t="s">
        <v>40</v>
      </c>
      <c r="J858" s="93">
        <v>22200</v>
      </c>
      <c r="K858" s="89" t="s">
        <v>40</v>
      </c>
      <c r="L858" s="94"/>
      <c r="M858" s="94">
        <v>0.17</v>
      </c>
      <c r="N858" s="91"/>
      <c r="O858" s="92" t="s">
        <v>40</v>
      </c>
      <c r="P858" s="88">
        <f t="shared" si="441"/>
        <v>144</v>
      </c>
      <c r="Q858" s="92" t="s">
        <v>40</v>
      </c>
      <c r="R858" s="93">
        <f t="shared" si="442"/>
        <v>2653344</v>
      </c>
      <c r="S858" s="93">
        <f t="shared" ref="S858" si="445">R858/1.11</f>
        <v>2390400</v>
      </c>
    </row>
    <row r="859" spans="1:19" s="69" customFormat="1">
      <c r="A859" s="68" t="s">
        <v>461</v>
      </c>
      <c r="B859" s="69" t="s">
        <v>25</v>
      </c>
      <c r="C859" s="76"/>
      <c r="D859" s="71" t="s">
        <v>40</v>
      </c>
      <c r="E859" s="72"/>
      <c r="F859" s="73">
        <v>1</v>
      </c>
      <c r="G859" s="74" t="s">
        <v>20</v>
      </c>
      <c r="H859" s="73">
        <v>144</v>
      </c>
      <c r="I859" s="74" t="s">
        <v>40</v>
      </c>
      <c r="J859" s="16">
        <f>3369600/144</f>
        <v>23400</v>
      </c>
      <c r="K859" s="71" t="s">
        <v>40</v>
      </c>
      <c r="L859" s="75"/>
      <c r="M859" s="75">
        <v>0.17</v>
      </c>
      <c r="N859" s="73"/>
      <c r="O859" s="74" t="s">
        <v>40</v>
      </c>
      <c r="P859" s="70">
        <f t="shared" si="441"/>
        <v>0</v>
      </c>
      <c r="Q859" s="74" t="s">
        <v>40</v>
      </c>
      <c r="R859" s="16">
        <f t="shared" si="442"/>
        <v>0</v>
      </c>
      <c r="S859" s="16">
        <f t="shared" si="444"/>
        <v>0</v>
      </c>
    </row>
    <row r="860" spans="1:19" s="69" customFormat="1">
      <c r="A860" s="68"/>
      <c r="C860" s="76"/>
      <c r="D860" s="71"/>
      <c r="E860" s="72"/>
      <c r="F860" s="73"/>
      <c r="G860" s="74"/>
      <c r="H860" s="73"/>
      <c r="I860" s="74"/>
      <c r="J860" s="16"/>
      <c r="K860" s="71"/>
      <c r="L860" s="75"/>
      <c r="M860" s="75"/>
      <c r="N860" s="73"/>
      <c r="O860" s="74"/>
      <c r="P860" s="70"/>
      <c r="Q860" s="74"/>
      <c r="R860" s="16"/>
      <c r="S860" s="16"/>
    </row>
    <row r="861" spans="1:19" s="69" customFormat="1">
      <c r="A861" s="68" t="s">
        <v>462</v>
      </c>
      <c r="B861" s="69" t="s">
        <v>260</v>
      </c>
      <c r="C861" s="76"/>
      <c r="D861" s="71" t="s">
        <v>40</v>
      </c>
      <c r="E861" s="72"/>
      <c r="F861" s="73">
        <v>1</v>
      </c>
      <c r="G861" s="74" t="s">
        <v>20</v>
      </c>
      <c r="H861" s="73">
        <v>144</v>
      </c>
      <c r="I861" s="74" t="s">
        <v>40</v>
      </c>
      <c r="J861" s="16">
        <v>12500</v>
      </c>
      <c r="K861" s="71" t="s">
        <v>40</v>
      </c>
      <c r="L861" s="75"/>
      <c r="M861" s="75"/>
      <c r="N861" s="73"/>
      <c r="O861" s="74" t="s">
        <v>40</v>
      </c>
      <c r="P861" s="70">
        <f>(C861+(E861*F861*H861))-N861</f>
        <v>0</v>
      </c>
      <c r="Q861" s="74" t="s">
        <v>40</v>
      </c>
      <c r="R861" s="16">
        <f>P861*(J861-(J861*L861)-((J861-(J861*L861))*M861))</f>
        <v>0</v>
      </c>
      <c r="S861" s="16">
        <f>R861/1.11</f>
        <v>0</v>
      </c>
    </row>
    <row r="862" spans="1:19" s="69" customFormat="1">
      <c r="A862" s="68" t="s">
        <v>463</v>
      </c>
      <c r="B862" s="69" t="s">
        <v>260</v>
      </c>
      <c r="C862" s="76"/>
      <c r="D862" s="71" t="s">
        <v>40</v>
      </c>
      <c r="E862" s="72"/>
      <c r="F862" s="73">
        <v>1</v>
      </c>
      <c r="G862" s="74" t="s">
        <v>20</v>
      </c>
      <c r="H862" s="73">
        <v>144</v>
      </c>
      <c r="I862" s="74" t="s">
        <v>40</v>
      </c>
      <c r="J862" s="16">
        <v>12500</v>
      </c>
      <c r="K862" s="71" t="s">
        <v>40</v>
      </c>
      <c r="L862" s="75"/>
      <c r="M862" s="75"/>
      <c r="N862" s="73"/>
      <c r="O862" s="74" t="s">
        <v>40</v>
      </c>
      <c r="P862" s="70">
        <f>(C862+(E862*F862*H862))-N862</f>
        <v>0</v>
      </c>
      <c r="Q862" s="74" t="s">
        <v>40</v>
      </c>
      <c r="R862" s="16">
        <f>P862*(J862-(J862*L862)-((J862-(J862*L862))*M862))</f>
        <v>0</v>
      </c>
      <c r="S862" s="16">
        <f>R862/1.11</f>
        <v>0</v>
      </c>
    </row>
    <row r="863" spans="1:19">
      <c r="A863" s="159" t="s">
        <v>964</v>
      </c>
      <c r="B863" s="2" t="s">
        <v>260</v>
      </c>
      <c r="D863" s="4" t="s">
        <v>40</v>
      </c>
      <c r="E863" s="5">
        <v>1</v>
      </c>
      <c r="F863" s="6">
        <v>1</v>
      </c>
      <c r="G863" s="7" t="s">
        <v>20</v>
      </c>
      <c r="H863" s="6">
        <v>96</v>
      </c>
      <c r="I863" s="7" t="s">
        <v>40</v>
      </c>
      <c r="J863" s="8">
        <v>29000</v>
      </c>
      <c r="K863" s="4" t="s">
        <v>40</v>
      </c>
      <c r="O863" s="7" t="s">
        <v>40</v>
      </c>
      <c r="P863" s="3">
        <f>(C863+(E863*F863*H863))-N863</f>
        <v>96</v>
      </c>
      <c r="Q863" s="7" t="s">
        <v>40</v>
      </c>
      <c r="R863" s="8">
        <f>P863*(J863-(J863*L863)-((J863-(J863*L863))*M863))</f>
        <v>2784000</v>
      </c>
      <c r="S863" s="8">
        <f>R863/1.11</f>
        <v>2508108.1081081079</v>
      </c>
    </row>
    <row r="864" spans="1:19">
      <c r="A864" s="17" t="s">
        <v>464</v>
      </c>
      <c r="B864" s="2" t="s">
        <v>260</v>
      </c>
      <c r="C864" s="3">
        <v>96</v>
      </c>
      <c r="D864" s="4" t="s">
        <v>40</v>
      </c>
      <c r="F864" s="6">
        <v>1</v>
      </c>
      <c r="G864" s="7" t="s">
        <v>20</v>
      </c>
      <c r="H864" s="6">
        <v>96</v>
      </c>
      <c r="I864" s="7" t="s">
        <v>40</v>
      </c>
      <c r="J864" s="8">
        <v>27500</v>
      </c>
      <c r="K864" s="4" t="s">
        <v>40</v>
      </c>
      <c r="O864" s="7" t="s">
        <v>40</v>
      </c>
      <c r="P864" s="3">
        <f>(C864+(E864*F864*H864))-N864</f>
        <v>96</v>
      </c>
      <c r="Q864" s="7" t="s">
        <v>40</v>
      </c>
      <c r="R864" s="8">
        <f>P864*(J864-(J864*L864)-((J864-(J864*L864))*M864))</f>
        <v>2640000</v>
      </c>
      <c r="S864" s="8">
        <f>R864/1.11</f>
        <v>2378378.3783783782</v>
      </c>
    </row>
    <row r="865" spans="1:19">
      <c r="A865" s="159" t="s">
        <v>965</v>
      </c>
      <c r="B865" s="2" t="s">
        <v>260</v>
      </c>
      <c r="D865" s="4" t="s">
        <v>40</v>
      </c>
      <c r="E865" s="5">
        <v>1</v>
      </c>
      <c r="F865" s="6">
        <v>1</v>
      </c>
      <c r="G865" s="7" t="s">
        <v>20</v>
      </c>
      <c r="H865" s="6">
        <v>144</v>
      </c>
      <c r="I865" s="7" t="s">
        <v>40</v>
      </c>
      <c r="J865" s="8">
        <v>13250</v>
      </c>
      <c r="K865" s="4" t="s">
        <v>40</v>
      </c>
      <c r="O865" s="7" t="s">
        <v>40</v>
      </c>
      <c r="P865" s="3">
        <f>(C865+(E865*F865*H865))-N865</f>
        <v>144</v>
      </c>
      <c r="Q865" s="7" t="s">
        <v>40</v>
      </c>
      <c r="R865" s="8">
        <f>P865*(J865-(J865*L865)-((J865-(J865*L865))*M865))</f>
        <v>1908000</v>
      </c>
      <c r="S865" s="8">
        <f>R865/1.11</f>
        <v>1718918.9189189188</v>
      </c>
    </row>
    <row r="867" spans="1:19">
      <c r="A867" s="15" t="s">
        <v>665</v>
      </c>
    </row>
    <row r="868" spans="1:19">
      <c r="A868" s="50" t="s">
        <v>666</v>
      </c>
      <c r="B868" s="2" t="s">
        <v>18</v>
      </c>
      <c r="D868" s="4" t="s">
        <v>83</v>
      </c>
      <c r="E868" s="5">
        <v>19</v>
      </c>
      <c r="F868" s="6">
        <v>1</v>
      </c>
      <c r="G868" s="7" t="s">
        <v>20</v>
      </c>
      <c r="H868" s="6">
        <v>12</v>
      </c>
      <c r="I868" s="7" t="s">
        <v>83</v>
      </c>
      <c r="J868" s="8">
        <v>176400</v>
      </c>
      <c r="K868" s="4" t="s">
        <v>83</v>
      </c>
      <c r="L868" s="9">
        <v>0.125</v>
      </c>
      <c r="M868" s="9">
        <v>0.05</v>
      </c>
      <c r="O868" s="7" t="s">
        <v>83</v>
      </c>
      <c r="P868" s="3">
        <f t="shared" ref="P868:P873" si="446">(C868+(E868*F868*H868))-N868</f>
        <v>228</v>
      </c>
      <c r="Q868" s="7" t="s">
        <v>83</v>
      </c>
      <c r="R868" s="8">
        <f t="shared" ref="R868:R873" si="447">P868*(J868-(J868*L868)-((J868-(J868*L868))*M868))</f>
        <v>33432210</v>
      </c>
      <c r="S868" s="8">
        <f t="shared" si="444"/>
        <v>30119108.108108107</v>
      </c>
    </row>
    <row r="869" spans="1:19" s="69" customFormat="1">
      <c r="A869" s="116" t="s">
        <v>667</v>
      </c>
      <c r="B869" s="69" t="s">
        <v>18</v>
      </c>
      <c r="C869" s="70"/>
      <c r="D869" s="71" t="s">
        <v>83</v>
      </c>
      <c r="E869" s="72"/>
      <c r="F869" s="73">
        <v>12</v>
      </c>
      <c r="G869" s="74" t="s">
        <v>33</v>
      </c>
      <c r="H869" s="73">
        <v>1</v>
      </c>
      <c r="I869" s="74" t="s">
        <v>83</v>
      </c>
      <c r="J869" s="16">
        <v>183600</v>
      </c>
      <c r="K869" s="71" t="s">
        <v>83</v>
      </c>
      <c r="L869" s="75">
        <v>0.125</v>
      </c>
      <c r="M869" s="75">
        <v>0.05</v>
      </c>
      <c r="N869" s="73"/>
      <c r="O869" s="74" t="s">
        <v>83</v>
      </c>
      <c r="P869" s="70">
        <f t="shared" si="446"/>
        <v>0</v>
      </c>
      <c r="Q869" s="74" t="s">
        <v>83</v>
      </c>
      <c r="R869" s="16">
        <f t="shared" si="447"/>
        <v>0</v>
      </c>
      <c r="S869" s="16">
        <f t="shared" si="444"/>
        <v>0</v>
      </c>
    </row>
    <row r="870" spans="1:19" s="19" customFormat="1">
      <c r="A870" s="50" t="s">
        <v>668</v>
      </c>
      <c r="B870" s="19" t="s">
        <v>18</v>
      </c>
      <c r="C870" s="20"/>
      <c r="D870" s="21" t="s">
        <v>40</v>
      </c>
      <c r="E870" s="26">
        <v>12</v>
      </c>
      <c r="F870" s="22">
        <v>12</v>
      </c>
      <c r="G870" s="23" t="s">
        <v>83</v>
      </c>
      <c r="H870" s="22">
        <v>12</v>
      </c>
      <c r="I870" s="23" t="s">
        <v>40</v>
      </c>
      <c r="J870" s="24">
        <v>19800</v>
      </c>
      <c r="K870" s="21" t="s">
        <v>40</v>
      </c>
      <c r="L870" s="25">
        <v>0.125</v>
      </c>
      <c r="M870" s="25">
        <v>0.05</v>
      </c>
      <c r="N870" s="22"/>
      <c r="O870" s="23" t="s">
        <v>40</v>
      </c>
      <c r="P870" s="20">
        <f t="shared" ref="P870" si="448">(C870+(E870*F870*H870))-N870</f>
        <v>1728</v>
      </c>
      <c r="Q870" s="23" t="s">
        <v>40</v>
      </c>
      <c r="R870" s="24">
        <f t="shared" ref="R870" si="449">P870*(J870-(J870*L870)-((J870-(J870*L870))*M870))</f>
        <v>28440720</v>
      </c>
      <c r="S870" s="24">
        <f t="shared" ref="S870" si="450">R870/1.11</f>
        <v>25622270.270270269</v>
      </c>
    </row>
    <row r="871" spans="1:19" s="19" customFormat="1">
      <c r="A871" s="50" t="s">
        <v>669</v>
      </c>
      <c r="B871" s="19" t="s">
        <v>18</v>
      </c>
      <c r="C871" s="20">
        <v>144</v>
      </c>
      <c r="D871" s="21" t="s">
        <v>40</v>
      </c>
      <c r="E871" s="26">
        <v>35</v>
      </c>
      <c r="F871" s="22">
        <v>12</v>
      </c>
      <c r="G871" s="23" t="s">
        <v>83</v>
      </c>
      <c r="H871" s="22">
        <v>6</v>
      </c>
      <c r="I871" s="23" t="s">
        <v>40</v>
      </c>
      <c r="J871" s="24">
        <f>3100*12</f>
        <v>37200</v>
      </c>
      <c r="K871" s="21" t="s">
        <v>40</v>
      </c>
      <c r="L871" s="25">
        <v>0.125</v>
      </c>
      <c r="M871" s="25">
        <v>0.05</v>
      </c>
      <c r="N871" s="22"/>
      <c r="O871" s="23" t="s">
        <v>40</v>
      </c>
      <c r="P871" s="20">
        <f t="shared" ref="P871" si="451">(C871+(E871*F871*H871))-N871</f>
        <v>2664</v>
      </c>
      <c r="Q871" s="23" t="s">
        <v>40</v>
      </c>
      <c r="R871" s="24">
        <f t="shared" ref="R871" si="452">P871*(J871-(J871*L871)-((J871-(J871*L871))*M871))</f>
        <v>82377540</v>
      </c>
      <c r="S871" s="24">
        <f t="shared" ref="S871" si="453">R871/1.11</f>
        <v>74214000</v>
      </c>
    </row>
    <row r="872" spans="1:19" s="19" customFormat="1">
      <c r="A872" s="50" t="s">
        <v>670</v>
      </c>
      <c r="B872" s="19" t="s">
        <v>18</v>
      </c>
      <c r="C872" s="20">
        <v>12</v>
      </c>
      <c r="D872" s="21" t="s">
        <v>83</v>
      </c>
      <c r="E872" s="26">
        <v>2</v>
      </c>
      <c r="F872" s="22">
        <v>1</v>
      </c>
      <c r="G872" s="23" t="s">
        <v>20</v>
      </c>
      <c r="H872" s="22">
        <v>12</v>
      </c>
      <c r="I872" s="23" t="s">
        <v>83</v>
      </c>
      <c r="J872" s="24">
        <v>198000</v>
      </c>
      <c r="K872" s="21" t="s">
        <v>83</v>
      </c>
      <c r="L872" s="25">
        <v>0.125</v>
      </c>
      <c r="M872" s="25">
        <v>0.05</v>
      </c>
      <c r="N872" s="22"/>
      <c r="O872" s="23" t="s">
        <v>83</v>
      </c>
      <c r="P872" s="20">
        <f t="shared" ref="P872" si="454">(C872+(E872*F872*H872))-N872</f>
        <v>36</v>
      </c>
      <c r="Q872" s="23" t="s">
        <v>83</v>
      </c>
      <c r="R872" s="24">
        <f t="shared" ref="R872" si="455">P872*(J872-(J872*L872)-((J872-(J872*L872))*M872))</f>
        <v>5925150</v>
      </c>
      <c r="S872" s="24">
        <f t="shared" ref="S872" si="456">R872/1.11</f>
        <v>5337972.9729729723</v>
      </c>
    </row>
    <row r="873" spans="1:19">
      <c r="A873" s="50" t="s">
        <v>735</v>
      </c>
      <c r="B873" s="2" t="s">
        <v>18</v>
      </c>
      <c r="C873" s="3">
        <v>10</v>
      </c>
      <c r="D873" s="4" t="s">
        <v>40</v>
      </c>
      <c r="E873" s="5">
        <v>2</v>
      </c>
      <c r="F873" s="6">
        <v>1</v>
      </c>
      <c r="G873" s="7" t="s">
        <v>20</v>
      </c>
      <c r="H873" s="6">
        <v>72</v>
      </c>
      <c r="I873" s="7" t="s">
        <v>40</v>
      </c>
      <c r="J873" s="8">
        <v>39600</v>
      </c>
      <c r="K873" s="4" t="s">
        <v>40</v>
      </c>
      <c r="L873" s="9">
        <v>0.125</v>
      </c>
      <c r="M873" s="9">
        <v>0.05</v>
      </c>
      <c r="O873" s="7" t="s">
        <v>83</v>
      </c>
      <c r="P873" s="3">
        <f t="shared" si="446"/>
        <v>154</v>
      </c>
      <c r="Q873" s="7" t="s">
        <v>83</v>
      </c>
      <c r="R873" s="8">
        <f t="shared" si="447"/>
        <v>5069295</v>
      </c>
      <c r="S873" s="8">
        <f t="shared" si="444"/>
        <v>4566932.4324324317</v>
      </c>
    </row>
    <row r="874" spans="1:19">
      <c r="A874" s="50"/>
    </row>
    <row r="875" spans="1:19">
      <c r="A875" s="50" t="s">
        <v>671</v>
      </c>
      <c r="B875" s="2" t="s">
        <v>25</v>
      </c>
      <c r="C875" s="3">
        <v>11</v>
      </c>
      <c r="D875" s="4" t="s">
        <v>83</v>
      </c>
      <c r="E875" s="5">
        <v>7</v>
      </c>
      <c r="F875" s="6">
        <v>1</v>
      </c>
      <c r="G875" s="7" t="s">
        <v>20</v>
      </c>
      <c r="H875" s="6">
        <v>18</v>
      </c>
      <c r="I875" s="7" t="s">
        <v>83</v>
      </c>
      <c r="J875" s="8">
        <f>3240000/18</f>
        <v>180000</v>
      </c>
      <c r="K875" s="4" t="s">
        <v>83</v>
      </c>
      <c r="M875" s="9">
        <v>0.17</v>
      </c>
      <c r="O875" s="7" t="s">
        <v>83</v>
      </c>
      <c r="P875" s="3">
        <f>(C875+(E875*F875*H875))-N875</f>
        <v>137</v>
      </c>
      <c r="Q875" s="7" t="s">
        <v>83</v>
      </c>
      <c r="R875" s="8">
        <f>P875*(J875-(J875*L875)-((J875-(J875*L875))*M875))</f>
        <v>20467800</v>
      </c>
      <c r="S875" s="8">
        <f t="shared" si="444"/>
        <v>18439459.459459458</v>
      </c>
    </row>
    <row r="876" spans="1:19" s="95" customFormat="1">
      <c r="A876" s="87" t="s">
        <v>672</v>
      </c>
      <c r="B876" s="95" t="s">
        <v>25</v>
      </c>
      <c r="C876" s="96"/>
      <c r="D876" s="97" t="s">
        <v>40</v>
      </c>
      <c r="E876" s="98">
        <v>1</v>
      </c>
      <c r="F876" s="99">
        <v>12</v>
      </c>
      <c r="G876" s="100" t="s">
        <v>83</v>
      </c>
      <c r="H876" s="99">
        <v>12</v>
      </c>
      <c r="I876" s="100" t="s">
        <v>40</v>
      </c>
      <c r="J876" s="101">
        <v>16200</v>
      </c>
      <c r="K876" s="97" t="s">
        <v>40</v>
      </c>
      <c r="L876" s="102"/>
      <c r="M876" s="102">
        <v>0.17</v>
      </c>
      <c r="N876" s="99"/>
      <c r="O876" s="100" t="s">
        <v>40</v>
      </c>
      <c r="P876" s="96">
        <f>(C876+(E876*F876*H876))-N876</f>
        <v>144</v>
      </c>
      <c r="Q876" s="100" t="s">
        <v>40</v>
      </c>
      <c r="R876" s="101">
        <f>P876*(J876-(J876*L876)-((J876-(J876*L876))*M876))</f>
        <v>1936224</v>
      </c>
      <c r="S876" s="101">
        <f t="shared" ref="S876" si="457">R876/1.11</f>
        <v>1744345.9459459458</v>
      </c>
    </row>
    <row r="877" spans="1:19">
      <c r="A877" s="17" t="s">
        <v>673</v>
      </c>
      <c r="B877" s="2" t="s">
        <v>25</v>
      </c>
      <c r="C877" s="3">
        <v>144</v>
      </c>
      <c r="D877" s="4" t="s">
        <v>40</v>
      </c>
      <c r="E877" s="5">
        <v>1</v>
      </c>
      <c r="F877" s="6">
        <v>12</v>
      </c>
      <c r="G877" s="7" t="s">
        <v>83</v>
      </c>
      <c r="H877" s="6">
        <v>12</v>
      </c>
      <c r="I877" s="7" t="s">
        <v>40</v>
      </c>
      <c r="J877" s="8">
        <f>2937600/12/12</f>
        <v>20400</v>
      </c>
      <c r="K877" s="4" t="s">
        <v>40</v>
      </c>
      <c r="M877" s="9">
        <v>0.17</v>
      </c>
      <c r="O877" s="7" t="s">
        <v>40</v>
      </c>
      <c r="P877" s="3">
        <f>(C877+(E877*F877*H877))-N877</f>
        <v>288</v>
      </c>
      <c r="Q877" s="7" t="s">
        <v>40</v>
      </c>
      <c r="R877" s="8">
        <f>P877*(J877-(J877*L877)-((J877-(J877*L877))*M877))</f>
        <v>4876416</v>
      </c>
      <c r="S877" s="8">
        <f t="shared" si="444"/>
        <v>4393167.5675675673</v>
      </c>
    </row>
    <row r="879" spans="1:19">
      <c r="A879" s="17" t="s">
        <v>777</v>
      </c>
      <c r="B879" s="2" t="s">
        <v>181</v>
      </c>
      <c r="C879" s="20">
        <v>10520</v>
      </c>
      <c r="D879" s="4" t="s">
        <v>151</v>
      </c>
      <c r="F879" s="6">
        <v>40</v>
      </c>
      <c r="G879" s="7" t="s">
        <v>33</v>
      </c>
      <c r="H879" s="6">
        <f>1600/40</f>
        <v>40</v>
      </c>
      <c r="I879" s="7" t="s">
        <v>151</v>
      </c>
      <c r="J879" s="8">
        <v>1532</v>
      </c>
      <c r="K879" s="4" t="s">
        <v>151</v>
      </c>
      <c r="O879" s="7" t="s">
        <v>151</v>
      </c>
      <c r="P879" s="3">
        <f>(C879+(E879*F879*H879))-N879</f>
        <v>10520</v>
      </c>
      <c r="Q879" s="7" t="s">
        <v>151</v>
      </c>
      <c r="R879" s="8">
        <f>P879*(J879-(J879*L879)-((J879-(J879*L879))*M879))</f>
        <v>16116640</v>
      </c>
      <c r="S879" s="8">
        <f t="shared" si="444"/>
        <v>14519495.495495494</v>
      </c>
    </row>
    <row r="881" spans="1:19">
      <c r="A881" s="15" t="s">
        <v>465</v>
      </c>
    </row>
    <row r="882" spans="1:19" s="19" customFormat="1">
      <c r="A882" s="18" t="s">
        <v>929</v>
      </c>
      <c r="B882" s="19" t="s">
        <v>18</v>
      </c>
      <c r="C882" s="20"/>
      <c r="D882" s="21" t="s">
        <v>151</v>
      </c>
      <c r="E882" s="26">
        <v>3</v>
      </c>
      <c r="F882" s="22">
        <v>12</v>
      </c>
      <c r="G882" s="23" t="s">
        <v>33</v>
      </c>
      <c r="H882" s="22">
        <v>12</v>
      </c>
      <c r="I882" s="23" t="s">
        <v>151</v>
      </c>
      <c r="J882" s="24">
        <v>12200</v>
      </c>
      <c r="K882" s="21" t="s">
        <v>151</v>
      </c>
      <c r="L882" s="25">
        <v>0.125</v>
      </c>
      <c r="M882" s="25">
        <v>0.05</v>
      </c>
      <c r="N882" s="22"/>
      <c r="O882" s="23" t="s">
        <v>151</v>
      </c>
      <c r="P882" s="20">
        <f t="shared" ref="P882" si="458">(C882+(E882*F882*H882))-N882</f>
        <v>432</v>
      </c>
      <c r="Q882" s="23" t="s">
        <v>151</v>
      </c>
      <c r="R882" s="24">
        <f t="shared" ref="R882" si="459">P882*(J882-(J882*L882)-((J882-(J882*L882))*M882))</f>
        <v>4381020</v>
      </c>
      <c r="S882" s="24">
        <f t="shared" ref="S882" si="460">R882/1.11</f>
        <v>3946864.8648648644</v>
      </c>
    </row>
    <row r="883" spans="1:19" s="19" customFormat="1">
      <c r="A883" s="18" t="s">
        <v>466</v>
      </c>
      <c r="B883" s="19" t="s">
        <v>18</v>
      </c>
      <c r="C883" s="20">
        <v>1236</v>
      </c>
      <c r="D883" s="21" t="s">
        <v>151</v>
      </c>
      <c r="E883" s="26">
        <v>36</v>
      </c>
      <c r="F883" s="22">
        <v>12</v>
      </c>
      <c r="G883" s="23" t="s">
        <v>33</v>
      </c>
      <c r="H883" s="22">
        <v>24</v>
      </c>
      <c r="I883" s="23" t="s">
        <v>151</v>
      </c>
      <c r="J883" s="24">
        <v>6700</v>
      </c>
      <c r="K883" s="21" t="s">
        <v>151</v>
      </c>
      <c r="L883" s="25">
        <v>0.125</v>
      </c>
      <c r="M883" s="25">
        <v>0.05</v>
      </c>
      <c r="N883" s="22"/>
      <c r="O883" s="23" t="s">
        <v>151</v>
      </c>
      <c r="P883" s="20">
        <f t="shared" ref="P883:P896" si="461">(C883+(E883*F883*H883))-N883</f>
        <v>11604</v>
      </c>
      <c r="Q883" s="23" t="s">
        <v>151</v>
      </c>
      <c r="R883" s="24">
        <f t="shared" ref="R883:R896" si="462">P883*(J883-(J883*L883)-((J883-(J883*L883))*M883))</f>
        <v>64627027.5</v>
      </c>
      <c r="S883" s="24">
        <f t="shared" si="444"/>
        <v>58222547.297297291</v>
      </c>
    </row>
    <row r="884" spans="1:19" s="19" customFormat="1">
      <c r="A884" s="18" t="s">
        <v>467</v>
      </c>
      <c r="B884" s="19" t="s">
        <v>18</v>
      </c>
      <c r="C884" s="20">
        <v>96</v>
      </c>
      <c r="D884" s="21" t="s">
        <v>151</v>
      </c>
      <c r="E884" s="26">
        <v>9</v>
      </c>
      <c r="F884" s="22">
        <v>12</v>
      </c>
      <c r="G884" s="23" t="s">
        <v>33</v>
      </c>
      <c r="H884" s="22">
        <v>12</v>
      </c>
      <c r="I884" s="23" t="s">
        <v>151</v>
      </c>
      <c r="J884" s="24">
        <v>13800</v>
      </c>
      <c r="K884" s="21" t="s">
        <v>151</v>
      </c>
      <c r="L884" s="25">
        <v>0.125</v>
      </c>
      <c r="M884" s="25">
        <v>0.05</v>
      </c>
      <c r="N884" s="22"/>
      <c r="O884" s="23" t="s">
        <v>151</v>
      </c>
      <c r="P884" s="20">
        <f t="shared" si="461"/>
        <v>1392</v>
      </c>
      <c r="Q884" s="23" t="s">
        <v>151</v>
      </c>
      <c r="R884" s="24">
        <f t="shared" si="462"/>
        <v>15967980</v>
      </c>
      <c r="S884" s="8">
        <f t="shared" si="444"/>
        <v>14385567.567567566</v>
      </c>
    </row>
    <row r="885" spans="1:19" s="19" customFormat="1">
      <c r="A885" s="18" t="s">
        <v>468</v>
      </c>
      <c r="B885" s="19" t="s">
        <v>18</v>
      </c>
      <c r="C885" s="20">
        <v>3084</v>
      </c>
      <c r="D885" s="21" t="s">
        <v>151</v>
      </c>
      <c r="E885" s="26">
        <v>144</v>
      </c>
      <c r="F885" s="22">
        <v>12</v>
      </c>
      <c r="G885" s="23" t="s">
        <v>33</v>
      </c>
      <c r="H885" s="22">
        <v>12</v>
      </c>
      <c r="I885" s="23" t="s">
        <v>151</v>
      </c>
      <c r="J885" s="24">
        <v>10600</v>
      </c>
      <c r="K885" s="21" t="s">
        <v>151</v>
      </c>
      <c r="L885" s="25">
        <v>0.125</v>
      </c>
      <c r="M885" s="25">
        <v>0.05</v>
      </c>
      <c r="N885" s="22"/>
      <c r="O885" s="23" t="s">
        <v>151</v>
      </c>
      <c r="P885" s="20">
        <f t="shared" si="461"/>
        <v>23820</v>
      </c>
      <c r="Q885" s="23" t="s">
        <v>151</v>
      </c>
      <c r="R885" s="24">
        <f t="shared" si="462"/>
        <v>209883975</v>
      </c>
      <c r="S885" s="24">
        <f t="shared" si="444"/>
        <v>189084662.16216215</v>
      </c>
    </row>
    <row r="886" spans="1:19" s="19" customFormat="1">
      <c r="A886" s="18" t="s">
        <v>469</v>
      </c>
      <c r="B886" s="19" t="s">
        <v>18</v>
      </c>
      <c r="C886" s="20">
        <v>390</v>
      </c>
      <c r="D886" s="21" t="s">
        <v>151</v>
      </c>
      <c r="E886" s="26">
        <v>44</v>
      </c>
      <c r="F886" s="22">
        <v>12</v>
      </c>
      <c r="G886" s="23" t="s">
        <v>33</v>
      </c>
      <c r="H886" s="22">
        <v>6</v>
      </c>
      <c r="I886" s="23" t="s">
        <v>151</v>
      </c>
      <c r="J886" s="24">
        <v>21200</v>
      </c>
      <c r="K886" s="21" t="s">
        <v>151</v>
      </c>
      <c r="L886" s="25">
        <v>0.125</v>
      </c>
      <c r="M886" s="25">
        <v>0.05</v>
      </c>
      <c r="N886" s="22"/>
      <c r="O886" s="23" t="s">
        <v>151</v>
      </c>
      <c r="P886" s="20">
        <f t="shared" si="461"/>
        <v>3558</v>
      </c>
      <c r="Q886" s="23" t="s">
        <v>151</v>
      </c>
      <c r="R886" s="24">
        <f t="shared" si="462"/>
        <v>62700855</v>
      </c>
      <c r="S886" s="8">
        <f t="shared" si="444"/>
        <v>56487256.756756753</v>
      </c>
    </row>
    <row r="887" spans="1:19" s="95" customFormat="1">
      <c r="A887" s="87" t="s">
        <v>470</v>
      </c>
      <c r="B887" s="95" t="s">
        <v>18</v>
      </c>
      <c r="C887" s="96"/>
      <c r="D887" s="97" t="s">
        <v>151</v>
      </c>
      <c r="E887" s="98">
        <v>6</v>
      </c>
      <c r="F887" s="99">
        <v>8</v>
      </c>
      <c r="G887" s="100" t="s">
        <v>33</v>
      </c>
      <c r="H887" s="99">
        <v>6</v>
      </c>
      <c r="I887" s="100" t="s">
        <v>151</v>
      </c>
      <c r="J887" s="101">
        <v>35000</v>
      </c>
      <c r="K887" s="97" t="s">
        <v>151</v>
      </c>
      <c r="L887" s="102">
        <v>0.125</v>
      </c>
      <c r="M887" s="102">
        <v>0.05</v>
      </c>
      <c r="N887" s="99"/>
      <c r="O887" s="100" t="s">
        <v>151</v>
      </c>
      <c r="P887" s="96">
        <f t="shared" si="461"/>
        <v>288</v>
      </c>
      <c r="Q887" s="100" t="s">
        <v>151</v>
      </c>
      <c r="R887" s="101">
        <f t="shared" si="462"/>
        <v>8379000</v>
      </c>
      <c r="S887" s="93">
        <f t="shared" si="444"/>
        <v>7548648.6486486476</v>
      </c>
    </row>
    <row r="888" spans="1:19" s="19" customFormat="1">
      <c r="A888" s="18" t="s">
        <v>471</v>
      </c>
      <c r="B888" s="19" t="s">
        <v>18</v>
      </c>
      <c r="C888" s="20">
        <v>408</v>
      </c>
      <c r="D888" s="21" t="s">
        <v>151</v>
      </c>
      <c r="E888" s="26">
        <v>8</v>
      </c>
      <c r="F888" s="22">
        <v>12</v>
      </c>
      <c r="G888" s="23" t="s">
        <v>33</v>
      </c>
      <c r="H888" s="22">
        <v>12</v>
      </c>
      <c r="I888" s="23" t="s">
        <v>151</v>
      </c>
      <c r="J888" s="24">
        <v>9600</v>
      </c>
      <c r="K888" s="21" t="s">
        <v>151</v>
      </c>
      <c r="L888" s="25">
        <v>0.125</v>
      </c>
      <c r="M888" s="25">
        <v>0.05</v>
      </c>
      <c r="N888" s="22"/>
      <c r="O888" s="23" t="s">
        <v>151</v>
      </c>
      <c r="P888" s="20">
        <f t="shared" si="461"/>
        <v>1560</v>
      </c>
      <c r="Q888" s="23" t="s">
        <v>151</v>
      </c>
      <c r="R888" s="24">
        <f t="shared" si="462"/>
        <v>12448800</v>
      </c>
      <c r="S888" s="24">
        <f t="shared" si="444"/>
        <v>11215135.135135135</v>
      </c>
    </row>
    <row r="889" spans="1:19" s="69" customFormat="1">
      <c r="A889" s="68" t="s">
        <v>472</v>
      </c>
      <c r="B889" s="69" t="s">
        <v>18</v>
      </c>
      <c r="C889" s="70"/>
      <c r="D889" s="71" t="s">
        <v>151</v>
      </c>
      <c r="E889" s="72"/>
      <c r="F889" s="73">
        <v>12</v>
      </c>
      <c r="G889" s="74" t="s">
        <v>33</v>
      </c>
      <c r="H889" s="73">
        <v>6</v>
      </c>
      <c r="I889" s="74" t="s">
        <v>151</v>
      </c>
      <c r="J889" s="16">
        <v>19200</v>
      </c>
      <c r="K889" s="71" t="s">
        <v>151</v>
      </c>
      <c r="L889" s="75">
        <v>0.125</v>
      </c>
      <c r="M889" s="75">
        <v>0.05</v>
      </c>
      <c r="N889" s="73"/>
      <c r="O889" s="74" t="s">
        <v>151</v>
      </c>
      <c r="P889" s="70">
        <f t="shared" si="461"/>
        <v>0</v>
      </c>
      <c r="Q889" s="74" t="s">
        <v>151</v>
      </c>
      <c r="R889" s="16">
        <f t="shared" si="462"/>
        <v>0</v>
      </c>
      <c r="S889" s="16">
        <f t="shared" si="444"/>
        <v>0</v>
      </c>
    </row>
    <row r="890" spans="1:19" s="69" customFormat="1">
      <c r="A890" s="68" t="s">
        <v>473</v>
      </c>
      <c r="B890" s="69" t="s">
        <v>18</v>
      </c>
      <c r="C890" s="70"/>
      <c r="D890" s="71" t="s">
        <v>151</v>
      </c>
      <c r="E890" s="72"/>
      <c r="F890" s="73">
        <v>12</v>
      </c>
      <c r="G890" s="74" t="s">
        <v>33</v>
      </c>
      <c r="H890" s="73">
        <v>24</v>
      </c>
      <c r="I890" s="74" t="s">
        <v>151</v>
      </c>
      <c r="J890" s="16">
        <v>5800</v>
      </c>
      <c r="K890" s="71" t="s">
        <v>151</v>
      </c>
      <c r="L890" s="75">
        <v>0.125</v>
      </c>
      <c r="M890" s="75">
        <v>0.05</v>
      </c>
      <c r="N890" s="73"/>
      <c r="O890" s="74" t="s">
        <v>151</v>
      </c>
      <c r="P890" s="70">
        <f t="shared" si="461"/>
        <v>0</v>
      </c>
      <c r="Q890" s="74" t="s">
        <v>151</v>
      </c>
      <c r="R890" s="16">
        <f t="shared" si="462"/>
        <v>0</v>
      </c>
      <c r="S890" s="16">
        <f t="shared" si="444"/>
        <v>0</v>
      </c>
    </row>
    <row r="891" spans="1:19" s="19" customFormat="1">
      <c r="A891" s="18" t="s">
        <v>474</v>
      </c>
      <c r="B891" s="19" t="s">
        <v>18</v>
      </c>
      <c r="C891" s="20"/>
      <c r="D891" s="21" t="s">
        <v>151</v>
      </c>
      <c r="E891" s="26">
        <v>8</v>
      </c>
      <c r="F891" s="22">
        <v>12</v>
      </c>
      <c r="G891" s="23" t="s">
        <v>33</v>
      </c>
      <c r="H891" s="22">
        <v>12</v>
      </c>
      <c r="I891" s="23" t="s">
        <v>151</v>
      </c>
      <c r="J891" s="24">
        <v>8400</v>
      </c>
      <c r="K891" s="21" t="s">
        <v>151</v>
      </c>
      <c r="L891" s="25">
        <v>0.125</v>
      </c>
      <c r="M891" s="25">
        <v>0.05</v>
      </c>
      <c r="N891" s="22"/>
      <c r="O891" s="23" t="s">
        <v>151</v>
      </c>
      <c r="P891" s="20">
        <f t="shared" ref="P891" si="463">(C891+(E891*F891*H891))-N891</f>
        <v>1152</v>
      </c>
      <c r="Q891" s="23" t="s">
        <v>151</v>
      </c>
      <c r="R891" s="24">
        <f t="shared" ref="R891" si="464">P891*(J891-(J891*L891)-((J891-(J891*L891))*M891))</f>
        <v>8043840</v>
      </c>
      <c r="S891" s="24">
        <f t="shared" ref="S891" si="465">R891/1.11</f>
        <v>7246702.702702702</v>
      </c>
    </row>
    <row r="892" spans="1:19" s="19" customFormat="1">
      <c r="A892" s="18" t="s">
        <v>803</v>
      </c>
      <c r="B892" s="19" t="s">
        <v>18</v>
      </c>
      <c r="C892" s="20">
        <v>72</v>
      </c>
      <c r="D892" s="21" t="s">
        <v>151</v>
      </c>
      <c r="E892" s="26">
        <v>4</v>
      </c>
      <c r="F892" s="22">
        <v>12</v>
      </c>
      <c r="G892" s="23" t="s">
        <v>33</v>
      </c>
      <c r="H892" s="22">
        <v>6</v>
      </c>
      <c r="I892" s="23" t="s">
        <v>151</v>
      </c>
      <c r="J892" s="24">
        <v>16800</v>
      </c>
      <c r="K892" s="21" t="s">
        <v>151</v>
      </c>
      <c r="L892" s="25">
        <v>0.125</v>
      </c>
      <c r="M892" s="25">
        <v>0.05</v>
      </c>
      <c r="N892" s="22"/>
      <c r="O892" s="23" t="s">
        <v>151</v>
      </c>
      <c r="P892" s="20">
        <f t="shared" si="461"/>
        <v>360</v>
      </c>
      <c r="Q892" s="23" t="s">
        <v>151</v>
      </c>
      <c r="R892" s="24">
        <f t="shared" si="462"/>
        <v>5027400</v>
      </c>
      <c r="S892" s="8">
        <f t="shared" si="444"/>
        <v>4529189.1891891891</v>
      </c>
    </row>
    <row r="893" spans="1:19" s="19" customFormat="1">
      <c r="A893" s="18" t="s">
        <v>475</v>
      </c>
      <c r="B893" s="19" t="s">
        <v>18</v>
      </c>
      <c r="C893" s="20">
        <v>144</v>
      </c>
      <c r="D893" s="21" t="s">
        <v>151</v>
      </c>
      <c r="E893" s="26"/>
      <c r="F893" s="22">
        <v>12</v>
      </c>
      <c r="G893" s="23" t="s">
        <v>33</v>
      </c>
      <c r="H893" s="22">
        <v>12</v>
      </c>
      <c r="I893" s="23" t="s">
        <v>151</v>
      </c>
      <c r="J893" s="24">
        <v>11000</v>
      </c>
      <c r="K893" s="21" t="s">
        <v>151</v>
      </c>
      <c r="L893" s="25">
        <v>0.125</v>
      </c>
      <c r="M893" s="25">
        <v>0.05</v>
      </c>
      <c r="N893" s="22"/>
      <c r="O893" s="23" t="s">
        <v>151</v>
      </c>
      <c r="P893" s="20">
        <f t="shared" si="461"/>
        <v>144</v>
      </c>
      <c r="Q893" s="23" t="s">
        <v>151</v>
      </c>
      <c r="R893" s="24">
        <f t="shared" si="462"/>
        <v>1316700</v>
      </c>
      <c r="S893" s="8">
        <f t="shared" si="444"/>
        <v>1186216.2162162161</v>
      </c>
    </row>
    <row r="894" spans="1:19" s="19" customFormat="1">
      <c r="A894" s="18" t="s">
        <v>476</v>
      </c>
      <c r="B894" s="19" t="s">
        <v>18</v>
      </c>
      <c r="C894" s="20">
        <v>252</v>
      </c>
      <c r="D894" s="21" t="s">
        <v>151</v>
      </c>
      <c r="E894" s="26">
        <v>4</v>
      </c>
      <c r="F894" s="22">
        <v>12</v>
      </c>
      <c r="G894" s="23" t="s">
        <v>33</v>
      </c>
      <c r="H894" s="22">
        <v>24</v>
      </c>
      <c r="I894" s="23" t="s">
        <v>151</v>
      </c>
      <c r="J894" s="24">
        <v>5400</v>
      </c>
      <c r="K894" s="21" t="s">
        <v>151</v>
      </c>
      <c r="L894" s="25">
        <v>0.125</v>
      </c>
      <c r="M894" s="25">
        <v>0.05</v>
      </c>
      <c r="N894" s="22"/>
      <c r="O894" s="23" t="s">
        <v>151</v>
      </c>
      <c r="P894" s="20">
        <f t="shared" si="461"/>
        <v>1404</v>
      </c>
      <c r="Q894" s="23" t="s">
        <v>151</v>
      </c>
      <c r="R894" s="24">
        <f t="shared" si="462"/>
        <v>6302205</v>
      </c>
      <c r="S894" s="8">
        <f t="shared" si="444"/>
        <v>5677662.1621621614</v>
      </c>
    </row>
    <row r="895" spans="1:19" s="78" customFormat="1">
      <c r="A895" s="77" t="s">
        <v>477</v>
      </c>
      <c r="B895" s="78" t="s">
        <v>18</v>
      </c>
      <c r="C895" s="76"/>
      <c r="D895" s="79" t="s">
        <v>151</v>
      </c>
      <c r="E895" s="80"/>
      <c r="F895" s="81">
        <v>12</v>
      </c>
      <c r="G895" s="82" t="s">
        <v>33</v>
      </c>
      <c r="H895" s="81">
        <v>12</v>
      </c>
      <c r="I895" s="82" t="s">
        <v>151</v>
      </c>
      <c r="J895" s="83">
        <v>16900</v>
      </c>
      <c r="K895" s="79" t="s">
        <v>151</v>
      </c>
      <c r="L895" s="84">
        <v>0.125</v>
      </c>
      <c r="M895" s="84">
        <v>0.05</v>
      </c>
      <c r="N895" s="81"/>
      <c r="O895" s="82" t="s">
        <v>151</v>
      </c>
      <c r="P895" s="76">
        <f t="shared" si="461"/>
        <v>0</v>
      </c>
      <c r="Q895" s="82" t="s">
        <v>151</v>
      </c>
      <c r="R895" s="83">
        <f t="shared" si="462"/>
        <v>0</v>
      </c>
      <c r="S895" s="16">
        <f t="shared" si="444"/>
        <v>0</v>
      </c>
    </row>
    <row r="896" spans="1:19" s="78" customFormat="1">
      <c r="A896" s="77" t="s">
        <v>478</v>
      </c>
      <c r="B896" s="78" t="s">
        <v>18</v>
      </c>
      <c r="C896" s="76"/>
      <c r="D896" s="79" t="s">
        <v>151</v>
      </c>
      <c r="E896" s="80"/>
      <c r="F896" s="81">
        <v>12</v>
      </c>
      <c r="G896" s="82" t="s">
        <v>33</v>
      </c>
      <c r="H896" s="81">
        <v>6</v>
      </c>
      <c r="I896" s="82" t="s">
        <v>151</v>
      </c>
      <c r="J896" s="83">
        <v>33800</v>
      </c>
      <c r="K896" s="79" t="s">
        <v>151</v>
      </c>
      <c r="L896" s="84">
        <v>0.125</v>
      </c>
      <c r="M896" s="84">
        <v>0.05</v>
      </c>
      <c r="N896" s="81"/>
      <c r="O896" s="82" t="s">
        <v>151</v>
      </c>
      <c r="P896" s="76">
        <f t="shared" si="461"/>
        <v>0</v>
      </c>
      <c r="Q896" s="82" t="s">
        <v>151</v>
      </c>
      <c r="R896" s="83">
        <f t="shared" si="462"/>
        <v>0</v>
      </c>
      <c r="S896" s="16">
        <f t="shared" si="444"/>
        <v>0</v>
      </c>
    </row>
    <row r="897" spans="1:19" s="19" customFormat="1">
      <c r="A897" s="18"/>
      <c r="C897" s="20"/>
      <c r="D897" s="21"/>
      <c r="E897" s="26"/>
      <c r="F897" s="22"/>
      <c r="G897" s="23"/>
      <c r="H897" s="22"/>
      <c r="I897" s="23"/>
      <c r="J897" s="24"/>
      <c r="K897" s="21"/>
      <c r="L897" s="25"/>
      <c r="M897" s="25"/>
      <c r="N897" s="22"/>
      <c r="O897" s="23"/>
      <c r="P897" s="20"/>
      <c r="Q897" s="23"/>
      <c r="R897" s="24"/>
      <c r="S897" s="8"/>
    </row>
    <row r="898" spans="1:19" s="19" customFormat="1">
      <c r="A898" s="18" t="s">
        <v>479</v>
      </c>
      <c r="B898" s="19" t="s">
        <v>25</v>
      </c>
      <c r="C898" s="20">
        <v>166</v>
      </c>
      <c r="D898" s="21" t="s">
        <v>40</v>
      </c>
      <c r="E898" s="26">
        <v>19</v>
      </c>
      <c r="F898" s="22">
        <v>24</v>
      </c>
      <c r="G898" s="23" t="s">
        <v>33</v>
      </c>
      <c r="H898" s="22">
        <v>2</v>
      </c>
      <c r="I898" s="23" t="s">
        <v>40</v>
      </c>
      <c r="J898" s="24">
        <f>3801600/24/2</f>
        <v>79200</v>
      </c>
      <c r="K898" s="21" t="s">
        <v>40</v>
      </c>
      <c r="L898" s="25"/>
      <c r="M898" s="25">
        <v>0.17</v>
      </c>
      <c r="N898" s="22"/>
      <c r="O898" s="23" t="s">
        <v>40</v>
      </c>
      <c r="P898" s="20">
        <f t="shared" ref="P898:P899" si="466">(C898+(E898*F898*H898))-N898</f>
        <v>1078</v>
      </c>
      <c r="Q898" s="23" t="s">
        <v>40</v>
      </c>
      <c r="R898" s="24">
        <f t="shared" ref="R898:R899" si="467">P898*(J898-(J898*L898)-((J898-(J898*L898))*M898))</f>
        <v>70863408</v>
      </c>
      <c r="S898" s="24">
        <f t="shared" ref="S898:S899" si="468">R898/1.11</f>
        <v>63840908.108108103</v>
      </c>
    </row>
    <row r="899" spans="1:19" s="19" customFormat="1">
      <c r="A899" s="131" t="s">
        <v>480</v>
      </c>
      <c r="B899" s="19" t="s">
        <v>25</v>
      </c>
      <c r="C899" s="20"/>
      <c r="D899" s="21" t="s">
        <v>40</v>
      </c>
      <c r="E899" s="26">
        <v>100</v>
      </c>
      <c r="F899" s="22">
        <v>1</v>
      </c>
      <c r="G899" s="23" t="s">
        <v>20</v>
      </c>
      <c r="H899" s="22">
        <v>24</v>
      </c>
      <c r="I899" s="23" t="s">
        <v>40</v>
      </c>
      <c r="J899" s="24">
        <f>2980800/24</f>
        <v>124200</v>
      </c>
      <c r="K899" s="21" t="s">
        <v>40</v>
      </c>
      <c r="L899" s="130">
        <v>0.03</v>
      </c>
      <c r="M899" s="25">
        <v>0.17</v>
      </c>
      <c r="N899" s="22"/>
      <c r="O899" s="23" t="s">
        <v>40</v>
      </c>
      <c r="P899" s="20">
        <f t="shared" si="466"/>
        <v>2400</v>
      </c>
      <c r="Q899" s="23" t="s">
        <v>40</v>
      </c>
      <c r="R899" s="24">
        <f t="shared" si="467"/>
        <v>239984208</v>
      </c>
      <c r="S899" s="24">
        <f t="shared" si="468"/>
        <v>216201989.18918917</v>
      </c>
    </row>
    <row r="900" spans="1:19" s="19" customFormat="1">
      <c r="A900" s="131" t="s">
        <v>480</v>
      </c>
      <c r="B900" s="19" t="s">
        <v>25</v>
      </c>
      <c r="C900" s="20">
        <v>184</v>
      </c>
      <c r="D900" s="21" t="s">
        <v>40</v>
      </c>
      <c r="E900" s="26">
        <v>34</v>
      </c>
      <c r="F900" s="22">
        <v>1</v>
      </c>
      <c r="G900" s="23" t="s">
        <v>20</v>
      </c>
      <c r="H900" s="22">
        <v>24</v>
      </c>
      <c r="I900" s="23" t="s">
        <v>40</v>
      </c>
      <c r="J900" s="24">
        <f>2980800/24</f>
        <v>124200</v>
      </c>
      <c r="K900" s="21" t="s">
        <v>40</v>
      </c>
      <c r="L900" s="130"/>
      <c r="M900" s="25">
        <v>0.17</v>
      </c>
      <c r="N900" s="22"/>
      <c r="O900" s="23" t="s">
        <v>40</v>
      </c>
      <c r="P900" s="20">
        <f t="shared" ref="P900:P911" si="469">(C900+(E900*F900*H900))-N900</f>
        <v>1000</v>
      </c>
      <c r="Q900" s="23" t="s">
        <v>40</v>
      </c>
      <c r="R900" s="24">
        <f t="shared" ref="R900:R911" si="470">P900*(J900-(J900*L900)-((J900-(J900*L900))*M900))</f>
        <v>103086000</v>
      </c>
      <c r="S900" s="24">
        <f t="shared" si="444"/>
        <v>92870270.270270258</v>
      </c>
    </row>
    <row r="901" spans="1:19">
      <c r="A901" s="17" t="s">
        <v>481</v>
      </c>
      <c r="B901" s="2" t="s">
        <v>25</v>
      </c>
      <c r="D901" s="4" t="s">
        <v>40</v>
      </c>
      <c r="E901" s="5">
        <v>8</v>
      </c>
      <c r="F901" s="6">
        <v>1</v>
      </c>
      <c r="G901" s="7" t="s">
        <v>20</v>
      </c>
      <c r="H901" s="6">
        <v>12</v>
      </c>
      <c r="I901" s="7" t="s">
        <v>40</v>
      </c>
      <c r="J901" s="8">
        <f>2980800/12</f>
        <v>248400</v>
      </c>
      <c r="K901" s="4" t="s">
        <v>40</v>
      </c>
      <c r="M901" s="9">
        <v>0.17</v>
      </c>
      <c r="O901" s="7" t="s">
        <v>40</v>
      </c>
      <c r="P901" s="3">
        <f t="shared" si="469"/>
        <v>96</v>
      </c>
      <c r="Q901" s="7" t="s">
        <v>40</v>
      </c>
      <c r="R901" s="8">
        <f t="shared" si="470"/>
        <v>19792512</v>
      </c>
      <c r="S901" s="8">
        <f t="shared" si="444"/>
        <v>17831091.891891889</v>
      </c>
    </row>
    <row r="902" spans="1:19">
      <c r="A902" s="17" t="s">
        <v>677</v>
      </c>
      <c r="B902" s="2" t="s">
        <v>25</v>
      </c>
      <c r="C902" s="3">
        <v>106</v>
      </c>
      <c r="D902" s="4" t="s">
        <v>151</v>
      </c>
      <c r="E902" s="5">
        <v>1</v>
      </c>
      <c r="F902" s="6">
        <v>20</v>
      </c>
      <c r="G902" s="7" t="s">
        <v>33</v>
      </c>
      <c r="H902" s="6">
        <v>4</v>
      </c>
      <c r="I902" s="7" t="s">
        <v>151</v>
      </c>
      <c r="J902" s="8">
        <f>2640000/20/4</f>
        <v>33000</v>
      </c>
      <c r="K902" s="4" t="s">
        <v>151</v>
      </c>
      <c r="M902" s="9">
        <v>0.17</v>
      </c>
      <c r="O902" s="7" t="s">
        <v>151</v>
      </c>
      <c r="P902" s="3">
        <f t="shared" si="469"/>
        <v>186</v>
      </c>
      <c r="Q902" s="7" t="s">
        <v>151</v>
      </c>
      <c r="R902" s="8">
        <f t="shared" si="470"/>
        <v>5094540</v>
      </c>
      <c r="S902" s="8">
        <f>R902/1.11</f>
        <v>4589675.6756756753</v>
      </c>
    </row>
    <row r="903" spans="1:19" s="69" customFormat="1">
      <c r="A903" s="68" t="s">
        <v>482</v>
      </c>
      <c r="B903" s="69" t="s">
        <v>25</v>
      </c>
      <c r="C903" s="70"/>
      <c r="D903" s="71" t="s">
        <v>40</v>
      </c>
      <c r="E903" s="72">
        <v>5</v>
      </c>
      <c r="F903" s="73">
        <v>1</v>
      </c>
      <c r="G903" s="74" t="s">
        <v>20</v>
      </c>
      <c r="H903" s="73">
        <v>24</v>
      </c>
      <c r="I903" s="74" t="s">
        <v>40</v>
      </c>
      <c r="J903" s="16">
        <f>2448000/24</f>
        <v>102000</v>
      </c>
      <c r="K903" s="71" t="s">
        <v>40</v>
      </c>
      <c r="L903" s="75"/>
      <c r="M903" s="75">
        <v>0.17</v>
      </c>
      <c r="N903" s="73"/>
      <c r="O903" s="74" t="s">
        <v>40</v>
      </c>
      <c r="P903" s="70">
        <f t="shared" si="469"/>
        <v>120</v>
      </c>
      <c r="Q903" s="74" t="s">
        <v>40</v>
      </c>
      <c r="R903" s="16">
        <f t="shared" si="470"/>
        <v>10159200</v>
      </c>
      <c r="S903" s="16">
        <f t="shared" si="444"/>
        <v>9152432.4324324317</v>
      </c>
    </row>
    <row r="904" spans="1:19">
      <c r="A904" s="159" t="s">
        <v>483</v>
      </c>
      <c r="B904" s="2" t="s">
        <v>25</v>
      </c>
      <c r="D904" s="4" t="s">
        <v>40</v>
      </c>
      <c r="E904" s="5">
        <v>17</v>
      </c>
      <c r="F904" s="6">
        <v>1</v>
      </c>
      <c r="G904" s="7" t="s">
        <v>20</v>
      </c>
      <c r="H904" s="6">
        <v>16</v>
      </c>
      <c r="I904" s="7" t="s">
        <v>40</v>
      </c>
      <c r="J904" s="8">
        <v>126000</v>
      </c>
      <c r="K904" s="4" t="s">
        <v>40</v>
      </c>
      <c r="M904" s="9">
        <v>0.17</v>
      </c>
      <c r="O904" s="7" t="s">
        <v>40</v>
      </c>
      <c r="P904" s="3">
        <f t="shared" ref="P904" si="471">(C904+(E904*F904*H904))-N904</f>
        <v>272</v>
      </c>
      <c r="Q904" s="7" t="s">
        <v>40</v>
      </c>
      <c r="R904" s="8">
        <f t="shared" ref="R904" si="472">P904*(J904-(J904*L904)-((J904-(J904*L904))*M904))</f>
        <v>28445760</v>
      </c>
      <c r="S904" s="8">
        <f t="shared" ref="S904" si="473">R904/1.11</f>
        <v>25626810.810810808</v>
      </c>
    </row>
    <row r="905" spans="1:19">
      <c r="A905" s="17" t="s">
        <v>483</v>
      </c>
      <c r="B905" s="2" t="s">
        <v>25</v>
      </c>
      <c r="C905" s="3">
        <v>10</v>
      </c>
      <c r="D905" s="4" t="s">
        <v>40</v>
      </c>
      <c r="F905" s="6">
        <v>1</v>
      </c>
      <c r="G905" s="7" t="s">
        <v>20</v>
      </c>
      <c r="H905" s="6">
        <v>16</v>
      </c>
      <c r="I905" s="7" t="s">
        <v>40</v>
      </c>
      <c r="J905" s="8">
        <f>1824000/16</f>
        <v>114000</v>
      </c>
      <c r="K905" s="4" t="s">
        <v>40</v>
      </c>
      <c r="M905" s="9">
        <v>0.17</v>
      </c>
      <c r="O905" s="7" t="s">
        <v>40</v>
      </c>
      <c r="P905" s="3">
        <f t="shared" si="469"/>
        <v>10</v>
      </c>
      <c r="Q905" s="7" t="s">
        <v>40</v>
      </c>
      <c r="R905" s="8">
        <f t="shared" si="470"/>
        <v>946200</v>
      </c>
      <c r="S905" s="8">
        <f t="shared" si="444"/>
        <v>852432.43243243231</v>
      </c>
    </row>
    <row r="906" spans="1:19" s="69" customFormat="1">
      <c r="A906" s="68" t="s">
        <v>680</v>
      </c>
      <c r="B906" s="69" t="s">
        <v>25</v>
      </c>
      <c r="C906" s="70"/>
      <c r="D906" s="71" t="s">
        <v>151</v>
      </c>
      <c r="E906" s="72">
        <v>1</v>
      </c>
      <c r="F906" s="73">
        <v>24</v>
      </c>
      <c r="G906" s="74" t="s">
        <v>33</v>
      </c>
      <c r="H906" s="73">
        <v>6</v>
      </c>
      <c r="I906" s="74" t="s">
        <v>151</v>
      </c>
      <c r="J906" s="16">
        <f>2448000/24/6</f>
        <v>17000</v>
      </c>
      <c r="K906" s="71" t="s">
        <v>151</v>
      </c>
      <c r="L906" s="75"/>
      <c r="M906" s="75">
        <v>0.17</v>
      </c>
      <c r="N906" s="73"/>
      <c r="O906" s="74" t="s">
        <v>151</v>
      </c>
      <c r="P906" s="70">
        <f t="shared" si="469"/>
        <v>144</v>
      </c>
      <c r="Q906" s="74" t="s">
        <v>151</v>
      </c>
      <c r="R906" s="16">
        <f t="shared" si="470"/>
        <v>2031840</v>
      </c>
      <c r="S906" s="16">
        <f t="shared" si="444"/>
        <v>1830486.4864864864</v>
      </c>
    </row>
    <row r="907" spans="1:19">
      <c r="A907" s="17" t="s">
        <v>484</v>
      </c>
      <c r="B907" s="2" t="s">
        <v>25</v>
      </c>
      <c r="D907" s="4" t="s">
        <v>151</v>
      </c>
      <c r="E907" s="5">
        <v>3</v>
      </c>
      <c r="F907" s="6">
        <v>10</v>
      </c>
      <c r="G907" s="7" t="s">
        <v>40</v>
      </c>
      <c r="H907" s="6">
        <v>12</v>
      </c>
      <c r="I907" s="7" t="s">
        <v>151</v>
      </c>
      <c r="J907" s="8">
        <f>2040000/10/12</f>
        <v>17000</v>
      </c>
      <c r="K907" s="4" t="s">
        <v>151</v>
      </c>
      <c r="M907" s="9">
        <v>0.17</v>
      </c>
      <c r="O907" s="7" t="s">
        <v>151</v>
      </c>
      <c r="P907" s="3">
        <f t="shared" si="469"/>
        <v>360</v>
      </c>
      <c r="Q907" s="7" t="s">
        <v>151</v>
      </c>
      <c r="R907" s="8">
        <f t="shared" si="470"/>
        <v>5079600</v>
      </c>
      <c r="S907" s="8">
        <f t="shared" si="444"/>
        <v>4576216.2162162159</v>
      </c>
    </row>
    <row r="908" spans="1:19" s="85" customFormat="1">
      <c r="A908" s="104" t="s">
        <v>485</v>
      </c>
      <c r="B908" s="85" t="s">
        <v>25</v>
      </c>
      <c r="C908" s="88"/>
      <c r="D908" s="89" t="s">
        <v>151</v>
      </c>
      <c r="E908" s="90">
        <v>3</v>
      </c>
      <c r="F908" s="91">
        <v>10</v>
      </c>
      <c r="G908" s="92" t="s">
        <v>33</v>
      </c>
      <c r="H908" s="91">
        <v>6</v>
      </c>
      <c r="I908" s="92" t="s">
        <v>151</v>
      </c>
      <c r="J908" s="93">
        <f>2040000/10/6</f>
        <v>34000</v>
      </c>
      <c r="K908" s="89" t="s">
        <v>151</v>
      </c>
      <c r="L908" s="94"/>
      <c r="M908" s="94">
        <v>0.17</v>
      </c>
      <c r="N908" s="91"/>
      <c r="O908" s="92" t="s">
        <v>151</v>
      </c>
      <c r="P908" s="88">
        <f t="shared" si="469"/>
        <v>180</v>
      </c>
      <c r="Q908" s="92" t="s">
        <v>151</v>
      </c>
      <c r="R908" s="93">
        <f t="shared" si="470"/>
        <v>5079600</v>
      </c>
      <c r="S908" s="93">
        <f t="shared" si="444"/>
        <v>4576216.2162162159</v>
      </c>
    </row>
    <row r="909" spans="1:19" s="95" customFormat="1">
      <c r="A909" s="87" t="s">
        <v>486</v>
      </c>
      <c r="B909" s="95" t="s">
        <v>25</v>
      </c>
      <c r="C909" s="96"/>
      <c r="D909" s="97" t="s">
        <v>151</v>
      </c>
      <c r="E909" s="98">
        <v>8</v>
      </c>
      <c r="F909" s="99">
        <v>24</v>
      </c>
      <c r="G909" s="100" t="s">
        <v>40</v>
      </c>
      <c r="H909" s="99">
        <v>12</v>
      </c>
      <c r="I909" s="100" t="s">
        <v>151</v>
      </c>
      <c r="J909" s="101">
        <f>3571200/24/12</f>
        <v>12400</v>
      </c>
      <c r="K909" s="97" t="s">
        <v>151</v>
      </c>
      <c r="L909" s="102"/>
      <c r="M909" s="102">
        <v>0.17</v>
      </c>
      <c r="N909" s="99"/>
      <c r="O909" s="100" t="s">
        <v>151</v>
      </c>
      <c r="P909" s="96">
        <f t="shared" si="469"/>
        <v>2304</v>
      </c>
      <c r="Q909" s="100" t="s">
        <v>151</v>
      </c>
      <c r="R909" s="101">
        <f t="shared" si="470"/>
        <v>23712768</v>
      </c>
      <c r="S909" s="93">
        <f t="shared" si="444"/>
        <v>21362854.054054052</v>
      </c>
    </row>
    <row r="910" spans="1:19" s="95" customFormat="1">
      <c r="A910" s="87" t="s">
        <v>487</v>
      </c>
      <c r="B910" s="95" t="s">
        <v>25</v>
      </c>
      <c r="C910" s="96"/>
      <c r="D910" s="97" t="s">
        <v>151</v>
      </c>
      <c r="E910" s="98">
        <v>3</v>
      </c>
      <c r="F910" s="99">
        <v>16</v>
      </c>
      <c r="G910" s="100" t="s">
        <v>40</v>
      </c>
      <c r="H910" s="99">
        <v>12</v>
      </c>
      <c r="I910" s="100" t="s">
        <v>151</v>
      </c>
      <c r="J910" s="101">
        <f>3648000/16/12</f>
        <v>19000</v>
      </c>
      <c r="K910" s="97" t="s">
        <v>151</v>
      </c>
      <c r="L910" s="102"/>
      <c r="M910" s="102">
        <v>0.17</v>
      </c>
      <c r="N910" s="99"/>
      <c r="O910" s="100" t="s">
        <v>151</v>
      </c>
      <c r="P910" s="96">
        <f t="shared" si="469"/>
        <v>576</v>
      </c>
      <c r="Q910" s="100" t="s">
        <v>151</v>
      </c>
      <c r="R910" s="101">
        <f t="shared" si="470"/>
        <v>9083520</v>
      </c>
      <c r="S910" s="93">
        <f t="shared" si="444"/>
        <v>8183351.3513513505</v>
      </c>
    </row>
    <row r="911" spans="1:19" s="69" customFormat="1">
      <c r="A911" s="68" t="s">
        <v>488</v>
      </c>
      <c r="B911" s="69" t="s">
        <v>25</v>
      </c>
      <c r="C911" s="70"/>
      <c r="D911" s="71" t="s">
        <v>151</v>
      </c>
      <c r="E911" s="72"/>
      <c r="F911" s="73">
        <v>24</v>
      </c>
      <c r="G911" s="74" t="s">
        <v>33</v>
      </c>
      <c r="H911" s="73">
        <v>6</v>
      </c>
      <c r="I911" s="74" t="s">
        <v>151</v>
      </c>
      <c r="J911" s="16">
        <v>22000</v>
      </c>
      <c r="K911" s="71" t="s">
        <v>151</v>
      </c>
      <c r="L911" s="75"/>
      <c r="M911" s="75">
        <v>0.17</v>
      </c>
      <c r="N911" s="73"/>
      <c r="O911" s="74" t="s">
        <v>151</v>
      </c>
      <c r="P911" s="70">
        <f t="shared" si="469"/>
        <v>0</v>
      </c>
      <c r="Q911" s="74" t="s">
        <v>151</v>
      </c>
      <c r="R911" s="16">
        <f t="shared" si="470"/>
        <v>0</v>
      </c>
      <c r="S911" s="16">
        <f t="shared" si="444"/>
        <v>0</v>
      </c>
    </row>
    <row r="913" spans="1:19">
      <c r="A913" s="18" t="s">
        <v>879</v>
      </c>
      <c r="B913" s="2" t="s">
        <v>260</v>
      </c>
      <c r="D913" s="4" t="s">
        <v>151</v>
      </c>
      <c r="E913" s="5">
        <v>1</v>
      </c>
      <c r="F913" s="6">
        <v>1</v>
      </c>
      <c r="G913" s="7" t="s">
        <v>20</v>
      </c>
      <c r="H913" s="6">
        <v>144</v>
      </c>
      <c r="I913" s="7" t="s">
        <v>151</v>
      </c>
      <c r="J913" s="8">
        <v>18500</v>
      </c>
      <c r="K913" s="4" t="s">
        <v>151</v>
      </c>
      <c r="O913" s="74" t="s">
        <v>151</v>
      </c>
      <c r="P913" s="70">
        <f t="shared" ref="P913" si="474">(C913+(E913*F913*H913))-N913</f>
        <v>144</v>
      </c>
      <c r="Q913" s="74" t="s">
        <v>151</v>
      </c>
      <c r="R913" s="16">
        <f t="shared" ref="R913" si="475">P913*(J913-(J913*L913)-((J913-(J913*L913))*M913))</f>
        <v>2664000</v>
      </c>
      <c r="S913" s="16">
        <f t="shared" ref="S913" si="476">R913/1.11</f>
        <v>2400000</v>
      </c>
    </row>
    <row r="914" spans="1:19">
      <c r="A914" s="18" t="s">
        <v>880</v>
      </c>
      <c r="B914" s="2" t="s">
        <v>260</v>
      </c>
      <c r="D914" s="4" t="s">
        <v>151</v>
      </c>
      <c r="E914" s="5">
        <v>1</v>
      </c>
      <c r="F914" s="6">
        <v>1</v>
      </c>
      <c r="G914" s="7" t="s">
        <v>20</v>
      </c>
      <c r="H914" s="6">
        <v>240</v>
      </c>
      <c r="I914" s="7" t="s">
        <v>151</v>
      </c>
      <c r="J914" s="8">
        <v>8800</v>
      </c>
      <c r="K914" s="4" t="s">
        <v>151</v>
      </c>
      <c r="O914" s="74" t="s">
        <v>151</v>
      </c>
      <c r="P914" s="70">
        <f t="shared" ref="P914:P916" si="477">(C914+(E914*F914*H914))-N914</f>
        <v>240</v>
      </c>
      <c r="Q914" s="74" t="s">
        <v>151</v>
      </c>
      <c r="R914" s="16">
        <f t="shared" ref="R914:R916" si="478">P914*(J914-(J914*L914)-((J914-(J914*L914))*M914))</f>
        <v>2112000</v>
      </c>
      <c r="S914" s="16">
        <f t="shared" ref="S914:S916" si="479">R914/1.11</f>
        <v>1902702.7027027025</v>
      </c>
    </row>
    <row r="915" spans="1:19">
      <c r="A915" s="18" t="s">
        <v>881</v>
      </c>
      <c r="B915" s="2" t="s">
        <v>260</v>
      </c>
      <c r="D915" s="4" t="s">
        <v>151</v>
      </c>
      <c r="E915" s="5">
        <v>2</v>
      </c>
      <c r="F915" s="6">
        <v>1</v>
      </c>
      <c r="G915" s="7" t="s">
        <v>20</v>
      </c>
      <c r="H915" s="6">
        <v>288</v>
      </c>
      <c r="I915" s="7" t="s">
        <v>151</v>
      </c>
      <c r="J915" s="8">
        <v>10800</v>
      </c>
      <c r="K915" s="4" t="s">
        <v>151</v>
      </c>
      <c r="O915" s="74" t="s">
        <v>151</v>
      </c>
      <c r="P915" s="70">
        <f t="shared" si="477"/>
        <v>576</v>
      </c>
      <c r="Q915" s="74" t="s">
        <v>151</v>
      </c>
      <c r="R915" s="16">
        <f t="shared" si="478"/>
        <v>6220800</v>
      </c>
      <c r="S915" s="16">
        <f t="shared" si="479"/>
        <v>5604324.3243243238</v>
      </c>
    </row>
    <row r="916" spans="1:19">
      <c r="A916" s="18" t="s">
        <v>1002</v>
      </c>
      <c r="B916" s="2" t="s">
        <v>260</v>
      </c>
      <c r="D916" s="4" t="s">
        <v>151</v>
      </c>
      <c r="E916" s="5">
        <v>5</v>
      </c>
      <c r="F916" s="6">
        <v>1</v>
      </c>
      <c r="G916" s="7" t="s">
        <v>20</v>
      </c>
      <c r="H916" s="6">
        <v>360</v>
      </c>
      <c r="I916" s="7" t="s">
        <v>931</v>
      </c>
      <c r="J916" s="8">
        <v>8100</v>
      </c>
      <c r="K916" s="4" t="s">
        <v>931</v>
      </c>
      <c r="O916" s="74" t="s">
        <v>931</v>
      </c>
      <c r="P916" s="70">
        <f t="shared" si="477"/>
        <v>1800</v>
      </c>
      <c r="Q916" s="74" t="s">
        <v>931</v>
      </c>
      <c r="R916" s="16">
        <f t="shared" si="478"/>
        <v>14580000</v>
      </c>
      <c r="S916" s="16">
        <f t="shared" si="479"/>
        <v>13135135.135135135</v>
      </c>
    </row>
    <row r="917" spans="1:19">
      <c r="A917" s="18" t="s">
        <v>1003</v>
      </c>
      <c r="B917" s="2" t="s">
        <v>260</v>
      </c>
      <c r="D917" s="4" t="s">
        <v>151</v>
      </c>
      <c r="E917" s="5">
        <v>1</v>
      </c>
      <c r="F917" s="6">
        <v>1</v>
      </c>
      <c r="G917" s="7" t="s">
        <v>20</v>
      </c>
      <c r="H917" s="6">
        <v>360</v>
      </c>
      <c r="I917" s="7" t="s">
        <v>931</v>
      </c>
      <c r="J917" s="8">
        <v>7700</v>
      </c>
      <c r="K917" s="4" t="s">
        <v>931</v>
      </c>
      <c r="O917" s="74" t="s">
        <v>931</v>
      </c>
      <c r="P917" s="70">
        <f t="shared" ref="P917:P921" si="480">(C917+(E917*F917*H917))-N917</f>
        <v>360</v>
      </c>
      <c r="Q917" s="74" t="s">
        <v>931</v>
      </c>
      <c r="R917" s="16">
        <f t="shared" ref="R917:R921" si="481">P917*(J917-(J917*L917)-((J917-(J917*L917))*M917))</f>
        <v>2772000</v>
      </c>
      <c r="S917" s="16">
        <f t="shared" ref="S917:S921" si="482">R917/1.11</f>
        <v>2497297.297297297</v>
      </c>
    </row>
    <row r="918" spans="1:19">
      <c r="A918" s="18" t="s">
        <v>1004</v>
      </c>
      <c r="B918" s="2" t="s">
        <v>260</v>
      </c>
      <c r="D918" s="4" t="s">
        <v>151</v>
      </c>
      <c r="E918" s="5">
        <v>1</v>
      </c>
      <c r="F918" s="6">
        <v>1</v>
      </c>
      <c r="G918" s="7" t="s">
        <v>20</v>
      </c>
      <c r="H918" s="6">
        <v>360</v>
      </c>
      <c r="I918" s="7" t="s">
        <v>931</v>
      </c>
      <c r="J918" s="8">
        <v>7700</v>
      </c>
      <c r="K918" s="4" t="s">
        <v>931</v>
      </c>
      <c r="O918" s="74" t="s">
        <v>931</v>
      </c>
      <c r="P918" s="70">
        <f t="shared" si="480"/>
        <v>360</v>
      </c>
      <c r="Q918" s="74" t="s">
        <v>931</v>
      </c>
      <c r="R918" s="16">
        <f t="shared" si="481"/>
        <v>2772000</v>
      </c>
      <c r="S918" s="16">
        <f t="shared" si="482"/>
        <v>2497297.297297297</v>
      </c>
    </row>
    <row r="919" spans="1:19">
      <c r="A919" s="18" t="s">
        <v>1005</v>
      </c>
      <c r="B919" s="2" t="s">
        <v>260</v>
      </c>
      <c r="D919" s="4" t="s">
        <v>151</v>
      </c>
      <c r="E919" s="5">
        <v>1</v>
      </c>
      <c r="F919" s="6">
        <v>1</v>
      </c>
      <c r="G919" s="7" t="s">
        <v>20</v>
      </c>
      <c r="H919" s="6">
        <v>360</v>
      </c>
      <c r="I919" s="7" t="s">
        <v>931</v>
      </c>
      <c r="J919" s="8">
        <v>7700</v>
      </c>
      <c r="K919" s="4" t="s">
        <v>931</v>
      </c>
      <c r="O919" s="74" t="s">
        <v>931</v>
      </c>
      <c r="P919" s="70">
        <f t="shared" si="480"/>
        <v>360</v>
      </c>
      <c r="Q919" s="74" t="s">
        <v>931</v>
      </c>
      <c r="R919" s="16">
        <f t="shared" si="481"/>
        <v>2772000</v>
      </c>
      <c r="S919" s="16">
        <f t="shared" si="482"/>
        <v>2497297.297297297</v>
      </c>
    </row>
    <row r="920" spans="1:19">
      <c r="A920" s="18" t="s">
        <v>1006</v>
      </c>
      <c r="B920" s="2" t="s">
        <v>260</v>
      </c>
      <c r="D920" s="4" t="s">
        <v>151</v>
      </c>
      <c r="E920" s="5">
        <v>1</v>
      </c>
      <c r="F920" s="6">
        <v>1</v>
      </c>
      <c r="G920" s="7" t="s">
        <v>20</v>
      </c>
      <c r="H920" s="6">
        <v>360</v>
      </c>
      <c r="I920" s="7" t="s">
        <v>931</v>
      </c>
      <c r="J920" s="8">
        <v>7700</v>
      </c>
      <c r="K920" s="4" t="s">
        <v>931</v>
      </c>
      <c r="O920" s="74" t="s">
        <v>931</v>
      </c>
      <c r="P920" s="70">
        <f t="shared" si="480"/>
        <v>360</v>
      </c>
      <c r="Q920" s="74" t="s">
        <v>931</v>
      </c>
      <c r="R920" s="16">
        <f t="shared" si="481"/>
        <v>2772000</v>
      </c>
      <c r="S920" s="16">
        <f t="shared" si="482"/>
        <v>2497297.297297297</v>
      </c>
    </row>
    <row r="921" spans="1:19">
      <c r="A921" s="18" t="s">
        <v>1007</v>
      </c>
      <c r="B921" s="2" t="s">
        <v>260</v>
      </c>
      <c r="D921" s="4" t="s">
        <v>151</v>
      </c>
      <c r="E921" s="5">
        <v>1</v>
      </c>
      <c r="F921" s="6">
        <v>1</v>
      </c>
      <c r="G921" s="7" t="s">
        <v>20</v>
      </c>
      <c r="H921" s="6">
        <v>360</v>
      </c>
      <c r="I921" s="7" t="s">
        <v>931</v>
      </c>
      <c r="J921" s="8">
        <v>7700</v>
      </c>
      <c r="K921" s="4" t="s">
        <v>931</v>
      </c>
      <c r="O921" s="74" t="s">
        <v>931</v>
      </c>
      <c r="P921" s="70">
        <f t="shared" si="480"/>
        <v>360</v>
      </c>
      <c r="Q921" s="74" t="s">
        <v>931</v>
      </c>
      <c r="R921" s="16">
        <f t="shared" si="481"/>
        <v>2772000</v>
      </c>
      <c r="S921" s="16">
        <f t="shared" si="482"/>
        <v>2497297.297297297</v>
      </c>
    </row>
    <row r="922" spans="1:19">
      <c r="A922" s="18"/>
      <c r="O922" s="74"/>
      <c r="P922" s="70"/>
      <c r="Q922" s="74"/>
      <c r="R922" s="16"/>
      <c r="S922" s="16"/>
    </row>
    <row r="923" spans="1:19">
      <c r="A923" s="18" t="s">
        <v>977</v>
      </c>
      <c r="B923" s="2" t="s">
        <v>171</v>
      </c>
      <c r="D923" s="4" t="s">
        <v>151</v>
      </c>
      <c r="E923" s="5">
        <v>5</v>
      </c>
      <c r="F923" s="6">
        <v>1</v>
      </c>
      <c r="G923" s="7" t="s">
        <v>20</v>
      </c>
      <c r="H923" s="6">
        <v>240</v>
      </c>
      <c r="I923" s="7" t="s">
        <v>151</v>
      </c>
      <c r="J923" s="8">
        <v>4850</v>
      </c>
      <c r="K923" s="4" t="s">
        <v>151</v>
      </c>
      <c r="M923" s="9">
        <v>7.0000000000000007E-2</v>
      </c>
      <c r="O923" s="74" t="s">
        <v>151</v>
      </c>
      <c r="P923" s="70">
        <f t="shared" ref="P923" si="483">(C923+(E923*F923*H923))-N923</f>
        <v>1200</v>
      </c>
      <c r="Q923" s="74" t="s">
        <v>151</v>
      </c>
      <c r="R923" s="16">
        <f t="shared" ref="R923" si="484">P923*(J923-(J923*L923)-((J923-(J923*L923))*M923))</f>
        <v>5412600</v>
      </c>
      <c r="S923" s="16">
        <f t="shared" ref="S923" si="485">R923/1.11</f>
        <v>4876216.2162162159</v>
      </c>
    </row>
    <row r="925" spans="1:19" ht="15.75">
      <c r="A925" s="14" t="s">
        <v>489</v>
      </c>
    </row>
    <row r="926" spans="1:19">
      <c r="A926" s="17" t="s">
        <v>490</v>
      </c>
      <c r="B926" s="2" t="s">
        <v>18</v>
      </c>
      <c r="C926" s="3">
        <v>72</v>
      </c>
      <c r="D926" s="4" t="s">
        <v>19</v>
      </c>
      <c r="F926" s="6">
        <v>12</v>
      </c>
      <c r="G926" s="7" t="s">
        <v>33</v>
      </c>
      <c r="H926" s="6">
        <v>24</v>
      </c>
      <c r="I926" s="7" t="s">
        <v>19</v>
      </c>
      <c r="J926" s="8">
        <v>3550</v>
      </c>
      <c r="K926" s="4" t="s">
        <v>19</v>
      </c>
      <c r="L926" s="9">
        <v>0.125</v>
      </c>
      <c r="M926" s="9">
        <v>0.05</v>
      </c>
      <c r="O926" s="7" t="s">
        <v>19</v>
      </c>
      <c r="P926" s="3">
        <f t="shared" ref="P926:P931" si="486">(C926+(E926*F926*H926))-N926</f>
        <v>72</v>
      </c>
      <c r="Q926" s="7" t="s">
        <v>19</v>
      </c>
      <c r="R926" s="8">
        <f t="shared" ref="R926:R931" si="487">P926*(J926-(J926*L926)-((J926-(J926*L926))*M926))</f>
        <v>212467.5</v>
      </c>
      <c r="S926" s="8">
        <f t="shared" si="444"/>
        <v>191412.16216216216</v>
      </c>
    </row>
    <row r="927" spans="1:19" s="19" customFormat="1">
      <c r="A927" s="28" t="s">
        <v>824</v>
      </c>
      <c r="B927" s="19" t="s">
        <v>18</v>
      </c>
      <c r="C927" s="20"/>
      <c r="D927" s="21" t="s">
        <v>19</v>
      </c>
      <c r="E927" s="26">
        <v>1</v>
      </c>
      <c r="F927" s="22">
        <v>1</v>
      </c>
      <c r="G927" s="23" t="s">
        <v>20</v>
      </c>
      <c r="H927" s="22">
        <v>288</v>
      </c>
      <c r="I927" s="23" t="s">
        <v>19</v>
      </c>
      <c r="J927" s="29">
        <v>4000</v>
      </c>
      <c r="K927" s="21" t="s">
        <v>19</v>
      </c>
      <c r="L927" s="25">
        <v>0.125</v>
      </c>
      <c r="M927" s="25">
        <v>0.05</v>
      </c>
      <c r="N927" s="22"/>
      <c r="O927" s="23" t="s">
        <v>19</v>
      </c>
      <c r="P927" s="20">
        <f t="shared" si="486"/>
        <v>288</v>
      </c>
      <c r="Q927" s="23" t="s">
        <v>19</v>
      </c>
      <c r="R927" s="24">
        <f t="shared" si="487"/>
        <v>957600</v>
      </c>
      <c r="S927" s="24">
        <f t="shared" ref="S927" si="488">R927/1.11</f>
        <v>862702.70270270261</v>
      </c>
    </row>
    <row r="928" spans="1:19" s="19" customFormat="1">
      <c r="A928" s="28" t="s">
        <v>491</v>
      </c>
      <c r="B928" s="19" t="s">
        <v>18</v>
      </c>
      <c r="C928" s="20">
        <v>276</v>
      </c>
      <c r="D928" s="21" t="s">
        <v>19</v>
      </c>
      <c r="E928" s="26"/>
      <c r="F928" s="22">
        <v>1</v>
      </c>
      <c r="G928" s="23" t="s">
        <v>20</v>
      </c>
      <c r="H928" s="22">
        <v>288</v>
      </c>
      <c r="I928" s="23" t="s">
        <v>19</v>
      </c>
      <c r="J928" s="29">
        <v>3550</v>
      </c>
      <c r="K928" s="21" t="s">
        <v>19</v>
      </c>
      <c r="L928" s="25">
        <v>0.125</v>
      </c>
      <c r="M928" s="25">
        <v>0.05</v>
      </c>
      <c r="N928" s="22"/>
      <c r="O928" s="23" t="s">
        <v>19</v>
      </c>
      <c r="P928" s="20">
        <f t="shared" si="486"/>
        <v>276</v>
      </c>
      <c r="Q928" s="23" t="s">
        <v>19</v>
      </c>
      <c r="R928" s="24">
        <f t="shared" si="487"/>
        <v>814458.75</v>
      </c>
      <c r="S928" s="24">
        <f t="shared" si="444"/>
        <v>733746.62162162154</v>
      </c>
    </row>
    <row r="929" spans="1:19" s="19" customFormat="1">
      <c r="A929" s="159" t="s">
        <v>491</v>
      </c>
      <c r="B929" s="19" t="s">
        <v>18</v>
      </c>
      <c r="C929" s="20">
        <v>276</v>
      </c>
      <c r="D929" s="21" t="s">
        <v>19</v>
      </c>
      <c r="E929" s="26">
        <v>1</v>
      </c>
      <c r="F929" s="22">
        <v>1</v>
      </c>
      <c r="G929" s="23" t="s">
        <v>20</v>
      </c>
      <c r="H929" s="22">
        <v>288</v>
      </c>
      <c r="I929" s="23" t="s">
        <v>19</v>
      </c>
      <c r="J929" s="29">
        <v>4000</v>
      </c>
      <c r="K929" s="21" t="s">
        <v>19</v>
      </c>
      <c r="L929" s="25">
        <v>0.125</v>
      </c>
      <c r="M929" s="25">
        <v>0.05</v>
      </c>
      <c r="N929" s="22"/>
      <c r="O929" s="23" t="s">
        <v>19</v>
      </c>
      <c r="P929" s="20">
        <f t="shared" si="486"/>
        <v>564</v>
      </c>
      <c r="Q929" s="23" t="s">
        <v>19</v>
      </c>
      <c r="R929" s="24">
        <f t="shared" si="487"/>
        <v>1875300</v>
      </c>
      <c r="S929" s="24">
        <f t="shared" ref="S929" si="489">R929/1.11</f>
        <v>1689459.4594594594</v>
      </c>
    </row>
    <row r="930" spans="1:19" s="19" customFormat="1">
      <c r="A930" s="18" t="s">
        <v>492</v>
      </c>
      <c r="B930" s="19" t="s">
        <v>18</v>
      </c>
      <c r="C930" s="20">
        <v>2508</v>
      </c>
      <c r="D930" s="21" t="s">
        <v>19</v>
      </c>
      <c r="E930" s="26">
        <v>88</v>
      </c>
      <c r="F930" s="22">
        <v>1</v>
      </c>
      <c r="G930" s="23" t="s">
        <v>20</v>
      </c>
      <c r="H930" s="22">
        <v>288</v>
      </c>
      <c r="I930" s="23" t="s">
        <v>19</v>
      </c>
      <c r="J930" s="24">
        <v>4800</v>
      </c>
      <c r="K930" s="21" t="s">
        <v>19</v>
      </c>
      <c r="L930" s="25">
        <v>0.125</v>
      </c>
      <c r="M930" s="25">
        <v>0.05</v>
      </c>
      <c r="N930" s="22"/>
      <c r="O930" s="23" t="s">
        <v>19</v>
      </c>
      <c r="P930" s="20">
        <f t="shared" si="486"/>
        <v>27852</v>
      </c>
      <c r="Q930" s="23" t="s">
        <v>19</v>
      </c>
      <c r="R930" s="24">
        <f t="shared" si="487"/>
        <v>111129480</v>
      </c>
      <c r="S930" s="24">
        <f t="shared" si="444"/>
        <v>100116648.64864863</v>
      </c>
    </row>
    <row r="931" spans="1:19" s="19" customFormat="1">
      <c r="A931" s="18" t="s">
        <v>927</v>
      </c>
      <c r="B931" s="19" t="s">
        <v>18</v>
      </c>
      <c r="C931" s="20"/>
      <c r="D931" s="21" t="s">
        <v>19</v>
      </c>
      <c r="E931" s="26">
        <v>2</v>
      </c>
      <c r="F931" s="22">
        <v>1</v>
      </c>
      <c r="G931" s="23" t="s">
        <v>20</v>
      </c>
      <c r="H931" s="22">
        <v>288</v>
      </c>
      <c r="I931" s="23" t="s">
        <v>19</v>
      </c>
      <c r="J931" s="24">
        <v>4800</v>
      </c>
      <c r="K931" s="21" t="s">
        <v>19</v>
      </c>
      <c r="L931" s="25">
        <v>0.125</v>
      </c>
      <c r="M931" s="25">
        <v>0.05</v>
      </c>
      <c r="N931" s="22"/>
      <c r="O931" s="23" t="s">
        <v>19</v>
      </c>
      <c r="P931" s="20">
        <f t="shared" si="486"/>
        <v>576</v>
      </c>
      <c r="Q931" s="23" t="s">
        <v>19</v>
      </c>
      <c r="R931" s="24">
        <f t="shared" si="487"/>
        <v>2298240</v>
      </c>
      <c r="S931" s="24">
        <f t="shared" ref="S931" si="490">R931/1.11</f>
        <v>2070486.4864864864</v>
      </c>
    </row>
    <row r="932" spans="1:19" s="19" customFormat="1">
      <c r="A932" s="18"/>
      <c r="C932" s="20"/>
      <c r="D932" s="21"/>
      <c r="E932" s="26"/>
      <c r="F932" s="22"/>
      <c r="G932" s="23"/>
      <c r="H932" s="22"/>
      <c r="I932" s="23"/>
      <c r="J932" s="24"/>
      <c r="K932" s="21"/>
      <c r="L932" s="25"/>
      <c r="M932" s="25"/>
      <c r="N932" s="22"/>
      <c r="O932" s="23"/>
      <c r="P932" s="20"/>
      <c r="Q932" s="23"/>
      <c r="R932" s="24"/>
      <c r="S932" s="24"/>
    </row>
    <row r="933" spans="1:19" s="19" customFormat="1">
      <c r="A933" s="18" t="s">
        <v>493</v>
      </c>
      <c r="B933" s="19" t="s">
        <v>25</v>
      </c>
      <c r="C933" s="20">
        <v>174</v>
      </c>
      <c r="D933" s="21" t="s">
        <v>40</v>
      </c>
      <c r="E933" s="26">
        <v>27</v>
      </c>
      <c r="F933" s="22">
        <v>1</v>
      </c>
      <c r="G933" s="23" t="s">
        <v>20</v>
      </c>
      <c r="H933" s="22">
        <v>24</v>
      </c>
      <c r="I933" s="23" t="s">
        <v>40</v>
      </c>
      <c r="J933" s="24">
        <f>1497600/24</f>
        <v>62400</v>
      </c>
      <c r="K933" s="21" t="s">
        <v>40</v>
      </c>
      <c r="L933" s="25"/>
      <c r="M933" s="25">
        <v>0.17</v>
      </c>
      <c r="N933" s="22"/>
      <c r="O933" s="23" t="s">
        <v>40</v>
      </c>
      <c r="P933" s="20">
        <f>(C933+(E933*F933*H933))-N933</f>
        <v>822</v>
      </c>
      <c r="Q933" s="23" t="s">
        <v>40</v>
      </c>
      <c r="R933" s="24">
        <f>P933*(J933-(J933*L933)-((J933-(J933*L933))*M933))</f>
        <v>42573024</v>
      </c>
      <c r="S933" s="24">
        <f t="shared" si="444"/>
        <v>38354075.675675675</v>
      </c>
    </row>
    <row r="934" spans="1:19" s="19" customFormat="1">
      <c r="A934" s="18"/>
      <c r="C934" s="20"/>
      <c r="D934" s="21"/>
      <c r="E934" s="26"/>
      <c r="F934" s="22"/>
      <c r="G934" s="23"/>
      <c r="H934" s="22"/>
      <c r="I934" s="23"/>
      <c r="J934" s="24"/>
      <c r="K934" s="21"/>
      <c r="L934" s="25"/>
      <c r="M934" s="25"/>
      <c r="N934" s="22"/>
      <c r="O934" s="23"/>
      <c r="P934" s="20"/>
      <c r="Q934" s="23"/>
      <c r="R934" s="24"/>
      <c r="S934" s="8"/>
    </row>
    <row r="935" spans="1:19">
      <c r="A935" s="47" t="s">
        <v>494</v>
      </c>
      <c r="B935" s="2" t="s">
        <v>171</v>
      </c>
      <c r="C935" s="3">
        <v>1026</v>
      </c>
      <c r="D935" s="4" t="s">
        <v>19</v>
      </c>
      <c r="F935" s="6">
        <v>1</v>
      </c>
      <c r="G935" s="7" t="s">
        <v>20</v>
      </c>
      <c r="H935" s="6">
        <v>120</v>
      </c>
      <c r="I935" s="7" t="s">
        <v>19</v>
      </c>
      <c r="J935" s="8">
        <v>11500</v>
      </c>
      <c r="K935" s="4" t="s">
        <v>19</v>
      </c>
      <c r="O935" s="7" t="s">
        <v>19</v>
      </c>
      <c r="P935" s="3">
        <f t="shared" ref="P935:P938" si="491">(C935+(E935*F935*H935))-N935</f>
        <v>1026</v>
      </c>
      <c r="Q935" s="7" t="s">
        <v>19</v>
      </c>
      <c r="R935" s="8">
        <f t="shared" ref="R935:R938" si="492">P935*(J935-(J935*L935)-((J935-(J935*L935))*M935))</f>
        <v>11799000</v>
      </c>
      <c r="S935" s="8">
        <f t="shared" si="444"/>
        <v>10629729.729729729</v>
      </c>
    </row>
    <row r="936" spans="1:19">
      <c r="A936" s="47" t="s">
        <v>716</v>
      </c>
      <c r="B936" s="2" t="s">
        <v>171</v>
      </c>
      <c r="C936" s="3">
        <v>251</v>
      </c>
      <c r="D936" s="4" t="s">
        <v>19</v>
      </c>
      <c r="F936" s="6">
        <v>1</v>
      </c>
      <c r="G936" s="7" t="s">
        <v>20</v>
      </c>
      <c r="H936" s="6">
        <v>100</v>
      </c>
      <c r="I936" s="7" t="s">
        <v>19</v>
      </c>
      <c r="J936" s="8">
        <v>13500</v>
      </c>
      <c r="K936" s="4" t="s">
        <v>19</v>
      </c>
      <c r="L936" s="9">
        <v>0.05</v>
      </c>
      <c r="O936" s="7" t="s">
        <v>19</v>
      </c>
      <c r="P936" s="3">
        <f t="shared" si="491"/>
        <v>251</v>
      </c>
      <c r="Q936" s="7" t="s">
        <v>19</v>
      </c>
      <c r="R936" s="8">
        <f t="shared" si="492"/>
        <v>3219075</v>
      </c>
      <c r="S936" s="8">
        <f t="shared" si="444"/>
        <v>2900067.5675675673</v>
      </c>
    </row>
    <row r="937" spans="1:19">
      <c r="A937" s="47" t="s">
        <v>495</v>
      </c>
      <c r="B937" s="2" t="s">
        <v>171</v>
      </c>
      <c r="C937" s="3">
        <v>486</v>
      </c>
      <c r="D937" s="4" t="s">
        <v>19</v>
      </c>
      <c r="F937" s="6">
        <v>1</v>
      </c>
      <c r="G937" s="7" t="s">
        <v>20</v>
      </c>
      <c r="H937" s="6">
        <v>96</v>
      </c>
      <c r="I937" s="7" t="s">
        <v>19</v>
      </c>
      <c r="J937" s="8">
        <v>21000</v>
      </c>
      <c r="K937" s="4" t="s">
        <v>19</v>
      </c>
      <c r="O937" s="7" t="s">
        <v>19</v>
      </c>
      <c r="P937" s="3">
        <f t="shared" si="491"/>
        <v>486</v>
      </c>
      <c r="Q937" s="7" t="s">
        <v>19</v>
      </c>
      <c r="R937" s="8">
        <f t="shared" si="492"/>
        <v>10206000</v>
      </c>
      <c r="S937" s="8">
        <f t="shared" si="444"/>
        <v>9194594.5945945941</v>
      </c>
    </row>
    <row r="938" spans="1:19" s="69" customFormat="1">
      <c r="A938" s="112" t="s">
        <v>687</v>
      </c>
      <c r="B938" s="69" t="s">
        <v>171</v>
      </c>
      <c r="C938" s="70"/>
      <c r="D938" s="71" t="s">
        <v>19</v>
      </c>
      <c r="E938" s="72"/>
      <c r="F938" s="73">
        <v>1</v>
      </c>
      <c r="G938" s="74" t="s">
        <v>20</v>
      </c>
      <c r="H938" s="73">
        <v>144</v>
      </c>
      <c r="I938" s="74" t="s">
        <v>19</v>
      </c>
      <c r="J938" s="16">
        <v>8750</v>
      </c>
      <c r="K938" s="71" t="s">
        <v>19</v>
      </c>
      <c r="L938" s="75"/>
      <c r="M938" s="75"/>
      <c r="N938" s="73"/>
      <c r="O938" s="74" t="s">
        <v>19</v>
      </c>
      <c r="P938" s="70">
        <f t="shared" si="491"/>
        <v>0</v>
      </c>
      <c r="Q938" s="74" t="s">
        <v>19</v>
      </c>
      <c r="R938" s="16">
        <f t="shared" si="492"/>
        <v>0</v>
      </c>
      <c r="S938" s="16">
        <f t="shared" si="444"/>
        <v>0</v>
      </c>
    </row>
    <row r="939" spans="1:19">
      <c r="A939" s="47" t="s">
        <v>688</v>
      </c>
      <c r="B939" s="2" t="s">
        <v>171</v>
      </c>
      <c r="C939" s="3">
        <v>24</v>
      </c>
      <c r="D939" s="4" t="s">
        <v>19</v>
      </c>
      <c r="F939" s="6">
        <v>1</v>
      </c>
      <c r="G939" s="7" t="s">
        <v>20</v>
      </c>
      <c r="H939" s="6">
        <v>144</v>
      </c>
      <c r="I939" s="7" t="s">
        <v>19</v>
      </c>
      <c r="J939" s="8">
        <v>8750</v>
      </c>
      <c r="K939" s="4" t="s">
        <v>19</v>
      </c>
      <c r="O939" s="7" t="s">
        <v>19</v>
      </c>
      <c r="P939" s="3">
        <f t="shared" ref="P939:P944" si="493">(C939+(E939*F939*H939))-N939</f>
        <v>24</v>
      </c>
      <c r="Q939" s="7" t="s">
        <v>19</v>
      </c>
      <c r="R939" s="8">
        <f t="shared" ref="R939:R944" si="494">P939*(J939-(J939*L939)-((J939-(J939*L939))*M939))</f>
        <v>210000</v>
      </c>
      <c r="S939" s="8">
        <f t="shared" ref="S939:S944" si="495">R939/1.11</f>
        <v>189189.18918918917</v>
      </c>
    </row>
    <row r="940" spans="1:19">
      <c r="A940" s="47" t="s">
        <v>689</v>
      </c>
      <c r="B940" s="2" t="s">
        <v>171</v>
      </c>
      <c r="C940" s="3">
        <v>40</v>
      </c>
      <c r="D940" s="4" t="s">
        <v>19</v>
      </c>
      <c r="F940" s="6">
        <v>1</v>
      </c>
      <c r="G940" s="7" t="s">
        <v>20</v>
      </c>
      <c r="H940" s="6">
        <v>160</v>
      </c>
      <c r="I940" s="7" t="s">
        <v>19</v>
      </c>
      <c r="J940" s="8">
        <v>8750</v>
      </c>
      <c r="K940" s="4" t="s">
        <v>19</v>
      </c>
      <c r="O940" s="7" t="s">
        <v>19</v>
      </c>
      <c r="P940" s="3">
        <f t="shared" si="493"/>
        <v>40</v>
      </c>
      <c r="Q940" s="7" t="s">
        <v>19</v>
      </c>
      <c r="R940" s="8">
        <f t="shared" si="494"/>
        <v>350000</v>
      </c>
      <c r="S940" s="8">
        <f t="shared" si="495"/>
        <v>315315.31531531527</v>
      </c>
    </row>
    <row r="941" spans="1:19" s="19" customFormat="1">
      <c r="A941" s="39" t="s">
        <v>834</v>
      </c>
      <c r="B941" s="19" t="s">
        <v>171</v>
      </c>
      <c r="C941" s="20"/>
      <c r="D941" s="21" t="s">
        <v>19</v>
      </c>
      <c r="E941" s="26">
        <v>6</v>
      </c>
      <c r="F941" s="22">
        <v>1</v>
      </c>
      <c r="G941" s="23" t="s">
        <v>20</v>
      </c>
      <c r="H941" s="22">
        <v>160</v>
      </c>
      <c r="I941" s="23" t="s">
        <v>19</v>
      </c>
      <c r="J941" s="24">
        <v>9500</v>
      </c>
      <c r="K941" s="21" t="s">
        <v>19</v>
      </c>
      <c r="L941" s="25">
        <v>0.05</v>
      </c>
      <c r="M941" s="25"/>
      <c r="N941" s="22"/>
      <c r="O941" s="23" t="s">
        <v>19</v>
      </c>
      <c r="P941" s="20">
        <f t="shared" si="493"/>
        <v>960</v>
      </c>
      <c r="Q941" s="23" t="s">
        <v>19</v>
      </c>
      <c r="R941" s="24">
        <f t="shared" si="494"/>
        <v>8664000</v>
      </c>
      <c r="S941" s="24">
        <f t="shared" si="495"/>
        <v>7805405.405405405</v>
      </c>
    </row>
    <row r="942" spans="1:19">
      <c r="A942" s="39" t="s">
        <v>829</v>
      </c>
      <c r="B942" s="2" t="s">
        <v>171</v>
      </c>
      <c r="D942" s="4" t="s">
        <v>19</v>
      </c>
      <c r="E942" s="5">
        <v>3</v>
      </c>
      <c r="F942" s="6">
        <v>1</v>
      </c>
      <c r="G942" s="7" t="s">
        <v>20</v>
      </c>
      <c r="H942" s="6">
        <v>192</v>
      </c>
      <c r="I942" s="7" t="s">
        <v>19</v>
      </c>
      <c r="J942" s="8">
        <v>9500</v>
      </c>
      <c r="K942" s="4" t="s">
        <v>19</v>
      </c>
      <c r="L942" s="9">
        <v>0.05</v>
      </c>
      <c r="O942" s="7" t="s">
        <v>19</v>
      </c>
      <c r="P942" s="3">
        <f t="shared" si="493"/>
        <v>576</v>
      </c>
      <c r="Q942" s="7" t="s">
        <v>19</v>
      </c>
      <c r="R942" s="8">
        <f t="shared" si="494"/>
        <v>5198400</v>
      </c>
      <c r="S942" s="8">
        <f t="shared" si="495"/>
        <v>4683243.2432432426</v>
      </c>
    </row>
    <row r="943" spans="1:19" s="19" customFormat="1">
      <c r="A943" s="39" t="s">
        <v>895</v>
      </c>
      <c r="B943" s="19" t="s">
        <v>171</v>
      </c>
      <c r="C943" s="20"/>
      <c r="D943" s="21" t="s">
        <v>19</v>
      </c>
      <c r="E943" s="26">
        <v>10</v>
      </c>
      <c r="F943" s="22">
        <v>1</v>
      </c>
      <c r="G943" s="23" t="s">
        <v>20</v>
      </c>
      <c r="H943" s="22">
        <v>144</v>
      </c>
      <c r="I943" s="23" t="s">
        <v>19</v>
      </c>
      <c r="J943" s="24">
        <v>9500</v>
      </c>
      <c r="K943" s="21" t="s">
        <v>19</v>
      </c>
      <c r="L943" s="25">
        <v>0.05</v>
      </c>
      <c r="M943" s="25"/>
      <c r="N943" s="22"/>
      <c r="O943" s="23" t="s">
        <v>19</v>
      </c>
      <c r="P943" s="20">
        <f t="shared" si="493"/>
        <v>1440</v>
      </c>
      <c r="Q943" s="23" t="s">
        <v>19</v>
      </c>
      <c r="R943" s="24">
        <f t="shared" si="494"/>
        <v>12996000</v>
      </c>
      <c r="S943" s="24">
        <f t="shared" si="495"/>
        <v>11708108.108108107</v>
      </c>
    </row>
    <row r="944" spans="1:19" s="19" customFormat="1">
      <c r="A944" s="39" t="s">
        <v>896</v>
      </c>
      <c r="B944" s="19" t="s">
        <v>171</v>
      </c>
      <c r="C944" s="20"/>
      <c r="D944" s="21" t="s">
        <v>19</v>
      </c>
      <c r="E944" s="26">
        <v>25</v>
      </c>
      <c r="F944" s="22">
        <v>1</v>
      </c>
      <c r="G944" s="23" t="s">
        <v>20</v>
      </c>
      <c r="H944" s="22">
        <v>144</v>
      </c>
      <c r="I944" s="23" t="s">
        <v>19</v>
      </c>
      <c r="J944" s="24">
        <v>9500</v>
      </c>
      <c r="K944" s="21" t="s">
        <v>19</v>
      </c>
      <c r="L944" s="25">
        <v>0.05</v>
      </c>
      <c r="M944" s="25"/>
      <c r="N944" s="22"/>
      <c r="O944" s="23" t="s">
        <v>19</v>
      </c>
      <c r="P944" s="20">
        <f t="shared" si="493"/>
        <v>3600</v>
      </c>
      <c r="Q944" s="23" t="s">
        <v>19</v>
      </c>
      <c r="R944" s="24">
        <f t="shared" si="494"/>
        <v>32490000</v>
      </c>
      <c r="S944" s="24">
        <f t="shared" si="495"/>
        <v>29270270.270270269</v>
      </c>
    </row>
    <row r="945" spans="1:19" s="19" customFormat="1">
      <c r="A945" s="39" t="s">
        <v>932</v>
      </c>
      <c r="B945" s="19" t="s">
        <v>171</v>
      </c>
      <c r="C945" s="20">
        <v>142</v>
      </c>
      <c r="D945" s="21" t="s">
        <v>19</v>
      </c>
      <c r="E945" s="26">
        <v>2</v>
      </c>
      <c r="F945" s="22">
        <v>1</v>
      </c>
      <c r="G945" s="23" t="s">
        <v>20</v>
      </c>
      <c r="H945" s="22">
        <v>144</v>
      </c>
      <c r="I945" s="23" t="s">
        <v>19</v>
      </c>
      <c r="J945" s="24">
        <v>10000</v>
      </c>
      <c r="K945" s="21" t="s">
        <v>19</v>
      </c>
      <c r="L945" s="25">
        <v>0.05</v>
      </c>
      <c r="M945" s="25"/>
      <c r="N945" s="22"/>
      <c r="O945" s="23" t="s">
        <v>19</v>
      </c>
      <c r="P945" s="20">
        <f t="shared" ref="P945:P948" si="496">(C945+(E945*F945*H945))-N945</f>
        <v>430</v>
      </c>
      <c r="Q945" s="23" t="s">
        <v>19</v>
      </c>
      <c r="R945" s="24">
        <f t="shared" ref="R945:R948" si="497">P945*(J945-(J945*L945)-((J945-(J945*L945))*M945))</f>
        <v>4085000</v>
      </c>
      <c r="S945" s="24">
        <f t="shared" ref="S945:S948" si="498">R945/1.11</f>
        <v>3680180.1801801799</v>
      </c>
    </row>
    <row r="946" spans="1:19" s="19" customFormat="1">
      <c r="A946" s="39" t="s">
        <v>933</v>
      </c>
      <c r="B946" s="19" t="s">
        <v>171</v>
      </c>
      <c r="C946" s="20"/>
      <c r="D946" s="21" t="s">
        <v>19</v>
      </c>
      <c r="E946" s="26">
        <v>1</v>
      </c>
      <c r="F946" s="22">
        <v>1</v>
      </c>
      <c r="G946" s="23" t="s">
        <v>20</v>
      </c>
      <c r="H946" s="22">
        <v>144</v>
      </c>
      <c r="I946" s="23" t="s">
        <v>19</v>
      </c>
      <c r="J946" s="24">
        <v>10000</v>
      </c>
      <c r="K946" s="21" t="s">
        <v>19</v>
      </c>
      <c r="L946" s="25">
        <v>0.05</v>
      </c>
      <c r="M946" s="25"/>
      <c r="N946" s="22"/>
      <c r="O946" s="23" t="s">
        <v>19</v>
      </c>
      <c r="P946" s="20">
        <f t="shared" si="496"/>
        <v>144</v>
      </c>
      <c r="Q946" s="23" t="s">
        <v>19</v>
      </c>
      <c r="R946" s="24">
        <f t="shared" si="497"/>
        <v>1368000</v>
      </c>
      <c r="S946" s="24">
        <f t="shared" si="498"/>
        <v>1232432.4324324324</v>
      </c>
    </row>
    <row r="947" spans="1:19" s="19" customFormat="1">
      <c r="A947" s="39" t="s">
        <v>934</v>
      </c>
      <c r="B947" s="19" t="s">
        <v>171</v>
      </c>
      <c r="C947" s="20"/>
      <c r="D947" s="21" t="s">
        <v>19</v>
      </c>
      <c r="E947" s="26">
        <v>11</v>
      </c>
      <c r="F947" s="22">
        <v>1</v>
      </c>
      <c r="G947" s="23" t="s">
        <v>20</v>
      </c>
      <c r="H947" s="22">
        <v>144</v>
      </c>
      <c r="I947" s="23" t="s">
        <v>19</v>
      </c>
      <c r="J947" s="24">
        <v>10500</v>
      </c>
      <c r="K947" s="21" t="s">
        <v>19</v>
      </c>
      <c r="L947" s="25">
        <v>0.05</v>
      </c>
      <c r="M947" s="25"/>
      <c r="N947" s="22"/>
      <c r="O947" s="23" t="s">
        <v>19</v>
      </c>
      <c r="P947" s="20">
        <f t="shared" si="496"/>
        <v>1584</v>
      </c>
      <c r="Q947" s="23" t="s">
        <v>19</v>
      </c>
      <c r="R947" s="24">
        <f t="shared" si="497"/>
        <v>15800400</v>
      </c>
      <c r="S947" s="24">
        <f t="shared" si="498"/>
        <v>14234594.594594594</v>
      </c>
    </row>
    <row r="948" spans="1:19" s="19" customFormat="1">
      <c r="A948" s="39" t="s">
        <v>935</v>
      </c>
      <c r="B948" s="19" t="s">
        <v>171</v>
      </c>
      <c r="C948" s="20">
        <v>143</v>
      </c>
      <c r="D948" s="21" t="s">
        <v>19</v>
      </c>
      <c r="E948" s="26">
        <v>5</v>
      </c>
      <c r="F948" s="22">
        <v>1</v>
      </c>
      <c r="G948" s="23" t="s">
        <v>20</v>
      </c>
      <c r="H948" s="22">
        <v>144</v>
      </c>
      <c r="I948" s="23" t="s">
        <v>19</v>
      </c>
      <c r="J948" s="24">
        <v>10500</v>
      </c>
      <c r="K948" s="21" t="s">
        <v>19</v>
      </c>
      <c r="L948" s="25">
        <v>0.05</v>
      </c>
      <c r="M948" s="25"/>
      <c r="N948" s="22"/>
      <c r="O948" s="23" t="s">
        <v>19</v>
      </c>
      <c r="P948" s="20">
        <f t="shared" si="496"/>
        <v>863</v>
      </c>
      <c r="Q948" s="23" t="s">
        <v>19</v>
      </c>
      <c r="R948" s="24">
        <f t="shared" si="497"/>
        <v>8608425</v>
      </c>
      <c r="S948" s="24">
        <f t="shared" si="498"/>
        <v>7755337.8378378367</v>
      </c>
    </row>
    <row r="949" spans="1:19" s="19" customFormat="1">
      <c r="A949" s="39"/>
      <c r="C949" s="20"/>
      <c r="D949" s="21"/>
      <c r="E949" s="26"/>
      <c r="F949" s="22"/>
      <c r="G949" s="23"/>
      <c r="H949" s="22"/>
      <c r="I949" s="23"/>
      <c r="J949" s="24"/>
      <c r="K949" s="21"/>
      <c r="L949" s="25"/>
      <c r="M949" s="25"/>
      <c r="N949" s="22"/>
      <c r="O949" s="23"/>
      <c r="P949" s="20"/>
      <c r="Q949" s="23"/>
      <c r="R949" s="24"/>
      <c r="S949" s="24"/>
    </row>
    <row r="950" spans="1:19" s="19" customFormat="1">
      <c r="A950" s="170" t="s">
        <v>966</v>
      </c>
      <c r="B950" s="19" t="s">
        <v>171</v>
      </c>
      <c r="C950" s="20"/>
      <c r="D950" s="21" t="s">
        <v>19</v>
      </c>
      <c r="E950" s="26">
        <v>50</v>
      </c>
      <c r="F950" s="22">
        <v>1</v>
      </c>
      <c r="G950" s="23" t="s">
        <v>20</v>
      </c>
      <c r="H950" s="22">
        <v>160</v>
      </c>
      <c r="I950" s="23" t="s">
        <v>19</v>
      </c>
      <c r="J950" s="24">
        <v>8500</v>
      </c>
      <c r="K950" s="21" t="s">
        <v>19</v>
      </c>
      <c r="L950" s="25">
        <v>7.0000000000000007E-2</v>
      </c>
      <c r="M950" s="25"/>
      <c r="N950" s="22"/>
      <c r="O950" s="23" t="s">
        <v>19</v>
      </c>
      <c r="P950" s="20">
        <f t="shared" ref="P950" si="499">(C950+(E950*F950*H950))-N950</f>
        <v>8000</v>
      </c>
      <c r="Q950" s="23" t="s">
        <v>19</v>
      </c>
      <c r="R950" s="24">
        <f t="shared" ref="R950" si="500">P950*(J950-(J950*L950)-((J950-(J950*L950))*M950))</f>
        <v>63240000</v>
      </c>
      <c r="S950" s="24">
        <f t="shared" ref="S950" si="501">R950/1.11</f>
        <v>56972972.972972967</v>
      </c>
    </row>
    <row r="951" spans="1:19" s="19" customFormat="1">
      <c r="A951" s="170" t="s">
        <v>967</v>
      </c>
      <c r="B951" s="19" t="s">
        <v>171</v>
      </c>
      <c r="C951" s="20"/>
      <c r="D951" s="21" t="s">
        <v>19</v>
      </c>
      <c r="E951" s="26">
        <v>16</v>
      </c>
      <c r="F951" s="22">
        <v>1</v>
      </c>
      <c r="G951" s="23" t="s">
        <v>20</v>
      </c>
      <c r="H951" s="22">
        <v>120</v>
      </c>
      <c r="I951" s="23" t="s">
        <v>19</v>
      </c>
      <c r="J951" s="24">
        <v>11500</v>
      </c>
      <c r="K951" s="21" t="s">
        <v>19</v>
      </c>
      <c r="L951" s="25">
        <v>7.0000000000000007E-2</v>
      </c>
      <c r="M951" s="25"/>
      <c r="N951" s="22"/>
      <c r="O951" s="23" t="s">
        <v>19</v>
      </c>
      <c r="P951" s="20">
        <f t="shared" ref="P951:P965" si="502">(C951+(E951*F951*H951))-N951</f>
        <v>1920</v>
      </c>
      <c r="Q951" s="23" t="s">
        <v>19</v>
      </c>
      <c r="R951" s="24">
        <f t="shared" ref="R951:R965" si="503">P951*(J951-(J951*L951)-((J951-(J951*L951))*M951))</f>
        <v>20534400</v>
      </c>
      <c r="S951" s="24">
        <f t="shared" ref="S951:S965" si="504">R951/1.11</f>
        <v>18499459.459459458</v>
      </c>
    </row>
    <row r="952" spans="1:19" s="19" customFormat="1">
      <c r="A952" s="170" t="s">
        <v>968</v>
      </c>
      <c r="B952" s="19" t="s">
        <v>171</v>
      </c>
      <c r="C952" s="20"/>
      <c r="D952" s="21" t="s">
        <v>19</v>
      </c>
      <c r="E952" s="26">
        <v>43</v>
      </c>
      <c r="F952" s="22">
        <v>1</v>
      </c>
      <c r="G952" s="23" t="s">
        <v>20</v>
      </c>
      <c r="H952" s="22">
        <v>144</v>
      </c>
      <c r="I952" s="23" t="s">
        <v>19</v>
      </c>
      <c r="J952" s="24">
        <v>9250</v>
      </c>
      <c r="K952" s="21" t="s">
        <v>19</v>
      </c>
      <c r="L952" s="25">
        <v>7.0000000000000007E-2</v>
      </c>
      <c r="M952" s="25"/>
      <c r="N952" s="22"/>
      <c r="O952" s="23" t="s">
        <v>19</v>
      </c>
      <c r="P952" s="20">
        <f t="shared" si="502"/>
        <v>6192</v>
      </c>
      <c r="Q952" s="23" t="s">
        <v>19</v>
      </c>
      <c r="R952" s="24">
        <f t="shared" si="503"/>
        <v>53266680</v>
      </c>
      <c r="S952" s="24">
        <f t="shared" si="504"/>
        <v>47987999.999999993</v>
      </c>
    </row>
    <row r="953" spans="1:19" s="19" customFormat="1">
      <c r="A953" s="170" t="s">
        <v>969</v>
      </c>
      <c r="B953" s="19" t="s">
        <v>171</v>
      </c>
      <c r="C953" s="20"/>
      <c r="D953" s="21" t="s">
        <v>19</v>
      </c>
      <c r="E953" s="26">
        <v>26</v>
      </c>
      <c r="F953" s="22">
        <v>1</v>
      </c>
      <c r="G953" s="23" t="s">
        <v>20</v>
      </c>
      <c r="H953" s="22">
        <v>160</v>
      </c>
      <c r="I953" s="23" t="s">
        <v>19</v>
      </c>
      <c r="J953" s="24">
        <v>9250</v>
      </c>
      <c r="K953" s="21" t="s">
        <v>19</v>
      </c>
      <c r="L953" s="25">
        <v>7.0000000000000007E-2</v>
      </c>
      <c r="M953" s="25"/>
      <c r="N953" s="22"/>
      <c r="O953" s="23" t="s">
        <v>19</v>
      </c>
      <c r="P953" s="20">
        <f t="shared" si="502"/>
        <v>4160</v>
      </c>
      <c r="Q953" s="23" t="s">
        <v>19</v>
      </c>
      <c r="R953" s="24">
        <f t="shared" si="503"/>
        <v>35786400</v>
      </c>
      <c r="S953" s="24">
        <f t="shared" si="504"/>
        <v>32239999.999999996</v>
      </c>
    </row>
    <row r="954" spans="1:19" s="19" customFormat="1">
      <c r="A954" s="170" t="s">
        <v>829</v>
      </c>
      <c r="B954" s="19" t="s">
        <v>171</v>
      </c>
      <c r="C954" s="20"/>
      <c r="D954" s="21" t="s">
        <v>19</v>
      </c>
      <c r="E954" s="26">
        <v>28</v>
      </c>
      <c r="F954" s="22">
        <v>1</v>
      </c>
      <c r="G954" s="23" t="s">
        <v>20</v>
      </c>
      <c r="H954" s="22">
        <v>192</v>
      </c>
      <c r="I954" s="23" t="s">
        <v>19</v>
      </c>
      <c r="J954" s="24">
        <v>9250</v>
      </c>
      <c r="K954" s="21" t="s">
        <v>19</v>
      </c>
      <c r="L954" s="25">
        <v>7.0000000000000007E-2</v>
      </c>
      <c r="M954" s="25"/>
      <c r="N954" s="22"/>
      <c r="O954" s="23" t="s">
        <v>19</v>
      </c>
      <c r="P954" s="20">
        <f t="shared" si="502"/>
        <v>5376</v>
      </c>
      <c r="Q954" s="23" t="s">
        <v>19</v>
      </c>
      <c r="R954" s="24">
        <f t="shared" si="503"/>
        <v>46247040</v>
      </c>
      <c r="S954" s="24">
        <f t="shared" si="504"/>
        <v>41664000</v>
      </c>
    </row>
    <row r="955" spans="1:19" s="19" customFormat="1">
      <c r="A955" s="170" t="s">
        <v>999</v>
      </c>
      <c r="B955" s="19" t="s">
        <v>171</v>
      </c>
      <c r="C955" s="20"/>
      <c r="D955" s="21" t="s">
        <v>19</v>
      </c>
      <c r="E955" s="26">
        <v>21</v>
      </c>
      <c r="F955" s="22">
        <v>1</v>
      </c>
      <c r="G955" s="23" t="s">
        <v>20</v>
      </c>
      <c r="H955" s="22">
        <v>192</v>
      </c>
      <c r="I955" s="23" t="s">
        <v>19</v>
      </c>
      <c r="J955" s="24">
        <v>9250</v>
      </c>
      <c r="K955" s="21" t="s">
        <v>19</v>
      </c>
      <c r="L955" s="25">
        <v>7.0000000000000007E-2</v>
      </c>
      <c r="M955" s="25"/>
      <c r="N955" s="22"/>
      <c r="O955" s="23" t="s">
        <v>19</v>
      </c>
      <c r="P955" s="20">
        <f t="shared" ref="P955" si="505">(C955+(E955*F955*H955))-N955</f>
        <v>4032</v>
      </c>
      <c r="Q955" s="23" t="s">
        <v>19</v>
      </c>
      <c r="R955" s="24">
        <f t="shared" ref="R955" si="506">P955*(J955-(J955*L955)-((J955-(J955*L955))*M955))</f>
        <v>34685280</v>
      </c>
      <c r="S955" s="24">
        <f t="shared" ref="S955" si="507">R955/1.11</f>
        <v>31247999.999999996</v>
      </c>
    </row>
    <row r="956" spans="1:19" s="19" customFormat="1">
      <c r="A956" s="170" t="s">
        <v>895</v>
      </c>
      <c r="B956" s="19" t="s">
        <v>171</v>
      </c>
      <c r="C956" s="20"/>
      <c r="D956" s="21" t="s">
        <v>19</v>
      </c>
      <c r="E956" s="26">
        <v>44</v>
      </c>
      <c r="F956" s="22">
        <v>1</v>
      </c>
      <c r="G956" s="23" t="s">
        <v>20</v>
      </c>
      <c r="H956" s="22">
        <v>144</v>
      </c>
      <c r="I956" s="23" t="s">
        <v>19</v>
      </c>
      <c r="J956" s="24">
        <v>9250</v>
      </c>
      <c r="K956" s="21" t="s">
        <v>19</v>
      </c>
      <c r="L956" s="25">
        <v>7.0000000000000007E-2</v>
      </c>
      <c r="M956" s="25"/>
      <c r="N956" s="22"/>
      <c r="O956" s="23" t="s">
        <v>19</v>
      </c>
      <c r="P956" s="20">
        <f t="shared" si="502"/>
        <v>6336</v>
      </c>
      <c r="Q956" s="23" t="s">
        <v>19</v>
      </c>
      <c r="R956" s="24">
        <f t="shared" si="503"/>
        <v>54505440</v>
      </c>
      <c r="S956" s="24">
        <f t="shared" si="504"/>
        <v>49103999.999999993</v>
      </c>
    </row>
    <row r="957" spans="1:19" s="19" customFormat="1">
      <c r="A957" s="170" t="s">
        <v>896</v>
      </c>
      <c r="B957" s="19" t="s">
        <v>171</v>
      </c>
      <c r="C957" s="20"/>
      <c r="D957" s="21" t="s">
        <v>19</v>
      </c>
      <c r="E957" s="26">
        <v>21</v>
      </c>
      <c r="F957" s="22">
        <v>1</v>
      </c>
      <c r="G957" s="23" t="s">
        <v>20</v>
      </c>
      <c r="H957" s="22">
        <v>144</v>
      </c>
      <c r="I957" s="23" t="s">
        <v>19</v>
      </c>
      <c r="J957" s="24">
        <v>9250</v>
      </c>
      <c r="K957" s="21" t="s">
        <v>19</v>
      </c>
      <c r="L957" s="25">
        <v>7.0000000000000007E-2</v>
      </c>
      <c r="M957" s="25"/>
      <c r="N957" s="22"/>
      <c r="O957" s="23" t="s">
        <v>19</v>
      </c>
      <c r="P957" s="20">
        <f t="shared" si="502"/>
        <v>3024</v>
      </c>
      <c r="Q957" s="23" t="s">
        <v>19</v>
      </c>
      <c r="R957" s="24">
        <f t="shared" si="503"/>
        <v>26013960</v>
      </c>
      <c r="S957" s="24">
        <f t="shared" si="504"/>
        <v>23435999.999999996</v>
      </c>
    </row>
    <row r="958" spans="1:19" s="19" customFormat="1">
      <c r="A958" s="170" t="s">
        <v>934</v>
      </c>
      <c r="B958" s="19" t="s">
        <v>171</v>
      </c>
      <c r="C958" s="20"/>
      <c r="D958" s="21" t="s">
        <v>19</v>
      </c>
      <c r="E958" s="26">
        <v>10</v>
      </c>
      <c r="F958" s="22">
        <v>1</v>
      </c>
      <c r="G958" s="23" t="s">
        <v>20</v>
      </c>
      <c r="H958" s="22">
        <v>144</v>
      </c>
      <c r="I958" s="23" t="s">
        <v>19</v>
      </c>
      <c r="J958" s="24">
        <v>10500</v>
      </c>
      <c r="K958" s="21" t="s">
        <v>19</v>
      </c>
      <c r="L958" s="25">
        <v>7.0000000000000007E-2</v>
      </c>
      <c r="M958" s="25"/>
      <c r="N958" s="22"/>
      <c r="O958" s="23" t="s">
        <v>19</v>
      </c>
      <c r="P958" s="20">
        <f t="shared" si="502"/>
        <v>1440</v>
      </c>
      <c r="Q958" s="23" t="s">
        <v>19</v>
      </c>
      <c r="R958" s="24">
        <f t="shared" si="503"/>
        <v>14061600</v>
      </c>
      <c r="S958" s="24">
        <f t="shared" si="504"/>
        <v>12668108.108108107</v>
      </c>
    </row>
    <row r="959" spans="1:19" s="19" customFormat="1">
      <c r="A959" s="170" t="s">
        <v>970</v>
      </c>
      <c r="B959" s="19" t="s">
        <v>171</v>
      </c>
      <c r="C959" s="20"/>
      <c r="D959" s="21" t="s">
        <v>19</v>
      </c>
      <c r="E959" s="26">
        <v>1</v>
      </c>
      <c r="F959" s="22">
        <v>1</v>
      </c>
      <c r="G959" s="23" t="s">
        <v>20</v>
      </c>
      <c r="H959" s="22">
        <v>192</v>
      </c>
      <c r="I959" s="23" t="s">
        <v>19</v>
      </c>
      <c r="J959" s="24">
        <v>10000</v>
      </c>
      <c r="K959" s="21" t="s">
        <v>19</v>
      </c>
      <c r="L959" s="25">
        <v>7.0000000000000007E-2</v>
      </c>
      <c r="M959" s="25"/>
      <c r="N959" s="22"/>
      <c r="O959" s="23" t="s">
        <v>19</v>
      </c>
      <c r="P959" s="20">
        <f t="shared" si="502"/>
        <v>192</v>
      </c>
      <c r="Q959" s="23" t="s">
        <v>19</v>
      </c>
      <c r="R959" s="24">
        <f t="shared" si="503"/>
        <v>1785600</v>
      </c>
      <c r="S959" s="24">
        <f t="shared" si="504"/>
        <v>1608648.6486486485</v>
      </c>
    </row>
    <row r="960" spans="1:19" s="19" customFormat="1">
      <c r="A960" s="170" t="s">
        <v>971</v>
      </c>
      <c r="B960" s="19" t="s">
        <v>171</v>
      </c>
      <c r="C960" s="20"/>
      <c r="D960" s="21" t="s">
        <v>19</v>
      </c>
      <c r="E960" s="26">
        <v>8</v>
      </c>
      <c r="F960" s="22">
        <v>1</v>
      </c>
      <c r="G960" s="23" t="s">
        <v>20</v>
      </c>
      <c r="H960" s="22">
        <v>144</v>
      </c>
      <c r="I960" s="23" t="s">
        <v>19</v>
      </c>
      <c r="J960" s="24">
        <v>11500</v>
      </c>
      <c r="K960" s="21" t="s">
        <v>19</v>
      </c>
      <c r="L960" s="25">
        <v>7.0000000000000007E-2</v>
      </c>
      <c r="M960" s="25"/>
      <c r="N960" s="22"/>
      <c r="O960" s="23" t="s">
        <v>19</v>
      </c>
      <c r="P960" s="20">
        <f t="shared" si="502"/>
        <v>1152</v>
      </c>
      <c r="Q960" s="23" t="s">
        <v>19</v>
      </c>
      <c r="R960" s="24">
        <f t="shared" si="503"/>
        <v>12320640</v>
      </c>
      <c r="S960" s="24">
        <f t="shared" si="504"/>
        <v>11099675.675675675</v>
      </c>
    </row>
    <row r="961" spans="1:19" s="19" customFormat="1">
      <c r="A961" s="170" t="s">
        <v>972</v>
      </c>
      <c r="B961" s="19" t="s">
        <v>171</v>
      </c>
      <c r="C961" s="20">
        <v>143</v>
      </c>
      <c r="D961" s="21" t="s">
        <v>19</v>
      </c>
      <c r="E961" s="26">
        <v>32</v>
      </c>
      <c r="F961" s="22">
        <v>1</v>
      </c>
      <c r="G961" s="23" t="s">
        <v>20</v>
      </c>
      <c r="H961" s="22">
        <v>144</v>
      </c>
      <c r="I961" s="23" t="s">
        <v>19</v>
      </c>
      <c r="J961" s="24">
        <v>10500</v>
      </c>
      <c r="K961" s="21" t="s">
        <v>19</v>
      </c>
      <c r="L961" s="25">
        <v>7.0000000000000007E-2</v>
      </c>
      <c r="M961" s="25"/>
      <c r="N961" s="22"/>
      <c r="O961" s="23" t="s">
        <v>19</v>
      </c>
      <c r="P961" s="20">
        <f t="shared" si="502"/>
        <v>4751</v>
      </c>
      <c r="Q961" s="23" t="s">
        <v>19</v>
      </c>
      <c r="R961" s="24">
        <f t="shared" si="503"/>
        <v>46393515</v>
      </c>
      <c r="S961" s="24">
        <f t="shared" si="504"/>
        <v>41795959.459459454</v>
      </c>
    </row>
    <row r="962" spans="1:19" s="19" customFormat="1">
      <c r="A962" s="170" t="s">
        <v>973</v>
      </c>
      <c r="B962" s="19" t="s">
        <v>171</v>
      </c>
      <c r="C962" s="20"/>
      <c r="D962" s="21" t="s">
        <v>19</v>
      </c>
      <c r="E962" s="26">
        <v>10</v>
      </c>
      <c r="F962" s="22">
        <v>1</v>
      </c>
      <c r="G962" s="23" t="s">
        <v>20</v>
      </c>
      <c r="H962" s="22">
        <v>144</v>
      </c>
      <c r="I962" s="23" t="s">
        <v>19</v>
      </c>
      <c r="J962" s="24">
        <v>11000</v>
      </c>
      <c r="K962" s="21" t="s">
        <v>19</v>
      </c>
      <c r="L962" s="25">
        <v>7.0000000000000007E-2</v>
      </c>
      <c r="M962" s="25"/>
      <c r="N962" s="22"/>
      <c r="O962" s="23" t="s">
        <v>19</v>
      </c>
      <c r="P962" s="20">
        <f t="shared" si="502"/>
        <v>1440</v>
      </c>
      <c r="Q962" s="23" t="s">
        <v>19</v>
      </c>
      <c r="R962" s="24">
        <f t="shared" si="503"/>
        <v>14731200</v>
      </c>
      <c r="S962" s="24">
        <f t="shared" si="504"/>
        <v>13271351.351351351</v>
      </c>
    </row>
    <row r="963" spans="1:19" s="19" customFormat="1">
      <c r="A963" s="170" t="s">
        <v>974</v>
      </c>
      <c r="B963" s="19" t="s">
        <v>171</v>
      </c>
      <c r="C963" s="20"/>
      <c r="D963" s="21" t="s">
        <v>19</v>
      </c>
      <c r="E963" s="26">
        <v>25</v>
      </c>
      <c r="F963" s="22">
        <v>1</v>
      </c>
      <c r="G963" s="23" t="s">
        <v>20</v>
      </c>
      <c r="H963" s="22">
        <v>144</v>
      </c>
      <c r="I963" s="23" t="s">
        <v>19</v>
      </c>
      <c r="J963" s="24">
        <v>11500</v>
      </c>
      <c r="K963" s="21" t="s">
        <v>19</v>
      </c>
      <c r="L963" s="25">
        <v>7.0000000000000007E-2</v>
      </c>
      <c r="M963" s="25"/>
      <c r="N963" s="22"/>
      <c r="O963" s="23" t="s">
        <v>19</v>
      </c>
      <c r="P963" s="20">
        <f t="shared" si="502"/>
        <v>3600</v>
      </c>
      <c r="Q963" s="23" t="s">
        <v>19</v>
      </c>
      <c r="R963" s="24">
        <f t="shared" si="503"/>
        <v>38502000</v>
      </c>
      <c r="S963" s="24">
        <f t="shared" si="504"/>
        <v>34686486.486486487</v>
      </c>
    </row>
    <row r="964" spans="1:19" s="19" customFormat="1">
      <c r="A964" s="170" t="s">
        <v>1000</v>
      </c>
      <c r="B964" s="19" t="s">
        <v>171</v>
      </c>
      <c r="C964" s="20"/>
      <c r="D964" s="21" t="s">
        <v>19</v>
      </c>
      <c r="E964" s="26">
        <v>10</v>
      </c>
      <c r="F964" s="22">
        <v>1</v>
      </c>
      <c r="G964" s="23" t="s">
        <v>20</v>
      </c>
      <c r="H964" s="22">
        <v>192</v>
      </c>
      <c r="I964" s="23" t="s">
        <v>19</v>
      </c>
      <c r="J964" s="24">
        <v>9250</v>
      </c>
      <c r="K964" s="21" t="s">
        <v>19</v>
      </c>
      <c r="L964" s="25">
        <v>7.0000000000000007E-2</v>
      </c>
      <c r="M964" s="25"/>
      <c r="N964" s="22"/>
      <c r="O964" s="23" t="s">
        <v>19</v>
      </c>
      <c r="P964" s="20">
        <f t="shared" ref="P964" si="508">(C964+(E964*F964*H964))-N964</f>
        <v>1920</v>
      </c>
      <c r="Q964" s="23" t="s">
        <v>19</v>
      </c>
      <c r="R964" s="24">
        <f t="shared" ref="R964" si="509">P964*(J964-(J964*L964)-((J964-(J964*L964))*M964))</f>
        <v>16516800</v>
      </c>
      <c r="S964" s="24">
        <f t="shared" ref="S964" si="510">R964/1.11</f>
        <v>14879999.999999998</v>
      </c>
    </row>
    <row r="965" spans="1:19" s="19" customFormat="1">
      <c r="A965" s="170" t="s">
        <v>975</v>
      </c>
      <c r="B965" s="19" t="s">
        <v>171</v>
      </c>
      <c r="C965" s="20"/>
      <c r="D965" s="21" t="s">
        <v>19</v>
      </c>
      <c r="E965" s="26">
        <v>20</v>
      </c>
      <c r="F965" s="22">
        <v>1</v>
      </c>
      <c r="G965" s="23" t="s">
        <v>20</v>
      </c>
      <c r="H965" s="22">
        <v>144</v>
      </c>
      <c r="I965" s="23" t="s">
        <v>19</v>
      </c>
      <c r="J965" s="24">
        <v>11000</v>
      </c>
      <c r="K965" s="21" t="s">
        <v>19</v>
      </c>
      <c r="L965" s="25">
        <v>7.0000000000000007E-2</v>
      </c>
      <c r="M965" s="25"/>
      <c r="N965" s="22"/>
      <c r="O965" s="23" t="s">
        <v>19</v>
      </c>
      <c r="P965" s="20">
        <f t="shared" si="502"/>
        <v>2880</v>
      </c>
      <c r="Q965" s="23" t="s">
        <v>19</v>
      </c>
      <c r="R965" s="24">
        <f t="shared" si="503"/>
        <v>29462400</v>
      </c>
      <c r="S965" s="24">
        <f t="shared" si="504"/>
        <v>26542702.702702701</v>
      </c>
    </row>
    <row r="966" spans="1:19" s="19" customFormat="1">
      <c r="A966" s="170" t="s">
        <v>1001</v>
      </c>
      <c r="B966" s="19" t="s">
        <v>171</v>
      </c>
      <c r="C966" s="20"/>
      <c r="D966" s="21" t="s">
        <v>19</v>
      </c>
      <c r="E966" s="26">
        <v>26</v>
      </c>
      <c r="F966" s="22">
        <v>1</v>
      </c>
      <c r="G966" s="23" t="s">
        <v>20</v>
      </c>
      <c r="H966" s="22">
        <v>192</v>
      </c>
      <c r="I966" s="23" t="s">
        <v>19</v>
      </c>
      <c r="J966" s="24">
        <v>9500</v>
      </c>
      <c r="K966" s="21" t="s">
        <v>19</v>
      </c>
      <c r="L966" s="25">
        <v>7.0000000000000007E-2</v>
      </c>
      <c r="M966" s="25"/>
      <c r="N966" s="22"/>
      <c r="O966" s="23" t="s">
        <v>19</v>
      </c>
      <c r="P966" s="20">
        <f t="shared" ref="P966" si="511">(C966+(E966*F966*H966))-N966</f>
        <v>4992</v>
      </c>
      <c r="Q966" s="23" t="s">
        <v>19</v>
      </c>
      <c r="R966" s="24">
        <f t="shared" ref="R966" si="512">P966*(J966-(J966*L966)-((J966-(J966*L966))*M966))</f>
        <v>44104320</v>
      </c>
      <c r="S966" s="24">
        <f t="shared" ref="S966" si="513">R966/1.11</f>
        <v>39733621.621621616</v>
      </c>
    </row>
    <row r="967" spans="1:19" s="19" customFormat="1">
      <c r="A967" s="170" t="s">
        <v>983</v>
      </c>
      <c r="B967" s="19" t="s">
        <v>171</v>
      </c>
      <c r="C967" s="20"/>
      <c r="D967" s="21" t="s">
        <v>19</v>
      </c>
      <c r="E967" s="26">
        <v>58</v>
      </c>
      <c r="F967" s="22">
        <v>1</v>
      </c>
      <c r="G967" s="23" t="s">
        <v>20</v>
      </c>
      <c r="H967" s="22">
        <v>144</v>
      </c>
      <c r="I967" s="23" t="s">
        <v>19</v>
      </c>
      <c r="J967" s="24">
        <v>8500</v>
      </c>
      <c r="K967" s="21" t="s">
        <v>19</v>
      </c>
      <c r="L967" s="25">
        <v>7.0000000000000007E-2</v>
      </c>
      <c r="M967" s="25"/>
      <c r="N967" s="22"/>
      <c r="O967" s="23" t="s">
        <v>19</v>
      </c>
      <c r="P967" s="20">
        <f t="shared" ref="P967" si="514">(C967+(E967*F967*H967))-N967</f>
        <v>8352</v>
      </c>
      <c r="Q967" s="23" t="s">
        <v>19</v>
      </c>
      <c r="R967" s="24">
        <f t="shared" ref="R967" si="515">P967*(J967-(J967*L967)-((J967-(J967*L967))*M967))</f>
        <v>66022560</v>
      </c>
      <c r="S967" s="24">
        <f t="shared" ref="S967" si="516">R967/1.11</f>
        <v>59479783.783783779</v>
      </c>
    </row>
    <row r="968" spans="1:19">
      <c r="A968" s="39"/>
    </row>
    <row r="969" spans="1:19">
      <c r="A969" s="17" t="s">
        <v>683</v>
      </c>
      <c r="B969" s="2" t="s">
        <v>260</v>
      </c>
      <c r="C969" s="3">
        <v>2244</v>
      </c>
      <c r="D969" s="4" t="s">
        <v>19</v>
      </c>
      <c r="E969" s="32"/>
      <c r="F969" s="6">
        <v>1</v>
      </c>
      <c r="G969" s="7" t="s">
        <v>20</v>
      </c>
      <c r="H969" s="33">
        <v>480</v>
      </c>
      <c r="I969" s="7" t="s">
        <v>19</v>
      </c>
      <c r="J969" s="8">
        <v>26000</v>
      </c>
      <c r="K969" s="4" t="s">
        <v>19</v>
      </c>
      <c r="L969" s="31">
        <v>0.2</v>
      </c>
      <c r="O969" s="7" t="s">
        <v>19</v>
      </c>
      <c r="P969" s="3">
        <f>(C969+(E969*F969*H969))-N969</f>
        <v>2244</v>
      </c>
      <c r="Q969" s="7" t="s">
        <v>19</v>
      </c>
      <c r="R969" s="8">
        <f>P969*(J969-(J969*L969)-((J969-(J969*L969))*M969))</f>
        <v>46675200</v>
      </c>
      <c r="S969" s="8">
        <f>R969/1.11</f>
        <v>42049729.729729727</v>
      </c>
    </row>
    <row r="970" spans="1:19">
      <c r="A970" s="17" t="s">
        <v>685</v>
      </c>
      <c r="B970" s="2" t="s">
        <v>260</v>
      </c>
      <c r="C970" s="3">
        <v>2208</v>
      </c>
      <c r="D970" s="4" t="s">
        <v>19</v>
      </c>
      <c r="E970" s="32"/>
      <c r="F970" s="6">
        <v>1</v>
      </c>
      <c r="G970" s="7" t="s">
        <v>20</v>
      </c>
      <c r="H970" s="33">
        <v>480</v>
      </c>
      <c r="I970" s="7" t="s">
        <v>19</v>
      </c>
      <c r="J970" s="8">
        <v>20800</v>
      </c>
      <c r="K970" s="4" t="s">
        <v>19</v>
      </c>
      <c r="L970" s="31">
        <v>0.3</v>
      </c>
      <c r="O970" s="7" t="s">
        <v>19</v>
      </c>
      <c r="P970" s="3">
        <f>(C970+(E970*F970*H970))-N970</f>
        <v>2208</v>
      </c>
      <c r="Q970" s="7" t="s">
        <v>19</v>
      </c>
      <c r="R970" s="8">
        <f>P970*(J970-(J970*L970)-((J970-(J970*L970))*M970))</f>
        <v>32148480</v>
      </c>
      <c r="S970" s="8">
        <f>R970/1.11</f>
        <v>28962594.59459459</v>
      </c>
    </row>
    <row r="971" spans="1:19">
      <c r="A971" s="17" t="s">
        <v>681</v>
      </c>
      <c r="B971" s="2" t="s">
        <v>260</v>
      </c>
      <c r="C971" s="3">
        <v>1944</v>
      </c>
      <c r="D971" s="4" t="s">
        <v>19</v>
      </c>
      <c r="E971" s="32"/>
      <c r="F971" s="6">
        <v>1</v>
      </c>
      <c r="G971" s="7" t="s">
        <v>20</v>
      </c>
      <c r="H971" s="33">
        <v>480</v>
      </c>
      <c r="I971" s="7" t="s">
        <v>19</v>
      </c>
      <c r="J971" s="8">
        <v>15000</v>
      </c>
      <c r="K971" s="4" t="s">
        <v>19</v>
      </c>
      <c r="L971" s="31">
        <v>0.2</v>
      </c>
      <c r="O971" s="7" t="s">
        <v>19</v>
      </c>
      <c r="P971" s="3">
        <f>(C971+(E971*F971*H971))-N971</f>
        <v>1944</v>
      </c>
      <c r="Q971" s="7" t="s">
        <v>19</v>
      </c>
      <c r="R971" s="8">
        <f>P971*(J971-(J971*L971)-((J971-(J971*L971))*M971))</f>
        <v>23328000</v>
      </c>
      <c r="S971" s="8">
        <f>R971/1.11</f>
        <v>21016216.216216214</v>
      </c>
    </row>
    <row r="972" spans="1:19">
      <c r="A972" s="17" t="s">
        <v>684</v>
      </c>
      <c r="B972" s="2" t="s">
        <v>260</v>
      </c>
      <c r="C972" s="3">
        <v>2094</v>
      </c>
      <c r="D972" s="4" t="s">
        <v>19</v>
      </c>
      <c r="E972" s="32"/>
      <c r="F972" s="6">
        <v>1</v>
      </c>
      <c r="G972" s="7" t="s">
        <v>20</v>
      </c>
      <c r="H972" s="33">
        <v>480</v>
      </c>
      <c r="I972" s="7" t="s">
        <v>19</v>
      </c>
      <c r="J972" s="8">
        <v>29900</v>
      </c>
      <c r="K972" s="4" t="s">
        <v>19</v>
      </c>
      <c r="L972" s="31">
        <v>0.25</v>
      </c>
      <c r="O972" s="7" t="s">
        <v>19</v>
      </c>
      <c r="P972" s="3">
        <f>(C972+(E972*F972*H972))-N972</f>
        <v>2094</v>
      </c>
      <c r="Q972" s="7" t="s">
        <v>19</v>
      </c>
      <c r="R972" s="8">
        <f>P972*(J972-(J972*L972)-((J972-(J972*L972))*M972))</f>
        <v>46957950</v>
      </c>
      <c r="S972" s="8">
        <f>R972/1.11</f>
        <v>42304459.459459454</v>
      </c>
    </row>
    <row r="973" spans="1:19">
      <c r="A973" s="17" t="s">
        <v>682</v>
      </c>
      <c r="B973" s="2" t="s">
        <v>260</v>
      </c>
      <c r="C973" s="3">
        <v>1272</v>
      </c>
      <c r="D973" s="4" t="s">
        <v>19</v>
      </c>
      <c r="E973" s="32"/>
      <c r="F973" s="6">
        <v>1</v>
      </c>
      <c r="G973" s="7" t="s">
        <v>20</v>
      </c>
      <c r="H973" s="33">
        <v>384</v>
      </c>
      <c r="I973" s="7" t="s">
        <v>19</v>
      </c>
      <c r="J973" s="8">
        <v>16000</v>
      </c>
      <c r="K973" s="4" t="s">
        <v>19</v>
      </c>
      <c r="L973" s="31">
        <v>0.25</v>
      </c>
      <c r="O973" s="7" t="s">
        <v>19</v>
      </c>
      <c r="P973" s="3">
        <f>(C973+(E973*F973*H973))-N973</f>
        <v>1272</v>
      </c>
      <c r="Q973" s="7" t="s">
        <v>19</v>
      </c>
      <c r="R973" s="8">
        <f>P973*(J973-(J973*L973)-((J973-(J973*L973))*M973))</f>
        <v>15264000</v>
      </c>
      <c r="S973" s="8">
        <f>R973/1.11</f>
        <v>13751351.351351351</v>
      </c>
    </row>
    <row r="975" spans="1:19" ht="15.75">
      <c r="A975" s="14" t="s">
        <v>496</v>
      </c>
    </row>
    <row r="976" spans="1:19">
      <c r="A976" s="15" t="s">
        <v>497</v>
      </c>
    </row>
    <row r="977" spans="1:19">
      <c r="A977" s="17" t="s">
        <v>764</v>
      </c>
      <c r="B977" s="2" t="s">
        <v>18</v>
      </c>
      <c r="D977" s="4" t="s">
        <v>33</v>
      </c>
      <c r="E977" s="5">
        <v>4</v>
      </c>
      <c r="F977" s="6">
        <v>1</v>
      </c>
      <c r="G977" s="7" t="s">
        <v>20</v>
      </c>
      <c r="H977" s="6">
        <v>48</v>
      </c>
      <c r="I977" s="7" t="s">
        <v>33</v>
      </c>
      <c r="J977" s="8">
        <v>31200</v>
      </c>
      <c r="K977" s="4" t="s">
        <v>33</v>
      </c>
      <c r="L977" s="9">
        <v>0.125</v>
      </c>
      <c r="M977" s="9">
        <v>0.05</v>
      </c>
      <c r="O977" s="7" t="s">
        <v>33</v>
      </c>
      <c r="P977" s="3">
        <f>(C977+(E977*F977*H977))-N977</f>
        <v>192</v>
      </c>
      <c r="Q977" s="7" t="s">
        <v>33</v>
      </c>
      <c r="R977" s="8">
        <f>P977*(J977-(J977*L977)-((J977-(J977*L977))*M977))</f>
        <v>4979520</v>
      </c>
      <c r="S977" s="8">
        <f t="shared" si="444"/>
        <v>4486054.0540540535</v>
      </c>
    </row>
    <row r="979" spans="1:19" s="19" customFormat="1">
      <c r="A979" s="40" t="s">
        <v>765</v>
      </c>
      <c r="B979" s="19" t="s">
        <v>25</v>
      </c>
      <c r="C979" s="20">
        <v>122</v>
      </c>
      <c r="D979" s="21" t="s">
        <v>40</v>
      </c>
      <c r="E979" s="26">
        <v>7</v>
      </c>
      <c r="F979" s="22">
        <v>1</v>
      </c>
      <c r="G979" s="23" t="s">
        <v>20</v>
      </c>
      <c r="H979" s="22">
        <v>48</v>
      </c>
      <c r="I979" s="23" t="s">
        <v>40</v>
      </c>
      <c r="J979" s="24">
        <f>1584000/48</f>
        <v>33000</v>
      </c>
      <c r="K979" s="21" t="s">
        <v>40</v>
      </c>
      <c r="L979" s="25"/>
      <c r="M979" s="25">
        <v>0.17</v>
      </c>
      <c r="N979" s="22"/>
      <c r="O979" s="23" t="s">
        <v>40</v>
      </c>
      <c r="P979" s="20">
        <f>(C979+(E979*F979*H979))-N979</f>
        <v>458</v>
      </c>
      <c r="Q979" s="23" t="s">
        <v>40</v>
      </c>
      <c r="R979" s="24">
        <f>P979*(J979-(J979*L979)-((J979-(J979*L979))*M979))</f>
        <v>12544620</v>
      </c>
      <c r="S979" s="24">
        <f t="shared" si="444"/>
        <v>11301459.459459458</v>
      </c>
    </row>
    <row r="981" spans="1:19" ht="15.75">
      <c r="A981" s="14" t="s">
        <v>498</v>
      </c>
    </row>
    <row r="982" spans="1:19" s="19" customFormat="1">
      <c r="A982" s="131" t="s">
        <v>659</v>
      </c>
      <c r="B982" s="19" t="s">
        <v>18</v>
      </c>
      <c r="C982" s="20"/>
      <c r="D982" s="21" t="s">
        <v>19</v>
      </c>
      <c r="E982" s="26">
        <v>1</v>
      </c>
      <c r="F982" s="22">
        <v>10</v>
      </c>
      <c r="G982" s="23" t="s">
        <v>33</v>
      </c>
      <c r="H982" s="22">
        <v>12</v>
      </c>
      <c r="I982" s="23" t="s">
        <v>19</v>
      </c>
      <c r="J982" s="135">
        <v>11600</v>
      </c>
      <c r="K982" s="21" t="s">
        <v>19</v>
      </c>
      <c r="L982" s="25">
        <v>0.125</v>
      </c>
      <c r="M982" s="25">
        <v>0.05</v>
      </c>
      <c r="N982" s="22"/>
      <c r="O982" s="23" t="s">
        <v>19</v>
      </c>
      <c r="P982" s="20">
        <f t="shared" ref="P982" si="517">(C982+(E982*F982*H982))-N982</f>
        <v>120</v>
      </c>
      <c r="Q982" s="23" t="s">
        <v>19</v>
      </c>
      <c r="R982" s="24">
        <f t="shared" ref="R982" si="518">P982*(J982-(J982*L982)-((J982-(J982*L982))*M982))</f>
        <v>1157100</v>
      </c>
      <c r="S982" s="24">
        <f t="shared" ref="S982" si="519">R982/1.11</f>
        <v>1042432.4324324323</v>
      </c>
    </row>
    <row r="983" spans="1:19" s="19" customFormat="1">
      <c r="A983" s="131" t="s">
        <v>659</v>
      </c>
      <c r="B983" s="19" t="s">
        <v>18</v>
      </c>
      <c r="C983" s="20">
        <v>36</v>
      </c>
      <c r="D983" s="21" t="s">
        <v>19</v>
      </c>
      <c r="E983" s="26"/>
      <c r="F983" s="22">
        <v>10</v>
      </c>
      <c r="G983" s="23" t="s">
        <v>33</v>
      </c>
      <c r="H983" s="22">
        <v>12</v>
      </c>
      <c r="I983" s="23" t="s">
        <v>19</v>
      </c>
      <c r="J983" s="135">
        <v>11200</v>
      </c>
      <c r="K983" s="21" t="s">
        <v>19</v>
      </c>
      <c r="L983" s="25">
        <v>0.125</v>
      </c>
      <c r="M983" s="25">
        <v>0.05</v>
      </c>
      <c r="N983" s="22"/>
      <c r="O983" s="23" t="s">
        <v>19</v>
      </c>
      <c r="P983" s="20">
        <f t="shared" ref="P983:P989" si="520">(C983+(E983*F983*H983))-N983</f>
        <v>36</v>
      </c>
      <c r="Q983" s="23" t="s">
        <v>19</v>
      </c>
      <c r="R983" s="24">
        <f t="shared" ref="R983:R989" si="521">P983*(J983-(J983*L983)-((J983-(J983*L983))*M983))</f>
        <v>335160</v>
      </c>
      <c r="S983" s="24">
        <f t="shared" ref="S983:S984" si="522">R983/1.11</f>
        <v>301945.94594594592</v>
      </c>
    </row>
    <row r="984" spans="1:19" s="19" customFormat="1">
      <c r="A984" s="18" t="s">
        <v>660</v>
      </c>
      <c r="B984" s="19" t="s">
        <v>18</v>
      </c>
      <c r="C984" s="20">
        <v>48</v>
      </c>
      <c r="D984" s="21" t="s">
        <v>19</v>
      </c>
      <c r="E984" s="26"/>
      <c r="F984" s="22">
        <v>10</v>
      </c>
      <c r="G984" s="23" t="s">
        <v>33</v>
      </c>
      <c r="H984" s="22">
        <v>12</v>
      </c>
      <c r="I984" s="23" t="s">
        <v>19</v>
      </c>
      <c r="J984" s="24">
        <v>12400</v>
      </c>
      <c r="K984" s="21" t="s">
        <v>19</v>
      </c>
      <c r="L984" s="25">
        <v>0.125</v>
      </c>
      <c r="M984" s="25">
        <v>0.05</v>
      </c>
      <c r="N984" s="22"/>
      <c r="O984" s="23" t="s">
        <v>19</v>
      </c>
      <c r="P984" s="20">
        <f t="shared" si="520"/>
        <v>48</v>
      </c>
      <c r="Q984" s="23" t="s">
        <v>19</v>
      </c>
      <c r="R984" s="24">
        <f t="shared" si="521"/>
        <v>494760</v>
      </c>
      <c r="S984" s="24">
        <f t="shared" si="522"/>
        <v>445729.7297297297</v>
      </c>
    </row>
    <row r="985" spans="1:19" s="19" customFormat="1">
      <c r="A985" s="18" t="s">
        <v>499</v>
      </c>
      <c r="B985" s="19" t="s">
        <v>18</v>
      </c>
      <c r="C985" s="20">
        <v>840</v>
      </c>
      <c r="D985" s="21" t="s">
        <v>19</v>
      </c>
      <c r="E985" s="26">
        <v>14</v>
      </c>
      <c r="F985" s="22">
        <v>10</v>
      </c>
      <c r="G985" s="23" t="s">
        <v>33</v>
      </c>
      <c r="H985" s="22">
        <v>12</v>
      </c>
      <c r="I985" s="23" t="s">
        <v>19</v>
      </c>
      <c r="J985" s="24">
        <v>12950</v>
      </c>
      <c r="K985" s="21" t="s">
        <v>19</v>
      </c>
      <c r="L985" s="25">
        <v>0.125</v>
      </c>
      <c r="M985" s="25">
        <v>0.05</v>
      </c>
      <c r="N985" s="22"/>
      <c r="O985" s="23" t="s">
        <v>19</v>
      </c>
      <c r="P985" s="20">
        <f t="shared" si="520"/>
        <v>2520</v>
      </c>
      <c r="Q985" s="23" t="s">
        <v>19</v>
      </c>
      <c r="R985" s="24">
        <f t="shared" si="521"/>
        <v>27127012.5</v>
      </c>
      <c r="S985" s="24">
        <f t="shared" si="444"/>
        <v>24438749.999999996</v>
      </c>
    </row>
    <row r="986" spans="1:19">
      <c r="A986" s="159" t="s">
        <v>500</v>
      </c>
      <c r="B986" s="2" t="s">
        <v>18</v>
      </c>
      <c r="D986" s="4" t="s">
        <v>19</v>
      </c>
      <c r="E986" s="5">
        <v>3</v>
      </c>
      <c r="F986" s="6">
        <v>5</v>
      </c>
      <c r="G986" s="7" t="s">
        <v>33</v>
      </c>
      <c r="H986" s="6">
        <v>12</v>
      </c>
      <c r="I986" s="7" t="s">
        <v>19</v>
      </c>
      <c r="J986" s="8">
        <v>29500</v>
      </c>
      <c r="K986" s="4" t="s">
        <v>19</v>
      </c>
      <c r="L986" s="9">
        <v>0.125</v>
      </c>
      <c r="M986" s="9">
        <v>0.05</v>
      </c>
      <c r="O986" s="7" t="s">
        <v>19</v>
      </c>
      <c r="P986" s="3">
        <f t="shared" ref="P986" si="523">(C986+(E986*F986*H986))-N986</f>
        <v>180</v>
      </c>
      <c r="Q986" s="7" t="s">
        <v>19</v>
      </c>
      <c r="R986" s="8">
        <f t="shared" ref="R986" si="524">P986*(J986-(J986*L986)-((J986-(J986*L986))*M986))</f>
        <v>4413937.5</v>
      </c>
      <c r="S986" s="8">
        <f t="shared" ref="S986" si="525">R986/1.11</f>
        <v>3976520.2702702698</v>
      </c>
    </row>
    <row r="987" spans="1:19">
      <c r="A987" s="17" t="s">
        <v>500</v>
      </c>
      <c r="B987" s="2" t="s">
        <v>18</v>
      </c>
      <c r="C987" s="3">
        <v>60</v>
      </c>
      <c r="D987" s="4" t="s">
        <v>19</v>
      </c>
      <c r="F987" s="6">
        <v>5</v>
      </c>
      <c r="G987" s="7" t="s">
        <v>33</v>
      </c>
      <c r="H987" s="6">
        <v>12</v>
      </c>
      <c r="I987" s="7" t="s">
        <v>19</v>
      </c>
      <c r="J987" s="8">
        <v>27000</v>
      </c>
      <c r="K987" s="4" t="s">
        <v>19</v>
      </c>
      <c r="L987" s="9">
        <v>0.125</v>
      </c>
      <c r="M987" s="9">
        <v>0.05</v>
      </c>
      <c r="O987" s="7" t="s">
        <v>19</v>
      </c>
      <c r="P987" s="3">
        <f t="shared" si="520"/>
        <v>60</v>
      </c>
      <c r="Q987" s="7" t="s">
        <v>19</v>
      </c>
      <c r="R987" s="8">
        <f t="shared" si="521"/>
        <v>1346625</v>
      </c>
      <c r="S987" s="8">
        <f t="shared" si="444"/>
        <v>1213175.6756756755</v>
      </c>
    </row>
    <row r="988" spans="1:19">
      <c r="A988" s="17" t="s">
        <v>501</v>
      </c>
      <c r="B988" s="2" t="s">
        <v>18</v>
      </c>
      <c r="C988" s="3">
        <v>48</v>
      </c>
      <c r="D988" s="4" t="s">
        <v>19</v>
      </c>
      <c r="E988" s="5">
        <v>7</v>
      </c>
      <c r="F988" s="6">
        <v>1</v>
      </c>
      <c r="G988" s="7" t="s">
        <v>20</v>
      </c>
      <c r="H988" s="6">
        <v>24</v>
      </c>
      <c r="I988" s="7" t="s">
        <v>19</v>
      </c>
      <c r="J988" s="8">
        <v>40000</v>
      </c>
      <c r="K988" s="4" t="s">
        <v>19</v>
      </c>
      <c r="L988" s="9">
        <v>0.125</v>
      </c>
      <c r="M988" s="9">
        <v>0.05</v>
      </c>
      <c r="O988" s="7" t="s">
        <v>19</v>
      </c>
      <c r="P988" s="3">
        <f t="shared" si="520"/>
        <v>216</v>
      </c>
      <c r="Q988" s="7" t="s">
        <v>19</v>
      </c>
      <c r="R988" s="8">
        <f t="shared" si="521"/>
        <v>7182000</v>
      </c>
      <c r="S988" s="8">
        <f t="shared" si="444"/>
        <v>6470270.2702702694</v>
      </c>
    </row>
    <row r="989" spans="1:19" s="85" customFormat="1">
      <c r="A989" s="104" t="s">
        <v>502</v>
      </c>
      <c r="B989" s="85" t="s">
        <v>18</v>
      </c>
      <c r="C989" s="88"/>
      <c r="D989" s="89" t="s">
        <v>19</v>
      </c>
      <c r="E989" s="90">
        <v>4</v>
      </c>
      <c r="F989" s="91">
        <v>1</v>
      </c>
      <c r="G989" s="92" t="s">
        <v>20</v>
      </c>
      <c r="H989" s="91">
        <v>24</v>
      </c>
      <c r="I989" s="92" t="s">
        <v>19</v>
      </c>
      <c r="J989" s="93">
        <v>45500</v>
      </c>
      <c r="K989" s="89" t="s">
        <v>19</v>
      </c>
      <c r="L989" s="94">
        <v>0.125</v>
      </c>
      <c r="M989" s="94">
        <v>0.05</v>
      </c>
      <c r="N989" s="91"/>
      <c r="O989" s="92" t="s">
        <v>19</v>
      </c>
      <c r="P989" s="88">
        <f t="shared" si="520"/>
        <v>96</v>
      </c>
      <c r="Q989" s="92" t="s">
        <v>19</v>
      </c>
      <c r="R989" s="93">
        <f t="shared" si="521"/>
        <v>3630900</v>
      </c>
      <c r="S989" s="93">
        <f t="shared" si="444"/>
        <v>3271081.0810810807</v>
      </c>
    </row>
    <row r="991" spans="1:19" s="69" customFormat="1">
      <c r="A991" s="68" t="s">
        <v>503</v>
      </c>
      <c r="B991" s="69" t="s">
        <v>25</v>
      </c>
      <c r="C991" s="70"/>
      <c r="D991" s="71" t="s">
        <v>19</v>
      </c>
      <c r="E991" s="72"/>
      <c r="F991" s="73">
        <v>10</v>
      </c>
      <c r="G991" s="74" t="s">
        <v>40</v>
      </c>
      <c r="H991" s="73">
        <v>12</v>
      </c>
      <c r="I991" s="74" t="s">
        <v>19</v>
      </c>
      <c r="J991" s="16">
        <f>1500000/10/12</f>
        <v>12500</v>
      </c>
      <c r="K991" s="71" t="s">
        <v>19</v>
      </c>
      <c r="L991" s="75"/>
      <c r="M991" s="75">
        <v>0.17</v>
      </c>
      <c r="N991" s="73"/>
      <c r="O991" s="74" t="s">
        <v>19</v>
      </c>
      <c r="P991" s="70">
        <f t="shared" ref="P991:P1000" si="526">(C991+(E991*F991*H991))-N991</f>
        <v>0</v>
      </c>
      <c r="Q991" s="74" t="s">
        <v>19</v>
      </c>
      <c r="R991" s="16">
        <f t="shared" ref="R991:R1000" si="527">P991*(J991-(J991*L991)-((J991-(J991*L991))*M991))</f>
        <v>0</v>
      </c>
      <c r="S991" s="16">
        <f t="shared" si="444"/>
        <v>0</v>
      </c>
    </row>
    <row r="992" spans="1:19" s="19" customFormat="1">
      <c r="A992" s="18" t="s">
        <v>504</v>
      </c>
      <c r="B992" s="19" t="s">
        <v>25</v>
      </c>
      <c r="C992" s="20"/>
      <c r="D992" s="21" t="s">
        <v>40</v>
      </c>
      <c r="E992" s="26">
        <v>13</v>
      </c>
      <c r="F992" s="22">
        <v>1</v>
      </c>
      <c r="G992" s="23" t="s">
        <v>20</v>
      </c>
      <c r="H992" s="22">
        <v>10</v>
      </c>
      <c r="I992" s="23" t="s">
        <v>40</v>
      </c>
      <c r="J992" s="24">
        <f>1560000/10</f>
        <v>156000</v>
      </c>
      <c r="K992" s="21" t="s">
        <v>40</v>
      </c>
      <c r="L992" s="25"/>
      <c r="M992" s="25">
        <v>0.17</v>
      </c>
      <c r="N992" s="22"/>
      <c r="O992" s="23" t="s">
        <v>40</v>
      </c>
      <c r="P992" s="20">
        <f t="shared" si="526"/>
        <v>130</v>
      </c>
      <c r="Q992" s="23" t="s">
        <v>40</v>
      </c>
      <c r="R992" s="24">
        <f t="shared" si="527"/>
        <v>16832400</v>
      </c>
      <c r="S992" s="24">
        <f t="shared" si="444"/>
        <v>15164324.324324323</v>
      </c>
    </row>
    <row r="993" spans="1:19" s="78" customFormat="1">
      <c r="A993" s="77" t="s">
        <v>505</v>
      </c>
      <c r="B993" s="78" t="s">
        <v>25</v>
      </c>
      <c r="C993" s="76"/>
      <c r="D993" s="79" t="s">
        <v>19</v>
      </c>
      <c r="E993" s="80"/>
      <c r="F993" s="81">
        <v>10</v>
      </c>
      <c r="G993" s="82" t="s">
        <v>40</v>
      </c>
      <c r="H993" s="81">
        <v>12</v>
      </c>
      <c r="I993" s="82" t="s">
        <v>19</v>
      </c>
      <c r="J993" s="83">
        <f>13000</f>
        <v>13000</v>
      </c>
      <c r="K993" s="79" t="s">
        <v>19</v>
      </c>
      <c r="L993" s="84"/>
      <c r="M993" s="84">
        <v>0.17</v>
      </c>
      <c r="N993" s="81"/>
      <c r="O993" s="82" t="s">
        <v>19</v>
      </c>
      <c r="P993" s="76">
        <f t="shared" si="526"/>
        <v>0</v>
      </c>
      <c r="Q993" s="82" t="s">
        <v>19</v>
      </c>
      <c r="R993" s="83">
        <f t="shared" si="527"/>
        <v>0</v>
      </c>
      <c r="S993" s="16">
        <f t="shared" si="444"/>
        <v>0</v>
      </c>
    </row>
    <row r="994" spans="1:19" s="19" customFormat="1">
      <c r="A994" s="18" t="s">
        <v>506</v>
      </c>
      <c r="B994" s="19" t="s">
        <v>25</v>
      </c>
      <c r="C994" s="20">
        <v>20</v>
      </c>
      <c r="D994" s="21" t="s">
        <v>40</v>
      </c>
      <c r="E994" s="26">
        <v>8</v>
      </c>
      <c r="F994" s="22">
        <v>4</v>
      </c>
      <c r="G994" s="23" t="s">
        <v>33</v>
      </c>
      <c r="H994" s="22">
        <v>2</v>
      </c>
      <c r="I994" s="23" t="s">
        <v>40</v>
      </c>
      <c r="J994" s="24">
        <f>1440000/4/2</f>
        <v>180000</v>
      </c>
      <c r="K994" s="21" t="s">
        <v>40</v>
      </c>
      <c r="L994" s="25"/>
      <c r="M994" s="25">
        <v>0.17</v>
      </c>
      <c r="N994" s="22"/>
      <c r="O994" s="23" t="s">
        <v>40</v>
      </c>
      <c r="P994" s="20">
        <f t="shared" si="526"/>
        <v>84</v>
      </c>
      <c r="Q994" s="23" t="s">
        <v>40</v>
      </c>
      <c r="R994" s="24">
        <f t="shared" si="527"/>
        <v>12549600</v>
      </c>
      <c r="S994" s="24">
        <f t="shared" si="444"/>
        <v>11305945.945945945</v>
      </c>
    </row>
    <row r="995" spans="1:19" s="19" customFormat="1">
      <c r="A995" s="18" t="s">
        <v>507</v>
      </c>
      <c r="B995" s="19" t="s">
        <v>25</v>
      </c>
      <c r="C995" s="20">
        <v>3</v>
      </c>
      <c r="D995" s="21" t="s">
        <v>40</v>
      </c>
      <c r="E995" s="26">
        <v>3</v>
      </c>
      <c r="F995" s="22">
        <v>1</v>
      </c>
      <c r="G995" s="23" t="s">
        <v>20</v>
      </c>
      <c r="H995" s="22">
        <v>5</v>
      </c>
      <c r="I995" s="23" t="s">
        <v>40</v>
      </c>
      <c r="J995" s="24">
        <f>1410000/5</f>
        <v>282000</v>
      </c>
      <c r="K995" s="21" t="s">
        <v>19</v>
      </c>
      <c r="L995" s="25"/>
      <c r="M995" s="25">
        <v>0.17</v>
      </c>
      <c r="N995" s="22"/>
      <c r="O995" s="23" t="s">
        <v>40</v>
      </c>
      <c r="P995" s="20">
        <f t="shared" si="526"/>
        <v>18</v>
      </c>
      <c r="Q995" s="23" t="s">
        <v>40</v>
      </c>
      <c r="R995" s="24">
        <f t="shared" si="527"/>
        <v>4213080</v>
      </c>
      <c r="S995" s="24">
        <f t="shared" si="444"/>
        <v>3795567.5675675673</v>
      </c>
    </row>
    <row r="996" spans="1:19" s="19" customFormat="1">
      <c r="A996" s="131" t="s">
        <v>508</v>
      </c>
      <c r="B996" s="19" t="s">
        <v>25</v>
      </c>
      <c r="C996" s="20"/>
      <c r="D996" s="21" t="s">
        <v>40</v>
      </c>
      <c r="E996" s="26">
        <v>3</v>
      </c>
      <c r="F996" s="22">
        <v>1</v>
      </c>
      <c r="G996" s="23" t="s">
        <v>20</v>
      </c>
      <c r="H996" s="22">
        <v>4</v>
      </c>
      <c r="I996" s="23" t="s">
        <v>40</v>
      </c>
      <c r="J996" s="135">
        <v>384000</v>
      </c>
      <c r="K996" s="21" t="s">
        <v>40</v>
      </c>
      <c r="L996" s="25"/>
      <c r="M996" s="25">
        <v>0.17</v>
      </c>
      <c r="N996" s="22"/>
      <c r="O996" s="23" t="s">
        <v>40</v>
      </c>
      <c r="P996" s="20">
        <f t="shared" ref="P996" si="528">(C996+(E996*F996*H996))-N996</f>
        <v>12</v>
      </c>
      <c r="Q996" s="23" t="s">
        <v>40</v>
      </c>
      <c r="R996" s="24">
        <f t="shared" ref="R996" si="529">P996*(J996-(J996*L996)-((J996-(J996*L996))*M996))</f>
        <v>3824640</v>
      </c>
      <c r="S996" s="24">
        <f t="shared" ref="S996" si="530">R996/1.11</f>
        <v>3445621.6216216213</v>
      </c>
    </row>
    <row r="997" spans="1:19" s="19" customFormat="1">
      <c r="A997" s="131" t="s">
        <v>508</v>
      </c>
      <c r="B997" s="19" t="s">
        <v>25</v>
      </c>
      <c r="C997" s="20">
        <f>8+4</f>
        <v>12</v>
      </c>
      <c r="D997" s="21" t="s">
        <v>40</v>
      </c>
      <c r="E997" s="26"/>
      <c r="F997" s="22">
        <v>1</v>
      </c>
      <c r="G997" s="23" t="s">
        <v>20</v>
      </c>
      <c r="H997" s="22">
        <v>4</v>
      </c>
      <c r="I997" s="23" t="s">
        <v>40</v>
      </c>
      <c r="J997" s="135">
        <f>1410000/4</f>
        <v>352500</v>
      </c>
      <c r="K997" s="21" t="s">
        <v>40</v>
      </c>
      <c r="L997" s="25"/>
      <c r="M997" s="25">
        <v>0.17</v>
      </c>
      <c r="N997" s="22"/>
      <c r="O997" s="23" t="s">
        <v>40</v>
      </c>
      <c r="P997" s="20">
        <f t="shared" si="526"/>
        <v>12</v>
      </c>
      <c r="Q997" s="23" t="s">
        <v>40</v>
      </c>
      <c r="R997" s="24">
        <f t="shared" si="527"/>
        <v>3510900</v>
      </c>
      <c r="S997" s="24">
        <f t="shared" si="444"/>
        <v>3162972.9729729728</v>
      </c>
    </row>
    <row r="998" spans="1:19" s="69" customFormat="1">
      <c r="A998" s="68" t="s">
        <v>509</v>
      </c>
      <c r="B998" s="69" t="s">
        <v>25</v>
      </c>
      <c r="C998" s="70"/>
      <c r="D998" s="71" t="s">
        <v>19</v>
      </c>
      <c r="E998" s="72"/>
      <c r="F998" s="73">
        <v>1</v>
      </c>
      <c r="G998" s="74" t="s">
        <v>20</v>
      </c>
      <c r="H998" s="73">
        <v>24</v>
      </c>
      <c r="I998" s="74" t="s">
        <v>19</v>
      </c>
      <c r="J998" s="16">
        <f>1164000/24</f>
        <v>48500</v>
      </c>
      <c r="K998" s="71" t="s">
        <v>19</v>
      </c>
      <c r="L998" s="75"/>
      <c r="M998" s="75">
        <v>0.17</v>
      </c>
      <c r="N998" s="73"/>
      <c r="O998" s="74" t="s">
        <v>19</v>
      </c>
      <c r="P998" s="70">
        <f t="shared" si="526"/>
        <v>0</v>
      </c>
      <c r="Q998" s="74" t="s">
        <v>19</v>
      </c>
      <c r="R998" s="16">
        <f t="shared" si="527"/>
        <v>0</v>
      </c>
      <c r="S998" s="16">
        <f t="shared" si="444"/>
        <v>0</v>
      </c>
    </row>
    <row r="999" spans="1:19">
      <c r="A999" s="17" t="s">
        <v>510</v>
      </c>
      <c r="B999" s="2" t="s">
        <v>25</v>
      </c>
      <c r="C999" s="3">
        <v>66</v>
      </c>
      <c r="D999" s="4" t="s">
        <v>19</v>
      </c>
      <c r="E999" s="5">
        <v>5</v>
      </c>
      <c r="F999" s="6">
        <v>1</v>
      </c>
      <c r="G999" s="7" t="s">
        <v>20</v>
      </c>
      <c r="H999" s="6">
        <v>24</v>
      </c>
      <c r="I999" s="7" t="s">
        <v>19</v>
      </c>
      <c r="J999" s="8">
        <f>1020000/24</f>
        <v>42500</v>
      </c>
      <c r="K999" s="4" t="s">
        <v>19</v>
      </c>
      <c r="M999" s="9">
        <v>0.17</v>
      </c>
      <c r="O999" s="7" t="s">
        <v>19</v>
      </c>
      <c r="P999" s="3">
        <f t="shared" si="526"/>
        <v>186</v>
      </c>
      <c r="Q999" s="7" t="s">
        <v>19</v>
      </c>
      <c r="R999" s="8">
        <f t="shared" si="527"/>
        <v>6561150</v>
      </c>
      <c r="S999" s="8">
        <f t="shared" si="444"/>
        <v>5910945.9459459456</v>
      </c>
    </row>
    <row r="1000" spans="1:19">
      <c r="A1000" s="17" t="s">
        <v>511</v>
      </c>
      <c r="B1000" s="2" t="s">
        <v>25</v>
      </c>
      <c r="C1000" s="3">
        <v>72</v>
      </c>
      <c r="D1000" s="4" t="s">
        <v>19</v>
      </c>
      <c r="E1000" s="5">
        <v>3</v>
      </c>
      <c r="F1000" s="6">
        <v>1</v>
      </c>
      <c r="G1000" s="7" t="s">
        <v>20</v>
      </c>
      <c r="H1000" s="6">
        <v>24</v>
      </c>
      <c r="I1000" s="7" t="s">
        <v>19</v>
      </c>
      <c r="J1000" s="8">
        <f>1416000/24</f>
        <v>59000</v>
      </c>
      <c r="K1000" s="4" t="s">
        <v>19</v>
      </c>
      <c r="M1000" s="9">
        <v>0.17</v>
      </c>
      <c r="O1000" s="7" t="s">
        <v>19</v>
      </c>
      <c r="P1000" s="3">
        <f t="shared" si="526"/>
        <v>144</v>
      </c>
      <c r="Q1000" s="7" t="s">
        <v>19</v>
      </c>
      <c r="R1000" s="8">
        <f t="shared" si="527"/>
        <v>7051680</v>
      </c>
      <c r="S1000" s="8">
        <f t="shared" si="444"/>
        <v>6352864.8648648644</v>
      </c>
    </row>
    <row r="1002" spans="1:19" ht="15.75">
      <c r="A1002" s="14" t="s">
        <v>916</v>
      </c>
      <c r="R1002" s="16"/>
      <c r="S1002" s="16"/>
    </row>
    <row r="1003" spans="1:19">
      <c r="A1003" s="17" t="s">
        <v>937</v>
      </c>
      <c r="B1003" s="19" t="s">
        <v>45</v>
      </c>
      <c r="C1003" s="3">
        <v>5</v>
      </c>
      <c r="D1003" s="4" t="s">
        <v>19</v>
      </c>
      <c r="F1003" s="6">
        <v>15</v>
      </c>
      <c r="G1003" s="7" t="s">
        <v>33</v>
      </c>
      <c r="H1003" s="6">
        <v>20</v>
      </c>
      <c r="I1003" s="7" t="s">
        <v>833</v>
      </c>
      <c r="J1003" s="24">
        <v>42900</v>
      </c>
      <c r="K1003" s="21" t="s">
        <v>19</v>
      </c>
      <c r="L1003" s="25">
        <v>0.1</v>
      </c>
      <c r="M1003" s="25">
        <v>0.05</v>
      </c>
      <c r="N1003" s="22"/>
      <c r="O1003" s="23" t="s">
        <v>19</v>
      </c>
      <c r="P1003" s="20">
        <f>(C1003+(E1003*F1003*H1003))-N1003</f>
        <v>5</v>
      </c>
      <c r="Q1003" s="23" t="s">
        <v>19</v>
      </c>
      <c r="R1003" s="24">
        <f>P1003*(J1003-(J1003*L1003)-((J1003-(J1003*L1003))*M1003))</f>
        <v>183397.5</v>
      </c>
      <c r="S1003" s="24">
        <f t="shared" ref="S1003" si="531">R1003/1.11</f>
        <v>165222.97297297296</v>
      </c>
    </row>
    <row r="1004" spans="1:19">
      <c r="J1004" s="24"/>
      <c r="K1004" s="21"/>
      <c r="L1004" s="25"/>
      <c r="M1004" s="25"/>
      <c r="N1004" s="22"/>
      <c r="O1004" s="23"/>
      <c r="P1004" s="20"/>
      <c r="Q1004" s="23"/>
      <c r="R1004" s="24"/>
      <c r="S1004" s="24"/>
    </row>
    <row r="1005" spans="1:19" ht="15.75">
      <c r="A1005" s="14" t="s">
        <v>523</v>
      </c>
    </row>
    <row r="1006" spans="1:19" s="19" customFormat="1">
      <c r="A1006" s="18" t="s">
        <v>524</v>
      </c>
      <c r="B1006" s="19" t="s">
        <v>18</v>
      </c>
      <c r="C1006" s="20">
        <v>9140</v>
      </c>
      <c r="D1006" s="21" t="s">
        <v>19</v>
      </c>
      <c r="E1006" s="26">
        <v>10</v>
      </c>
      <c r="F1006" s="22">
        <v>72</v>
      </c>
      <c r="G1006" s="23" t="s">
        <v>33</v>
      </c>
      <c r="H1006" s="22">
        <v>10</v>
      </c>
      <c r="I1006" s="23" t="s">
        <v>19</v>
      </c>
      <c r="J1006" s="24">
        <v>3700</v>
      </c>
      <c r="K1006" s="21" t="s">
        <v>19</v>
      </c>
      <c r="L1006" s="25">
        <v>0.125</v>
      </c>
      <c r="M1006" s="25">
        <v>0.05</v>
      </c>
      <c r="N1006" s="22"/>
      <c r="O1006" s="23" t="s">
        <v>19</v>
      </c>
      <c r="P1006" s="20">
        <f>(C1006+(E1006*F1006*H1006))-N1006</f>
        <v>16340</v>
      </c>
      <c r="Q1006" s="23" t="s">
        <v>19</v>
      </c>
      <c r="R1006" s="24">
        <f>P1006*(J1006-(J1006*L1006)-((J1006-(J1006*L1006))*M1006))</f>
        <v>50255712.5</v>
      </c>
      <c r="S1006" s="24">
        <f t="shared" ref="S1006:S1093" si="532">R1006/1.11</f>
        <v>45275416.666666664</v>
      </c>
    </row>
    <row r="1007" spans="1:19" s="19" customFormat="1">
      <c r="A1007" s="18" t="s">
        <v>998</v>
      </c>
      <c r="B1007" s="19" t="s">
        <v>18</v>
      </c>
      <c r="C1007" s="20">
        <v>240</v>
      </c>
      <c r="D1007" s="21" t="s">
        <v>19</v>
      </c>
      <c r="E1007" s="26"/>
      <c r="F1007" s="22">
        <v>72</v>
      </c>
      <c r="G1007" s="23" t="s">
        <v>33</v>
      </c>
      <c r="H1007" s="22">
        <v>10</v>
      </c>
      <c r="I1007" s="23" t="s">
        <v>19</v>
      </c>
      <c r="J1007" s="24">
        <v>3700</v>
      </c>
      <c r="K1007" s="21" t="s">
        <v>19</v>
      </c>
      <c r="L1007" s="25">
        <v>0.125</v>
      </c>
      <c r="M1007" s="25">
        <v>0.05</v>
      </c>
      <c r="N1007" s="22"/>
      <c r="O1007" s="23" t="s">
        <v>19</v>
      </c>
      <c r="P1007" s="20">
        <f>(C1007+(E1007*F1007*H1007))-N1007</f>
        <v>240</v>
      </c>
      <c r="Q1007" s="23" t="s">
        <v>19</v>
      </c>
      <c r="R1007" s="24">
        <f>P1007*(J1007-(J1007*L1007)-((J1007-(J1007*L1007))*M1007))</f>
        <v>738150</v>
      </c>
      <c r="S1007" s="24">
        <f t="shared" ref="S1007" si="533">R1007/1.11</f>
        <v>664999.99999999988</v>
      </c>
    </row>
    <row r="1008" spans="1:19" s="78" customFormat="1">
      <c r="A1008" s="77" t="s">
        <v>525</v>
      </c>
      <c r="B1008" s="78" t="s">
        <v>18</v>
      </c>
      <c r="C1008" s="76"/>
      <c r="D1008" s="79" t="s">
        <v>151</v>
      </c>
      <c r="E1008" s="80"/>
      <c r="F1008" s="81">
        <v>12</v>
      </c>
      <c r="G1008" s="82" t="s">
        <v>33</v>
      </c>
      <c r="H1008" s="81">
        <v>24</v>
      </c>
      <c r="I1008" s="82" t="s">
        <v>151</v>
      </c>
      <c r="J1008" s="83">
        <v>16500</v>
      </c>
      <c r="K1008" s="79" t="s">
        <v>151</v>
      </c>
      <c r="L1008" s="84">
        <v>0.125</v>
      </c>
      <c r="M1008" s="84">
        <v>0.05</v>
      </c>
      <c r="N1008" s="81"/>
      <c r="O1008" s="82" t="s">
        <v>151</v>
      </c>
      <c r="P1008" s="76">
        <f>(C1008+(E1008*F1008*H1008))-N1008</f>
        <v>0</v>
      </c>
      <c r="Q1008" s="82" t="s">
        <v>151</v>
      </c>
      <c r="R1008" s="83">
        <f>P1008*(J1008-(J1008*L1008)-((J1008-(J1008*L1008))*M1008))</f>
        <v>0</v>
      </c>
      <c r="S1008" s="16">
        <f t="shared" si="532"/>
        <v>0</v>
      </c>
    </row>
    <row r="1009" spans="1:19" s="78" customFormat="1">
      <c r="A1009" s="77"/>
      <c r="C1009" s="76"/>
      <c r="D1009" s="79"/>
      <c r="E1009" s="80"/>
      <c r="F1009" s="81"/>
      <c r="G1009" s="82"/>
      <c r="H1009" s="81"/>
      <c r="I1009" s="82"/>
      <c r="J1009" s="83"/>
      <c r="K1009" s="79"/>
      <c r="L1009" s="84"/>
      <c r="M1009" s="84"/>
      <c r="N1009" s="81"/>
      <c r="O1009" s="82"/>
      <c r="P1009" s="76"/>
      <c r="Q1009" s="82"/>
      <c r="R1009" s="83"/>
      <c r="S1009" s="16"/>
    </row>
    <row r="1010" spans="1:19" s="19" customFormat="1">
      <c r="A1010" s="18"/>
      <c r="C1010" s="20"/>
      <c r="D1010" s="21"/>
      <c r="E1010" s="26"/>
      <c r="F1010" s="22"/>
      <c r="G1010" s="23"/>
      <c r="H1010" s="22"/>
      <c r="I1010" s="23"/>
      <c r="J1010" s="24"/>
      <c r="K1010" s="21"/>
      <c r="L1010" s="25"/>
      <c r="M1010" s="25"/>
      <c r="N1010" s="22"/>
      <c r="O1010" s="23"/>
      <c r="P1010" s="20"/>
      <c r="Q1010" s="23"/>
      <c r="R1010" s="24"/>
      <c r="S1010" s="8"/>
    </row>
    <row r="1011" spans="1:19">
      <c r="A1011" s="17" t="s">
        <v>526</v>
      </c>
      <c r="B1011" s="2" t="s">
        <v>25</v>
      </c>
      <c r="C1011" s="3">
        <v>210</v>
      </c>
      <c r="D1011" s="4" t="s">
        <v>19</v>
      </c>
      <c r="E1011" s="5">
        <v>3</v>
      </c>
      <c r="F1011" s="6">
        <v>48</v>
      </c>
      <c r="G1011" s="7" t="s">
        <v>33</v>
      </c>
      <c r="H1011" s="6">
        <v>10</v>
      </c>
      <c r="I1011" s="7" t="s">
        <v>19</v>
      </c>
      <c r="J1011" s="8">
        <f>30500/10</f>
        <v>3050</v>
      </c>
      <c r="K1011" s="4" t="s">
        <v>19</v>
      </c>
      <c r="M1011" s="9">
        <v>0.17</v>
      </c>
      <c r="O1011" s="7" t="s">
        <v>19</v>
      </c>
      <c r="P1011" s="3">
        <f>(C1011+(E1011*F1011*H1011))-N1011</f>
        <v>1650</v>
      </c>
      <c r="Q1011" s="7" t="s">
        <v>19</v>
      </c>
      <c r="R1011" s="8">
        <f>P1011*(J1011-(J1011*L1011)-((J1011-(J1011*L1011))*M1011))</f>
        <v>4176975</v>
      </c>
      <c r="S1011" s="8">
        <f t="shared" si="532"/>
        <v>3763040.5405405401</v>
      </c>
    </row>
    <row r="1012" spans="1:19">
      <c r="A1012" s="17" t="s">
        <v>527</v>
      </c>
      <c r="B1012" s="2" t="s">
        <v>25</v>
      </c>
      <c r="D1012" s="4" t="s">
        <v>19</v>
      </c>
      <c r="F1012" s="6">
        <v>48</v>
      </c>
      <c r="G1012" s="7" t="s">
        <v>33</v>
      </c>
      <c r="H1012" s="6">
        <v>10</v>
      </c>
      <c r="I1012" s="7" t="s">
        <v>19</v>
      </c>
      <c r="J1012" s="8">
        <f>30500/10</f>
        <v>3050</v>
      </c>
      <c r="K1012" s="4" t="s">
        <v>19</v>
      </c>
      <c r="M1012" s="9">
        <v>0.17</v>
      </c>
      <c r="O1012" s="7" t="s">
        <v>19</v>
      </c>
      <c r="P1012" s="3">
        <f>(C1012+(E1012*F1012*H1012))-N1012</f>
        <v>0</v>
      </c>
      <c r="Q1012" s="7" t="s">
        <v>19</v>
      </c>
      <c r="R1012" s="8">
        <f>P1012*(J1012-(J1012*L1012)-((J1012-(J1012*L1012))*M1012))</f>
        <v>0</v>
      </c>
      <c r="S1012" s="8">
        <f t="shared" si="532"/>
        <v>0</v>
      </c>
    </row>
    <row r="1013" spans="1:19">
      <c r="A1013" s="17" t="s">
        <v>528</v>
      </c>
      <c r="B1013" s="2" t="s">
        <v>25</v>
      </c>
      <c r="D1013" s="4" t="s">
        <v>40</v>
      </c>
      <c r="F1013" s="6">
        <v>12</v>
      </c>
      <c r="G1013" s="7" t="s">
        <v>33</v>
      </c>
      <c r="H1013" s="6">
        <v>12</v>
      </c>
      <c r="I1013" s="7" t="s">
        <v>40</v>
      </c>
      <c r="J1013" s="8">
        <v>25800</v>
      </c>
      <c r="K1013" s="4" t="s">
        <v>40</v>
      </c>
      <c r="M1013" s="9">
        <v>0.17</v>
      </c>
      <c r="O1013" s="7" t="s">
        <v>40</v>
      </c>
      <c r="P1013" s="3">
        <f>(C1013+(E1013*F1013*H1013))-N1013</f>
        <v>0</v>
      </c>
      <c r="Q1013" s="7" t="s">
        <v>40</v>
      </c>
      <c r="R1013" s="8">
        <f>P1013*(J1013-(J1013*L1013)-((J1013-(J1013*L1013))*M1013))</f>
        <v>0</v>
      </c>
      <c r="S1013" s="8">
        <f t="shared" si="532"/>
        <v>0</v>
      </c>
    </row>
    <row r="1014" spans="1:19">
      <c r="A1014" s="159" t="s">
        <v>962</v>
      </c>
      <c r="B1014" s="2" t="s">
        <v>25</v>
      </c>
      <c r="C1014" s="3">
        <v>140</v>
      </c>
      <c r="D1014" s="4" t="s">
        <v>19</v>
      </c>
      <c r="E1014" s="5">
        <v>2</v>
      </c>
      <c r="F1014" s="6">
        <v>48</v>
      </c>
      <c r="G1014" s="7" t="s">
        <v>33</v>
      </c>
      <c r="H1014" s="6">
        <v>10</v>
      </c>
      <c r="I1014" s="7" t="s">
        <v>19</v>
      </c>
      <c r="J1014" s="8">
        <v>2400</v>
      </c>
      <c r="K1014" s="4" t="s">
        <v>19</v>
      </c>
      <c r="L1014" s="9">
        <v>2.5000000000000001E-2</v>
      </c>
      <c r="M1014" s="9">
        <v>0.17</v>
      </c>
      <c r="O1014" s="7" t="s">
        <v>19</v>
      </c>
      <c r="P1014" s="3">
        <f>(C1014+(E1014*F1014*H1014))-N1014</f>
        <v>1100</v>
      </c>
      <c r="Q1014" s="7" t="s">
        <v>19</v>
      </c>
      <c r="R1014" s="8">
        <f>P1014*(J1014-(J1014*L1014)-((J1014-(J1014*L1014))*M1014))</f>
        <v>2136420</v>
      </c>
      <c r="S1014" s="8">
        <f t="shared" ref="S1014" si="534">R1014/1.11</f>
        <v>1924702.7027027025</v>
      </c>
    </row>
    <row r="1016" spans="1:19" s="19" customFormat="1" ht="13.5" customHeight="1">
      <c r="A1016" s="18" t="s">
        <v>529</v>
      </c>
      <c r="B1016" s="19" t="s">
        <v>260</v>
      </c>
      <c r="C1016" s="20"/>
      <c r="D1016" s="21" t="s">
        <v>98</v>
      </c>
      <c r="E1016" s="26">
        <v>3</v>
      </c>
      <c r="F1016" s="22">
        <v>1</v>
      </c>
      <c r="G1016" s="23" t="s">
        <v>20</v>
      </c>
      <c r="H1016" s="22">
        <v>24</v>
      </c>
      <c r="I1016" s="23" t="s">
        <v>98</v>
      </c>
      <c r="J1016" s="24">
        <v>106000</v>
      </c>
      <c r="K1016" s="21" t="s">
        <v>98</v>
      </c>
      <c r="L1016" s="25"/>
      <c r="M1016" s="25"/>
      <c r="N1016" s="22"/>
      <c r="O1016" s="23" t="s">
        <v>98</v>
      </c>
      <c r="P1016" s="20">
        <f>(C1016+(E1016*F1016*H1016))-N1016</f>
        <v>72</v>
      </c>
      <c r="Q1016" s="23" t="s">
        <v>98</v>
      </c>
      <c r="R1016" s="24">
        <f>P1016*(J1016-(J1016*L1016)-((J1016-(J1016*L1016))*M1016))</f>
        <v>7632000</v>
      </c>
      <c r="S1016" s="24">
        <f t="shared" ref="S1016" si="535">R1016/1.11</f>
        <v>6875675.6756756753</v>
      </c>
    </row>
    <row r="1017" spans="1:19" s="19" customFormat="1">
      <c r="A1017" s="18" t="s">
        <v>876</v>
      </c>
      <c r="B1017" s="19" t="s">
        <v>260</v>
      </c>
      <c r="C1017" s="20"/>
      <c r="D1017" s="21" t="s">
        <v>98</v>
      </c>
      <c r="E1017" s="26">
        <v>2</v>
      </c>
      <c r="F1017" s="22">
        <v>1</v>
      </c>
      <c r="G1017" s="23" t="s">
        <v>20</v>
      </c>
      <c r="H1017" s="22">
        <v>32</v>
      </c>
      <c r="I1017" s="23" t="s">
        <v>98</v>
      </c>
      <c r="J1017" s="24">
        <v>49500</v>
      </c>
      <c r="K1017" s="21" t="s">
        <v>98</v>
      </c>
      <c r="L1017" s="25"/>
      <c r="M1017" s="25"/>
      <c r="N1017" s="22"/>
      <c r="O1017" s="23" t="s">
        <v>98</v>
      </c>
      <c r="P1017" s="20">
        <f>(C1017+(E1017*F1017*H1017))-N1017</f>
        <v>64</v>
      </c>
      <c r="Q1017" s="23" t="s">
        <v>98</v>
      </c>
      <c r="R1017" s="24">
        <f>P1017*(J1017-(J1017*L1017)-((J1017-(J1017*L1017))*M1017))</f>
        <v>3168000</v>
      </c>
      <c r="S1017" s="24">
        <f t="shared" ref="S1017" si="536">R1017/1.11</f>
        <v>2854054.054054054</v>
      </c>
    </row>
    <row r="1018" spans="1:19" s="19" customFormat="1">
      <c r="A1018" s="18"/>
      <c r="C1018" s="20"/>
      <c r="D1018" s="21"/>
      <c r="E1018" s="26"/>
      <c r="F1018" s="22"/>
      <c r="G1018" s="23"/>
      <c r="H1018" s="22"/>
      <c r="I1018" s="23"/>
      <c r="J1018" s="24"/>
      <c r="K1018" s="21"/>
      <c r="L1018" s="25"/>
      <c r="M1018" s="25"/>
      <c r="N1018" s="22"/>
      <c r="O1018" s="23"/>
      <c r="P1018" s="20"/>
      <c r="Q1018" s="23"/>
      <c r="R1018" s="24"/>
      <c r="S1018" s="8"/>
    </row>
    <row r="1019" spans="1:19">
      <c r="A1019" s="17" t="s">
        <v>530</v>
      </c>
      <c r="B1019" s="2" t="s">
        <v>171</v>
      </c>
      <c r="C1019" s="3">
        <v>375</v>
      </c>
      <c r="D1019" s="4" t="s">
        <v>40</v>
      </c>
      <c r="F1019" s="6">
        <v>1</v>
      </c>
      <c r="G1019" s="7" t="s">
        <v>20</v>
      </c>
      <c r="H1019" s="6">
        <v>108</v>
      </c>
      <c r="I1019" s="7" t="s">
        <v>40</v>
      </c>
      <c r="J1019" s="8">
        <v>18000</v>
      </c>
      <c r="K1019" s="4" t="s">
        <v>40</v>
      </c>
      <c r="L1019" s="9">
        <v>0.05</v>
      </c>
      <c r="O1019" s="7" t="s">
        <v>40</v>
      </c>
      <c r="P1019" s="3">
        <f>(C1019+(E1019*F1019*H1019))-N1019</f>
        <v>375</v>
      </c>
      <c r="Q1019" s="7" t="s">
        <v>40</v>
      </c>
      <c r="R1019" s="8">
        <f>P1019*(J1019-(J1019*L1019)-((J1019-(J1019*L1019))*M1019))</f>
        <v>6412500</v>
      </c>
      <c r="S1019" s="8">
        <f t="shared" si="532"/>
        <v>5777027.0270270268</v>
      </c>
    </row>
    <row r="1020" spans="1:19" s="19" customFormat="1">
      <c r="A1020" s="18" t="s">
        <v>832</v>
      </c>
      <c r="B1020" s="19" t="s">
        <v>171</v>
      </c>
      <c r="C1020" s="20"/>
      <c r="D1020" s="21" t="s">
        <v>40</v>
      </c>
      <c r="E1020" s="26">
        <v>15</v>
      </c>
      <c r="F1020" s="22">
        <v>1</v>
      </c>
      <c r="G1020" s="23" t="s">
        <v>20</v>
      </c>
      <c r="H1020" s="22">
        <v>100</v>
      </c>
      <c r="I1020" s="23" t="s">
        <v>40</v>
      </c>
      <c r="J1020" s="24">
        <v>19000</v>
      </c>
      <c r="K1020" s="21" t="s">
        <v>40</v>
      </c>
      <c r="L1020" s="25">
        <v>0.05</v>
      </c>
      <c r="M1020" s="25"/>
      <c r="N1020" s="22"/>
      <c r="O1020" s="23" t="s">
        <v>40</v>
      </c>
      <c r="P1020" s="20">
        <f>(C1020+(E1020*F1020*H1020))-N1020</f>
        <v>1500</v>
      </c>
      <c r="Q1020" s="23" t="s">
        <v>40</v>
      </c>
      <c r="R1020" s="24">
        <f>P1020*(J1020-(J1020*L1020)-((J1020-(J1020*L1020))*M1020))</f>
        <v>27075000</v>
      </c>
      <c r="S1020" s="24">
        <f t="shared" ref="S1020" si="537">R1020/1.11</f>
        <v>24391891.891891889</v>
      </c>
    </row>
    <row r="1022" spans="1:19" s="19" customFormat="1">
      <c r="A1022" s="131" t="s">
        <v>663</v>
      </c>
      <c r="B1022" s="19" t="s">
        <v>597</v>
      </c>
      <c r="C1022" s="20"/>
      <c r="D1022" s="21" t="s">
        <v>19</v>
      </c>
      <c r="E1022" s="26">
        <v>3</v>
      </c>
      <c r="F1022" s="22">
        <v>1</v>
      </c>
      <c r="G1022" s="23" t="s">
        <v>20</v>
      </c>
      <c r="H1022" s="22">
        <v>600</v>
      </c>
      <c r="I1022" s="23" t="s">
        <v>19</v>
      </c>
      <c r="J1022" s="24">
        <v>2700</v>
      </c>
      <c r="K1022" s="21" t="s">
        <v>19</v>
      </c>
      <c r="L1022" s="130">
        <v>0.3</v>
      </c>
      <c r="M1022" s="25"/>
      <c r="N1022" s="22"/>
      <c r="O1022" s="23" t="s">
        <v>19</v>
      </c>
      <c r="P1022" s="20">
        <f>(C1022+(E1022*F1022*H1022))-N1022</f>
        <v>1800</v>
      </c>
      <c r="Q1022" s="23" t="s">
        <v>19</v>
      </c>
      <c r="R1022" s="24">
        <f>P1022*(J1022-(J1022*L1022)-((J1022-(J1022*L1022))*M1022))</f>
        <v>3402000</v>
      </c>
      <c r="S1022" s="24">
        <f t="shared" ref="S1022" si="538">R1022/1.11</f>
        <v>3064864.8648648644</v>
      </c>
    </row>
    <row r="1023" spans="1:19" s="19" customFormat="1">
      <c r="A1023" s="131" t="s">
        <v>663</v>
      </c>
      <c r="B1023" s="19" t="s">
        <v>597</v>
      </c>
      <c r="C1023" s="20">
        <v>3376</v>
      </c>
      <c r="D1023" s="21" t="s">
        <v>19</v>
      </c>
      <c r="E1023" s="26"/>
      <c r="F1023" s="22">
        <v>1</v>
      </c>
      <c r="G1023" s="23" t="s">
        <v>20</v>
      </c>
      <c r="H1023" s="22">
        <v>600</v>
      </c>
      <c r="I1023" s="23" t="s">
        <v>19</v>
      </c>
      <c r="J1023" s="24">
        <v>2700</v>
      </c>
      <c r="K1023" s="21" t="s">
        <v>19</v>
      </c>
      <c r="L1023" s="130">
        <v>0.35</v>
      </c>
      <c r="M1023" s="25"/>
      <c r="N1023" s="22"/>
      <c r="O1023" s="23" t="s">
        <v>19</v>
      </c>
      <c r="P1023" s="20">
        <f>(C1023+(E1023*F1023*H1023))-N1023</f>
        <v>3376</v>
      </c>
      <c r="Q1023" s="23" t="s">
        <v>19</v>
      </c>
      <c r="R1023" s="24">
        <f>P1023*(J1023-(J1023*L1023)-((J1023-(J1023*L1023))*M1023))</f>
        <v>5924880</v>
      </c>
      <c r="S1023" s="24">
        <f t="shared" si="532"/>
        <v>5337729.7297297297</v>
      </c>
    </row>
    <row r="1025" spans="1:19" ht="15.75">
      <c r="A1025" s="14" t="s">
        <v>531</v>
      </c>
    </row>
    <row r="1026" spans="1:19">
      <c r="A1026" s="15" t="s">
        <v>532</v>
      </c>
    </row>
    <row r="1027" spans="1:19" s="78" customFormat="1">
      <c r="A1027" s="77" t="s">
        <v>533</v>
      </c>
      <c r="B1027" s="78" t="s">
        <v>18</v>
      </c>
      <c r="C1027" s="76"/>
      <c r="D1027" s="79" t="s">
        <v>19</v>
      </c>
      <c r="E1027" s="80"/>
      <c r="F1027" s="81">
        <v>40</v>
      </c>
      <c r="G1027" s="82" t="s">
        <v>98</v>
      </c>
      <c r="H1027" s="81">
        <v>12</v>
      </c>
      <c r="I1027" s="82" t="s">
        <v>19</v>
      </c>
      <c r="J1027" s="83">
        <v>6700</v>
      </c>
      <c r="K1027" s="79" t="s">
        <v>19</v>
      </c>
      <c r="L1027" s="84">
        <v>0.125</v>
      </c>
      <c r="M1027" s="84">
        <v>0.05</v>
      </c>
      <c r="N1027" s="81"/>
      <c r="O1027" s="82" t="s">
        <v>19</v>
      </c>
      <c r="P1027" s="76">
        <f>(C1027+(E1027*F1027*H1027))-N1027</f>
        <v>0</v>
      </c>
      <c r="Q1027" s="82" t="s">
        <v>19</v>
      </c>
      <c r="R1027" s="83">
        <f>P1027*(J1027-(J1027*L1027)-((J1027-(J1027*L1027))*M1027))</f>
        <v>0</v>
      </c>
      <c r="S1027" s="16">
        <f t="shared" si="532"/>
        <v>0</v>
      </c>
    </row>
    <row r="1028" spans="1:19" s="95" customFormat="1">
      <c r="A1028" s="87" t="s">
        <v>875</v>
      </c>
      <c r="B1028" s="95" t="s">
        <v>18</v>
      </c>
      <c r="C1028" s="96"/>
      <c r="D1028" s="97" t="s">
        <v>19</v>
      </c>
      <c r="E1028" s="98">
        <v>1</v>
      </c>
      <c r="F1028" s="99">
        <v>40</v>
      </c>
      <c r="G1028" s="100" t="s">
        <v>98</v>
      </c>
      <c r="H1028" s="99">
        <v>12</v>
      </c>
      <c r="I1028" s="100" t="s">
        <v>19</v>
      </c>
      <c r="J1028" s="101">
        <v>6600</v>
      </c>
      <c r="K1028" s="97" t="s">
        <v>19</v>
      </c>
      <c r="L1028" s="102">
        <v>0.125</v>
      </c>
      <c r="M1028" s="102">
        <v>0.05</v>
      </c>
      <c r="N1028" s="99"/>
      <c r="O1028" s="100" t="s">
        <v>19</v>
      </c>
      <c r="P1028" s="96">
        <f>(C1028+(E1028*F1028*H1028))-N1028</f>
        <v>480</v>
      </c>
      <c r="Q1028" s="100" t="s">
        <v>19</v>
      </c>
      <c r="R1028" s="101">
        <f>P1028*(J1028-(J1028*L1028)-((J1028-(J1028*L1028))*M1028))</f>
        <v>2633400</v>
      </c>
      <c r="S1028" s="101">
        <f t="shared" ref="S1028" si="539">R1028/1.11</f>
        <v>2372432.4324324322</v>
      </c>
    </row>
    <row r="1029" spans="1:19" s="19" customFormat="1">
      <c r="A1029" s="18" t="s">
        <v>534</v>
      </c>
      <c r="B1029" s="19" t="s">
        <v>18</v>
      </c>
      <c r="C1029" s="20"/>
      <c r="D1029" s="21" t="s">
        <v>19</v>
      </c>
      <c r="E1029" s="26">
        <v>2</v>
      </c>
      <c r="F1029" s="22">
        <v>20</v>
      </c>
      <c r="G1029" s="23" t="s">
        <v>98</v>
      </c>
      <c r="H1029" s="22">
        <v>12</v>
      </c>
      <c r="I1029" s="23" t="s">
        <v>19</v>
      </c>
      <c r="J1029" s="24">
        <v>8600</v>
      </c>
      <c r="K1029" s="21" t="s">
        <v>19</v>
      </c>
      <c r="L1029" s="25">
        <v>0.125</v>
      </c>
      <c r="M1029" s="25">
        <v>0.05</v>
      </c>
      <c r="N1029" s="22"/>
      <c r="O1029" s="23" t="s">
        <v>19</v>
      </c>
      <c r="P1029" s="20">
        <f>(C1029+(E1029*F1029*H1029))-N1029</f>
        <v>480</v>
      </c>
      <c r="Q1029" s="23" t="s">
        <v>19</v>
      </c>
      <c r="R1029" s="24">
        <f>P1029*(J1029-(J1029*L1029)-((J1029-(J1029*L1029))*M1029))</f>
        <v>3431400</v>
      </c>
      <c r="S1029" s="24">
        <f t="shared" ref="S1029" si="540">R1029/1.11</f>
        <v>3091351.351351351</v>
      </c>
    </row>
    <row r="1030" spans="1:19" s="19" customFormat="1">
      <c r="A1030" s="18"/>
      <c r="C1030" s="20"/>
      <c r="D1030" s="21"/>
      <c r="E1030" s="26"/>
      <c r="F1030" s="22"/>
      <c r="G1030" s="23"/>
      <c r="H1030" s="22"/>
      <c r="I1030" s="23"/>
      <c r="J1030" s="24"/>
      <c r="K1030" s="21"/>
      <c r="L1030" s="25"/>
      <c r="M1030" s="25"/>
      <c r="N1030" s="22"/>
      <c r="O1030" s="23"/>
      <c r="P1030" s="20"/>
      <c r="Q1030" s="23"/>
      <c r="R1030" s="24"/>
      <c r="S1030" s="8"/>
    </row>
    <row r="1031" spans="1:19" s="85" customFormat="1">
      <c r="A1031" s="125" t="s">
        <v>535</v>
      </c>
      <c r="B1031" s="85" t="s">
        <v>25</v>
      </c>
      <c r="C1031" s="88"/>
      <c r="D1031" s="89" t="s">
        <v>40</v>
      </c>
      <c r="E1031" s="90">
        <v>2</v>
      </c>
      <c r="F1031" s="91">
        <v>1</v>
      </c>
      <c r="G1031" s="92" t="s">
        <v>20</v>
      </c>
      <c r="H1031" s="91">
        <v>40</v>
      </c>
      <c r="I1031" s="92" t="s">
        <v>40</v>
      </c>
      <c r="J1031" s="93">
        <f>3096000/40</f>
        <v>77400</v>
      </c>
      <c r="K1031" s="89" t="s">
        <v>40</v>
      </c>
      <c r="L1031" s="94"/>
      <c r="M1031" s="94">
        <v>0.17</v>
      </c>
      <c r="N1031" s="91"/>
      <c r="O1031" s="92" t="s">
        <v>40</v>
      </c>
      <c r="P1031" s="88">
        <f t="shared" ref="P1031:P1036" si="541">(C1031+(E1031*F1031*H1031))-N1031</f>
        <v>80</v>
      </c>
      <c r="Q1031" s="92" t="s">
        <v>40</v>
      </c>
      <c r="R1031" s="93">
        <f t="shared" ref="R1031:R1036" si="542">P1031*(J1031-(J1031*L1031)-((J1031-(J1031*L1031))*M1031))</f>
        <v>5139360</v>
      </c>
      <c r="S1031" s="93">
        <f t="shared" si="532"/>
        <v>4630054.0540540535</v>
      </c>
    </row>
    <row r="1032" spans="1:19">
      <c r="A1032" s="40" t="s">
        <v>536</v>
      </c>
      <c r="B1032" s="2" t="s">
        <v>25</v>
      </c>
      <c r="C1032" s="3">
        <v>33</v>
      </c>
      <c r="D1032" s="4" t="s">
        <v>40</v>
      </c>
      <c r="E1032" s="5">
        <v>2</v>
      </c>
      <c r="F1032" s="6">
        <v>1</v>
      </c>
      <c r="G1032" s="7" t="s">
        <v>20</v>
      </c>
      <c r="H1032" s="6">
        <v>40</v>
      </c>
      <c r="I1032" s="7" t="s">
        <v>40</v>
      </c>
      <c r="J1032" s="8">
        <f>2976000/40</f>
        <v>74400</v>
      </c>
      <c r="K1032" s="4" t="s">
        <v>40</v>
      </c>
      <c r="M1032" s="9">
        <v>0.17</v>
      </c>
      <c r="O1032" s="7" t="s">
        <v>40</v>
      </c>
      <c r="P1032" s="3">
        <f t="shared" si="541"/>
        <v>113</v>
      </c>
      <c r="Q1032" s="7" t="s">
        <v>40</v>
      </c>
      <c r="R1032" s="8">
        <f t="shared" si="542"/>
        <v>6977976</v>
      </c>
      <c r="S1032" s="8">
        <f t="shared" si="532"/>
        <v>6286464.8648648644</v>
      </c>
    </row>
    <row r="1033" spans="1:19" s="69" customFormat="1">
      <c r="A1033" s="110" t="s">
        <v>537</v>
      </c>
      <c r="B1033" s="69" t="s">
        <v>25</v>
      </c>
      <c r="C1033" s="70"/>
      <c r="D1033" s="71" t="s">
        <v>19</v>
      </c>
      <c r="E1033" s="72"/>
      <c r="F1033" s="73">
        <v>1</v>
      </c>
      <c r="G1033" s="74" t="s">
        <v>20</v>
      </c>
      <c r="H1033" s="73">
        <v>20</v>
      </c>
      <c r="I1033" s="74" t="s">
        <v>19</v>
      </c>
      <c r="J1033" s="16">
        <v>90000</v>
      </c>
      <c r="K1033" s="71" t="s">
        <v>19</v>
      </c>
      <c r="L1033" s="75"/>
      <c r="M1033" s="75">
        <v>0.17</v>
      </c>
      <c r="N1033" s="73"/>
      <c r="O1033" s="74" t="s">
        <v>19</v>
      </c>
      <c r="P1033" s="70">
        <f t="shared" si="541"/>
        <v>0</v>
      </c>
      <c r="Q1033" s="74" t="s">
        <v>19</v>
      </c>
      <c r="R1033" s="16">
        <f t="shared" si="542"/>
        <v>0</v>
      </c>
      <c r="S1033" s="16">
        <f t="shared" si="532"/>
        <v>0</v>
      </c>
    </row>
    <row r="1034" spans="1:19" s="69" customFormat="1">
      <c r="A1034" s="110" t="s">
        <v>538</v>
      </c>
      <c r="B1034" s="69" t="s">
        <v>25</v>
      </c>
      <c r="C1034" s="70"/>
      <c r="D1034" s="71" t="s">
        <v>19</v>
      </c>
      <c r="E1034" s="72"/>
      <c r="F1034" s="73">
        <v>1</v>
      </c>
      <c r="G1034" s="74" t="s">
        <v>20</v>
      </c>
      <c r="H1034" s="73">
        <v>20</v>
      </c>
      <c r="I1034" s="74" t="s">
        <v>19</v>
      </c>
      <c r="J1034" s="16">
        <v>87500</v>
      </c>
      <c r="K1034" s="71" t="s">
        <v>19</v>
      </c>
      <c r="L1034" s="75"/>
      <c r="M1034" s="75">
        <v>0.17</v>
      </c>
      <c r="N1034" s="73"/>
      <c r="O1034" s="74" t="s">
        <v>19</v>
      </c>
      <c r="P1034" s="70">
        <f t="shared" si="541"/>
        <v>0</v>
      </c>
      <c r="Q1034" s="74" t="s">
        <v>19</v>
      </c>
      <c r="R1034" s="16">
        <f t="shared" si="542"/>
        <v>0</v>
      </c>
      <c r="S1034" s="16">
        <f t="shared" si="532"/>
        <v>0</v>
      </c>
    </row>
    <row r="1035" spans="1:19">
      <c r="A1035" s="40" t="s">
        <v>539</v>
      </c>
      <c r="B1035" s="2" t="s">
        <v>25</v>
      </c>
      <c r="C1035" s="3">
        <v>11</v>
      </c>
      <c r="D1035" s="4" t="s">
        <v>40</v>
      </c>
      <c r="F1035" s="6">
        <v>1</v>
      </c>
      <c r="G1035" s="7" t="s">
        <v>20</v>
      </c>
      <c r="H1035" s="6">
        <v>40</v>
      </c>
      <c r="I1035" s="7" t="s">
        <v>40</v>
      </c>
      <c r="J1035" s="8">
        <f>3360000/40</f>
        <v>84000</v>
      </c>
      <c r="K1035" s="4" t="s">
        <v>40</v>
      </c>
      <c r="M1035" s="9">
        <v>0.17</v>
      </c>
      <c r="O1035" s="7" t="s">
        <v>40</v>
      </c>
      <c r="P1035" s="3">
        <f t="shared" si="541"/>
        <v>11</v>
      </c>
      <c r="Q1035" s="7" t="s">
        <v>40</v>
      </c>
      <c r="R1035" s="8">
        <f t="shared" si="542"/>
        <v>766920</v>
      </c>
      <c r="S1035" s="8">
        <f t="shared" si="532"/>
        <v>690918.91891891882</v>
      </c>
    </row>
    <row r="1036" spans="1:19" s="85" customFormat="1">
      <c r="A1036" s="125" t="s">
        <v>540</v>
      </c>
      <c r="B1036" s="85" t="s">
        <v>25</v>
      </c>
      <c r="C1036" s="88"/>
      <c r="D1036" s="89" t="s">
        <v>40</v>
      </c>
      <c r="E1036" s="90">
        <v>2</v>
      </c>
      <c r="F1036" s="91">
        <v>1</v>
      </c>
      <c r="G1036" s="92" t="s">
        <v>20</v>
      </c>
      <c r="H1036" s="91">
        <v>20</v>
      </c>
      <c r="I1036" s="92" t="s">
        <v>40</v>
      </c>
      <c r="J1036" s="93">
        <f>1992000/20</f>
        <v>99600</v>
      </c>
      <c r="K1036" s="89" t="s">
        <v>40</v>
      </c>
      <c r="L1036" s="94"/>
      <c r="M1036" s="94">
        <v>0.17</v>
      </c>
      <c r="N1036" s="91"/>
      <c r="O1036" s="92" t="s">
        <v>40</v>
      </c>
      <c r="P1036" s="88">
        <f t="shared" si="541"/>
        <v>40</v>
      </c>
      <c r="Q1036" s="92" t="s">
        <v>40</v>
      </c>
      <c r="R1036" s="93">
        <f t="shared" si="542"/>
        <v>3306720</v>
      </c>
      <c r="S1036" s="93">
        <f t="shared" si="532"/>
        <v>2979027.0270270268</v>
      </c>
    </row>
    <row r="1037" spans="1:19">
      <c r="A1037" s="40"/>
    </row>
    <row r="1038" spans="1:19">
      <c r="A1038" s="15" t="s">
        <v>541</v>
      </c>
    </row>
    <row r="1039" spans="1:19" s="95" customFormat="1">
      <c r="A1039" s="87" t="s">
        <v>542</v>
      </c>
      <c r="B1039" s="95" t="s">
        <v>18</v>
      </c>
      <c r="C1039" s="96"/>
      <c r="D1039" s="97" t="s">
        <v>40</v>
      </c>
      <c r="E1039" s="98">
        <v>4</v>
      </c>
      <c r="F1039" s="99">
        <v>18</v>
      </c>
      <c r="G1039" s="100" t="s">
        <v>98</v>
      </c>
      <c r="H1039" s="99">
        <v>1</v>
      </c>
      <c r="I1039" s="100" t="s">
        <v>40</v>
      </c>
      <c r="J1039" s="101">
        <f>4900*12</f>
        <v>58800</v>
      </c>
      <c r="K1039" s="97" t="s">
        <v>40</v>
      </c>
      <c r="L1039" s="102">
        <v>0.125</v>
      </c>
      <c r="M1039" s="102">
        <v>0.05</v>
      </c>
      <c r="N1039" s="99"/>
      <c r="O1039" s="100" t="s">
        <v>40</v>
      </c>
      <c r="P1039" s="96">
        <f>(C1039+(E1039*F1039*H1039))-N1039</f>
        <v>72</v>
      </c>
      <c r="Q1039" s="100" t="s">
        <v>40</v>
      </c>
      <c r="R1039" s="101">
        <f>P1039*(J1039-(J1039*L1039)-((J1039-(J1039*L1039))*M1039))</f>
        <v>3519180</v>
      </c>
      <c r="S1039" s="93">
        <f t="shared" si="532"/>
        <v>3170432.4324324322</v>
      </c>
    </row>
    <row r="1040" spans="1:19" s="78" customFormat="1">
      <c r="A1040" s="77" t="s">
        <v>543</v>
      </c>
      <c r="B1040" s="78" t="s">
        <v>18</v>
      </c>
      <c r="C1040" s="76"/>
      <c r="D1040" s="79" t="s">
        <v>40</v>
      </c>
      <c r="E1040" s="80"/>
      <c r="F1040" s="81">
        <v>24</v>
      </c>
      <c r="G1040" s="82" t="s">
        <v>98</v>
      </c>
      <c r="H1040" s="81">
        <v>2</v>
      </c>
      <c r="I1040" s="82" t="s">
        <v>40</v>
      </c>
      <c r="J1040" s="83">
        <f>4900*12</f>
        <v>58800</v>
      </c>
      <c r="K1040" s="79" t="s">
        <v>40</v>
      </c>
      <c r="L1040" s="84">
        <v>0.125</v>
      </c>
      <c r="M1040" s="84">
        <v>0.05</v>
      </c>
      <c r="N1040" s="81"/>
      <c r="O1040" s="82" t="s">
        <v>40</v>
      </c>
      <c r="P1040" s="76">
        <f>(C1040+(E1040*F1040*H1040))-N1040</f>
        <v>0</v>
      </c>
      <c r="Q1040" s="82" t="s">
        <v>40</v>
      </c>
      <c r="R1040" s="83">
        <f>P1040*(J1040-(J1040*L1040)-((J1040-(J1040*L1040))*M1040))</f>
        <v>0</v>
      </c>
      <c r="S1040" s="16">
        <f t="shared" si="532"/>
        <v>0</v>
      </c>
    </row>
    <row r="1041" spans="1:19" s="95" customFormat="1">
      <c r="A1041" s="158" t="s">
        <v>543</v>
      </c>
      <c r="B1041" s="95" t="s">
        <v>18</v>
      </c>
      <c r="C1041" s="96"/>
      <c r="D1041" s="97" t="s">
        <v>40</v>
      </c>
      <c r="E1041" s="98">
        <v>1</v>
      </c>
      <c r="F1041" s="99">
        <v>24</v>
      </c>
      <c r="G1041" s="100" t="s">
        <v>98</v>
      </c>
      <c r="H1041" s="99">
        <v>2</v>
      </c>
      <c r="I1041" s="100" t="s">
        <v>40</v>
      </c>
      <c r="J1041" s="101">
        <v>56400</v>
      </c>
      <c r="K1041" s="97" t="s">
        <v>40</v>
      </c>
      <c r="L1041" s="102">
        <v>0.125</v>
      </c>
      <c r="M1041" s="102">
        <v>0.05</v>
      </c>
      <c r="N1041" s="99"/>
      <c r="O1041" s="100" t="s">
        <v>40</v>
      </c>
      <c r="P1041" s="96">
        <f>(C1041+(E1041*F1041*H1041))-N1041</f>
        <v>48</v>
      </c>
      <c r="Q1041" s="100" t="s">
        <v>40</v>
      </c>
      <c r="R1041" s="101">
        <f>P1041*(J1041-(J1041*L1041)-((J1041-(J1041*L1041))*M1041))</f>
        <v>2250360</v>
      </c>
      <c r="S1041" s="93">
        <f t="shared" ref="S1041" si="543">R1041/1.11</f>
        <v>2027351.3513513512</v>
      </c>
    </row>
    <row r="1042" spans="1:19" s="19" customFormat="1">
      <c r="A1042" s="18" t="s">
        <v>544</v>
      </c>
      <c r="B1042" s="19" t="s">
        <v>18</v>
      </c>
      <c r="C1042" s="20"/>
      <c r="D1042" s="21" t="s">
        <v>40</v>
      </c>
      <c r="E1042" s="26">
        <v>5</v>
      </c>
      <c r="F1042" s="22">
        <v>18</v>
      </c>
      <c r="G1042" s="23" t="s">
        <v>98</v>
      </c>
      <c r="H1042" s="22">
        <v>1</v>
      </c>
      <c r="I1042" s="23" t="s">
        <v>40</v>
      </c>
      <c r="J1042" s="24">
        <v>69600</v>
      </c>
      <c r="K1042" s="21" t="s">
        <v>40</v>
      </c>
      <c r="L1042" s="25">
        <v>0.125</v>
      </c>
      <c r="M1042" s="25">
        <v>0.05</v>
      </c>
      <c r="N1042" s="22"/>
      <c r="O1042" s="23" t="s">
        <v>40</v>
      </c>
      <c r="P1042" s="96">
        <f>(C1042+(E1042*F1042*H1042))-N1042</f>
        <v>90</v>
      </c>
      <c r="Q1042" s="100" t="s">
        <v>40</v>
      </c>
      <c r="R1042" s="24">
        <f>P1042*(J1042-(J1042*L1042)-((J1042-(J1042*L1042))*M1042))</f>
        <v>5206950</v>
      </c>
      <c r="S1042" s="24">
        <f t="shared" ref="S1042" si="544">R1042/1.11</f>
        <v>4690945.9459459456</v>
      </c>
    </row>
    <row r="1043" spans="1:19" s="78" customFormat="1">
      <c r="A1043" s="77" t="s">
        <v>545</v>
      </c>
      <c r="B1043" s="78" t="s">
        <v>18</v>
      </c>
      <c r="C1043" s="76"/>
      <c r="D1043" s="79" t="s">
        <v>40</v>
      </c>
      <c r="E1043" s="80"/>
      <c r="F1043" s="81">
        <v>24</v>
      </c>
      <c r="G1043" s="82" t="s">
        <v>98</v>
      </c>
      <c r="H1043" s="81">
        <v>6</v>
      </c>
      <c r="I1043" s="82" t="s">
        <v>19</v>
      </c>
      <c r="J1043" s="83">
        <v>12600</v>
      </c>
      <c r="K1043" s="79" t="s">
        <v>19</v>
      </c>
      <c r="L1043" s="84">
        <v>0.125</v>
      </c>
      <c r="M1043" s="84">
        <v>0.05</v>
      </c>
      <c r="N1043" s="81"/>
      <c r="O1043" s="82" t="s">
        <v>19</v>
      </c>
      <c r="P1043" s="76">
        <f>(C1043+(E1043*F1043*H1043))-N1043</f>
        <v>0</v>
      </c>
      <c r="Q1043" s="82" t="s">
        <v>19</v>
      </c>
      <c r="R1043" s="83">
        <f>P1043*(J1043-(J1043*L1043)-((J1043-(J1043*L1043))*M1043))</f>
        <v>0</v>
      </c>
      <c r="S1043" s="16">
        <f t="shared" si="532"/>
        <v>0</v>
      </c>
    </row>
    <row r="1044" spans="1:19" s="19" customFormat="1">
      <c r="A1044" s="18"/>
      <c r="C1044" s="20"/>
      <c r="D1044" s="21"/>
      <c r="E1044" s="26"/>
      <c r="F1044" s="22"/>
      <c r="G1044" s="23"/>
      <c r="H1044" s="22"/>
      <c r="I1044" s="23"/>
      <c r="J1044" s="24"/>
      <c r="K1044" s="21"/>
      <c r="L1044" s="25"/>
      <c r="M1044" s="25"/>
      <c r="N1044" s="22"/>
      <c r="O1044" s="23"/>
      <c r="P1044" s="20"/>
      <c r="Q1044" s="23"/>
      <c r="R1044" s="24"/>
      <c r="S1044" s="8"/>
    </row>
    <row r="1045" spans="1:19" s="19" customFormat="1">
      <c r="A1045" s="18" t="s">
        <v>546</v>
      </c>
      <c r="B1045" s="19" t="s">
        <v>25</v>
      </c>
      <c r="C1045" s="20"/>
      <c r="D1045" s="21" t="s">
        <v>40</v>
      </c>
      <c r="E1045" s="26">
        <v>7</v>
      </c>
      <c r="F1045" s="22">
        <v>1</v>
      </c>
      <c r="G1045" s="23" t="s">
        <v>20</v>
      </c>
      <c r="H1045" s="22">
        <v>18</v>
      </c>
      <c r="I1045" s="23" t="s">
        <v>40</v>
      </c>
      <c r="J1045" s="24">
        <f>1069200/18</f>
        <v>59400</v>
      </c>
      <c r="K1045" s="21" t="s">
        <v>40</v>
      </c>
      <c r="L1045" s="25"/>
      <c r="M1045" s="25">
        <v>0.17</v>
      </c>
      <c r="N1045" s="22"/>
      <c r="O1045" s="23" t="s">
        <v>40</v>
      </c>
      <c r="P1045" s="20">
        <f>(C1045+(E1045*F1045*H1045))-N1045</f>
        <v>126</v>
      </c>
      <c r="Q1045" s="23" t="s">
        <v>40</v>
      </c>
      <c r="R1045" s="24">
        <f>P1045*(J1045-(J1045*L1045)-((J1045-(J1045*L1045))*M1045))</f>
        <v>6212052</v>
      </c>
      <c r="S1045" s="24">
        <f t="shared" si="532"/>
        <v>5596443.2432432426</v>
      </c>
    </row>
    <row r="1046" spans="1:19" s="85" customFormat="1">
      <c r="A1046" s="104" t="s">
        <v>547</v>
      </c>
      <c r="B1046" s="85" t="s">
        <v>25</v>
      </c>
      <c r="C1046" s="88"/>
      <c r="D1046" s="89" t="s">
        <v>40</v>
      </c>
      <c r="E1046" s="90">
        <v>2</v>
      </c>
      <c r="F1046" s="91">
        <v>1</v>
      </c>
      <c r="G1046" s="92" t="s">
        <v>20</v>
      </c>
      <c r="H1046" s="91">
        <v>18</v>
      </c>
      <c r="I1046" s="92" t="s">
        <v>40</v>
      </c>
      <c r="J1046" s="93">
        <f>1274400/18</f>
        <v>70800</v>
      </c>
      <c r="K1046" s="89" t="s">
        <v>40</v>
      </c>
      <c r="L1046" s="94"/>
      <c r="M1046" s="94">
        <v>0.17</v>
      </c>
      <c r="N1046" s="91"/>
      <c r="O1046" s="92" t="s">
        <v>40</v>
      </c>
      <c r="P1046" s="88">
        <f>(C1046+(E1046*F1046*H1046))-N1046</f>
        <v>36</v>
      </c>
      <c r="Q1046" s="92" t="s">
        <v>40</v>
      </c>
      <c r="R1046" s="93">
        <f>P1046*(J1046-(J1046*L1046)-((J1046-(J1046*L1046))*M1046))</f>
        <v>2115504</v>
      </c>
      <c r="S1046" s="93">
        <f t="shared" si="532"/>
        <v>1905859.4594594592</v>
      </c>
    </row>
    <row r="1048" spans="1:19" ht="15.75">
      <c r="A1048" s="14" t="s">
        <v>548</v>
      </c>
    </row>
    <row r="1049" spans="1:19">
      <c r="A1049" s="15" t="s">
        <v>549</v>
      </c>
    </row>
    <row r="1050" spans="1:19">
      <c r="A1050" s="17" t="s">
        <v>703</v>
      </c>
      <c r="B1050" s="19" t="s">
        <v>18</v>
      </c>
      <c r="D1050" s="4" t="s">
        <v>19</v>
      </c>
      <c r="E1050" s="5">
        <v>4</v>
      </c>
      <c r="F1050" s="6">
        <v>1</v>
      </c>
      <c r="G1050" s="7" t="s">
        <v>20</v>
      </c>
      <c r="H1050" s="6">
        <v>72</v>
      </c>
      <c r="I1050" s="7" t="s">
        <v>19</v>
      </c>
      <c r="J1050" s="8">
        <v>34500</v>
      </c>
      <c r="K1050" s="4" t="s">
        <v>19</v>
      </c>
      <c r="L1050" s="9">
        <v>0.125</v>
      </c>
      <c r="M1050" s="9">
        <v>0.05</v>
      </c>
      <c r="O1050" s="7" t="s">
        <v>19</v>
      </c>
      <c r="P1050" s="3">
        <f>(C1050+(E1050*F1050*H1050))-N1050</f>
        <v>288</v>
      </c>
      <c r="Q1050" s="7" t="s">
        <v>19</v>
      </c>
      <c r="R1050" s="8">
        <f>P1050*(J1050-(J1050*L1050)-((J1050-(J1050*L1050))*M1050))</f>
        <v>8259300</v>
      </c>
      <c r="S1050" s="8">
        <f t="shared" ref="S1050" si="545">R1050/1.11</f>
        <v>7440810.81081081</v>
      </c>
    </row>
    <row r="1051" spans="1:19" s="85" customFormat="1">
      <c r="A1051" s="104" t="s">
        <v>550</v>
      </c>
      <c r="B1051" s="95" t="s">
        <v>18</v>
      </c>
      <c r="C1051" s="88"/>
      <c r="D1051" s="89" t="s">
        <v>19</v>
      </c>
      <c r="E1051" s="90">
        <v>2</v>
      </c>
      <c r="F1051" s="91">
        <v>1</v>
      </c>
      <c r="G1051" s="92" t="s">
        <v>20</v>
      </c>
      <c r="H1051" s="91">
        <v>24</v>
      </c>
      <c r="I1051" s="92" t="s">
        <v>19</v>
      </c>
      <c r="J1051" s="93">
        <v>97000</v>
      </c>
      <c r="K1051" s="89" t="s">
        <v>19</v>
      </c>
      <c r="L1051" s="94">
        <v>0.125</v>
      </c>
      <c r="M1051" s="94">
        <v>0.05</v>
      </c>
      <c r="N1051" s="91"/>
      <c r="O1051" s="92" t="s">
        <v>19</v>
      </c>
      <c r="P1051" s="88">
        <f>(C1051+(E1051*F1051*H1051))-N1051</f>
        <v>48</v>
      </c>
      <c r="Q1051" s="92" t="s">
        <v>19</v>
      </c>
      <c r="R1051" s="93">
        <f>P1051*(J1051-(J1051*L1051)-((J1051-(J1051*L1051))*M1051))</f>
        <v>3870300</v>
      </c>
      <c r="S1051" s="93">
        <f t="shared" si="532"/>
        <v>3486756.7567567565</v>
      </c>
    </row>
    <row r="1052" spans="1:19">
      <c r="B1052" s="19"/>
    </row>
    <row r="1053" spans="1:19" s="69" customFormat="1">
      <c r="A1053" s="68" t="s">
        <v>551</v>
      </c>
      <c r="B1053" s="69" t="s">
        <v>25</v>
      </c>
      <c r="C1053" s="70"/>
      <c r="D1053" s="71" t="s">
        <v>40</v>
      </c>
      <c r="E1053" s="72"/>
      <c r="F1053" s="73">
        <v>1</v>
      </c>
      <c r="G1053" s="74" t="s">
        <v>20</v>
      </c>
      <c r="H1053" s="73">
        <v>48</v>
      </c>
      <c r="I1053" s="74" t="s">
        <v>19</v>
      </c>
      <c r="J1053" s="16">
        <f>2400000/48</f>
        <v>50000</v>
      </c>
      <c r="K1053" s="71" t="s">
        <v>19</v>
      </c>
      <c r="L1053" s="75"/>
      <c r="M1053" s="75">
        <v>0.17</v>
      </c>
      <c r="N1053" s="73"/>
      <c r="O1053" s="74" t="s">
        <v>19</v>
      </c>
      <c r="P1053" s="70">
        <f>(C1053+(E1053*F1053*H1053))-N1053</f>
        <v>0</v>
      </c>
      <c r="Q1053" s="74" t="s">
        <v>19</v>
      </c>
      <c r="R1053" s="16">
        <f>P1053*(J1053-(J1053*L1053)-((J1053-(J1053*L1053))*M1053))</f>
        <v>0</v>
      </c>
      <c r="S1053" s="16">
        <f t="shared" si="532"/>
        <v>0</v>
      </c>
    </row>
    <row r="1055" spans="1:19">
      <c r="A1055" s="15" t="s">
        <v>552</v>
      </c>
    </row>
    <row r="1056" spans="1:19" s="19" customFormat="1">
      <c r="A1056" s="18" t="s">
        <v>553</v>
      </c>
      <c r="B1056" s="19" t="s">
        <v>18</v>
      </c>
      <c r="C1056" s="20"/>
      <c r="D1056" s="21" t="s">
        <v>40</v>
      </c>
      <c r="E1056" s="26">
        <v>42</v>
      </c>
      <c r="F1056" s="22">
        <v>1</v>
      </c>
      <c r="G1056" s="23" t="s">
        <v>20</v>
      </c>
      <c r="H1056" s="22">
        <v>20</v>
      </c>
      <c r="I1056" s="23" t="s">
        <v>40</v>
      </c>
      <c r="J1056" s="24">
        <v>85200</v>
      </c>
      <c r="K1056" s="21" t="s">
        <v>40</v>
      </c>
      <c r="L1056" s="25">
        <v>0.125</v>
      </c>
      <c r="M1056" s="25">
        <v>0.05</v>
      </c>
      <c r="N1056" s="22"/>
      <c r="O1056" s="23" t="s">
        <v>40</v>
      </c>
      <c r="P1056" s="20">
        <f t="shared" ref="P1056:P1071" si="546">(C1056+(E1056*F1056*H1056))-N1056</f>
        <v>840</v>
      </c>
      <c r="Q1056" s="23" t="s">
        <v>40</v>
      </c>
      <c r="R1056" s="24">
        <f t="shared" ref="R1056:R1071" si="547">P1056*(J1056-(J1056*L1056)-((J1056-(J1056*L1056))*M1056))</f>
        <v>59490900</v>
      </c>
      <c r="S1056" s="24">
        <f t="shared" si="532"/>
        <v>53595405.405405402</v>
      </c>
    </row>
    <row r="1057" spans="1:19" s="85" customFormat="1">
      <c r="A1057" s="104" t="s">
        <v>554</v>
      </c>
      <c r="B1057" s="85" t="s">
        <v>18</v>
      </c>
      <c r="C1057" s="88"/>
      <c r="D1057" s="89" t="s">
        <v>19</v>
      </c>
      <c r="E1057" s="90">
        <v>4</v>
      </c>
      <c r="F1057" s="91">
        <v>24</v>
      </c>
      <c r="G1057" s="92" t="s">
        <v>33</v>
      </c>
      <c r="H1057" s="91">
        <v>10</v>
      </c>
      <c r="I1057" s="92" t="s">
        <v>19</v>
      </c>
      <c r="J1057" s="93">
        <v>9750</v>
      </c>
      <c r="K1057" s="89" t="s">
        <v>19</v>
      </c>
      <c r="L1057" s="94">
        <v>0.125</v>
      </c>
      <c r="M1057" s="94">
        <v>0.05</v>
      </c>
      <c r="N1057" s="91"/>
      <c r="O1057" s="92" t="s">
        <v>19</v>
      </c>
      <c r="P1057" s="88">
        <f t="shared" si="546"/>
        <v>960</v>
      </c>
      <c r="Q1057" s="92" t="s">
        <v>19</v>
      </c>
      <c r="R1057" s="93">
        <f t="shared" si="547"/>
        <v>7780500</v>
      </c>
      <c r="S1057" s="93">
        <f t="shared" si="532"/>
        <v>7009459.4594594585</v>
      </c>
    </row>
    <row r="1058" spans="1:19">
      <c r="A1058" s="17" t="s">
        <v>555</v>
      </c>
      <c r="B1058" s="2" t="s">
        <v>18</v>
      </c>
      <c r="D1058" s="4" t="s">
        <v>40</v>
      </c>
      <c r="E1058" s="5">
        <v>6</v>
      </c>
      <c r="F1058" s="6">
        <v>1</v>
      </c>
      <c r="G1058" s="7" t="s">
        <v>20</v>
      </c>
      <c r="H1058" s="6">
        <v>25</v>
      </c>
      <c r="I1058" s="7" t="s">
        <v>40</v>
      </c>
      <c r="J1058" s="8">
        <v>70800</v>
      </c>
      <c r="K1058" s="4" t="s">
        <v>40</v>
      </c>
      <c r="L1058" s="9">
        <v>0.125</v>
      </c>
      <c r="M1058" s="9">
        <v>0.05</v>
      </c>
      <c r="O1058" s="7" t="s">
        <v>40</v>
      </c>
      <c r="P1058" s="3">
        <f t="shared" si="546"/>
        <v>150</v>
      </c>
      <c r="Q1058" s="7" t="s">
        <v>40</v>
      </c>
      <c r="R1058" s="8">
        <f t="shared" si="547"/>
        <v>8827875</v>
      </c>
      <c r="S1058" s="8">
        <f t="shared" si="532"/>
        <v>7953040.5405405397</v>
      </c>
    </row>
    <row r="1059" spans="1:19">
      <c r="A1059" s="18" t="s">
        <v>837</v>
      </c>
      <c r="B1059" s="2" t="s">
        <v>18</v>
      </c>
      <c r="D1059" s="4" t="s">
        <v>40</v>
      </c>
      <c r="E1059" s="5">
        <v>3</v>
      </c>
      <c r="F1059" s="6">
        <v>1</v>
      </c>
      <c r="G1059" s="7" t="s">
        <v>20</v>
      </c>
      <c r="H1059" s="6">
        <v>25</v>
      </c>
      <c r="I1059" s="7" t="s">
        <v>40</v>
      </c>
      <c r="J1059" s="8">
        <v>66600</v>
      </c>
      <c r="K1059" s="4" t="s">
        <v>40</v>
      </c>
      <c r="L1059" s="9">
        <v>0.125</v>
      </c>
      <c r="M1059" s="9">
        <v>0.05</v>
      </c>
      <c r="O1059" s="7" t="s">
        <v>40</v>
      </c>
      <c r="P1059" s="3">
        <f t="shared" ref="P1059:P1060" si="548">(C1059+(E1059*F1059*H1059))-N1059</f>
        <v>75</v>
      </c>
      <c r="Q1059" s="7" t="s">
        <v>40</v>
      </c>
      <c r="R1059" s="8">
        <f t="shared" ref="R1059:R1060" si="549">P1059*(J1059-(J1059*L1059)-((J1059-(J1059*L1059))*M1059))</f>
        <v>4152093.75</v>
      </c>
      <c r="S1059" s="8">
        <f t="shared" ref="S1059:S1060" si="550">R1059/1.11</f>
        <v>3740624.9999999995</v>
      </c>
    </row>
    <row r="1060" spans="1:19" s="19" customFormat="1">
      <c r="A1060" s="131" t="s">
        <v>556</v>
      </c>
      <c r="B1060" s="19" t="s">
        <v>18</v>
      </c>
      <c r="C1060" s="20"/>
      <c r="D1060" s="21" t="s">
        <v>40</v>
      </c>
      <c r="E1060" s="26">
        <v>18</v>
      </c>
      <c r="F1060" s="22">
        <v>20</v>
      </c>
      <c r="G1060" s="23" t="s">
        <v>33</v>
      </c>
      <c r="H1060" s="22">
        <v>1</v>
      </c>
      <c r="I1060" s="23" t="s">
        <v>40</v>
      </c>
      <c r="J1060" s="135">
        <v>84000</v>
      </c>
      <c r="K1060" s="21" t="s">
        <v>40</v>
      </c>
      <c r="L1060" s="25">
        <v>0.125</v>
      </c>
      <c r="M1060" s="25">
        <v>0.05</v>
      </c>
      <c r="N1060" s="22"/>
      <c r="O1060" s="23" t="s">
        <v>40</v>
      </c>
      <c r="P1060" s="20">
        <f t="shared" si="548"/>
        <v>360</v>
      </c>
      <c r="Q1060" s="23" t="s">
        <v>40</v>
      </c>
      <c r="R1060" s="24">
        <f t="shared" si="549"/>
        <v>25137000</v>
      </c>
      <c r="S1060" s="24">
        <f t="shared" si="550"/>
        <v>22645945.945945945</v>
      </c>
    </row>
    <row r="1061" spans="1:19" s="19" customFormat="1">
      <c r="A1061" s="131" t="s">
        <v>556</v>
      </c>
      <c r="B1061" s="19" t="s">
        <v>18</v>
      </c>
      <c r="C1061" s="20">
        <v>240</v>
      </c>
      <c r="D1061" s="21" t="s">
        <v>40</v>
      </c>
      <c r="E1061" s="26"/>
      <c r="F1061" s="22">
        <v>20</v>
      </c>
      <c r="G1061" s="23" t="s">
        <v>33</v>
      </c>
      <c r="H1061" s="22">
        <v>1</v>
      </c>
      <c r="I1061" s="23" t="s">
        <v>40</v>
      </c>
      <c r="J1061" s="135">
        <f>6800*12</f>
        <v>81600</v>
      </c>
      <c r="K1061" s="21" t="s">
        <v>40</v>
      </c>
      <c r="L1061" s="25">
        <v>0.125</v>
      </c>
      <c r="M1061" s="25">
        <v>0.05</v>
      </c>
      <c r="N1061" s="22"/>
      <c r="O1061" s="23" t="s">
        <v>40</v>
      </c>
      <c r="P1061" s="20">
        <f t="shared" si="546"/>
        <v>240</v>
      </c>
      <c r="Q1061" s="23" t="s">
        <v>40</v>
      </c>
      <c r="R1061" s="24">
        <f t="shared" si="547"/>
        <v>16279200</v>
      </c>
      <c r="S1061" s="24">
        <f t="shared" si="532"/>
        <v>14665945.945945945</v>
      </c>
    </row>
    <row r="1062" spans="1:19" s="19" customFormat="1">
      <c r="A1062" s="18" t="s">
        <v>979</v>
      </c>
      <c r="B1062" s="19" t="s">
        <v>18</v>
      </c>
      <c r="C1062" s="20"/>
      <c r="D1062" s="21" t="s">
        <v>19</v>
      </c>
      <c r="E1062" s="26">
        <v>1</v>
      </c>
      <c r="F1062" s="22">
        <v>1</v>
      </c>
      <c r="G1062" s="23" t="s">
        <v>20</v>
      </c>
      <c r="H1062" s="22">
        <v>10</v>
      </c>
      <c r="I1062" s="23" t="s">
        <v>40</v>
      </c>
      <c r="J1062" s="24">
        <v>282000</v>
      </c>
      <c r="K1062" s="21" t="s">
        <v>40</v>
      </c>
      <c r="L1062" s="25">
        <v>0.125</v>
      </c>
      <c r="M1062" s="25">
        <v>0.05</v>
      </c>
      <c r="N1062" s="22"/>
      <c r="O1062" s="23" t="s">
        <v>40</v>
      </c>
      <c r="P1062" s="20">
        <f t="shared" ref="P1062" si="551">(C1062+(E1062*F1062*H1062))-N1062</f>
        <v>10</v>
      </c>
      <c r="Q1062" s="23" t="s">
        <v>40</v>
      </c>
      <c r="R1062" s="24">
        <f t="shared" ref="R1062" si="552">P1062*(J1062-(J1062*L1062)-((J1062-(J1062*L1062))*M1062))</f>
        <v>2344125</v>
      </c>
      <c r="S1062" s="24">
        <f t="shared" ref="S1062" si="553">R1062/1.11</f>
        <v>2111824.3243243243</v>
      </c>
    </row>
    <row r="1063" spans="1:19" s="19" customFormat="1">
      <c r="A1063" s="18" t="s">
        <v>557</v>
      </c>
      <c r="B1063" s="19" t="s">
        <v>18</v>
      </c>
      <c r="C1063" s="20">
        <v>450</v>
      </c>
      <c r="D1063" s="21" t="s">
        <v>19</v>
      </c>
      <c r="E1063" s="26">
        <v>4</v>
      </c>
      <c r="F1063" s="22">
        <v>20</v>
      </c>
      <c r="G1063" s="23" t="s">
        <v>33</v>
      </c>
      <c r="H1063" s="22">
        <v>6</v>
      </c>
      <c r="I1063" s="23" t="s">
        <v>19</v>
      </c>
      <c r="J1063" s="24">
        <v>18700</v>
      </c>
      <c r="K1063" s="21" t="s">
        <v>19</v>
      </c>
      <c r="L1063" s="25">
        <v>0.125</v>
      </c>
      <c r="M1063" s="25">
        <v>0.05</v>
      </c>
      <c r="N1063" s="22"/>
      <c r="O1063" s="23" t="s">
        <v>19</v>
      </c>
      <c r="P1063" s="20">
        <f t="shared" si="546"/>
        <v>930</v>
      </c>
      <c r="Q1063" s="23" t="s">
        <v>19</v>
      </c>
      <c r="R1063" s="24">
        <f t="shared" si="547"/>
        <v>14456268.75</v>
      </c>
      <c r="S1063" s="24">
        <f t="shared" si="532"/>
        <v>13023665.540540539</v>
      </c>
    </row>
    <row r="1064" spans="1:19" s="19" customFormat="1">
      <c r="A1064" s="18" t="s">
        <v>558</v>
      </c>
      <c r="B1064" s="19" t="s">
        <v>18</v>
      </c>
      <c r="C1064" s="20">
        <v>1284</v>
      </c>
      <c r="D1064" s="21" t="s">
        <v>19</v>
      </c>
      <c r="E1064" s="26">
        <v>4</v>
      </c>
      <c r="F1064" s="22">
        <v>20</v>
      </c>
      <c r="G1064" s="23" t="s">
        <v>33</v>
      </c>
      <c r="H1064" s="22">
        <v>6</v>
      </c>
      <c r="I1064" s="23" t="s">
        <v>19</v>
      </c>
      <c r="J1064" s="24">
        <v>18000</v>
      </c>
      <c r="K1064" s="21" t="s">
        <v>19</v>
      </c>
      <c r="L1064" s="25">
        <v>0.125</v>
      </c>
      <c r="M1064" s="25">
        <v>0.05</v>
      </c>
      <c r="N1064" s="22"/>
      <c r="O1064" s="23" t="s">
        <v>19</v>
      </c>
      <c r="P1064" s="20">
        <f t="shared" si="546"/>
        <v>1764</v>
      </c>
      <c r="Q1064" s="23" t="s">
        <v>19</v>
      </c>
      <c r="R1064" s="24">
        <f t="shared" si="547"/>
        <v>26393850</v>
      </c>
      <c r="S1064" s="24">
        <f t="shared" si="532"/>
        <v>23778243.24324324</v>
      </c>
    </row>
    <row r="1065" spans="1:19" s="69" customFormat="1">
      <c r="A1065" s="68" t="s">
        <v>559</v>
      </c>
      <c r="B1065" s="69" t="s">
        <v>18</v>
      </c>
      <c r="C1065" s="70"/>
      <c r="D1065" s="71" t="s">
        <v>19</v>
      </c>
      <c r="E1065" s="72"/>
      <c r="F1065" s="73">
        <v>1</v>
      </c>
      <c r="G1065" s="74" t="s">
        <v>20</v>
      </c>
      <c r="H1065" s="73">
        <v>12</v>
      </c>
      <c r="I1065" s="74" t="s">
        <v>19</v>
      </c>
      <c r="J1065" s="16">
        <v>162000</v>
      </c>
      <c r="K1065" s="71" t="s">
        <v>19</v>
      </c>
      <c r="L1065" s="75">
        <v>0.125</v>
      </c>
      <c r="M1065" s="75">
        <v>0.05</v>
      </c>
      <c r="N1065" s="73"/>
      <c r="O1065" s="74" t="s">
        <v>19</v>
      </c>
      <c r="P1065" s="70">
        <f t="shared" si="546"/>
        <v>0</v>
      </c>
      <c r="Q1065" s="74" t="s">
        <v>19</v>
      </c>
      <c r="R1065" s="16">
        <f t="shared" si="547"/>
        <v>0</v>
      </c>
      <c r="S1065" s="16">
        <f t="shared" si="532"/>
        <v>0</v>
      </c>
    </row>
    <row r="1066" spans="1:19" s="69" customFormat="1">
      <c r="A1066" s="68" t="s">
        <v>755</v>
      </c>
      <c r="B1066" s="69" t="s">
        <v>18</v>
      </c>
      <c r="C1066" s="70"/>
      <c r="D1066" s="71" t="s">
        <v>19</v>
      </c>
      <c r="E1066" s="72"/>
      <c r="F1066" s="73">
        <v>1</v>
      </c>
      <c r="G1066" s="74" t="s">
        <v>20</v>
      </c>
      <c r="H1066" s="73">
        <v>12</v>
      </c>
      <c r="I1066" s="74" t="s">
        <v>19</v>
      </c>
      <c r="J1066" s="16">
        <v>200000</v>
      </c>
      <c r="K1066" s="71" t="s">
        <v>19</v>
      </c>
      <c r="L1066" s="75">
        <v>0.125</v>
      </c>
      <c r="M1066" s="75">
        <v>0.05</v>
      </c>
      <c r="N1066" s="73"/>
      <c r="O1066" s="74" t="s">
        <v>19</v>
      </c>
      <c r="P1066" s="70">
        <f t="shared" si="546"/>
        <v>0</v>
      </c>
      <c r="Q1066" s="74" t="s">
        <v>19</v>
      </c>
      <c r="R1066" s="16">
        <f t="shared" si="547"/>
        <v>0</v>
      </c>
      <c r="S1066" s="16">
        <f t="shared" si="532"/>
        <v>0</v>
      </c>
    </row>
    <row r="1067" spans="1:19">
      <c r="A1067" s="17" t="s">
        <v>560</v>
      </c>
      <c r="B1067" s="2" t="s">
        <v>18</v>
      </c>
      <c r="D1067" s="4" t="s">
        <v>19</v>
      </c>
      <c r="E1067" s="5">
        <v>2</v>
      </c>
      <c r="F1067" s="6">
        <v>1</v>
      </c>
      <c r="G1067" s="7" t="s">
        <v>20</v>
      </c>
      <c r="H1067" s="6">
        <v>36</v>
      </c>
      <c r="I1067" s="7" t="s">
        <v>19</v>
      </c>
      <c r="J1067" s="8">
        <v>58000</v>
      </c>
      <c r="K1067" s="4" t="s">
        <v>19</v>
      </c>
      <c r="L1067" s="9">
        <v>0.125</v>
      </c>
      <c r="M1067" s="9">
        <v>0.05</v>
      </c>
      <c r="O1067" s="7" t="s">
        <v>19</v>
      </c>
      <c r="P1067" s="3">
        <f t="shared" si="546"/>
        <v>72</v>
      </c>
      <c r="Q1067" s="7" t="s">
        <v>19</v>
      </c>
      <c r="R1067" s="8">
        <f t="shared" si="547"/>
        <v>3471300</v>
      </c>
      <c r="S1067" s="8">
        <f t="shared" si="532"/>
        <v>3127297.297297297</v>
      </c>
    </row>
    <row r="1068" spans="1:19">
      <c r="A1068" s="17" t="s">
        <v>561</v>
      </c>
      <c r="B1068" s="2" t="s">
        <v>18</v>
      </c>
      <c r="C1068" s="3">
        <v>36</v>
      </c>
      <c r="D1068" s="4" t="s">
        <v>19</v>
      </c>
      <c r="F1068" s="6">
        <v>1</v>
      </c>
      <c r="G1068" s="7" t="s">
        <v>20</v>
      </c>
      <c r="H1068" s="6">
        <v>12</v>
      </c>
      <c r="I1068" s="7" t="s">
        <v>19</v>
      </c>
      <c r="J1068" s="8">
        <v>97000</v>
      </c>
      <c r="K1068" s="4" t="s">
        <v>19</v>
      </c>
      <c r="L1068" s="9">
        <v>0.125</v>
      </c>
      <c r="M1068" s="9">
        <v>0.05</v>
      </c>
      <c r="O1068" s="7" t="s">
        <v>19</v>
      </c>
      <c r="P1068" s="3">
        <f t="shared" si="546"/>
        <v>36</v>
      </c>
      <c r="Q1068" s="7" t="s">
        <v>19</v>
      </c>
      <c r="R1068" s="8">
        <f t="shared" si="547"/>
        <v>2902725</v>
      </c>
      <c r="S1068" s="8">
        <f t="shared" si="532"/>
        <v>2615067.5675675673</v>
      </c>
    </row>
    <row r="1069" spans="1:19" s="19" customFormat="1">
      <c r="A1069" s="18" t="s">
        <v>562</v>
      </c>
      <c r="B1069" s="19" t="s">
        <v>18</v>
      </c>
      <c r="C1069" s="20">
        <v>12</v>
      </c>
      <c r="D1069" s="21" t="s">
        <v>19</v>
      </c>
      <c r="E1069" s="26">
        <v>4</v>
      </c>
      <c r="F1069" s="22">
        <v>1</v>
      </c>
      <c r="G1069" s="23" t="s">
        <v>20</v>
      </c>
      <c r="H1069" s="22">
        <v>12</v>
      </c>
      <c r="I1069" s="23" t="s">
        <v>19</v>
      </c>
      <c r="J1069" s="24">
        <v>97000</v>
      </c>
      <c r="K1069" s="21" t="s">
        <v>19</v>
      </c>
      <c r="L1069" s="25">
        <v>0.125</v>
      </c>
      <c r="M1069" s="25">
        <v>0.05</v>
      </c>
      <c r="N1069" s="22"/>
      <c r="O1069" s="23" t="s">
        <v>19</v>
      </c>
      <c r="P1069" s="20">
        <f t="shared" si="546"/>
        <v>60</v>
      </c>
      <c r="Q1069" s="23" t="s">
        <v>19</v>
      </c>
      <c r="R1069" s="24">
        <f t="shared" si="547"/>
        <v>4837875</v>
      </c>
      <c r="S1069" s="24">
        <f t="shared" si="532"/>
        <v>4358445.9459459456</v>
      </c>
    </row>
    <row r="1070" spans="1:19">
      <c r="A1070" s="17" t="s">
        <v>563</v>
      </c>
      <c r="B1070" s="2" t="s">
        <v>18</v>
      </c>
      <c r="C1070" s="3">
        <v>2</v>
      </c>
      <c r="D1070" s="4" t="s">
        <v>19</v>
      </c>
      <c r="E1070" s="5">
        <v>4</v>
      </c>
      <c r="F1070" s="6">
        <v>1</v>
      </c>
      <c r="G1070" s="7" t="s">
        <v>20</v>
      </c>
      <c r="H1070" s="6">
        <v>6</v>
      </c>
      <c r="I1070" s="7" t="s">
        <v>19</v>
      </c>
      <c r="J1070" s="8">
        <v>187000</v>
      </c>
      <c r="K1070" s="4" t="s">
        <v>19</v>
      </c>
      <c r="L1070" s="9">
        <v>0.125</v>
      </c>
      <c r="M1070" s="9">
        <v>0.05</v>
      </c>
      <c r="O1070" s="7" t="s">
        <v>19</v>
      </c>
      <c r="P1070" s="3">
        <f t="shared" si="546"/>
        <v>26</v>
      </c>
      <c r="Q1070" s="7" t="s">
        <v>19</v>
      </c>
      <c r="R1070" s="8">
        <f t="shared" si="547"/>
        <v>4041537.5</v>
      </c>
      <c r="S1070" s="8">
        <f t="shared" si="532"/>
        <v>3641024.7747747744</v>
      </c>
    </row>
    <row r="1071" spans="1:19">
      <c r="A1071" s="17" t="s">
        <v>564</v>
      </c>
      <c r="B1071" s="2" t="s">
        <v>18</v>
      </c>
      <c r="C1071" s="3">
        <v>6</v>
      </c>
      <c r="D1071" s="4" t="s">
        <v>19</v>
      </c>
      <c r="F1071" s="6">
        <v>1</v>
      </c>
      <c r="G1071" s="7" t="s">
        <v>20</v>
      </c>
      <c r="H1071" s="6">
        <v>6</v>
      </c>
      <c r="I1071" s="7" t="s">
        <v>19</v>
      </c>
      <c r="J1071" s="8">
        <v>420000</v>
      </c>
      <c r="K1071" s="4" t="s">
        <v>19</v>
      </c>
      <c r="L1071" s="9">
        <v>0.125</v>
      </c>
      <c r="M1071" s="9">
        <v>0.05</v>
      </c>
      <c r="O1071" s="7" t="s">
        <v>19</v>
      </c>
      <c r="P1071" s="3">
        <f t="shared" si="546"/>
        <v>6</v>
      </c>
      <c r="Q1071" s="7" t="s">
        <v>19</v>
      </c>
      <c r="R1071" s="8">
        <f t="shared" si="547"/>
        <v>2094750</v>
      </c>
      <c r="S1071" s="8">
        <f t="shared" si="532"/>
        <v>1887162.1621621619</v>
      </c>
    </row>
    <row r="1073" spans="1:19" s="19" customFormat="1">
      <c r="A1073" s="131" t="s">
        <v>565</v>
      </c>
      <c r="B1073" s="19" t="s">
        <v>25</v>
      </c>
      <c r="C1073" s="20"/>
      <c r="D1073" s="21" t="s">
        <v>40</v>
      </c>
      <c r="E1073" s="26">
        <v>100</v>
      </c>
      <c r="F1073" s="22">
        <v>1</v>
      </c>
      <c r="G1073" s="23" t="s">
        <v>20</v>
      </c>
      <c r="H1073" s="22">
        <v>20</v>
      </c>
      <c r="I1073" s="23" t="s">
        <v>40</v>
      </c>
      <c r="J1073" s="24">
        <f>1860000/20</f>
        <v>93000</v>
      </c>
      <c r="K1073" s="21" t="s">
        <v>40</v>
      </c>
      <c r="L1073" s="130">
        <v>0.03</v>
      </c>
      <c r="M1073" s="25">
        <v>0.17</v>
      </c>
      <c r="N1073" s="22"/>
      <c r="O1073" s="23" t="s">
        <v>40</v>
      </c>
      <c r="P1073" s="20">
        <f t="shared" ref="P1073" si="554">(C1073+(E1073*F1073*H1073))-N1073</f>
        <v>2000</v>
      </c>
      <c r="Q1073" s="23" t="s">
        <v>40</v>
      </c>
      <c r="R1073" s="24">
        <f t="shared" ref="R1073" si="555">P1073*(J1073-(J1073*L1073)-((J1073-(J1073*L1073))*M1073))</f>
        <v>149748600</v>
      </c>
      <c r="S1073" s="24">
        <f t="shared" ref="S1073" si="556">R1073/1.11</f>
        <v>134908648.64864865</v>
      </c>
    </row>
    <row r="1074" spans="1:19" s="19" customFormat="1">
      <c r="A1074" s="131" t="s">
        <v>565</v>
      </c>
      <c r="B1074" s="19" t="s">
        <v>25</v>
      </c>
      <c r="C1074" s="20">
        <v>214</v>
      </c>
      <c r="D1074" s="21" t="s">
        <v>40</v>
      </c>
      <c r="E1074" s="26">
        <v>51</v>
      </c>
      <c r="F1074" s="22">
        <v>1</v>
      </c>
      <c r="G1074" s="23" t="s">
        <v>20</v>
      </c>
      <c r="H1074" s="22">
        <v>20</v>
      </c>
      <c r="I1074" s="23" t="s">
        <v>40</v>
      </c>
      <c r="J1074" s="24">
        <f>1860000/20</f>
        <v>93000</v>
      </c>
      <c r="K1074" s="21" t="s">
        <v>40</v>
      </c>
      <c r="L1074" s="130"/>
      <c r="M1074" s="25">
        <v>0.17</v>
      </c>
      <c r="N1074" s="22"/>
      <c r="O1074" s="23" t="s">
        <v>40</v>
      </c>
      <c r="P1074" s="20">
        <f t="shared" ref="P1074:P1095" si="557">(C1074+(E1074*F1074*H1074))-N1074</f>
        <v>1234</v>
      </c>
      <c r="Q1074" s="23" t="s">
        <v>40</v>
      </c>
      <c r="R1074" s="24">
        <f t="shared" ref="R1074:R1095" si="558">P1074*(J1074-(J1074*L1074)-((J1074-(J1074*L1074))*M1074))</f>
        <v>95252460</v>
      </c>
      <c r="S1074" s="24">
        <f t="shared" si="532"/>
        <v>85813027.027027026</v>
      </c>
    </row>
    <row r="1075" spans="1:19" s="19" customFormat="1">
      <c r="A1075" s="18" t="s">
        <v>566</v>
      </c>
      <c r="B1075" s="19" t="s">
        <v>25</v>
      </c>
      <c r="C1075" s="20">
        <v>40</v>
      </c>
      <c r="D1075" s="21" t="s">
        <v>40</v>
      </c>
      <c r="E1075" s="26">
        <v>4</v>
      </c>
      <c r="F1075" s="22">
        <v>1</v>
      </c>
      <c r="G1075" s="23" t="s">
        <v>20</v>
      </c>
      <c r="H1075" s="22">
        <v>20</v>
      </c>
      <c r="I1075" s="23" t="s">
        <v>40</v>
      </c>
      <c r="J1075" s="24">
        <f>1740000/20</f>
        <v>87000</v>
      </c>
      <c r="K1075" s="21" t="s">
        <v>40</v>
      </c>
      <c r="L1075" s="25"/>
      <c r="M1075" s="25">
        <v>0.17</v>
      </c>
      <c r="N1075" s="22"/>
      <c r="O1075" s="23" t="s">
        <v>40</v>
      </c>
      <c r="P1075" s="20">
        <f t="shared" si="557"/>
        <v>120</v>
      </c>
      <c r="Q1075" s="23" t="s">
        <v>40</v>
      </c>
      <c r="R1075" s="24">
        <f t="shared" si="558"/>
        <v>8665200</v>
      </c>
      <c r="S1075" s="24">
        <f t="shared" si="532"/>
        <v>7806486.4864864862</v>
      </c>
    </row>
    <row r="1076" spans="1:19" s="19" customFormat="1">
      <c r="A1076" s="18" t="s">
        <v>567</v>
      </c>
      <c r="B1076" s="19" t="s">
        <v>25</v>
      </c>
      <c r="C1076" s="20">
        <v>100</v>
      </c>
      <c r="D1076" s="21" t="s">
        <v>40</v>
      </c>
      <c r="E1076" s="26"/>
      <c r="F1076" s="22">
        <v>1</v>
      </c>
      <c r="G1076" s="23" t="s">
        <v>20</v>
      </c>
      <c r="H1076" s="22">
        <v>20</v>
      </c>
      <c r="I1076" s="23" t="s">
        <v>40</v>
      </c>
      <c r="J1076" s="24">
        <f>1740000/20</f>
        <v>87000</v>
      </c>
      <c r="K1076" s="21" t="s">
        <v>40</v>
      </c>
      <c r="L1076" s="25"/>
      <c r="M1076" s="25">
        <v>0.17</v>
      </c>
      <c r="N1076" s="22"/>
      <c r="O1076" s="23" t="s">
        <v>40</v>
      </c>
      <c r="P1076" s="20">
        <f t="shared" si="557"/>
        <v>100</v>
      </c>
      <c r="Q1076" s="23" t="s">
        <v>40</v>
      </c>
      <c r="R1076" s="24">
        <f t="shared" si="558"/>
        <v>7221000</v>
      </c>
      <c r="S1076" s="24">
        <f t="shared" si="532"/>
        <v>6505405.405405405</v>
      </c>
    </row>
    <row r="1077" spans="1:19" s="19" customFormat="1">
      <c r="A1077" s="18" t="s">
        <v>568</v>
      </c>
      <c r="B1077" s="19" t="s">
        <v>25</v>
      </c>
      <c r="C1077" s="20">
        <v>5</v>
      </c>
      <c r="D1077" s="21" t="s">
        <v>40</v>
      </c>
      <c r="E1077" s="26">
        <v>14</v>
      </c>
      <c r="F1077" s="22">
        <v>1</v>
      </c>
      <c r="G1077" s="23" t="s">
        <v>20</v>
      </c>
      <c r="H1077" s="22">
        <v>20</v>
      </c>
      <c r="I1077" s="23" t="s">
        <v>40</v>
      </c>
      <c r="J1077" s="24">
        <f>2352000/20</f>
        <v>117600</v>
      </c>
      <c r="K1077" s="21" t="s">
        <v>40</v>
      </c>
      <c r="L1077" s="25"/>
      <c r="M1077" s="25">
        <v>0.17</v>
      </c>
      <c r="N1077" s="22"/>
      <c r="O1077" s="38" t="s">
        <v>40</v>
      </c>
      <c r="P1077" s="20">
        <f t="shared" si="557"/>
        <v>285</v>
      </c>
      <c r="Q1077" s="23" t="s">
        <v>40</v>
      </c>
      <c r="R1077" s="24">
        <f t="shared" si="558"/>
        <v>27818280</v>
      </c>
      <c r="S1077" s="24">
        <f t="shared" si="532"/>
        <v>25061513.513513513</v>
      </c>
    </row>
    <row r="1078" spans="1:19" s="19" customFormat="1">
      <c r="A1078" s="18" t="s">
        <v>652</v>
      </c>
      <c r="B1078" s="19" t="s">
        <v>25</v>
      </c>
      <c r="C1078" s="20">
        <v>40</v>
      </c>
      <c r="D1078" s="21" t="s">
        <v>40</v>
      </c>
      <c r="E1078" s="26">
        <v>10</v>
      </c>
      <c r="F1078" s="22">
        <v>1</v>
      </c>
      <c r="G1078" s="23" t="s">
        <v>20</v>
      </c>
      <c r="H1078" s="22">
        <v>20</v>
      </c>
      <c r="I1078" s="23" t="s">
        <v>40</v>
      </c>
      <c r="J1078" s="24">
        <f>2352000/20</f>
        <v>117600</v>
      </c>
      <c r="K1078" s="21" t="s">
        <v>40</v>
      </c>
      <c r="L1078" s="25"/>
      <c r="M1078" s="25">
        <v>0.17</v>
      </c>
      <c r="N1078" s="22"/>
      <c r="O1078" s="65" t="s">
        <v>40</v>
      </c>
      <c r="P1078" s="20">
        <f t="shared" si="557"/>
        <v>240</v>
      </c>
      <c r="Q1078" s="23" t="s">
        <v>40</v>
      </c>
      <c r="R1078" s="24">
        <f t="shared" si="558"/>
        <v>23425920</v>
      </c>
      <c r="S1078" s="24">
        <f t="shared" si="532"/>
        <v>21104432.432432432</v>
      </c>
    </row>
    <row r="1079" spans="1:19" s="19" customFormat="1">
      <c r="A1079" s="18" t="s">
        <v>569</v>
      </c>
      <c r="B1079" s="19" t="s">
        <v>25</v>
      </c>
      <c r="C1079" s="20">
        <v>100</v>
      </c>
      <c r="D1079" s="21" t="s">
        <v>40</v>
      </c>
      <c r="E1079" s="26">
        <v>2</v>
      </c>
      <c r="F1079" s="22">
        <v>1</v>
      </c>
      <c r="G1079" s="23" t="s">
        <v>20</v>
      </c>
      <c r="H1079" s="22">
        <v>20</v>
      </c>
      <c r="I1079" s="23" t="s">
        <v>40</v>
      </c>
      <c r="J1079" s="24">
        <f>2352000/20</f>
        <v>117600</v>
      </c>
      <c r="K1079" s="21" t="s">
        <v>40</v>
      </c>
      <c r="L1079" s="25"/>
      <c r="M1079" s="25">
        <v>0.17</v>
      </c>
      <c r="N1079" s="22"/>
      <c r="O1079" s="23" t="s">
        <v>40</v>
      </c>
      <c r="P1079" s="20">
        <f t="shared" si="557"/>
        <v>140</v>
      </c>
      <c r="Q1079" s="23" t="s">
        <v>40</v>
      </c>
      <c r="R1079" s="24">
        <f t="shared" si="558"/>
        <v>13665120</v>
      </c>
      <c r="S1079" s="24">
        <f t="shared" si="532"/>
        <v>12310918.918918917</v>
      </c>
    </row>
    <row r="1080" spans="1:19" s="78" customFormat="1">
      <c r="A1080" s="77" t="s">
        <v>779</v>
      </c>
      <c r="B1080" s="78" t="s">
        <v>25</v>
      </c>
      <c r="C1080" s="76"/>
      <c r="D1080" s="79" t="s">
        <v>40</v>
      </c>
      <c r="E1080" s="80"/>
      <c r="F1080" s="81">
        <v>1</v>
      </c>
      <c r="G1080" s="82" t="s">
        <v>20</v>
      </c>
      <c r="H1080" s="81">
        <v>10</v>
      </c>
      <c r="I1080" s="82" t="s">
        <v>40</v>
      </c>
      <c r="J1080" s="83">
        <f>2400000/10</f>
        <v>240000</v>
      </c>
      <c r="K1080" s="79" t="s">
        <v>40</v>
      </c>
      <c r="L1080" s="84"/>
      <c r="M1080" s="84">
        <v>0.17</v>
      </c>
      <c r="N1080" s="81"/>
      <c r="O1080" s="86" t="s">
        <v>40</v>
      </c>
      <c r="P1080" s="76">
        <f t="shared" si="557"/>
        <v>0</v>
      </c>
      <c r="Q1080" s="82" t="s">
        <v>40</v>
      </c>
      <c r="R1080" s="83">
        <f t="shared" si="558"/>
        <v>0</v>
      </c>
      <c r="S1080" s="83">
        <f t="shared" si="532"/>
        <v>0</v>
      </c>
    </row>
    <row r="1081" spans="1:19">
      <c r="A1081" s="17" t="s">
        <v>570</v>
      </c>
      <c r="B1081" s="2" t="s">
        <v>25</v>
      </c>
      <c r="C1081" s="3">
        <v>25</v>
      </c>
      <c r="D1081" s="4" t="s">
        <v>40</v>
      </c>
      <c r="F1081" s="6">
        <v>1</v>
      </c>
      <c r="G1081" s="7" t="s">
        <v>20</v>
      </c>
      <c r="H1081" s="6">
        <v>40</v>
      </c>
      <c r="I1081" s="7" t="s">
        <v>40</v>
      </c>
      <c r="J1081" s="8">
        <f>2688000/40</f>
        <v>67200</v>
      </c>
      <c r="K1081" s="4" t="s">
        <v>40</v>
      </c>
      <c r="M1081" s="9">
        <v>0.17</v>
      </c>
      <c r="O1081" s="7" t="s">
        <v>40</v>
      </c>
      <c r="P1081" s="3">
        <f t="shared" si="557"/>
        <v>25</v>
      </c>
      <c r="Q1081" s="7" t="s">
        <v>40</v>
      </c>
      <c r="R1081" s="8">
        <f t="shared" si="558"/>
        <v>1394400</v>
      </c>
      <c r="S1081" s="8">
        <f t="shared" si="532"/>
        <v>1256216.2162162161</v>
      </c>
    </row>
    <row r="1082" spans="1:19" s="69" customFormat="1">
      <c r="A1082" s="68" t="s">
        <v>571</v>
      </c>
      <c r="B1082" s="69" t="s">
        <v>25</v>
      </c>
      <c r="C1082" s="70"/>
      <c r="D1082" s="71" t="s">
        <v>40</v>
      </c>
      <c r="E1082" s="72"/>
      <c r="F1082" s="73">
        <v>1</v>
      </c>
      <c r="G1082" s="74" t="s">
        <v>20</v>
      </c>
      <c r="H1082" s="73">
        <v>20</v>
      </c>
      <c r="I1082" s="74" t="s">
        <v>40</v>
      </c>
      <c r="J1082" s="16">
        <v>120000</v>
      </c>
      <c r="K1082" s="71" t="s">
        <v>40</v>
      </c>
      <c r="L1082" s="75"/>
      <c r="M1082" s="75">
        <v>0.17</v>
      </c>
      <c r="N1082" s="73"/>
      <c r="O1082" s="74" t="s">
        <v>40</v>
      </c>
      <c r="P1082" s="70">
        <f t="shared" si="557"/>
        <v>0</v>
      </c>
      <c r="Q1082" s="74" t="s">
        <v>40</v>
      </c>
      <c r="R1082" s="16">
        <f t="shared" si="558"/>
        <v>0</v>
      </c>
      <c r="S1082" s="16">
        <f t="shared" si="532"/>
        <v>0</v>
      </c>
    </row>
    <row r="1083" spans="1:19" s="19" customFormat="1">
      <c r="A1083" s="159" t="s">
        <v>572</v>
      </c>
      <c r="B1083" s="19" t="s">
        <v>25</v>
      </c>
      <c r="C1083" s="20"/>
      <c r="D1083" s="21" t="s">
        <v>40</v>
      </c>
      <c r="E1083" s="26">
        <v>8</v>
      </c>
      <c r="F1083" s="22">
        <v>1</v>
      </c>
      <c r="G1083" s="23" t="s">
        <v>20</v>
      </c>
      <c r="H1083" s="22">
        <v>25</v>
      </c>
      <c r="I1083" s="23" t="s">
        <v>40</v>
      </c>
      <c r="J1083" s="24">
        <v>74400</v>
      </c>
      <c r="K1083" s="21" t="s">
        <v>40</v>
      </c>
      <c r="L1083" s="25"/>
      <c r="M1083" s="25">
        <v>0.17</v>
      </c>
      <c r="N1083" s="22"/>
      <c r="O1083" s="23" t="s">
        <v>40</v>
      </c>
      <c r="P1083" s="20">
        <f t="shared" ref="P1083" si="559">(C1083+(E1083*F1083*H1083))-N1083</f>
        <v>200</v>
      </c>
      <c r="Q1083" s="23" t="s">
        <v>40</v>
      </c>
      <c r="R1083" s="24">
        <f t="shared" ref="R1083" si="560">P1083*(J1083-(J1083*L1083)-((J1083-(J1083*L1083))*M1083))</f>
        <v>12350400</v>
      </c>
      <c r="S1083" s="24">
        <f t="shared" ref="S1083" si="561">R1083/1.11</f>
        <v>11126486.486486485</v>
      </c>
    </row>
    <row r="1084" spans="1:19" s="19" customFormat="1">
      <c r="A1084" s="18" t="s">
        <v>572</v>
      </c>
      <c r="B1084" s="19" t="s">
        <v>25</v>
      </c>
      <c r="C1084" s="20">
        <v>23</v>
      </c>
      <c r="D1084" s="21" t="s">
        <v>40</v>
      </c>
      <c r="E1084" s="26">
        <v>2</v>
      </c>
      <c r="F1084" s="22">
        <v>1</v>
      </c>
      <c r="G1084" s="23" t="s">
        <v>20</v>
      </c>
      <c r="H1084" s="22">
        <v>25</v>
      </c>
      <c r="I1084" s="23" t="s">
        <v>40</v>
      </c>
      <c r="J1084" s="24">
        <f>1740000/25</f>
        <v>69600</v>
      </c>
      <c r="K1084" s="21" t="s">
        <v>40</v>
      </c>
      <c r="L1084" s="25"/>
      <c r="M1084" s="25">
        <v>0.17</v>
      </c>
      <c r="N1084" s="22"/>
      <c r="O1084" s="23" t="s">
        <v>40</v>
      </c>
      <c r="P1084" s="20">
        <f t="shared" si="557"/>
        <v>73</v>
      </c>
      <c r="Q1084" s="23" t="s">
        <v>40</v>
      </c>
      <c r="R1084" s="24">
        <f t="shared" si="558"/>
        <v>4217064</v>
      </c>
      <c r="S1084" s="24">
        <f t="shared" si="532"/>
        <v>3799156.7567567565</v>
      </c>
    </row>
    <row r="1085" spans="1:19" s="78" customFormat="1">
      <c r="A1085" s="77" t="s">
        <v>573</v>
      </c>
      <c r="B1085" s="78" t="s">
        <v>25</v>
      </c>
      <c r="C1085" s="76"/>
      <c r="D1085" s="79" t="s">
        <v>40</v>
      </c>
      <c r="E1085" s="80"/>
      <c r="F1085" s="81">
        <v>1</v>
      </c>
      <c r="G1085" s="82" t="s">
        <v>20</v>
      </c>
      <c r="H1085" s="81">
        <v>10</v>
      </c>
      <c r="I1085" s="82" t="s">
        <v>40</v>
      </c>
      <c r="J1085" s="83">
        <f>2280000/10</f>
        <v>228000</v>
      </c>
      <c r="K1085" s="79" t="s">
        <v>40</v>
      </c>
      <c r="L1085" s="84"/>
      <c r="M1085" s="84">
        <v>0.17</v>
      </c>
      <c r="N1085" s="81"/>
      <c r="O1085" s="82" t="s">
        <v>40</v>
      </c>
      <c r="P1085" s="76">
        <f t="shared" si="557"/>
        <v>0</v>
      </c>
      <c r="Q1085" s="82" t="s">
        <v>40</v>
      </c>
      <c r="R1085" s="83">
        <f t="shared" si="558"/>
        <v>0</v>
      </c>
      <c r="S1085" s="16">
        <f t="shared" si="532"/>
        <v>0</v>
      </c>
    </row>
    <row r="1086" spans="1:19" s="19" customFormat="1">
      <c r="A1086" s="18" t="s">
        <v>574</v>
      </c>
      <c r="B1086" s="19" t="s">
        <v>25</v>
      </c>
      <c r="C1086" s="20">
        <v>57</v>
      </c>
      <c r="D1086" s="21" t="s">
        <v>40</v>
      </c>
      <c r="E1086" s="26">
        <v>24</v>
      </c>
      <c r="F1086" s="22">
        <v>1</v>
      </c>
      <c r="G1086" s="23" t="s">
        <v>20</v>
      </c>
      <c r="H1086" s="22">
        <v>10</v>
      </c>
      <c r="I1086" s="23" t="s">
        <v>40</v>
      </c>
      <c r="J1086" s="24">
        <f>2280000/10</f>
        <v>228000</v>
      </c>
      <c r="K1086" s="21" t="s">
        <v>40</v>
      </c>
      <c r="L1086" s="25"/>
      <c r="M1086" s="25">
        <v>0.17</v>
      </c>
      <c r="N1086" s="22"/>
      <c r="O1086" s="66" t="s">
        <v>40</v>
      </c>
      <c r="P1086" s="20">
        <f t="shared" si="557"/>
        <v>297</v>
      </c>
      <c r="Q1086" s="23" t="s">
        <v>40</v>
      </c>
      <c r="R1086" s="24">
        <f t="shared" si="558"/>
        <v>56204280</v>
      </c>
      <c r="S1086" s="24">
        <f t="shared" si="532"/>
        <v>50634486.48648648</v>
      </c>
    </row>
    <row r="1087" spans="1:19" s="19" customFormat="1">
      <c r="A1087" s="159" t="s">
        <v>575</v>
      </c>
      <c r="B1087" s="19" t="s">
        <v>25</v>
      </c>
      <c r="C1087" s="20">
        <v>50</v>
      </c>
      <c r="D1087" s="21" t="s">
        <v>40</v>
      </c>
      <c r="E1087" s="26">
        <v>2</v>
      </c>
      <c r="F1087" s="22">
        <v>1</v>
      </c>
      <c r="G1087" s="23" t="s">
        <v>20</v>
      </c>
      <c r="H1087" s="22">
        <v>10</v>
      </c>
      <c r="I1087" s="23" t="s">
        <v>40</v>
      </c>
      <c r="J1087" s="24">
        <v>228000</v>
      </c>
      <c r="K1087" s="21" t="s">
        <v>40</v>
      </c>
      <c r="L1087" s="25"/>
      <c r="M1087" s="25">
        <v>0.17</v>
      </c>
      <c r="N1087" s="22"/>
      <c r="O1087" s="23" t="s">
        <v>40</v>
      </c>
      <c r="P1087" s="20">
        <f t="shared" ref="P1087" si="562">(C1087+(E1087*F1087*H1087))-N1087</f>
        <v>70</v>
      </c>
      <c r="Q1087" s="23" t="s">
        <v>40</v>
      </c>
      <c r="R1087" s="24">
        <f t="shared" ref="R1087" si="563">P1087*(J1087-(J1087*L1087)-((J1087-(J1087*L1087))*M1087))</f>
        <v>13246800</v>
      </c>
      <c r="S1087" s="24">
        <f t="shared" ref="S1087" si="564">R1087/1.11</f>
        <v>11934054.054054054</v>
      </c>
    </row>
    <row r="1088" spans="1:19" s="19" customFormat="1">
      <c r="A1088" s="18" t="s">
        <v>575</v>
      </c>
      <c r="B1088" s="19" t="s">
        <v>25</v>
      </c>
      <c r="C1088" s="20">
        <v>50</v>
      </c>
      <c r="D1088" s="21" t="s">
        <v>40</v>
      </c>
      <c r="E1088" s="26"/>
      <c r="F1088" s="22">
        <v>1</v>
      </c>
      <c r="G1088" s="23" t="s">
        <v>20</v>
      </c>
      <c r="H1088" s="22">
        <v>10</v>
      </c>
      <c r="I1088" s="23" t="s">
        <v>40</v>
      </c>
      <c r="J1088" s="24">
        <f>2040000/10</f>
        <v>204000</v>
      </c>
      <c r="K1088" s="21" t="s">
        <v>40</v>
      </c>
      <c r="L1088" s="25"/>
      <c r="M1088" s="25">
        <v>0.17</v>
      </c>
      <c r="N1088" s="22"/>
      <c r="O1088" s="23" t="s">
        <v>40</v>
      </c>
      <c r="P1088" s="20">
        <f t="shared" si="557"/>
        <v>50</v>
      </c>
      <c r="Q1088" s="23" t="s">
        <v>40</v>
      </c>
      <c r="R1088" s="24">
        <f t="shared" si="558"/>
        <v>8466000</v>
      </c>
      <c r="S1088" s="24">
        <f t="shared" si="532"/>
        <v>7627027.0270270268</v>
      </c>
    </row>
    <row r="1089" spans="1:19" s="19" customFormat="1">
      <c r="A1089" s="131" t="s">
        <v>576</v>
      </c>
      <c r="B1089" s="19" t="s">
        <v>25</v>
      </c>
      <c r="C1089" s="20"/>
      <c r="D1089" s="21" t="s">
        <v>40</v>
      </c>
      <c r="E1089" s="26">
        <v>5</v>
      </c>
      <c r="F1089" s="22">
        <v>1</v>
      </c>
      <c r="G1089" s="23" t="s">
        <v>20</v>
      </c>
      <c r="H1089" s="22">
        <v>10</v>
      </c>
      <c r="I1089" s="23" t="s">
        <v>40</v>
      </c>
      <c r="J1089" s="135">
        <v>228000</v>
      </c>
      <c r="K1089" s="21" t="s">
        <v>40</v>
      </c>
      <c r="L1089" s="25"/>
      <c r="M1089" s="25">
        <v>0.17</v>
      </c>
      <c r="N1089" s="22"/>
      <c r="O1089" s="23" t="s">
        <v>40</v>
      </c>
      <c r="P1089" s="20">
        <f t="shared" ref="P1089" si="565">(C1089+(E1089*F1089*H1089))-N1089</f>
        <v>50</v>
      </c>
      <c r="Q1089" s="23" t="s">
        <v>40</v>
      </c>
      <c r="R1089" s="24">
        <f t="shared" ref="R1089" si="566">P1089*(J1089-(J1089*L1089)-((J1089-(J1089*L1089))*M1089))</f>
        <v>9462000</v>
      </c>
      <c r="S1089" s="24">
        <f t="shared" ref="S1089" si="567">R1089/1.11</f>
        <v>8524324.3243243229</v>
      </c>
    </row>
    <row r="1090" spans="1:19" s="19" customFormat="1">
      <c r="A1090" s="131" t="s">
        <v>576</v>
      </c>
      <c r="B1090" s="19" t="s">
        <v>25</v>
      </c>
      <c r="C1090" s="20">
        <v>40</v>
      </c>
      <c r="D1090" s="21" t="s">
        <v>40</v>
      </c>
      <c r="E1090" s="26"/>
      <c r="F1090" s="22">
        <v>1</v>
      </c>
      <c r="G1090" s="23" t="s">
        <v>20</v>
      </c>
      <c r="H1090" s="22">
        <v>10</v>
      </c>
      <c r="I1090" s="23" t="s">
        <v>40</v>
      </c>
      <c r="J1090" s="135">
        <f>2040000/10</f>
        <v>204000</v>
      </c>
      <c r="K1090" s="21" t="s">
        <v>40</v>
      </c>
      <c r="L1090" s="25"/>
      <c r="M1090" s="25">
        <v>0.17</v>
      </c>
      <c r="N1090" s="22"/>
      <c r="O1090" s="23" t="s">
        <v>40</v>
      </c>
      <c r="P1090" s="20">
        <f t="shared" si="557"/>
        <v>40</v>
      </c>
      <c r="Q1090" s="23" t="s">
        <v>40</v>
      </c>
      <c r="R1090" s="24">
        <f t="shared" si="558"/>
        <v>6772800</v>
      </c>
      <c r="S1090" s="24">
        <f t="shared" si="532"/>
        <v>6101621.6216216208</v>
      </c>
    </row>
    <row r="1091" spans="1:19" s="69" customFormat="1">
      <c r="A1091" s="68" t="s">
        <v>577</v>
      </c>
      <c r="B1091" s="69" t="s">
        <v>25</v>
      </c>
      <c r="C1091" s="70"/>
      <c r="D1091" s="71" t="s">
        <v>19</v>
      </c>
      <c r="E1091" s="72"/>
      <c r="F1091" s="73">
        <v>20</v>
      </c>
      <c r="G1091" s="74" t="s">
        <v>33</v>
      </c>
      <c r="H1091" s="73">
        <v>6</v>
      </c>
      <c r="I1091" s="74" t="s">
        <v>19</v>
      </c>
      <c r="J1091" s="16">
        <v>14500</v>
      </c>
      <c r="K1091" s="71" t="s">
        <v>19</v>
      </c>
      <c r="L1091" s="75"/>
      <c r="M1091" s="75">
        <v>0.17</v>
      </c>
      <c r="N1091" s="73"/>
      <c r="O1091" s="74" t="s">
        <v>19</v>
      </c>
      <c r="P1091" s="70">
        <f t="shared" si="557"/>
        <v>0</v>
      </c>
      <c r="Q1091" s="74" t="s">
        <v>19</v>
      </c>
      <c r="R1091" s="16">
        <f t="shared" si="558"/>
        <v>0</v>
      </c>
      <c r="S1091" s="16">
        <f t="shared" si="532"/>
        <v>0</v>
      </c>
    </row>
    <row r="1092" spans="1:19" s="19" customFormat="1">
      <c r="A1092" s="18" t="s">
        <v>578</v>
      </c>
      <c r="B1092" s="19" t="s">
        <v>25</v>
      </c>
      <c r="C1092" s="20">
        <f>23+3</f>
        <v>26</v>
      </c>
      <c r="D1092" s="21" t="s">
        <v>19</v>
      </c>
      <c r="E1092" s="26">
        <v>3</v>
      </c>
      <c r="F1092" s="22">
        <v>1</v>
      </c>
      <c r="G1092" s="23" t="s">
        <v>20</v>
      </c>
      <c r="H1092" s="22">
        <v>6</v>
      </c>
      <c r="I1092" s="23" t="s">
        <v>19</v>
      </c>
      <c r="J1092" s="24">
        <f>2160000/6</f>
        <v>360000</v>
      </c>
      <c r="K1092" s="21" t="s">
        <v>19</v>
      </c>
      <c r="L1092" s="25"/>
      <c r="M1092" s="25">
        <v>0.17</v>
      </c>
      <c r="N1092" s="22"/>
      <c r="O1092" s="23" t="s">
        <v>19</v>
      </c>
      <c r="P1092" s="20">
        <f t="shared" si="557"/>
        <v>44</v>
      </c>
      <c r="Q1092" s="23" t="s">
        <v>19</v>
      </c>
      <c r="R1092" s="24">
        <f t="shared" si="558"/>
        <v>13147200</v>
      </c>
      <c r="S1092" s="24">
        <f t="shared" si="532"/>
        <v>11844324.324324323</v>
      </c>
    </row>
    <row r="1093" spans="1:19" s="19" customFormat="1">
      <c r="A1093" s="18" t="s">
        <v>579</v>
      </c>
      <c r="B1093" s="19" t="s">
        <v>25</v>
      </c>
      <c r="C1093" s="20">
        <v>6</v>
      </c>
      <c r="D1093" s="21" t="s">
        <v>19</v>
      </c>
      <c r="E1093" s="26">
        <v>9</v>
      </c>
      <c r="F1093" s="22">
        <v>1</v>
      </c>
      <c r="G1093" s="23" t="s">
        <v>20</v>
      </c>
      <c r="H1093" s="22">
        <v>6</v>
      </c>
      <c r="I1093" s="23" t="s">
        <v>19</v>
      </c>
      <c r="J1093" s="24">
        <f>930000/6</f>
        <v>155000</v>
      </c>
      <c r="K1093" s="21" t="s">
        <v>19</v>
      </c>
      <c r="L1093" s="25"/>
      <c r="M1093" s="25">
        <v>0.17</v>
      </c>
      <c r="N1093" s="22"/>
      <c r="O1093" s="23" t="s">
        <v>19</v>
      </c>
      <c r="P1093" s="20">
        <f t="shared" si="557"/>
        <v>60</v>
      </c>
      <c r="Q1093" s="23" t="s">
        <v>19</v>
      </c>
      <c r="R1093" s="24">
        <f t="shared" si="558"/>
        <v>7719000</v>
      </c>
      <c r="S1093" s="24">
        <f t="shared" si="532"/>
        <v>6954054.0540540535</v>
      </c>
    </row>
    <row r="1094" spans="1:19" s="19" customFormat="1">
      <c r="A1094" s="18" t="s">
        <v>580</v>
      </c>
      <c r="B1094" s="19" t="s">
        <v>25</v>
      </c>
      <c r="C1094" s="20">
        <v>30</v>
      </c>
      <c r="D1094" s="21" t="s">
        <v>19</v>
      </c>
      <c r="E1094" s="26">
        <v>11</v>
      </c>
      <c r="F1094" s="22">
        <v>1</v>
      </c>
      <c r="G1094" s="23" t="s">
        <v>20</v>
      </c>
      <c r="H1094" s="22">
        <v>6</v>
      </c>
      <c r="I1094" s="23" t="s">
        <v>19</v>
      </c>
      <c r="J1094" s="24">
        <f>504000/6</f>
        <v>84000</v>
      </c>
      <c r="K1094" s="21" t="s">
        <v>19</v>
      </c>
      <c r="L1094" s="25"/>
      <c r="M1094" s="25">
        <v>0.17</v>
      </c>
      <c r="N1094" s="22"/>
      <c r="O1094" s="23" t="s">
        <v>19</v>
      </c>
      <c r="P1094" s="20">
        <f t="shared" si="557"/>
        <v>96</v>
      </c>
      <c r="Q1094" s="23" t="s">
        <v>19</v>
      </c>
      <c r="R1094" s="24">
        <f t="shared" si="558"/>
        <v>6693120</v>
      </c>
      <c r="S1094" s="24">
        <f t="shared" ref="S1094:S1105" si="568">R1094/1.11</f>
        <v>6029837.8378378376</v>
      </c>
    </row>
    <row r="1095" spans="1:19" s="69" customFormat="1">
      <c r="A1095" s="68" t="s">
        <v>581</v>
      </c>
      <c r="B1095" s="69" t="s">
        <v>25</v>
      </c>
      <c r="C1095" s="70"/>
      <c r="D1095" s="71" t="s">
        <v>19</v>
      </c>
      <c r="E1095" s="72"/>
      <c r="F1095" s="73">
        <v>1</v>
      </c>
      <c r="G1095" s="74" t="s">
        <v>20</v>
      </c>
      <c r="H1095" s="73">
        <v>6</v>
      </c>
      <c r="I1095" s="74" t="s">
        <v>19</v>
      </c>
      <c r="J1095" s="16">
        <f>990000/6</f>
        <v>165000</v>
      </c>
      <c r="K1095" s="71" t="s">
        <v>19</v>
      </c>
      <c r="L1095" s="75"/>
      <c r="M1095" s="75">
        <v>0.17</v>
      </c>
      <c r="N1095" s="73"/>
      <c r="O1095" s="74" t="s">
        <v>19</v>
      </c>
      <c r="P1095" s="70">
        <f t="shared" si="557"/>
        <v>0</v>
      </c>
      <c r="Q1095" s="74" t="s">
        <v>19</v>
      </c>
      <c r="R1095" s="16">
        <f t="shared" si="558"/>
        <v>0</v>
      </c>
      <c r="S1095" s="16">
        <f t="shared" si="568"/>
        <v>0</v>
      </c>
    </row>
    <row r="1097" spans="1:19">
      <c r="A1097" s="173" t="s">
        <v>582</v>
      </c>
      <c r="B1097" s="2" t="s">
        <v>583</v>
      </c>
      <c r="D1097" s="4" t="s">
        <v>40</v>
      </c>
      <c r="E1097" s="5">
        <v>2</v>
      </c>
      <c r="F1097" s="6">
        <v>1</v>
      </c>
      <c r="G1097" s="7" t="s">
        <v>20</v>
      </c>
      <c r="H1097" s="6">
        <v>30</v>
      </c>
      <c r="I1097" s="7" t="s">
        <v>40</v>
      </c>
      <c r="J1097" s="8">
        <f>124342.32*1.11</f>
        <v>138019.97520000002</v>
      </c>
      <c r="K1097" s="4" t="s">
        <v>40</v>
      </c>
      <c r="L1097" s="9">
        <v>0.17499999999999999</v>
      </c>
      <c r="M1097" s="9">
        <v>0.03</v>
      </c>
      <c r="O1097" s="7" t="s">
        <v>40</v>
      </c>
      <c r="P1097" s="3">
        <f t="shared" ref="P1097:P1103" si="569">(C1097+(E1097*F1097*H1097))-N1097</f>
        <v>60</v>
      </c>
      <c r="Q1097" s="7" t="s">
        <v>40</v>
      </c>
      <c r="R1097" s="8">
        <f t="shared" ref="R1097:R1103" si="570">P1097*(J1097-(J1097*L1097)-((J1097-(J1097*L1097))*M1097))</f>
        <v>6627029.109228</v>
      </c>
      <c r="S1097" s="8">
        <f t="shared" ref="S1097" si="571">R1097/1.11</f>
        <v>5970296.4947999995</v>
      </c>
    </row>
    <row r="1098" spans="1:19">
      <c r="A1098" s="50" t="s">
        <v>582</v>
      </c>
      <c r="B1098" s="2" t="s">
        <v>583</v>
      </c>
      <c r="C1098" s="3">
        <v>167</v>
      </c>
      <c r="D1098" s="4" t="s">
        <v>40</v>
      </c>
      <c r="F1098" s="6">
        <v>1</v>
      </c>
      <c r="G1098" s="7" t="s">
        <v>20</v>
      </c>
      <c r="H1098" s="6">
        <v>30</v>
      </c>
      <c r="I1098" s="7" t="s">
        <v>40</v>
      </c>
      <c r="J1098" s="8">
        <v>130000</v>
      </c>
      <c r="K1098" s="4" t="s">
        <v>40</v>
      </c>
      <c r="L1098" s="9">
        <v>0.17499999999999999</v>
      </c>
      <c r="M1098" s="9">
        <v>0.03</v>
      </c>
      <c r="O1098" s="7" t="s">
        <v>40</v>
      </c>
      <c r="P1098" s="3">
        <f t="shared" si="569"/>
        <v>167</v>
      </c>
      <c r="Q1098" s="7" t="s">
        <v>40</v>
      </c>
      <c r="R1098" s="8">
        <f t="shared" si="570"/>
        <v>17373427.5</v>
      </c>
      <c r="S1098" s="8">
        <f t="shared" si="568"/>
        <v>15651736.486486485</v>
      </c>
    </row>
    <row r="1099" spans="1:19">
      <c r="A1099" s="50" t="s">
        <v>584</v>
      </c>
      <c r="B1099" s="2" t="s">
        <v>583</v>
      </c>
      <c r="C1099" s="3">
        <v>90</v>
      </c>
      <c r="D1099" s="4" t="s">
        <v>40</v>
      </c>
      <c r="F1099" s="6">
        <v>1</v>
      </c>
      <c r="G1099" s="7" t="s">
        <v>20</v>
      </c>
      <c r="H1099" s="6">
        <v>30</v>
      </c>
      <c r="I1099" s="7" t="s">
        <v>40</v>
      </c>
      <c r="J1099" s="8">
        <v>216000</v>
      </c>
      <c r="K1099" s="4" t="s">
        <v>40</v>
      </c>
      <c r="M1099" s="9">
        <v>0.15</v>
      </c>
      <c r="O1099" s="7" t="s">
        <v>40</v>
      </c>
      <c r="P1099" s="3">
        <f t="shared" si="569"/>
        <v>90</v>
      </c>
      <c r="Q1099" s="7" t="s">
        <v>40</v>
      </c>
      <c r="R1099" s="8">
        <f t="shared" si="570"/>
        <v>16524000</v>
      </c>
      <c r="S1099" s="8">
        <f t="shared" si="568"/>
        <v>14886486.486486485</v>
      </c>
    </row>
    <row r="1100" spans="1:19" s="69" customFormat="1">
      <c r="A1100" s="116" t="s">
        <v>585</v>
      </c>
      <c r="B1100" s="69" t="s">
        <v>583</v>
      </c>
      <c r="C1100" s="70"/>
      <c r="D1100" s="71" t="s">
        <v>40</v>
      </c>
      <c r="E1100" s="72"/>
      <c r="F1100" s="73">
        <v>1</v>
      </c>
      <c r="G1100" s="74" t="s">
        <v>20</v>
      </c>
      <c r="H1100" s="73">
        <v>30</v>
      </c>
      <c r="I1100" s="74" t="s">
        <v>40</v>
      </c>
      <c r="J1100" s="16">
        <v>216000</v>
      </c>
      <c r="K1100" s="71" t="s">
        <v>40</v>
      </c>
      <c r="L1100" s="75"/>
      <c r="M1100" s="75">
        <v>0.15</v>
      </c>
      <c r="N1100" s="73"/>
      <c r="O1100" s="74" t="s">
        <v>40</v>
      </c>
      <c r="P1100" s="70">
        <f t="shared" si="569"/>
        <v>0</v>
      </c>
      <c r="Q1100" s="74" t="s">
        <v>40</v>
      </c>
      <c r="R1100" s="16">
        <f t="shared" si="570"/>
        <v>0</v>
      </c>
      <c r="S1100" s="16">
        <f t="shared" si="568"/>
        <v>0</v>
      </c>
    </row>
    <row r="1101" spans="1:19" s="69" customFormat="1">
      <c r="A1101" s="116" t="s">
        <v>586</v>
      </c>
      <c r="B1101" s="69" t="s">
        <v>583</v>
      </c>
      <c r="C1101" s="70"/>
      <c r="D1101" s="71" t="s">
        <v>40</v>
      </c>
      <c r="E1101" s="72"/>
      <c r="F1101" s="73">
        <v>1</v>
      </c>
      <c r="G1101" s="74" t="s">
        <v>20</v>
      </c>
      <c r="H1101" s="73">
        <v>30</v>
      </c>
      <c r="I1101" s="74" t="s">
        <v>40</v>
      </c>
      <c r="J1101" s="16">
        <v>220000</v>
      </c>
      <c r="K1101" s="71" t="s">
        <v>40</v>
      </c>
      <c r="L1101" s="75"/>
      <c r="M1101" s="75">
        <v>0.15</v>
      </c>
      <c r="N1101" s="73"/>
      <c r="O1101" s="74" t="s">
        <v>40</v>
      </c>
      <c r="P1101" s="70">
        <f t="shared" si="569"/>
        <v>0</v>
      </c>
      <c r="Q1101" s="74" t="s">
        <v>40</v>
      </c>
      <c r="R1101" s="16">
        <f t="shared" si="570"/>
        <v>0</v>
      </c>
      <c r="S1101" s="16">
        <f t="shared" si="568"/>
        <v>0</v>
      </c>
    </row>
    <row r="1102" spans="1:19">
      <c r="A1102" s="173" t="s">
        <v>587</v>
      </c>
      <c r="B1102" s="2" t="s">
        <v>583</v>
      </c>
      <c r="D1102" s="4" t="s">
        <v>40</v>
      </c>
      <c r="E1102" s="5">
        <v>1</v>
      </c>
      <c r="F1102" s="6">
        <v>1</v>
      </c>
      <c r="G1102" s="7" t="s">
        <v>20</v>
      </c>
      <c r="H1102" s="6">
        <v>20</v>
      </c>
      <c r="I1102" s="7" t="s">
        <v>40</v>
      </c>
      <c r="J1102" s="8">
        <f>216283.78*1.11</f>
        <v>240074.99580000003</v>
      </c>
      <c r="K1102" s="4" t="s">
        <v>40</v>
      </c>
      <c r="L1102" s="9">
        <v>0.17499999999999999</v>
      </c>
      <c r="M1102" s="9">
        <v>0.03</v>
      </c>
      <c r="O1102" s="7" t="s">
        <v>40</v>
      </c>
      <c r="P1102" s="3">
        <f t="shared" si="569"/>
        <v>20</v>
      </c>
      <c r="Q1102" s="7" t="s">
        <v>40</v>
      </c>
      <c r="R1102" s="8">
        <f t="shared" si="570"/>
        <v>3842400.3077790006</v>
      </c>
      <c r="S1102" s="8">
        <f t="shared" ref="S1102" si="572">R1102/1.11</f>
        <v>3461621.8989000004</v>
      </c>
    </row>
    <row r="1103" spans="1:19">
      <c r="A1103" s="50" t="s">
        <v>587</v>
      </c>
      <c r="B1103" s="2" t="s">
        <v>583</v>
      </c>
      <c r="C1103" s="3">
        <v>40</v>
      </c>
      <c r="D1103" s="4" t="s">
        <v>40</v>
      </c>
      <c r="F1103" s="6">
        <v>1</v>
      </c>
      <c r="G1103" s="7" t="s">
        <v>20</v>
      </c>
      <c r="H1103" s="6">
        <v>20</v>
      </c>
      <c r="I1103" s="7" t="s">
        <v>40</v>
      </c>
      <c r="J1103" s="8">
        <v>285600</v>
      </c>
      <c r="K1103" s="4" t="s">
        <v>40</v>
      </c>
      <c r="L1103" s="9">
        <v>0.17499999999999999</v>
      </c>
      <c r="M1103" s="9">
        <v>0.03</v>
      </c>
      <c r="O1103" s="7" t="s">
        <v>40</v>
      </c>
      <c r="P1103" s="3">
        <f t="shared" si="569"/>
        <v>40</v>
      </c>
      <c r="Q1103" s="7" t="s">
        <v>40</v>
      </c>
      <c r="R1103" s="8">
        <f t="shared" si="570"/>
        <v>9142056</v>
      </c>
      <c r="S1103" s="8">
        <f t="shared" si="568"/>
        <v>8236086.4864864862</v>
      </c>
    </row>
    <row r="1104" spans="1:19">
      <c r="A1104" s="50"/>
    </row>
    <row r="1105" spans="1:19">
      <c r="A1105" s="50" t="s">
        <v>588</v>
      </c>
      <c r="B1105" s="19" t="s">
        <v>181</v>
      </c>
      <c r="C1105" s="3">
        <v>72</v>
      </c>
      <c r="D1105" s="4" t="s">
        <v>40</v>
      </c>
      <c r="F1105" s="6">
        <v>1</v>
      </c>
      <c r="G1105" s="7" t="s">
        <v>20</v>
      </c>
      <c r="H1105" s="6">
        <v>5</v>
      </c>
      <c r="I1105" s="7" t="s">
        <v>40</v>
      </c>
      <c r="J1105" s="8">
        <v>250000</v>
      </c>
      <c r="K1105" s="4" t="s">
        <v>40</v>
      </c>
      <c r="O1105" s="58" t="s">
        <v>40</v>
      </c>
      <c r="P1105" s="3">
        <f>(C1105+(E1105*F1105*H1105))-N1105</f>
        <v>72</v>
      </c>
      <c r="Q1105" s="7" t="s">
        <v>40</v>
      </c>
      <c r="R1105" s="8">
        <f>P1105*(J1105-(J1105*L1105)-((J1105-(J1105*L1105))*M1105))</f>
        <v>18000000</v>
      </c>
      <c r="S1105" s="8">
        <f t="shared" si="568"/>
        <v>16216216.216216214</v>
      </c>
    </row>
    <row r="1106" spans="1:19">
      <c r="A1106" s="50"/>
      <c r="B1106" s="19"/>
      <c r="O1106" s="58"/>
    </row>
    <row r="1107" spans="1:19">
      <c r="A1107" s="15" t="s">
        <v>589</v>
      </c>
    </row>
    <row r="1108" spans="1:19" s="19" customFormat="1">
      <c r="A1108" s="18" t="s">
        <v>591</v>
      </c>
      <c r="B1108" s="19" t="s">
        <v>583</v>
      </c>
      <c r="C1108" s="20">
        <v>3324</v>
      </c>
      <c r="D1108" s="21" t="s">
        <v>98</v>
      </c>
      <c r="E1108" s="26">
        <v>190</v>
      </c>
      <c r="F1108" s="22">
        <v>1</v>
      </c>
      <c r="G1108" s="23" t="s">
        <v>20</v>
      </c>
      <c r="H1108" s="22">
        <v>100</v>
      </c>
      <c r="I1108" s="23" t="s">
        <v>98</v>
      </c>
      <c r="J1108" s="24">
        <v>14000</v>
      </c>
      <c r="K1108" s="21" t="s">
        <v>98</v>
      </c>
      <c r="L1108" s="25">
        <v>0.1</v>
      </c>
      <c r="M1108" s="25"/>
      <c r="N1108" s="22"/>
      <c r="O1108" s="23" t="s">
        <v>98</v>
      </c>
      <c r="P1108" s="20">
        <f>(C1108+(E1108*F1108*H1108))-N1108</f>
        <v>22324</v>
      </c>
      <c r="Q1108" s="23" t="s">
        <v>98</v>
      </c>
      <c r="R1108" s="24">
        <f>P1108*(J1108-(J1108*L1108)-((J1108-(J1108*L1108))*M1108))</f>
        <v>281282400</v>
      </c>
      <c r="S1108" s="24">
        <f t="shared" ref="S1108:S1212" si="573">R1108/1.11</f>
        <v>253407567.56756756</v>
      </c>
    </row>
    <row r="1109" spans="1:19" s="19" customFormat="1">
      <c r="A1109" s="18" t="s">
        <v>592</v>
      </c>
      <c r="B1109" s="19" t="s">
        <v>583</v>
      </c>
      <c r="C1109" s="20">
        <v>834</v>
      </c>
      <c r="D1109" s="21" t="s">
        <v>98</v>
      </c>
      <c r="E1109" s="26">
        <v>20</v>
      </c>
      <c r="F1109" s="22">
        <v>1</v>
      </c>
      <c r="G1109" s="23" t="s">
        <v>20</v>
      </c>
      <c r="H1109" s="22">
        <v>50</v>
      </c>
      <c r="I1109" s="23" t="s">
        <v>98</v>
      </c>
      <c r="J1109" s="24">
        <v>24000</v>
      </c>
      <c r="K1109" s="21" t="s">
        <v>98</v>
      </c>
      <c r="L1109" s="25"/>
      <c r="M1109" s="25"/>
      <c r="N1109" s="22"/>
      <c r="O1109" s="23" t="s">
        <v>98</v>
      </c>
      <c r="P1109" s="20">
        <f>(C1109+(E1109*F1109*H1109))-N1109</f>
        <v>1834</v>
      </c>
      <c r="Q1109" s="23" t="s">
        <v>98</v>
      </c>
      <c r="R1109" s="24">
        <f>P1109*(J1109-(J1109*L1109)-((J1109-(J1109*L1109))*M1109))</f>
        <v>44016000</v>
      </c>
      <c r="S1109" s="24">
        <f t="shared" si="573"/>
        <v>39654054.054054052</v>
      </c>
    </row>
    <row r="1110" spans="1:19" s="19" customFormat="1">
      <c r="A1110" s="18"/>
      <c r="C1110" s="20"/>
      <c r="D1110" s="21"/>
      <c r="E1110" s="26"/>
      <c r="F1110" s="22"/>
      <c r="G1110" s="23"/>
      <c r="H1110" s="22"/>
      <c r="I1110" s="23"/>
      <c r="J1110" s="24"/>
      <c r="K1110" s="21"/>
      <c r="L1110" s="25"/>
      <c r="M1110" s="25"/>
      <c r="N1110" s="22"/>
      <c r="O1110" s="23"/>
      <c r="P1110" s="20"/>
      <c r="Q1110" s="23"/>
      <c r="R1110" s="24"/>
      <c r="S1110" s="24"/>
    </row>
    <row r="1111" spans="1:19">
      <c r="A1111" s="17" t="s">
        <v>590</v>
      </c>
      <c r="B1111" s="2" t="s">
        <v>18</v>
      </c>
      <c r="C1111" s="3">
        <v>32</v>
      </c>
      <c r="D1111" s="4" t="s">
        <v>33</v>
      </c>
      <c r="F1111" s="6">
        <v>1</v>
      </c>
      <c r="G1111" s="7" t="s">
        <v>20</v>
      </c>
      <c r="H1111" s="6">
        <v>50</v>
      </c>
      <c r="I1111" s="7" t="s">
        <v>33</v>
      </c>
      <c r="J1111" s="8">
        <v>28000</v>
      </c>
      <c r="K1111" s="4" t="s">
        <v>33</v>
      </c>
      <c r="L1111" s="9">
        <v>0.125</v>
      </c>
      <c r="M1111" s="9">
        <v>0.05</v>
      </c>
      <c r="O1111" s="7" t="s">
        <v>33</v>
      </c>
      <c r="P1111" s="3">
        <f>(C1111+(E1111*F1111*H1111))-N1111</f>
        <v>32</v>
      </c>
      <c r="Q1111" s="7" t="s">
        <v>33</v>
      </c>
      <c r="R1111" s="8">
        <f>P1111*(J1111-(J1111*L1111)-((J1111-(J1111*L1111))*M1111))</f>
        <v>744800</v>
      </c>
      <c r="S1111" s="8">
        <f>R1111/1.11</f>
        <v>670990.99099099089</v>
      </c>
    </row>
    <row r="1113" spans="1:19" s="85" customFormat="1">
      <c r="A1113" s="126" t="s">
        <v>593</v>
      </c>
      <c r="B1113" s="85" t="s">
        <v>25</v>
      </c>
      <c r="C1113" s="88"/>
      <c r="D1113" s="89" t="s">
        <v>33</v>
      </c>
      <c r="E1113" s="90">
        <v>10</v>
      </c>
      <c r="F1113" s="91">
        <v>40</v>
      </c>
      <c r="G1113" s="92" t="s">
        <v>98</v>
      </c>
      <c r="H1113" s="91">
        <v>20</v>
      </c>
      <c r="I1113" s="92" t="s">
        <v>33</v>
      </c>
      <c r="J1113" s="93">
        <f>840000/40/20</f>
        <v>1050</v>
      </c>
      <c r="K1113" s="89" t="s">
        <v>33</v>
      </c>
      <c r="L1113" s="94"/>
      <c r="M1113" s="94">
        <v>0.17</v>
      </c>
      <c r="N1113" s="91"/>
      <c r="O1113" s="92" t="s">
        <v>33</v>
      </c>
      <c r="P1113" s="88">
        <f>(C1113+(E1113*F1113*H1113))-N1113</f>
        <v>8000</v>
      </c>
      <c r="Q1113" s="92" t="s">
        <v>33</v>
      </c>
      <c r="R1113" s="93">
        <f>P1113*(J1113-(J1113*L1113)-((J1113-(J1113*L1113))*M1113))</f>
        <v>6972000</v>
      </c>
      <c r="S1113" s="93">
        <f t="shared" si="573"/>
        <v>6281081.0810810803</v>
      </c>
    </row>
    <row r="1114" spans="1:19" s="19" customFormat="1">
      <c r="A1114" s="47" t="s">
        <v>594</v>
      </c>
      <c r="B1114" s="19" t="s">
        <v>25</v>
      </c>
      <c r="C1114" s="20">
        <v>10</v>
      </c>
      <c r="D1114" s="21" t="s">
        <v>98</v>
      </c>
      <c r="E1114" s="26">
        <v>22</v>
      </c>
      <c r="F1114" s="22">
        <v>1</v>
      </c>
      <c r="G1114" s="23" t="s">
        <v>20</v>
      </c>
      <c r="H1114" s="22">
        <v>20</v>
      </c>
      <c r="I1114" s="23" t="s">
        <v>98</v>
      </c>
      <c r="J1114" s="24">
        <f>840000/20</f>
        <v>42000</v>
      </c>
      <c r="K1114" s="21" t="s">
        <v>98</v>
      </c>
      <c r="L1114" s="25"/>
      <c r="M1114" s="25">
        <v>0.17</v>
      </c>
      <c r="N1114" s="22"/>
      <c r="O1114" s="23" t="s">
        <v>98</v>
      </c>
      <c r="P1114" s="20">
        <f>(C1114+(E1114*F1114*H1114))-N1114</f>
        <v>450</v>
      </c>
      <c r="Q1114" s="23" t="s">
        <v>98</v>
      </c>
      <c r="R1114" s="24">
        <f>P1114*(J1114-(J1114*L1114)-((J1114-(J1114*L1114))*M1114))</f>
        <v>15687000</v>
      </c>
      <c r="S1114" s="24">
        <f t="shared" si="573"/>
        <v>14132432.432432432</v>
      </c>
    </row>
    <row r="1115" spans="1:19" s="17" customFormat="1">
      <c r="A1115" s="18" t="s">
        <v>595</v>
      </c>
      <c r="B1115" s="17" t="s">
        <v>25</v>
      </c>
      <c r="C1115" s="51">
        <v>75</v>
      </c>
      <c r="D1115" s="52" t="s">
        <v>98</v>
      </c>
      <c r="E1115" s="32"/>
      <c r="F1115" s="53">
        <v>1</v>
      </c>
      <c r="G1115" s="54" t="s">
        <v>20</v>
      </c>
      <c r="H1115" s="53">
        <v>15</v>
      </c>
      <c r="I1115" s="54" t="s">
        <v>98</v>
      </c>
      <c r="J1115" s="55">
        <f>525000/15</f>
        <v>35000</v>
      </c>
      <c r="K1115" s="52" t="s">
        <v>98</v>
      </c>
      <c r="L1115" s="56"/>
      <c r="M1115" s="56">
        <v>0.17</v>
      </c>
      <c r="N1115" s="53"/>
      <c r="O1115" s="54" t="s">
        <v>98</v>
      </c>
      <c r="P1115" s="51">
        <f>(C1115+(E1115*F1115*H1115))-N1115</f>
        <v>75</v>
      </c>
      <c r="Q1115" s="54" t="s">
        <v>98</v>
      </c>
      <c r="R1115" s="55">
        <f>P1115*(J1115-(J1115*L1115)-((J1115-(J1115*L1115))*M1115))</f>
        <v>2178750</v>
      </c>
      <c r="S1115" s="55">
        <f t="shared" si="573"/>
        <v>1962837.8378378376</v>
      </c>
    </row>
    <row r="1116" spans="1:19" s="17" customFormat="1">
      <c r="A1116" s="18"/>
      <c r="C1116" s="51"/>
      <c r="D1116" s="52"/>
      <c r="E1116" s="32"/>
      <c r="F1116" s="53"/>
      <c r="G1116" s="54"/>
      <c r="H1116" s="53"/>
      <c r="I1116" s="54"/>
      <c r="J1116" s="55"/>
      <c r="K1116" s="52"/>
      <c r="L1116" s="56"/>
      <c r="M1116" s="56"/>
      <c r="N1116" s="53"/>
      <c r="O1116" s="54"/>
      <c r="P1116" s="51"/>
      <c r="Q1116" s="54"/>
      <c r="R1116" s="55"/>
      <c r="S1116" s="55"/>
    </row>
    <row r="1117" spans="1:19" s="19" customFormat="1">
      <c r="A1117" s="47" t="s">
        <v>802</v>
      </c>
      <c r="B1117" s="19" t="s">
        <v>597</v>
      </c>
      <c r="C1117" s="20">
        <v>900</v>
      </c>
      <c r="D1117" s="21" t="s">
        <v>33</v>
      </c>
      <c r="E1117" s="26">
        <v>3</v>
      </c>
      <c r="F1117" s="22">
        <v>1</v>
      </c>
      <c r="G1117" s="23" t="s">
        <v>20</v>
      </c>
      <c r="H1117" s="22">
        <v>500</v>
      </c>
      <c r="I1117" s="23" t="s">
        <v>33</v>
      </c>
      <c r="J1117" s="24">
        <v>3000</v>
      </c>
      <c r="K1117" s="21" t="s">
        <v>33</v>
      </c>
      <c r="L1117" s="25">
        <v>0.17499999999999999</v>
      </c>
      <c r="M1117" s="25"/>
      <c r="N1117" s="22"/>
      <c r="O1117" s="23" t="s">
        <v>33</v>
      </c>
      <c r="P1117" s="20">
        <f>(C1117+(E1117*F1117*H1117))-N1117</f>
        <v>2400</v>
      </c>
      <c r="Q1117" s="23" t="s">
        <v>33</v>
      </c>
      <c r="R1117" s="24">
        <f>P1117*(J1117-(J1117*L1117)-((J1117-(J1117*L1117))*M1117))</f>
        <v>5940000</v>
      </c>
      <c r="S1117" s="8">
        <f t="shared" ref="S1117" si="574">R1117/1.11</f>
        <v>5351351.3513513505</v>
      </c>
    </row>
    <row r="1118" spans="1:19" s="19" customFormat="1">
      <c r="A1118" s="47" t="s">
        <v>596</v>
      </c>
      <c r="B1118" s="19" t="s">
        <v>597</v>
      </c>
      <c r="C1118" s="20">
        <v>991</v>
      </c>
      <c r="D1118" s="21" t="s">
        <v>33</v>
      </c>
      <c r="E1118" s="26"/>
      <c r="F1118" s="22">
        <v>1</v>
      </c>
      <c r="G1118" s="23" t="s">
        <v>20</v>
      </c>
      <c r="H1118" s="22">
        <v>200</v>
      </c>
      <c r="I1118" s="23" t="s">
        <v>33</v>
      </c>
      <c r="J1118" s="24">
        <v>11500</v>
      </c>
      <c r="K1118" s="21" t="s">
        <v>33</v>
      </c>
      <c r="L1118" s="25">
        <v>0.17499999999999999</v>
      </c>
      <c r="M1118" s="25"/>
      <c r="N1118" s="22"/>
      <c r="O1118" s="23" t="s">
        <v>33</v>
      </c>
      <c r="P1118" s="20">
        <f>(C1118+(E1118*F1118*H1118))-N1118</f>
        <v>991</v>
      </c>
      <c r="Q1118" s="23" t="s">
        <v>33</v>
      </c>
      <c r="R1118" s="24">
        <f>P1118*(J1118-(J1118*L1118)-((J1118-(J1118*L1118))*M1118))</f>
        <v>9402112.5</v>
      </c>
      <c r="S1118" s="8">
        <f t="shared" si="573"/>
        <v>8470371.6216216218</v>
      </c>
    </row>
    <row r="1119" spans="1:19" s="19" customFormat="1">
      <c r="A1119" s="47" t="s">
        <v>661</v>
      </c>
      <c r="B1119" s="19" t="s">
        <v>597</v>
      </c>
      <c r="C1119" s="20">
        <v>340</v>
      </c>
      <c r="D1119" s="21" t="s">
        <v>33</v>
      </c>
      <c r="E1119" s="26"/>
      <c r="F1119" s="22">
        <v>1</v>
      </c>
      <c r="G1119" s="23" t="s">
        <v>20</v>
      </c>
      <c r="H1119" s="22">
        <v>200</v>
      </c>
      <c r="I1119" s="23" t="s">
        <v>33</v>
      </c>
      <c r="J1119" s="24">
        <v>13800</v>
      </c>
      <c r="K1119" s="21" t="s">
        <v>33</v>
      </c>
      <c r="L1119" s="25">
        <v>0.17499999999999999</v>
      </c>
      <c r="M1119" s="25">
        <v>0.03</v>
      </c>
      <c r="N1119" s="22"/>
      <c r="O1119" s="23" t="s">
        <v>33</v>
      </c>
      <c r="P1119" s="20">
        <f>(C1119+(E1119*F1119*H1119))-N1119</f>
        <v>340</v>
      </c>
      <c r="Q1119" s="23" t="s">
        <v>33</v>
      </c>
      <c r="R1119" s="24">
        <f>P1119*(J1119-(J1119*L1119)-((J1119-(J1119*L1119))*M1119))</f>
        <v>3754773.0000000005</v>
      </c>
      <c r="S1119" s="8">
        <f t="shared" si="573"/>
        <v>3382678.3783783787</v>
      </c>
    </row>
    <row r="1120" spans="1:19">
      <c r="A1120" s="50"/>
      <c r="B1120" s="19"/>
      <c r="O1120" s="58"/>
    </row>
    <row r="1121" spans="1:19">
      <c r="A1121" s="15" t="s">
        <v>737</v>
      </c>
    </row>
    <row r="1122" spans="1:19" s="78" customFormat="1">
      <c r="A1122" s="77" t="s">
        <v>738</v>
      </c>
      <c r="B1122" s="78" t="s">
        <v>583</v>
      </c>
      <c r="C1122" s="76"/>
      <c r="D1122" s="79" t="s">
        <v>40</v>
      </c>
      <c r="E1122" s="80"/>
      <c r="F1122" s="81">
        <v>1</v>
      </c>
      <c r="G1122" s="82" t="s">
        <v>20</v>
      </c>
      <c r="H1122" s="81">
        <v>30</v>
      </c>
      <c r="I1122" s="82" t="s">
        <v>40</v>
      </c>
      <c r="J1122" s="83">
        <v>102000</v>
      </c>
      <c r="K1122" s="79" t="s">
        <v>40</v>
      </c>
      <c r="L1122" s="84">
        <v>0.17499999999999999</v>
      </c>
      <c r="M1122" s="84">
        <v>0.03</v>
      </c>
      <c r="N1122" s="81"/>
      <c r="O1122" s="82" t="s">
        <v>40</v>
      </c>
      <c r="P1122" s="76">
        <f>(C1122+(E1122*F1122*H1122))-N1122</f>
        <v>0</v>
      </c>
      <c r="Q1122" s="82" t="s">
        <v>40</v>
      </c>
      <c r="R1122" s="83">
        <f>P1122*(J1122-(J1122*L1122)-((J1122-(J1122*L1122))*M1122))</f>
        <v>0</v>
      </c>
      <c r="S1122" s="83">
        <f t="shared" ref="S1122" si="575">R1122/1.11</f>
        <v>0</v>
      </c>
    </row>
    <row r="1124" spans="1:19" ht="15.75">
      <c r="A1124" s="14" t="s">
        <v>598</v>
      </c>
    </row>
    <row r="1125" spans="1:19">
      <c r="A1125" s="40" t="s">
        <v>599</v>
      </c>
      <c r="B1125" s="2" t="s">
        <v>171</v>
      </c>
      <c r="C1125" s="3">
        <v>383</v>
      </c>
      <c r="D1125" s="4" t="s">
        <v>98</v>
      </c>
      <c r="F1125" s="6">
        <v>1</v>
      </c>
      <c r="G1125" s="7" t="s">
        <v>20</v>
      </c>
      <c r="H1125" s="6">
        <v>60</v>
      </c>
      <c r="I1125" s="7" t="s">
        <v>98</v>
      </c>
      <c r="J1125" s="8">
        <v>8600</v>
      </c>
      <c r="K1125" s="4" t="s">
        <v>98</v>
      </c>
      <c r="L1125" s="9">
        <v>0.05</v>
      </c>
      <c r="O1125" s="7" t="s">
        <v>98</v>
      </c>
      <c r="P1125" s="3">
        <f>(C1125+(E1125*F1125*H1125))-N1125</f>
        <v>383</v>
      </c>
      <c r="Q1125" s="7" t="s">
        <v>98</v>
      </c>
      <c r="R1125" s="8">
        <f>P1125*(J1125-(J1125*L1125)-((J1125-(J1125*L1125))*M1125))</f>
        <v>3129110</v>
      </c>
      <c r="S1125" s="8">
        <f t="shared" si="573"/>
        <v>2819018.018018018</v>
      </c>
    </row>
    <row r="1126" spans="1:19">
      <c r="A1126" s="40"/>
    </row>
    <row r="1127" spans="1:19" s="95" customFormat="1">
      <c r="A1127" s="125" t="s">
        <v>902</v>
      </c>
      <c r="B1127" s="95" t="s">
        <v>18</v>
      </c>
      <c r="C1127" s="96"/>
      <c r="D1127" s="97" t="s">
        <v>33</v>
      </c>
      <c r="E1127" s="98">
        <v>1</v>
      </c>
      <c r="F1127" s="99">
        <v>1</v>
      </c>
      <c r="G1127" s="100" t="s">
        <v>20</v>
      </c>
      <c r="H1127" s="99">
        <v>50</v>
      </c>
      <c r="I1127" s="100" t="s">
        <v>33</v>
      </c>
      <c r="J1127" s="101">
        <v>44800</v>
      </c>
      <c r="K1127" s="97" t="s">
        <v>33</v>
      </c>
      <c r="L1127" s="102">
        <v>0.125</v>
      </c>
      <c r="M1127" s="102">
        <v>0.05</v>
      </c>
      <c r="N1127" s="99"/>
      <c r="O1127" s="100" t="s">
        <v>33</v>
      </c>
      <c r="P1127" s="96">
        <f t="shared" ref="P1127" si="576">(C1127+(E1127*F1127*H1127))-N1127</f>
        <v>50</v>
      </c>
      <c r="Q1127" s="100" t="s">
        <v>33</v>
      </c>
      <c r="R1127" s="101">
        <f t="shared" ref="R1127" si="577">P1127*(J1127-(J1127*L1127)-((J1127-(J1127*L1127))*M1127))</f>
        <v>1862000</v>
      </c>
      <c r="S1127" s="101">
        <f>R1127/1.11</f>
        <v>1677477.4774774774</v>
      </c>
    </row>
    <row r="1128" spans="1:19" s="85" customFormat="1">
      <c r="A1128" s="125" t="s">
        <v>604</v>
      </c>
      <c r="B1128" s="85" t="s">
        <v>18</v>
      </c>
      <c r="C1128" s="88"/>
      <c r="D1128" s="89" t="s">
        <v>33</v>
      </c>
      <c r="E1128" s="90">
        <v>5</v>
      </c>
      <c r="F1128" s="91">
        <v>1</v>
      </c>
      <c r="G1128" s="92" t="s">
        <v>20</v>
      </c>
      <c r="H1128" s="91">
        <v>50</v>
      </c>
      <c r="I1128" s="92" t="s">
        <v>33</v>
      </c>
      <c r="J1128" s="93">
        <v>32300</v>
      </c>
      <c r="K1128" s="89" t="s">
        <v>33</v>
      </c>
      <c r="L1128" s="94">
        <v>0.125</v>
      </c>
      <c r="M1128" s="94">
        <v>0.05</v>
      </c>
      <c r="N1128" s="91"/>
      <c r="O1128" s="92" t="s">
        <v>33</v>
      </c>
      <c r="P1128" s="88">
        <f t="shared" ref="P1128:P1141" si="578">(C1128+(E1128*F1128*H1128))-N1128</f>
        <v>250</v>
      </c>
      <c r="Q1128" s="92" t="s">
        <v>33</v>
      </c>
      <c r="R1128" s="93">
        <f t="shared" ref="R1128:R1141" si="579">P1128*(J1128-(J1128*L1128)-((J1128-(J1128*L1128))*M1128))</f>
        <v>6712343.75</v>
      </c>
      <c r="S1128" s="93">
        <f>R1128/1.11</f>
        <v>6047156.5315315314</v>
      </c>
    </row>
    <row r="1129" spans="1:19" s="69" customFormat="1">
      <c r="A1129" s="110" t="s">
        <v>605</v>
      </c>
      <c r="B1129" s="69" t="s">
        <v>18</v>
      </c>
      <c r="C1129" s="70"/>
      <c r="D1129" s="71" t="s">
        <v>33</v>
      </c>
      <c r="E1129" s="72"/>
      <c r="F1129" s="73">
        <v>1</v>
      </c>
      <c r="G1129" s="74" t="s">
        <v>20</v>
      </c>
      <c r="H1129" s="73">
        <v>50</v>
      </c>
      <c r="I1129" s="74" t="s">
        <v>33</v>
      </c>
      <c r="J1129" s="16">
        <v>12000</v>
      </c>
      <c r="K1129" s="71" t="s">
        <v>33</v>
      </c>
      <c r="L1129" s="75">
        <v>0.125</v>
      </c>
      <c r="M1129" s="75">
        <v>0.05</v>
      </c>
      <c r="N1129" s="73"/>
      <c r="O1129" s="74" t="s">
        <v>33</v>
      </c>
      <c r="P1129" s="70">
        <f t="shared" si="578"/>
        <v>0</v>
      </c>
      <c r="Q1129" s="74" t="s">
        <v>33</v>
      </c>
      <c r="R1129" s="16">
        <f t="shared" si="579"/>
        <v>0</v>
      </c>
      <c r="S1129" s="16">
        <f>R1129/1.11</f>
        <v>0</v>
      </c>
    </row>
    <row r="1130" spans="1:19">
      <c r="A1130" s="40" t="s">
        <v>723</v>
      </c>
      <c r="B1130" s="2" t="s">
        <v>18</v>
      </c>
      <c r="C1130" s="3">
        <v>100</v>
      </c>
      <c r="D1130" s="4" t="s">
        <v>33</v>
      </c>
      <c r="F1130" s="6">
        <v>1</v>
      </c>
      <c r="G1130" s="7" t="s">
        <v>20</v>
      </c>
      <c r="H1130" s="6">
        <v>50</v>
      </c>
      <c r="I1130" s="7" t="s">
        <v>33</v>
      </c>
      <c r="J1130" s="8">
        <v>29100</v>
      </c>
      <c r="K1130" s="4" t="s">
        <v>33</v>
      </c>
      <c r="L1130" s="9">
        <v>0.125</v>
      </c>
      <c r="M1130" s="9">
        <v>0.05</v>
      </c>
      <c r="O1130" s="7" t="s">
        <v>33</v>
      </c>
      <c r="P1130" s="3">
        <f t="shared" si="578"/>
        <v>100</v>
      </c>
      <c r="Q1130" s="7" t="s">
        <v>33</v>
      </c>
      <c r="R1130" s="8">
        <f t="shared" si="579"/>
        <v>2418937.5</v>
      </c>
      <c r="S1130" s="8">
        <f>R1130/1.11</f>
        <v>2179222.9729729728</v>
      </c>
    </row>
    <row r="1131" spans="1:19" s="69" customFormat="1">
      <c r="A1131" s="110" t="s">
        <v>606</v>
      </c>
      <c r="B1131" s="69" t="s">
        <v>18</v>
      </c>
      <c r="C1131" s="70"/>
      <c r="D1131" s="71" t="s">
        <v>33</v>
      </c>
      <c r="E1131" s="72"/>
      <c r="F1131" s="73">
        <v>1</v>
      </c>
      <c r="G1131" s="74" t="s">
        <v>20</v>
      </c>
      <c r="H1131" s="73">
        <v>50</v>
      </c>
      <c r="I1131" s="74" t="s">
        <v>33</v>
      </c>
      <c r="J1131" s="16">
        <v>36200</v>
      </c>
      <c r="K1131" s="71" t="s">
        <v>33</v>
      </c>
      <c r="L1131" s="75">
        <v>0.125</v>
      </c>
      <c r="M1131" s="75">
        <v>0.05</v>
      </c>
      <c r="N1131" s="73"/>
      <c r="O1131" s="74" t="s">
        <v>33</v>
      </c>
      <c r="P1131" s="70">
        <f t="shared" si="578"/>
        <v>0</v>
      </c>
      <c r="Q1131" s="74" t="s">
        <v>33</v>
      </c>
      <c r="R1131" s="16">
        <f t="shared" si="579"/>
        <v>0</v>
      </c>
      <c r="S1131" s="16">
        <f>R1131/1.11</f>
        <v>0</v>
      </c>
    </row>
    <row r="1132" spans="1:19" s="19" customFormat="1">
      <c r="A1132" s="40" t="s">
        <v>600</v>
      </c>
      <c r="B1132" s="19" t="s">
        <v>18</v>
      </c>
      <c r="C1132" s="20">
        <v>93</v>
      </c>
      <c r="D1132" s="21" t="s">
        <v>33</v>
      </c>
      <c r="E1132" s="26">
        <v>134</v>
      </c>
      <c r="F1132" s="22">
        <v>1</v>
      </c>
      <c r="G1132" s="23" t="s">
        <v>20</v>
      </c>
      <c r="H1132" s="22">
        <v>50</v>
      </c>
      <c r="I1132" s="23" t="s">
        <v>33</v>
      </c>
      <c r="J1132" s="24">
        <v>34100</v>
      </c>
      <c r="K1132" s="21" t="s">
        <v>33</v>
      </c>
      <c r="L1132" s="25">
        <v>0.125</v>
      </c>
      <c r="M1132" s="25">
        <v>0.05</v>
      </c>
      <c r="N1132" s="22"/>
      <c r="O1132" s="23" t="s">
        <v>33</v>
      </c>
      <c r="P1132" s="20">
        <f t="shared" si="578"/>
        <v>6793</v>
      </c>
      <c r="Q1132" s="23" t="s">
        <v>33</v>
      </c>
      <c r="R1132" s="24">
        <f t="shared" si="579"/>
        <v>192551830.625</v>
      </c>
      <c r="S1132" s="8">
        <f t="shared" si="573"/>
        <v>173470117.68018016</v>
      </c>
    </row>
    <row r="1133" spans="1:19" s="19" customFormat="1">
      <c r="A1133" s="18" t="s">
        <v>601</v>
      </c>
      <c r="B1133" s="19" t="s">
        <v>18</v>
      </c>
      <c r="C1133" s="20">
        <v>100</v>
      </c>
      <c r="D1133" s="21" t="s">
        <v>33</v>
      </c>
      <c r="E1133" s="26">
        <v>42</v>
      </c>
      <c r="F1133" s="22">
        <v>1</v>
      </c>
      <c r="G1133" s="23" t="s">
        <v>20</v>
      </c>
      <c r="H1133" s="22">
        <v>50</v>
      </c>
      <c r="I1133" s="23" t="s">
        <v>33</v>
      </c>
      <c r="J1133" s="24">
        <v>34100</v>
      </c>
      <c r="K1133" s="21" t="s">
        <v>33</v>
      </c>
      <c r="L1133" s="25">
        <v>0.125</v>
      </c>
      <c r="M1133" s="25">
        <v>0.05</v>
      </c>
      <c r="N1133" s="22"/>
      <c r="O1133" s="23" t="s">
        <v>33</v>
      </c>
      <c r="P1133" s="20">
        <f t="shared" si="578"/>
        <v>2200</v>
      </c>
      <c r="Q1133" s="23" t="s">
        <v>33</v>
      </c>
      <c r="R1133" s="24">
        <f t="shared" si="579"/>
        <v>62360375</v>
      </c>
      <c r="S1133" s="24">
        <f t="shared" si="573"/>
        <v>56180518.018018015</v>
      </c>
    </row>
    <row r="1134" spans="1:19" s="19" customFormat="1">
      <c r="A1134" s="18" t="s">
        <v>602</v>
      </c>
      <c r="B1134" s="19" t="s">
        <v>18</v>
      </c>
      <c r="C1134" s="20">
        <v>13</v>
      </c>
      <c r="D1134" s="21" t="s">
        <v>33</v>
      </c>
      <c r="E1134" s="26">
        <v>25</v>
      </c>
      <c r="F1134" s="22">
        <v>1</v>
      </c>
      <c r="G1134" s="23" t="s">
        <v>20</v>
      </c>
      <c r="H1134" s="22">
        <v>50</v>
      </c>
      <c r="I1134" s="23" t="s">
        <v>33</v>
      </c>
      <c r="J1134" s="24">
        <v>32000</v>
      </c>
      <c r="K1134" s="21" t="s">
        <v>33</v>
      </c>
      <c r="L1134" s="25">
        <v>0.125</v>
      </c>
      <c r="M1134" s="25">
        <v>0.05</v>
      </c>
      <c r="N1134" s="22"/>
      <c r="O1134" s="23" t="s">
        <v>33</v>
      </c>
      <c r="P1134" s="20">
        <f t="shared" si="578"/>
        <v>1263</v>
      </c>
      <c r="Q1134" s="23" t="s">
        <v>33</v>
      </c>
      <c r="R1134" s="24">
        <f t="shared" si="579"/>
        <v>33595800</v>
      </c>
      <c r="S1134" s="24">
        <f t="shared" si="573"/>
        <v>30266486.486486483</v>
      </c>
    </row>
    <row r="1135" spans="1:19" s="95" customFormat="1">
      <c r="A1135" s="125" t="s">
        <v>603</v>
      </c>
      <c r="B1135" s="95" t="s">
        <v>18</v>
      </c>
      <c r="C1135" s="96"/>
      <c r="D1135" s="97" t="s">
        <v>33</v>
      </c>
      <c r="E1135" s="98">
        <v>52</v>
      </c>
      <c r="F1135" s="99">
        <v>1</v>
      </c>
      <c r="G1135" s="100" t="s">
        <v>20</v>
      </c>
      <c r="H1135" s="99">
        <v>50</v>
      </c>
      <c r="I1135" s="100" t="s">
        <v>33</v>
      </c>
      <c r="J1135" s="101">
        <v>32000</v>
      </c>
      <c r="K1135" s="97" t="s">
        <v>33</v>
      </c>
      <c r="L1135" s="102">
        <v>0.125</v>
      </c>
      <c r="M1135" s="102">
        <v>0.05</v>
      </c>
      <c r="N1135" s="99"/>
      <c r="O1135" s="100" t="s">
        <v>33</v>
      </c>
      <c r="P1135" s="96">
        <f t="shared" si="578"/>
        <v>2600</v>
      </c>
      <c r="Q1135" s="100" t="s">
        <v>33</v>
      </c>
      <c r="R1135" s="101">
        <f t="shared" si="579"/>
        <v>69160000</v>
      </c>
      <c r="S1135" s="93">
        <f t="shared" si="573"/>
        <v>62306306.306306303</v>
      </c>
    </row>
    <row r="1136" spans="1:19">
      <c r="A1136" s="168" t="s">
        <v>980</v>
      </c>
      <c r="B1136" s="2" t="s">
        <v>18</v>
      </c>
      <c r="D1136" s="4" t="s">
        <v>33</v>
      </c>
      <c r="E1136" s="5">
        <v>3</v>
      </c>
      <c r="F1136" s="6">
        <v>1</v>
      </c>
      <c r="G1136" s="7" t="s">
        <v>20</v>
      </c>
      <c r="H1136" s="6">
        <v>32</v>
      </c>
      <c r="I1136" s="7" t="s">
        <v>33</v>
      </c>
      <c r="J1136" s="8">
        <v>74800</v>
      </c>
      <c r="K1136" s="4" t="s">
        <v>33</v>
      </c>
      <c r="L1136" s="9">
        <v>0.125</v>
      </c>
      <c r="M1136" s="9">
        <v>0.05</v>
      </c>
      <c r="O1136" s="7" t="s">
        <v>33</v>
      </c>
      <c r="P1136" s="3">
        <f t="shared" ref="P1136:P1137" si="580">(C1136+(E1136*F1136*H1136))-N1136</f>
        <v>96</v>
      </c>
      <c r="Q1136" s="7" t="s">
        <v>33</v>
      </c>
      <c r="R1136" s="8">
        <f t="shared" ref="R1136:R1137" si="581">P1136*(J1136-(J1136*L1136)-((J1136-(J1136*L1136))*M1136))</f>
        <v>5969040</v>
      </c>
      <c r="S1136" s="8">
        <f>R1136/1.11</f>
        <v>5377513.5135135129</v>
      </c>
    </row>
    <row r="1137" spans="1:19">
      <c r="A1137" s="168" t="s">
        <v>981</v>
      </c>
      <c r="B1137" s="2" t="s">
        <v>18</v>
      </c>
      <c r="D1137" s="4" t="s">
        <v>33</v>
      </c>
      <c r="E1137" s="5">
        <v>3</v>
      </c>
      <c r="F1137" s="6">
        <v>1</v>
      </c>
      <c r="G1137" s="7" t="s">
        <v>20</v>
      </c>
      <c r="H1137" s="6">
        <v>32</v>
      </c>
      <c r="I1137" s="7" t="s">
        <v>33</v>
      </c>
      <c r="J1137" s="8">
        <v>70000</v>
      </c>
      <c r="K1137" s="4" t="s">
        <v>33</v>
      </c>
      <c r="L1137" s="9">
        <v>0.125</v>
      </c>
      <c r="M1137" s="9">
        <v>0.05</v>
      </c>
      <c r="O1137" s="7" t="s">
        <v>33</v>
      </c>
      <c r="P1137" s="3">
        <f t="shared" si="580"/>
        <v>96</v>
      </c>
      <c r="Q1137" s="7" t="s">
        <v>33</v>
      </c>
      <c r="R1137" s="8">
        <f t="shared" si="581"/>
        <v>5586000</v>
      </c>
      <c r="S1137" s="8">
        <f>R1137/1.11</f>
        <v>5032432.4324324317</v>
      </c>
    </row>
    <row r="1138" spans="1:19" s="19" customFormat="1">
      <c r="A1138" s="40" t="s">
        <v>607</v>
      </c>
      <c r="B1138" s="19" t="s">
        <v>18</v>
      </c>
      <c r="C1138" s="20">
        <v>617</v>
      </c>
      <c r="D1138" s="21" t="s">
        <v>33</v>
      </c>
      <c r="E1138" s="26">
        <v>157</v>
      </c>
      <c r="F1138" s="22">
        <v>1</v>
      </c>
      <c r="G1138" s="23" t="s">
        <v>20</v>
      </c>
      <c r="H1138" s="22">
        <v>50</v>
      </c>
      <c r="I1138" s="23" t="s">
        <v>33</v>
      </c>
      <c r="J1138" s="24">
        <v>28300</v>
      </c>
      <c r="K1138" s="21" t="s">
        <v>33</v>
      </c>
      <c r="L1138" s="25">
        <v>0.125</v>
      </c>
      <c r="M1138" s="25">
        <v>0.05</v>
      </c>
      <c r="N1138" s="22"/>
      <c r="O1138" s="23" t="s">
        <v>33</v>
      </c>
      <c r="P1138" s="20">
        <f t="shared" si="578"/>
        <v>8467</v>
      </c>
      <c r="Q1138" s="23" t="s">
        <v>33</v>
      </c>
      <c r="R1138" s="24">
        <f t="shared" si="579"/>
        <v>199180883.125</v>
      </c>
      <c r="S1138" s="24">
        <f t="shared" si="573"/>
        <v>179442237.04954952</v>
      </c>
    </row>
    <row r="1139" spans="1:19" s="19" customFormat="1">
      <c r="A1139" s="40" t="s">
        <v>608</v>
      </c>
      <c r="B1139" s="19" t="s">
        <v>18</v>
      </c>
      <c r="C1139" s="20">
        <v>50</v>
      </c>
      <c r="D1139" s="21" t="s">
        <v>33</v>
      </c>
      <c r="E1139" s="26">
        <v>48</v>
      </c>
      <c r="F1139" s="22">
        <v>1</v>
      </c>
      <c r="G1139" s="23" t="s">
        <v>20</v>
      </c>
      <c r="H1139" s="22">
        <v>50</v>
      </c>
      <c r="I1139" s="23" t="s">
        <v>33</v>
      </c>
      <c r="J1139" s="24">
        <v>28300</v>
      </c>
      <c r="K1139" s="21" t="s">
        <v>33</v>
      </c>
      <c r="L1139" s="25">
        <v>0.125</v>
      </c>
      <c r="M1139" s="25">
        <v>0.05</v>
      </c>
      <c r="N1139" s="22"/>
      <c r="O1139" s="23" t="s">
        <v>33</v>
      </c>
      <c r="P1139" s="20">
        <f t="shared" si="578"/>
        <v>2450</v>
      </c>
      <c r="Q1139" s="23" t="s">
        <v>33</v>
      </c>
      <c r="R1139" s="24">
        <f t="shared" si="579"/>
        <v>57634718.75</v>
      </c>
      <c r="S1139" s="24">
        <f t="shared" si="573"/>
        <v>51923170.045045041</v>
      </c>
    </row>
    <row r="1140" spans="1:19" s="85" customFormat="1">
      <c r="A1140" s="125" t="s">
        <v>609</v>
      </c>
      <c r="B1140" s="85" t="s">
        <v>18</v>
      </c>
      <c r="C1140" s="88"/>
      <c r="D1140" s="89" t="s">
        <v>33</v>
      </c>
      <c r="E1140" s="90">
        <v>5</v>
      </c>
      <c r="F1140" s="91">
        <v>1</v>
      </c>
      <c r="G1140" s="92" t="s">
        <v>20</v>
      </c>
      <c r="H1140" s="91">
        <v>50</v>
      </c>
      <c r="I1140" s="92" t="s">
        <v>33</v>
      </c>
      <c r="J1140" s="93">
        <v>28600</v>
      </c>
      <c r="K1140" s="89" t="s">
        <v>33</v>
      </c>
      <c r="L1140" s="94">
        <v>0.125</v>
      </c>
      <c r="M1140" s="94">
        <v>0.05</v>
      </c>
      <c r="N1140" s="91"/>
      <c r="O1140" s="92" t="s">
        <v>33</v>
      </c>
      <c r="P1140" s="88">
        <f t="shared" ref="P1140" si="582">(C1140+(E1140*F1140*H1140))-N1140</f>
        <v>250</v>
      </c>
      <c r="Q1140" s="92" t="s">
        <v>33</v>
      </c>
      <c r="R1140" s="93">
        <f t="shared" ref="R1140" si="583">P1140*(J1140-(J1140*L1140)-((J1140-(J1140*L1140))*M1140))</f>
        <v>5943437.5</v>
      </c>
      <c r="S1140" s="93">
        <f t="shared" ref="S1140" si="584">R1140/1.11</f>
        <v>5354448.1981981974</v>
      </c>
    </row>
    <row r="1141" spans="1:19" s="69" customFormat="1">
      <c r="A1141" s="110" t="s">
        <v>609</v>
      </c>
      <c r="B1141" s="69" t="s">
        <v>18</v>
      </c>
      <c r="C1141" s="70"/>
      <c r="D1141" s="71" t="s">
        <v>33</v>
      </c>
      <c r="E1141" s="72"/>
      <c r="F1141" s="73">
        <v>1</v>
      </c>
      <c r="G1141" s="74" t="s">
        <v>20</v>
      </c>
      <c r="H1141" s="73">
        <v>50</v>
      </c>
      <c r="I1141" s="74" t="s">
        <v>33</v>
      </c>
      <c r="J1141" s="16">
        <v>26500</v>
      </c>
      <c r="K1141" s="71" t="s">
        <v>33</v>
      </c>
      <c r="L1141" s="75">
        <v>0.125</v>
      </c>
      <c r="M1141" s="75">
        <v>0.05</v>
      </c>
      <c r="N1141" s="73"/>
      <c r="O1141" s="74" t="s">
        <v>33</v>
      </c>
      <c r="P1141" s="70">
        <f t="shared" si="578"/>
        <v>0</v>
      </c>
      <c r="Q1141" s="74" t="s">
        <v>33</v>
      </c>
      <c r="R1141" s="16">
        <f t="shared" si="579"/>
        <v>0</v>
      </c>
      <c r="S1141" s="16">
        <f t="shared" si="573"/>
        <v>0</v>
      </c>
    </row>
    <row r="1142" spans="1:19">
      <c r="A1142" s="40"/>
    </row>
    <row r="1143" spans="1:19" s="19" customFormat="1">
      <c r="A1143" s="46" t="s">
        <v>610</v>
      </c>
      <c r="B1143" s="19" t="s">
        <v>25</v>
      </c>
      <c r="C1143" s="20">
        <v>101</v>
      </c>
      <c r="D1143" s="21" t="s">
        <v>33</v>
      </c>
      <c r="E1143" s="26">
        <v>21</v>
      </c>
      <c r="F1143" s="22">
        <v>1</v>
      </c>
      <c r="G1143" s="23" t="s">
        <v>20</v>
      </c>
      <c r="H1143" s="22">
        <v>50</v>
      </c>
      <c r="I1143" s="23" t="s">
        <v>33</v>
      </c>
      <c r="J1143" s="24">
        <f>1500000/50</f>
        <v>30000</v>
      </c>
      <c r="K1143" s="21" t="s">
        <v>33</v>
      </c>
      <c r="L1143" s="25"/>
      <c r="M1143" s="25">
        <v>0.17</v>
      </c>
      <c r="N1143" s="22"/>
      <c r="O1143" s="23" t="s">
        <v>33</v>
      </c>
      <c r="P1143" s="20">
        <f t="shared" ref="P1143:P1148" si="585">(C1143+(E1143*F1143*H1143))-N1143</f>
        <v>1151</v>
      </c>
      <c r="Q1143" s="23" t="s">
        <v>33</v>
      </c>
      <c r="R1143" s="24">
        <f t="shared" ref="R1143:R1148" si="586">P1143*(J1143-(J1143*L1143)-((J1143-(J1143*L1143))*M1143))</f>
        <v>28659900</v>
      </c>
      <c r="S1143" s="24">
        <f t="shared" si="573"/>
        <v>25819729.729729727</v>
      </c>
    </row>
    <row r="1144" spans="1:19" s="19" customFormat="1">
      <c r="A1144" s="46" t="s">
        <v>611</v>
      </c>
      <c r="B1144" s="19" t="s">
        <v>25</v>
      </c>
      <c r="C1144" s="20">
        <v>110</v>
      </c>
      <c r="D1144" s="21" t="s">
        <v>33</v>
      </c>
      <c r="E1144" s="26">
        <v>11</v>
      </c>
      <c r="F1144" s="22">
        <v>1</v>
      </c>
      <c r="G1144" s="23" t="s">
        <v>20</v>
      </c>
      <c r="H1144" s="22">
        <v>50</v>
      </c>
      <c r="I1144" s="23" t="s">
        <v>33</v>
      </c>
      <c r="J1144" s="24">
        <f>1500000/50</f>
        <v>30000</v>
      </c>
      <c r="K1144" s="21" t="s">
        <v>33</v>
      </c>
      <c r="L1144" s="25"/>
      <c r="M1144" s="25">
        <v>0.17</v>
      </c>
      <c r="N1144" s="22"/>
      <c r="O1144" s="23" t="s">
        <v>33</v>
      </c>
      <c r="P1144" s="20">
        <f t="shared" si="585"/>
        <v>660</v>
      </c>
      <c r="Q1144" s="23" t="s">
        <v>33</v>
      </c>
      <c r="R1144" s="24">
        <f t="shared" si="586"/>
        <v>16434000</v>
      </c>
      <c r="S1144" s="24">
        <f t="shared" si="573"/>
        <v>14805405.405405404</v>
      </c>
    </row>
    <row r="1145" spans="1:19" s="69" customFormat="1">
      <c r="A1145" s="110" t="s">
        <v>726</v>
      </c>
      <c r="B1145" s="69" t="s">
        <v>25</v>
      </c>
      <c r="C1145" s="76"/>
      <c r="D1145" s="71" t="s">
        <v>33</v>
      </c>
      <c r="E1145" s="72"/>
      <c r="F1145" s="73">
        <v>1</v>
      </c>
      <c r="G1145" s="74" t="s">
        <v>20</v>
      </c>
      <c r="H1145" s="73">
        <v>50</v>
      </c>
      <c r="I1145" s="74" t="s">
        <v>33</v>
      </c>
      <c r="J1145" s="16">
        <v>32400</v>
      </c>
      <c r="K1145" s="71" t="s">
        <v>33</v>
      </c>
      <c r="L1145" s="75"/>
      <c r="M1145" s="75">
        <v>0.17</v>
      </c>
      <c r="N1145" s="73"/>
      <c r="O1145" s="74" t="s">
        <v>33</v>
      </c>
      <c r="P1145" s="70">
        <f t="shared" si="585"/>
        <v>0</v>
      </c>
      <c r="Q1145" s="74" t="s">
        <v>33</v>
      </c>
      <c r="R1145" s="16">
        <f t="shared" si="586"/>
        <v>0</v>
      </c>
      <c r="S1145" s="16">
        <f t="shared" si="573"/>
        <v>0</v>
      </c>
    </row>
    <row r="1146" spans="1:19" s="69" customFormat="1">
      <c r="A1146" s="110" t="s">
        <v>612</v>
      </c>
      <c r="B1146" s="69" t="s">
        <v>25</v>
      </c>
      <c r="C1146" s="76"/>
      <c r="D1146" s="71" t="s">
        <v>33</v>
      </c>
      <c r="E1146" s="72"/>
      <c r="F1146" s="73">
        <v>1</v>
      </c>
      <c r="G1146" s="74" t="s">
        <v>20</v>
      </c>
      <c r="H1146" s="73">
        <v>50</v>
      </c>
      <c r="I1146" s="74" t="s">
        <v>33</v>
      </c>
      <c r="J1146" s="16">
        <v>28500</v>
      </c>
      <c r="K1146" s="71" t="s">
        <v>33</v>
      </c>
      <c r="L1146" s="75"/>
      <c r="M1146" s="75">
        <v>0.17</v>
      </c>
      <c r="N1146" s="73"/>
      <c r="O1146" s="74" t="s">
        <v>33</v>
      </c>
      <c r="P1146" s="70">
        <f t="shared" si="585"/>
        <v>0</v>
      </c>
      <c r="Q1146" s="74" t="s">
        <v>33</v>
      </c>
      <c r="R1146" s="16">
        <f t="shared" si="586"/>
        <v>0</v>
      </c>
      <c r="S1146" s="16">
        <f t="shared" si="573"/>
        <v>0</v>
      </c>
    </row>
    <row r="1147" spans="1:19" s="19" customFormat="1">
      <c r="A1147" s="46" t="s">
        <v>613</v>
      </c>
      <c r="B1147" s="19" t="s">
        <v>25</v>
      </c>
      <c r="C1147" s="20">
        <v>346</v>
      </c>
      <c r="D1147" s="21" t="s">
        <v>33</v>
      </c>
      <c r="E1147" s="26">
        <v>24</v>
      </c>
      <c r="F1147" s="22">
        <v>1</v>
      </c>
      <c r="G1147" s="23" t="s">
        <v>20</v>
      </c>
      <c r="H1147" s="22">
        <v>50</v>
      </c>
      <c r="I1147" s="23" t="s">
        <v>33</v>
      </c>
      <c r="J1147" s="24">
        <f>1375000/50</f>
        <v>27500</v>
      </c>
      <c r="K1147" s="21" t="s">
        <v>33</v>
      </c>
      <c r="L1147" s="25"/>
      <c r="M1147" s="25">
        <v>0.17</v>
      </c>
      <c r="N1147" s="22"/>
      <c r="O1147" s="23" t="s">
        <v>33</v>
      </c>
      <c r="P1147" s="20">
        <f t="shared" si="585"/>
        <v>1546</v>
      </c>
      <c r="Q1147" s="23" t="s">
        <v>33</v>
      </c>
      <c r="R1147" s="24">
        <f t="shared" si="586"/>
        <v>35287450</v>
      </c>
      <c r="S1147" s="24">
        <f t="shared" si="573"/>
        <v>31790495.495495494</v>
      </c>
    </row>
    <row r="1148" spans="1:19" s="19" customFormat="1">
      <c r="A1148" s="46" t="s">
        <v>614</v>
      </c>
      <c r="B1148" s="19" t="s">
        <v>25</v>
      </c>
      <c r="C1148" s="20">
        <v>165</v>
      </c>
      <c r="D1148" s="21" t="s">
        <v>33</v>
      </c>
      <c r="E1148" s="26">
        <v>5</v>
      </c>
      <c r="F1148" s="22">
        <v>1</v>
      </c>
      <c r="G1148" s="23" t="s">
        <v>20</v>
      </c>
      <c r="H1148" s="22">
        <v>50</v>
      </c>
      <c r="I1148" s="23" t="s">
        <v>33</v>
      </c>
      <c r="J1148" s="24">
        <f>1375000/50</f>
        <v>27500</v>
      </c>
      <c r="K1148" s="21" t="s">
        <v>33</v>
      </c>
      <c r="L1148" s="25"/>
      <c r="M1148" s="25">
        <v>0.17</v>
      </c>
      <c r="N1148" s="22"/>
      <c r="O1148" s="23" t="s">
        <v>33</v>
      </c>
      <c r="P1148" s="20">
        <f t="shared" si="585"/>
        <v>415</v>
      </c>
      <c r="Q1148" s="23" t="s">
        <v>33</v>
      </c>
      <c r="R1148" s="24">
        <f t="shared" si="586"/>
        <v>9472375</v>
      </c>
      <c r="S1148" s="24">
        <f t="shared" si="573"/>
        <v>8533671.1711711697</v>
      </c>
    </row>
    <row r="1150" spans="1:19" ht="15.75">
      <c r="A1150" s="14" t="s">
        <v>756</v>
      </c>
    </row>
    <row r="1151" spans="1:19" s="69" customFormat="1">
      <c r="A1151" s="68" t="s">
        <v>758</v>
      </c>
      <c r="B1151" s="69" t="s">
        <v>171</v>
      </c>
      <c r="C1151" s="70"/>
      <c r="D1151" s="71" t="s">
        <v>19</v>
      </c>
      <c r="E1151" s="72"/>
      <c r="F1151" s="73">
        <v>50</v>
      </c>
      <c r="G1151" s="74" t="s">
        <v>98</v>
      </c>
      <c r="H1151" s="73">
        <v>100</v>
      </c>
      <c r="I1151" s="74" t="s">
        <v>19</v>
      </c>
      <c r="J1151" s="16">
        <f>39500/100</f>
        <v>395</v>
      </c>
      <c r="K1151" s="71" t="s">
        <v>19</v>
      </c>
      <c r="L1151" s="75">
        <v>0.05</v>
      </c>
      <c r="M1151" s="75"/>
      <c r="N1151" s="73"/>
      <c r="O1151" s="74" t="s">
        <v>19</v>
      </c>
      <c r="P1151" s="70">
        <f>(C1151+(E1151*F1151*H1151))-N1151</f>
        <v>0</v>
      </c>
      <c r="Q1151" s="74" t="s">
        <v>19</v>
      </c>
      <c r="R1151" s="16">
        <f>P1151*(J1151-(J1151*L1151)-((J1151-(J1151*L1151))*M1151))</f>
        <v>0</v>
      </c>
      <c r="S1151" s="16">
        <f t="shared" ref="S1151" si="587">R1151/1.11</f>
        <v>0</v>
      </c>
    </row>
    <row r="1153" spans="1:19" ht="15.75">
      <c r="A1153" s="14" t="s">
        <v>615</v>
      </c>
    </row>
    <row r="1154" spans="1:19">
      <c r="A1154" s="15" t="s">
        <v>616</v>
      </c>
    </row>
    <row r="1155" spans="1:19" s="78" customFormat="1">
      <c r="A1155" s="113" t="s">
        <v>617</v>
      </c>
      <c r="B1155" s="78" t="s">
        <v>181</v>
      </c>
      <c r="C1155" s="76"/>
      <c r="D1155" s="79" t="s">
        <v>277</v>
      </c>
      <c r="E1155" s="80"/>
      <c r="F1155" s="81">
        <v>1</v>
      </c>
      <c r="G1155" s="82" t="s">
        <v>20</v>
      </c>
      <c r="H1155" s="81">
        <v>720</v>
      </c>
      <c r="I1155" s="82" t="s">
        <v>277</v>
      </c>
      <c r="J1155" s="83">
        <v>3100</v>
      </c>
      <c r="K1155" s="79" t="s">
        <v>277</v>
      </c>
      <c r="L1155" s="84"/>
      <c r="M1155" s="84">
        <v>0.15</v>
      </c>
      <c r="N1155" s="81"/>
      <c r="O1155" s="82" t="s">
        <v>277</v>
      </c>
      <c r="P1155" s="76">
        <f>(C1155+(E1155*F1155*H1155))-N1155</f>
        <v>0</v>
      </c>
      <c r="Q1155" s="82" t="s">
        <v>277</v>
      </c>
      <c r="R1155" s="83">
        <f>P1155*(J1155-(J1155*L1155)-((J1155-(J1155*L1155))*M1155))</f>
        <v>0</v>
      </c>
      <c r="S1155" s="16">
        <f t="shared" si="573"/>
        <v>0</v>
      </c>
    </row>
    <row r="1156" spans="1:19" s="78" customFormat="1">
      <c r="A1156" s="113" t="s">
        <v>618</v>
      </c>
      <c r="B1156" s="78" t="s">
        <v>181</v>
      </c>
      <c r="C1156" s="76"/>
      <c r="D1156" s="79" t="s">
        <v>277</v>
      </c>
      <c r="E1156" s="80"/>
      <c r="F1156" s="81">
        <v>1</v>
      </c>
      <c r="G1156" s="82" t="s">
        <v>20</v>
      </c>
      <c r="H1156" s="81">
        <v>480</v>
      </c>
      <c r="I1156" s="82" t="s">
        <v>277</v>
      </c>
      <c r="J1156" s="83">
        <v>4750</v>
      </c>
      <c r="K1156" s="79" t="s">
        <v>277</v>
      </c>
      <c r="L1156" s="84"/>
      <c r="M1156" s="84">
        <v>0.15</v>
      </c>
      <c r="N1156" s="81"/>
      <c r="O1156" s="82" t="s">
        <v>277</v>
      </c>
      <c r="P1156" s="76">
        <f>(C1156+(E1156*F1156*H1156))-N1156</f>
        <v>0</v>
      </c>
      <c r="Q1156" s="82" t="s">
        <v>277</v>
      </c>
      <c r="R1156" s="83">
        <f>P1156*(J1156-(J1156*L1156)-((J1156-(J1156*L1156))*M1156))</f>
        <v>0</v>
      </c>
      <c r="S1156" s="16">
        <f t="shared" si="573"/>
        <v>0</v>
      </c>
    </row>
    <row r="1157" spans="1:19" s="69" customFormat="1">
      <c r="A1157" s="113" t="s">
        <v>619</v>
      </c>
      <c r="B1157" s="78" t="s">
        <v>181</v>
      </c>
      <c r="C1157" s="76"/>
      <c r="D1157" s="71" t="s">
        <v>277</v>
      </c>
      <c r="E1157" s="72"/>
      <c r="F1157" s="73">
        <v>1</v>
      </c>
      <c r="G1157" s="74" t="s">
        <v>20</v>
      </c>
      <c r="H1157" s="73">
        <v>360</v>
      </c>
      <c r="I1157" s="74" t="s">
        <v>277</v>
      </c>
      <c r="J1157" s="16">
        <v>6000</v>
      </c>
      <c r="K1157" s="71" t="s">
        <v>277</v>
      </c>
      <c r="L1157" s="75"/>
      <c r="M1157" s="75">
        <v>0.15</v>
      </c>
      <c r="N1157" s="81"/>
      <c r="O1157" s="74" t="s">
        <v>277</v>
      </c>
      <c r="P1157" s="70">
        <f>(C1157+(E1157*F1157*H1157))-N1157</f>
        <v>0</v>
      </c>
      <c r="Q1157" s="74" t="s">
        <v>277</v>
      </c>
      <c r="R1157" s="16">
        <f>P1157*(J1157-(J1157*L1157)-((J1157-(J1157*L1157))*M1157))</f>
        <v>0</v>
      </c>
      <c r="S1157" s="16">
        <f t="shared" si="573"/>
        <v>0</v>
      </c>
    </row>
    <row r="1158" spans="1:19">
      <c r="A1158" s="40"/>
      <c r="B1158" s="19"/>
      <c r="C1158" s="20"/>
      <c r="N1158" s="22"/>
    </row>
    <row r="1159" spans="1:19" s="69" customFormat="1">
      <c r="A1159" s="110" t="s">
        <v>620</v>
      </c>
      <c r="B1159" s="69" t="s">
        <v>18</v>
      </c>
      <c r="C1159" s="76"/>
      <c r="D1159" s="71" t="s">
        <v>277</v>
      </c>
      <c r="E1159" s="72"/>
      <c r="F1159" s="73">
        <v>10</v>
      </c>
      <c r="G1159" s="74" t="s">
        <v>98</v>
      </c>
      <c r="H1159" s="73">
        <v>24</v>
      </c>
      <c r="I1159" s="74" t="s">
        <v>277</v>
      </c>
      <c r="J1159" s="16">
        <v>2300</v>
      </c>
      <c r="K1159" s="71" t="s">
        <v>277</v>
      </c>
      <c r="L1159" s="75">
        <v>0.125</v>
      </c>
      <c r="M1159" s="75">
        <v>0.05</v>
      </c>
      <c r="N1159" s="73"/>
      <c r="O1159" s="74" t="s">
        <v>277</v>
      </c>
      <c r="P1159" s="70">
        <f>(C1159+(E1159*F1159*H1159))-N1159</f>
        <v>0</v>
      </c>
      <c r="Q1159" s="74" t="s">
        <v>277</v>
      </c>
      <c r="R1159" s="16">
        <f>P1159*(J1159-(J1159*L1159)-((J1159-(J1159*L1159))*M1159))</f>
        <v>0</v>
      </c>
      <c r="S1159" s="16">
        <f t="shared" si="573"/>
        <v>0</v>
      </c>
    </row>
    <row r="1160" spans="1:19" s="69" customFormat="1">
      <c r="A1160" s="110" t="s">
        <v>621</v>
      </c>
      <c r="B1160" s="69" t="s">
        <v>18</v>
      </c>
      <c r="C1160" s="76"/>
      <c r="D1160" s="71" t="s">
        <v>277</v>
      </c>
      <c r="E1160" s="72"/>
      <c r="F1160" s="73">
        <v>10</v>
      </c>
      <c r="G1160" s="74" t="s">
        <v>98</v>
      </c>
      <c r="H1160" s="73">
        <v>12</v>
      </c>
      <c r="I1160" s="74" t="s">
        <v>277</v>
      </c>
      <c r="J1160" s="16">
        <v>4600</v>
      </c>
      <c r="K1160" s="71" t="s">
        <v>277</v>
      </c>
      <c r="L1160" s="75">
        <v>0.125</v>
      </c>
      <c r="M1160" s="75">
        <v>0.05</v>
      </c>
      <c r="N1160" s="73"/>
      <c r="O1160" s="74" t="s">
        <v>277</v>
      </c>
      <c r="P1160" s="70">
        <f>(C1160+(E1160*F1160*H1160))-N1160</f>
        <v>0</v>
      </c>
      <c r="Q1160" s="74" t="s">
        <v>277</v>
      </c>
      <c r="R1160" s="16">
        <f>P1160*(J1160-(J1160*L1160)-((J1160-(J1160*L1160))*M1160))</f>
        <v>0</v>
      </c>
      <c r="S1160" s="16">
        <f t="shared" si="573"/>
        <v>0</v>
      </c>
    </row>
    <row r="1161" spans="1:19">
      <c r="A1161" s="40"/>
      <c r="C1161" s="20"/>
    </row>
    <row r="1162" spans="1:19" s="85" customFormat="1">
      <c r="A1162" s="126" t="s">
        <v>622</v>
      </c>
      <c r="B1162" s="85" t="s">
        <v>25</v>
      </c>
      <c r="C1162" s="96"/>
      <c r="D1162" s="89" t="s">
        <v>277</v>
      </c>
      <c r="E1162" s="90">
        <v>1</v>
      </c>
      <c r="F1162" s="91">
        <v>1</v>
      </c>
      <c r="G1162" s="92" t="s">
        <v>20</v>
      </c>
      <c r="H1162" s="91">
        <v>480</v>
      </c>
      <c r="I1162" s="92" t="s">
        <v>277</v>
      </c>
      <c r="J1162" s="93">
        <f>588000/480</f>
        <v>1225</v>
      </c>
      <c r="K1162" s="89" t="s">
        <v>277</v>
      </c>
      <c r="L1162" s="94"/>
      <c r="M1162" s="94">
        <v>0.17</v>
      </c>
      <c r="N1162" s="91"/>
      <c r="O1162" s="92" t="s">
        <v>277</v>
      </c>
      <c r="P1162" s="88">
        <f>(C1162+(E1162*F1162*H1162))-N1162</f>
        <v>480</v>
      </c>
      <c r="Q1162" s="92" t="s">
        <v>277</v>
      </c>
      <c r="R1162" s="93">
        <f>P1162*(J1162-(J1162*L1162)-((J1162-(J1162*L1162))*M1162))</f>
        <v>488040</v>
      </c>
      <c r="S1162" s="93">
        <f t="shared" si="573"/>
        <v>439675.67567567562</v>
      </c>
    </row>
    <row r="1163" spans="1:19" s="69" customFormat="1">
      <c r="A1163" s="112" t="s">
        <v>623</v>
      </c>
      <c r="B1163" s="69" t="s">
        <v>25</v>
      </c>
      <c r="C1163" s="76"/>
      <c r="D1163" s="71" t="s">
        <v>277</v>
      </c>
      <c r="E1163" s="72">
        <v>2</v>
      </c>
      <c r="F1163" s="73">
        <v>1</v>
      </c>
      <c r="G1163" s="74" t="s">
        <v>20</v>
      </c>
      <c r="H1163" s="73">
        <v>240</v>
      </c>
      <c r="I1163" s="74" t="s">
        <v>277</v>
      </c>
      <c r="J1163" s="16">
        <f>588000/240</f>
        <v>2450</v>
      </c>
      <c r="K1163" s="71" t="s">
        <v>277</v>
      </c>
      <c r="L1163" s="75"/>
      <c r="M1163" s="75">
        <v>0.17</v>
      </c>
      <c r="N1163" s="73"/>
      <c r="O1163" s="74" t="s">
        <v>277</v>
      </c>
      <c r="P1163" s="70">
        <f>(C1163+(E1163*F1163*H1163))-N1163</f>
        <v>480</v>
      </c>
      <c r="Q1163" s="74" t="s">
        <v>277</v>
      </c>
      <c r="R1163" s="16">
        <f>P1163*(J1163-(J1163*L1163)-((J1163-(J1163*L1163))*M1163))</f>
        <v>976080</v>
      </c>
      <c r="S1163" s="16">
        <f t="shared" si="573"/>
        <v>879351.35135135124</v>
      </c>
    </row>
    <row r="1164" spans="1:19" s="69" customFormat="1">
      <c r="A1164" s="112" t="s">
        <v>624</v>
      </c>
      <c r="B1164" s="69" t="s">
        <v>25</v>
      </c>
      <c r="C1164" s="76"/>
      <c r="D1164" s="71" t="s">
        <v>277</v>
      </c>
      <c r="E1164" s="72">
        <v>2</v>
      </c>
      <c r="F1164" s="73">
        <v>1</v>
      </c>
      <c r="G1164" s="74" t="s">
        <v>20</v>
      </c>
      <c r="H1164" s="73">
        <v>120</v>
      </c>
      <c r="I1164" s="74" t="s">
        <v>277</v>
      </c>
      <c r="J1164" s="16">
        <v>4800</v>
      </c>
      <c r="K1164" s="71" t="s">
        <v>277</v>
      </c>
      <c r="L1164" s="75"/>
      <c r="M1164" s="75">
        <v>0.17</v>
      </c>
      <c r="N1164" s="73"/>
      <c r="O1164" s="74" t="s">
        <v>277</v>
      </c>
      <c r="P1164" s="70">
        <f>(C1164+(E1164*F1164*H1164))-N1164</f>
        <v>240</v>
      </c>
      <c r="Q1164" s="74" t="s">
        <v>277</v>
      </c>
      <c r="R1164" s="16">
        <f>P1164*(J1164-(J1164*L1164)-((J1164-(J1164*L1164))*M1164))</f>
        <v>956160</v>
      </c>
      <c r="S1164" s="16">
        <f t="shared" si="573"/>
        <v>861405.40540540533</v>
      </c>
    </row>
    <row r="1165" spans="1:19" s="85" customFormat="1">
      <c r="A1165" s="126" t="s">
        <v>625</v>
      </c>
      <c r="B1165" s="85" t="s">
        <v>25</v>
      </c>
      <c r="C1165" s="96"/>
      <c r="D1165" s="89" t="s">
        <v>277</v>
      </c>
      <c r="E1165" s="90">
        <v>1</v>
      </c>
      <c r="F1165" s="91">
        <v>1</v>
      </c>
      <c r="G1165" s="92" t="s">
        <v>20</v>
      </c>
      <c r="H1165" s="91">
        <v>60</v>
      </c>
      <c r="I1165" s="92" t="s">
        <v>277</v>
      </c>
      <c r="J1165" s="93">
        <v>9500</v>
      </c>
      <c r="K1165" s="89" t="s">
        <v>277</v>
      </c>
      <c r="L1165" s="94"/>
      <c r="M1165" s="94">
        <v>0.17</v>
      </c>
      <c r="N1165" s="91"/>
      <c r="O1165" s="92" t="s">
        <v>277</v>
      </c>
      <c r="P1165" s="88">
        <f>(C1165+(E1165*F1165*H1165))-N1165</f>
        <v>60</v>
      </c>
      <c r="Q1165" s="92" t="s">
        <v>277</v>
      </c>
      <c r="R1165" s="93">
        <f>P1165*(J1165-(J1165*L1165)-((J1165-(J1165*L1165))*M1165))</f>
        <v>473100</v>
      </c>
      <c r="S1165" s="93">
        <f t="shared" si="573"/>
        <v>426216.21621621615</v>
      </c>
    </row>
    <row r="1167" spans="1:19">
      <c r="A1167" s="15" t="s">
        <v>787</v>
      </c>
      <c r="S1167" s="8">
        <f t="shared" ref="S1167:S1168" si="588">R1167/1.11</f>
        <v>0</v>
      </c>
    </row>
    <row r="1168" spans="1:19" s="78" customFormat="1">
      <c r="A1168" s="68" t="s">
        <v>788</v>
      </c>
      <c r="B1168" s="78" t="s">
        <v>18</v>
      </c>
      <c r="C1168" s="76"/>
      <c r="D1168" s="79" t="s">
        <v>277</v>
      </c>
      <c r="E1168" s="80"/>
      <c r="F1168" s="81">
        <v>1</v>
      </c>
      <c r="G1168" s="82" t="s">
        <v>20</v>
      </c>
      <c r="H1168" s="81">
        <v>120</v>
      </c>
      <c r="I1168" s="82" t="s">
        <v>277</v>
      </c>
      <c r="J1168" s="83">
        <v>5500</v>
      </c>
      <c r="K1168" s="79" t="s">
        <v>277</v>
      </c>
      <c r="L1168" s="84">
        <v>0.125</v>
      </c>
      <c r="M1168" s="84">
        <v>0.05</v>
      </c>
      <c r="N1168" s="81"/>
      <c r="O1168" s="82" t="s">
        <v>277</v>
      </c>
      <c r="P1168" s="76">
        <f t="shared" ref="P1168" si="589">(C1168+(E1168*F1168*H1168))-N1168</f>
        <v>0</v>
      </c>
      <c r="Q1168" s="82" t="s">
        <v>277</v>
      </c>
      <c r="R1168" s="83">
        <f t="shared" ref="R1168" si="590">P1168*(J1168-(J1168*L1168)-((J1168-(J1168*L1168))*M1168))</f>
        <v>0</v>
      </c>
      <c r="S1168" s="83">
        <f t="shared" si="588"/>
        <v>0</v>
      </c>
    </row>
    <row r="1169" spans="1:19">
      <c r="A1169" s="39"/>
    </row>
    <row r="1170" spans="1:19">
      <c r="A1170" s="15" t="s">
        <v>626</v>
      </c>
    </row>
    <row r="1171" spans="1:19" s="19" customFormat="1">
      <c r="A1171" s="131" t="s">
        <v>705</v>
      </c>
      <c r="B1171" s="19" t="s">
        <v>25</v>
      </c>
      <c r="C1171" s="20"/>
      <c r="D1171" s="21" t="s">
        <v>277</v>
      </c>
      <c r="E1171" s="26">
        <v>60</v>
      </c>
      <c r="F1171" s="22">
        <v>1</v>
      </c>
      <c r="G1171" s="23" t="s">
        <v>20</v>
      </c>
      <c r="H1171" s="22">
        <v>72</v>
      </c>
      <c r="I1171" s="23" t="s">
        <v>277</v>
      </c>
      <c r="J1171" s="135">
        <v>10000</v>
      </c>
      <c r="K1171" s="21" t="s">
        <v>277</v>
      </c>
      <c r="L1171" s="130">
        <v>0.12</v>
      </c>
      <c r="M1171" s="25">
        <v>0.17</v>
      </c>
      <c r="N1171" s="22"/>
      <c r="O1171" s="23" t="s">
        <v>277</v>
      </c>
      <c r="P1171" s="20">
        <f t="shared" ref="P1171:P1176" si="591">(C1171+(E1171*F1171*H1171))-N1171</f>
        <v>4320</v>
      </c>
      <c r="Q1171" s="23" t="s">
        <v>277</v>
      </c>
      <c r="R1171" s="24">
        <f t="shared" ref="R1171:R1176" si="592">P1171*(J1171-(J1171*L1171)-((J1171-(J1171*L1171))*M1171))</f>
        <v>31553280</v>
      </c>
      <c r="S1171" s="24">
        <f t="shared" ref="S1171" si="593">R1171/1.11</f>
        <v>28426378.378378376</v>
      </c>
    </row>
    <row r="1172" spans="1:19" s="19" customFormat="1">
      <c r="A1172" s="131" t="s">
        <v>705</v>
      </c>
      <c r="B1172" s="19" t="s">
        <v>25</v>
      </c>
      <c r="C1172" s="20">
        <v>144</v>
      </c>
      <c r="D1172" s="21" t="s">
        <v>277</v>
      </c>
      <c r="E1172" s="26"/>
      <c r="F1172" s="22">
        <v>1</v>
      </c>
      <c r="G1172" s="23" t="s">
        <v>20</v>
      </c>
      <c r="H1172" s="22">
        <v>72</v>
      </c>
      <c r="I1172" s="23" t="s">
        <v>277</v>
      </c>
      <c r="J1172" s="135">
        <f>900000/72</f>
        <v>12500</v>
      </c>
      <c r="K1172" s="21" t="s">
        <v>277</v>
      </c>
      <c r="L1172" s="130"/>
      <c r="M1172" s="25">
        <v>0.17</v>
      </c>
      <c r="N1172" s="22"/>
      <c r="O1172" s="23" t="s">
        <v>277</v>
      </c>
      <c r="P1172" s="20">
        <f t="shared" si="591"/>
        <v>144</v>
      </c>
      <c r="Q1172" s="23" t="s">
        <v>277</v>
      </c>
      <c r="R1172" s="24">
        <f t="shared" si="592"/>
        <v>1494000</v>
      </c>
      <c r="S1172" s="24">
        <f t="shared" si="573"/>
        <v>1345945.9459459458</v>
      </c>
    </row>
    <row r="1173" spans="1:19" s="95" customFormat="1">
      <c r="A1173" s="105" t="s">
        <v>627</v>
      </c>
      <c r="B1173" s="95" t="s">
        <v>25</v>
      </c>
      <c r="C1173" s="96"/>
      <c r="D1173" s="97" t="s">
        <v>277</v>
      </c>
      <c r="E1173" s="98">
        <v>40</v>
      </c>
      <c r="F1173" s="99">
        <v>1</v>
      </c>
      <c r="G1173" s="100" t="s">
        <v>20</v>
      </c>
      <c r="H1173" s="99">
        <v>72</v>
      </c>
      <c r="I1173" s="100" t="s">
        <v>277</v>
      </c>
      <c r="J1173" s="101">
        <v>10000</v>
      </c>
      <c r="K1173" s="97" t="s">
        <v>277</v>
      </c>
      <c r="L1173" s="107">
        <v>0.12</v>
      </c>
      <c r="M1173" s="102">
        <v>0.17</v>
      </c>
      <c r="N1173" s="99"/>
      <c r="O1173" s="100" t="s">
        <v>277</v>
      </c>
      <c r="P1173" s="96">
        <f t="shared" si="591"/>
        <v>2880</v>
      </c>
      <c r="Q1173" s="100" t="s">
        <v>277</v>
      </c>
      <c r="R1173" s="101">
        <f t="shared" si="592"/>
        <v>21035520</v>
      </c>
      <c r="S1173" s="101">
        <f t="shared" si="573"/>
        <v>18950918.918918919</v>
      </c>
    </row>
    <row r="1174" spans="1:19" s="95" customFormat="1">
      <c r="A1174" s="105" t="s">
        <v>627</v>
      </c>
      <c r="B1174" s="95" t="s">
        <v>25</v>
      </c>
      <c r="C1174" s="96"/>
      <c r="D1174" s="97" t="s">
        <v>277</v>
      </c>
      <c r="E1174" s="98">
        <v>6</v>
      </c>
      <c r="F1174" s="99">
        <v>1</v>
      </c>
      <c r="G1174" s="100" t="s">
        <v>20</v>
      </c>
      <c r="H1174" s="99">
        <v>72</v>
      </c>
      <c r="I1174" s="100" t="s">
        <v>277</v>
      </c>
      <c r="J1174" s="101">
        <v>10000</v>
      </c>
      <c r="K1174" s="97" t="s">
        <v>277</v>
      </c>
      <c r="L1174" s="107">
        <v>0.05</v>
      </c>
      <c r="M1174" s="102">
        <v>0.17</v>
      </c>
      <c r="N1174" s="99"/>
      <c r="O1174" s="100" t="s">
        <v>277</v>
      </c>
      <c r="P1174" s="96">
        <f t="shared" si="591"/>
        <v>432</v>
      </c>
      <c r="Q1174" s="100" t="s">
        <v>277</v>
      </c>
      <c r="R1174" s="101">
        <f t="shared" si="592"/>
        <v>3406320</v>
      </c>
      <c r="S1174" s="101">
        <f t="shared" ref="S1174" si="594">R1174/1.11</f>
        <v>3068756.7567567565</v>
      </c>
    </row>
    <row r="1175" spans="1:19">
      <c r="A1175" s="17" t="s">
        <v>805</v>
      </c>
      <c r="B1175" s="2" t="s">
        <v>25</v>
      </c>
      <c r="C1175" s="3">
        <v>210</v>
      </c>
      <c r="D1175" s="4" t="s">
        <v>277</v>
      </c>
      <c r="F1175" s="6">
        <v>1</v>
      </c>
      <c r="G1175" s="7" t="s">
        <v>20</v>
      </c>
      <c r="H1175" s="6">
        <v>72</v>
      </c>
      <c r="I1175" s="7" t="s">
        <v>277</v>
      </c>
      <c r="J1175" s="8">
        <f>705600/72</f>
        <v>9800</v>
      </c>
      <c r="K1175" s="4" t="s">
        <v>277</v>
      </c>
      <c r="M1175" s="9">
        <v>0.17</v>
      </c>
      <c r="O1175" s="7" t="s">
        <v>277</v>
      </c>
      <c r="P1175" s="3">
        <f t="shared" si="591"/>
        <v>210</v>
      </c>
      <c r="Q1175" s="7" t="s">
        <v>277</v>
      </c>
      <c r="R1175" s="8">
        <f t="shared" si="592"/>
        <v>1708140</v>
      </c>
      <c r="S1175" s="8">
        <f t="shared" si="573"/>
        <v>1538864.8648648646</v>
      </c>
    </row>
    <row r="1176" spans="1:19">
      <c r="A1176" s="17" t="s">
        <v>806</v>
      </c>
      <c r="B1176" s="2" t="s">
        <v>25</v>
      </c>
      <c r="C1176" s="3">
        <v>36</v>
      </c>
      <c r="D1176" s="4" t="s">
        <v>277</v>
      </c>
      <c r="F1176" s="6">
        <v>1</v>
      </c>
      <c r="G1176" s="7" t="s">
        <v>20</v>
      </c>
      <c r="H1176" s="6">
        <v>72</v>
      </c>
      <c r="I1176" s="7" t="s">
        <v>277</v>
      </c>
      <c r="J1176" s="8">
        <f>705600/72</f>
        <v>9800</v>
      </c>
      <c r="K1176" s="4" t="s">
        <v>277</v>
      </c>
      <c r="M1176" s="9">
        <v>0.17</v>
      </c>
      <c r="O1176" s="7" t="s">
        <v>277</v>
      </c>
      <c r="P1176" s="3">
        <f t="shared" si="591"/>
        <v>36</v>
      </c>
      <c r="Q1176" s="7" t="s">
        <v>277</v>
      </c>
      <c r="R1176" s="8">
        <f t="shared" si="592"/>
        <v>292824</v>
      </c>
      <c r="S1176" s="8">
        <f t="shared" si="573"/>
        <v>263805.40540540538</v>
      </c>
    </row>
    <row r="1178" spans="1:19">
      <c r="A1178" s="15" t="s">
        <v>628</v>
      </c>
      <c r="S1178" s="8">
        <f t="shared" si="573"/>
        <v>0</v>
      </c>
    </row>
    <row r="1179" spans="1:19" s="19" customFormat="1">
      <c r="A1179" s="17" t="s">
        <v>785</v>
      </c>
      <c r="B1179" s="19" t="s">
        <v>18</v>
      </c>
      <c r="C1179" s="20">
        <v>120</v>
      </c>
      <c r="D1179" s="21" t="s">
        <v>277</v>
      </c>
      <c r="E1179" s="26"/>
      <c r="F1179" s="22">
        <v>1</v>
      </c>
      <c r="G1179" s="23" t="s">
        <v>20</v>
      </c>
      <c r="H1179" s="22">
        <v>120</v>
      </c>
      <c r="I1179" s="23" t="s">
        <v>277</v>
      </c>
      <c r="J1179" s="24">
        <v>13800</v>
      </c>
      <c r="K1179" s="21" t="s">
        <v>277</v>
      </c>
      <c r="L1179" s="25">
        <v>0.125</v>
      </c>
      <c r="M1179" s="25">
        <v>0.05</v>
      </c>
      <c r="N1179" s="22"/>
      <c r="O1179" s="23" t="s">
        <v>277</v>
      </c>
      <c r="P1179" s="20">
        <f t="shared" ref="P1179" si="595">(C1179+(E1179*F1179*H1179))-N1179</f>
        <v>120</v>
      </c>
      <c r="Q1179" s="23" t="s">
        <v>277</v>
      </c>
      <c r="R1179" s="24">
        <f t="shared" ref="R1179" si="596">P1179*(J1179-(J1179*L1179)-((J1179-(J1179*L1179))*M1179))</f>
        <v>1376550</v>
      </c>
      <c r="S1179" s="24">
        <f t="shared" si="573"/>
        <v>1240135.1351351349</v>
      </c>
    </row>
    <row r="1180" spans="1:19" s="19" customFormat="1">
      <c r="A1180" s="18"/>
      <c r="C1180" s="20"/>
      <c r="D1180" s="21"/>
      <c r="E1180" s="26"/>
      <c r="F1180" s="22"/>
      <c r="G1180" s="23"/>
      <c r="H1180" s="22"/>
      <c r="I1180" s="23"/>
      <c r="J1180" s="24"/>
      <c r="K1180" s="21"/>
      <c r="L1180" s="25"/>
      <c r="M1180" s="25"/>
      <c r="N1180" s="22"/>
      <c r="O1180" s="23"/>
      <c r="P1180" s="20"/>
      <c r="Q1180" s="23"/>
      <c r="R1180" s="24"/>
      <c r="S1180" s="24"/>
    </row>
    <row r="1181" spans="1:19">
      <c r="A1181" s="17" t="s">
        <v>807</v>
      </c>
      <c r="B1181" s="2" t="s">
        <v>25</v>
      </c>
      <c r="D1181" s="4" t="s">
        <v>277</v>
      </c>
      <c r="E1181" s="5">
        <v>1</v>
      </c>
      <c r="F1181" s="6">
        <v>1</v>
      </c>
      <c r="G1181" s="7" t="s">
        <v>20</v>
      </c>
      <c r="H1181" s="6">
        <v>120</v>
      </c>
      <c r="I1181" s="7" t="s">
        <v>277</v>
      </c>
      <c r="J1181" s="8">
        <f>762000/120</f>
        <v>6350</v>
      </c>
      <c r="K1181" s="4" t="s">
        <v>277</v>
      </c>
      <c r="M1181" s="9">
        <v>0.17</v>
      </c>
      <c r="O1181" s="7" t="s">
        <v>277</v>
      </c>
      <c r="P1181" s="3">
        <f>(C1181+(E1181*F1181*H1181))-N1181</f>
        <v>120</v>
      </c>
      <c r="Q1181" s="7" t="s">
        <v>277</v>
      </c>
      <c r="R1181" s="8">
        <f>P1181*(J1181-(J1181*L1181)-((J1181-(J1181*L1181))*M1181))</f>
        <v>632460</v>
      </c>
      <c r="S1181" s="8">
        <f t="shared" si="573"/>
        <v>569783.78378378379</v>
      </c>
    </row>
    <row r="1182" spans="1:19">
      <c r="A1182" s="17" t="s">
        <v>629</v>
      </c>
      <c r="B1182" s="2" t="s">
        <v>25</v>
      </c>
      <c r="D1182" s="4" t="s">
        <v>277</v>
      </c>
      <c r="E1182" s="5">
        <v>3</v>
      </c>
      <c r="F1182" s="6">
        <v>1</v>
      </c>
      <c r="G1182" s="7" t="s">
        <v>20</v>
      </c>
      <c r="H1182" s="6">
        <v>80</v>
      </c>
      <c r="I1182" s="7" t="s">
        <v>277</v>
      </c>
      <c r="J1182" s="8">
        <f>732000/80</f>
        <v>9150</v>
      </c>
      <c r="K1182" s="4" t="s">
        <v>277</v>
      </c>
      <c r="M1182" s="9">
        <v>0.17</v>
      </c>
      <c r="O1182" s="7" t="s">
        <v>277</v>
      </c>
      <c r="P1182" s="3">
        <f>(C1182+(E1182*F1182*H1182))-N1182</f>
        <v>240</v>
      </c>
      <c r="Q1182" s="7" t="s">
        <v>277</v>
      </c>
      <c r="R1182" s="8">
        <f>P1182*(J1182-(J1182*L1182)-((J1182-(J1182*L1182))*M1182))</f>
        <v>1822680</v>
      </c>
      <c r="S1182" s="8">
        <f t="shared" si="573"/>
        <v>1642054.054054054</v>
      </c>
    </row>
    <row r="1183" spans="1:19">
      <c r="A1183" s="17" t="s">
        <v>808</v>
      </c>
      <c r="B1183" s="2" t="s">
        <v>25</v>
      </c>
      <c r="D1183" s="4" t="s">
        <v>277</v>
      </c>
      <c r="E1183" s="5">
        <v>10</v>
      </c>
      <c r="F1183" s="6">
        <v>1</v>
      </c>
      <c r="G1183" s="7" t="s">
        <v>20</v>
      </c>
      <c r="H1183" s="6">
        <v>60</v>
      </c>
      <c r="I1183" s="7" t="s">
        <v>277</v>
      </c>
      <c r="J1183" s="8">
        <f>732000/60</f>
        <v>12200</v>
      </c>
      <c r="K1183" s="4" t="s">
        <v>277</v>
      </c>
      <c r="M1183" s="9">
        <v>0.17</v>
      </c>
      <c r="O1183" s="7" t="s">
        <v>277</v>
      </c>
      <c r="P1183" s="3">
        <f>(C1183+(E1183*F1183*H1183))-N1183</f>
        <v>600</v>
      </c>
      <c r="Q1183" s="7" t="s">
        <v>277</v>
      </c>
      <c r="R1183" s="8">
        <f>P1183*(J1183-(J1183*L1183)-((J1183-(J1183*L1183))*M1183))</f>
        <v>6075600</v>
      </c>
      <c r="S1183" s="8">
        <f t="shared" si="573"/>
        <v>5473513.5135135129</v>
      </c>
    </row>
    <row r="1184" spans="1:19" s="69" customFormat="1">
      <c r="A1184" s="68" t="s">
        <v>653</v>
      </c>
      <c r="B1184" s="69" t="s">
        <v>25</v>
      </c>
      <c r="C1184" s="70"/>
      <c r="D1184" s="71" t="s">
        <v>277</v>
      </c>
      <c r="E1184" s="72"/>
      <c r="F1184" s="73">
        <v>1</v>
      </c>
      <c r="G1184" s="74" t="s">
        <v>20</v>
      </c>
      <c r="H1184" s="73">
        <v>80</v>
      </c>
      <c r="I1184" s="74" t="s">
        <v>277</v>
      </c>
      <c r="J1184" s="16">
        <f>848000/80</f>
        <v>10600</v>
      </c>
      <c r="K1184" s="71" t="s">
        <v>277</v>
      </c>
      <c r="L1184" s="75"/>
      <c r="M1184" s="75">
        <v>0.17</v>
      </c>
      <c r="N1184" s="73"/>
      <c r="O1184" s="74" t="s">
        <v>277</v>
      </c>
      <c r="P1184" s="70">
        <f>(C1184+(E1184*F1184*H1184))-N1184</f>
        <v>0</v>
      </c>
      <c r="Q1184" s="74" t="s">
        <v>277</v>
      </c>
      <c r="R1184" s="16">
        <f>P1184*(J1184-(J1184*L1184)-((J1184-(J1184*L1184))*M1184))</f>
        <v>0</v>
      </c>
      <c r="S1184" s="16">
        <f t="shared" si="573"/>
        <v>0</v>
      </c>
    </row>
    <row r="1185" spans="1:19" s="69" customFormat="1">
      <c r="A1185" s="68" t="s">
        <v>630</v>
      </c>
      <c r="B1185" s="69" t="s">
        <v>25</v>
      </c>
      <c r="C1185" s="70"/>
      <c r="D1185" s="71" t="s">
        <v>277</v>
      </c>
      <c r="E1185" s="72"/>
      <c r="F1185" s="73">
        <v>1</v>
      </c>
      <c r="G1185" s="74" t="s">
        <v>20</v>
      </c>
      <c r="H1185" s="73">
        <v>60</v>
      </c>
      <c r="I1185" s="74" t="s">
        <v>277</v>
      </c>
      <c r="J1185" s="16">
        <f>852000/60</f>
        <v>14200</v>
      </c>
      <c r="K1185" s="71" t="s">
        <v>277</v>
      </c>
      <c r="L1185" s="75"/>
      <c r="M1185" s="75">
        <v>0.17</v>
      </c>
      <c r="N1185" s="73"/>
      <c r="O1185" s="74" t="s">
        <v>277</v>
      </c>
      <c r="P1185" s="70">
        <f>(C1185+(E1185*F1185*H1185))-N1185</f>
        <v>0</v>
      </c>
      <c r="Q1185" s="74" t="s">
        <v>277</v>
      </c>
      <c r="R1185" s="16">
        <f>P1185*(J1185-(J1185*L1185)-((J1185-(J1185*L1185))*M1185))</f>
        <v>0</v>
      </c>
      <c r="S1185" s="16">
        <f t="shared" si="573"/>
        <v>0</v>
      </c>
    </row>
    <row r="1187" spans="1:19" ht="15.75">
      <c r="A1187" s="14" t="s">
        <v>631</v>
      </c>
    </row>
    <row r="1188" spans="1:19" s="19" customFormat="1">
      <c r="A1188" s="18" t="s">
        <v>633</v>
      </c>
      <c r="B1188" s="19" t="s">
        <v>18</v>
      </c>
      <c r="C1188" s="20"/>
      <c r="D1188" s="21" t="s">
        <v>19</v>
      </c>
      <c r="E1188" s="26">
        <v>5</v>
      </c>
      <c r="F1188" s="22">
        <v>1</v>
      </c>
      <c r="G1188" s="23" t="s">
        <v>20</v>
      </c>
      <c r="H1188" s="22">
        <v>24</v>
      </c>
      <c r="I1188" s="23" t="s">
        <v>19</v>
      </c>
      <c r="J1188" s="24">
        <v>22500</v>
      </c>
      <c r="K1188" s="21" t="s">
        <v>19</v>
      </c>
      <c r="L1188" s="25">
        <v>0.125</v>
      </c>
      <c r="M1188" s="25">
        <v>0.05</v>
      </c>
      <c r="N1188" s="22"/>
      <c r="O1188" s="23" t="s">
        <v>19</v>
      </c>
      <c r="P1188" s="20">
        <f t="shared" ref="P1188" si="597">(C1188+(E1188*F1188*H1188))-N1188</f>
        <v>120</v>
      </c>
      <c r="Q1188" s="23" t="s">
        <v>19</v>
      </c>
      <c r="R1188" s="24">
        <f t="shared" ref="R1188" si="598">P1188*(J1188-(J1188*L1188)-((J1188-(J1188*L1188))*M1188))</f>
        <v>2244375</v>
      </c>
      <c r="S1188" s="24">
        <f>R1188/1.11</f>
        <v>2021959.4594594592</v>
      </c>
    </row>
    <row r="1189" spans="1:19" s="19" customFormat="1">
      <c r="A1189" s="18" t="s">
        <v>634</v>
      </c>
      <c r="B1189" s="19" t="s">
        <v>18</v>
      </c>
      <c r="C1189" s="20"/>
      <c r="D1189" s="21" t="s">
        <v>19</v>
      </c>
      <c r="E1189" s="26">
        <v>4</v>
      </c>
      <c r="F1189" s="22">
        <v>1</v>
      </c>
      <c r="G1189" s="23" t="s">
        <v>20</v>
      </c>
      <c r="H1189" s="22">
        <v>24</v>
      </c>
      <c r="I1189" s="23" t="s">
        <v>19</v>
      </c>
      <c r="J1189" s="24">
        <v>24300</v>
      </c>
      <c r="K1189" s="21" t="s">
        <v>19</v>
      </c>
      <c r="L1189" s="25">
        <v>0.125</v>
      </c>
      <c r="M1189" s="25">
        <v>0.05</v>
      </c>
      <c r="N1189" s="22"/>
      <c r="O1189" s="23" t="s">
        <v>19</v>
      </c>
      <c r="P1189" s="20">
        <f t="shared" ref="P1189:P1190" si="599">(C1189+(E1189*F1189*H1189))-N1189</f>
        <v>96</v>
      </c>
      <c r="Q1189" s="23" t="s">
        <v>19</v>
      </c>
      <c r="R1189" s="24">
        <f t="shared" ref="R1189:R1190" si="600">P1189*(J1189-(J1189*L1189)-((J1189-(J1189*L1189))*M1189))</f>
        <v>1939140</v>
      </c>
      <c r="S1189" s="24">
        <f t="shared" ref="S1189:S1190" si="601">R1189/1.11</f>
        <v>1746972.9729729728</v>
      </c>
    </row>
    <row r="1190" spans="1:19" s="19" customFormat="1">
      <c r="A1190" s="18" t="s">
        <v>635</v>
      </c>
      <c r="B1190" s="19" t="s">
        <v>18</v>
      </c>
      <c r="C1190" s="20"/>
      <c r="D1190" s="21" t="s">
        <v>19</v>
      </c>
      <c r="E1190" s="26">
        <v>33</v>
      </c>
      <c r="F1190" s="22">
        <v>1</v>
      </c>
      <c r="G1190" s="23" t="s">
        <v>20</v>
      </c>
      <c r="H1190" s="22">
        <v>24</v>
      </c>
      <c r="I1190" s="23" t="s">
        <v>19</v>
      </c>
      <c r="J1190" s="24">
        <v>11100</v>
      </c>
      <c r="K1190" s="21" t="s">
        <v>19</v>
      </c>
      <c r="L1190" s="25">
        <v>0.125</v>
      </c>
      <c r="M1190" s="25">
        <v>0.05</v>
      </c>
      <c r="N1190" s="22"/>
      <c r="O1190" s="23" t="s">
        <v>19</v>
      </c>
      <c r="P1190" s="20">
        <f t="shared" si="599"/>
        <v>792</v>
      </c>
      <c r="Q1190" s="23" t="s">
        <v>19</v>
      </c>
      <c r="R1190" s="24">
        <f t="shared" si="600"/>
        <v>7307685</v>
      </c>
      <c r="S1190" s="24">
        <f t="shared" si="601"/>
        <v>6583499.9999999991</v>
      </c>
    </row>
    <row r="1191" spans="1:19" s="19" customFormat="1">
      <c r="A1191" s="18" t="s">
        <v>636</v>
      </c>
      <c r="B1191" s="19" t="s">
        <v>18</v>
      </c>
      <c r="C1191" s="20"/>
      <c r="D1191" s="21" t="s">
        <v>19</v>
      </c>
      <c r="E1191" s="26">
        <v>69</v>
      </c>
      <c r="F1191" s="22">
        <v>1</v>
      </c>
      <c r="G1191" s="23" t="s">
        <v>20</v>
      </c>
      <c r="H1191" s="22">
        <v>24</v>
      </c>
      <c r="I1191" s="23" t="s">
        <v>19</v>
      </c>
      <c r="J1191" s="24">
        <v>19000</v>
      </c>
      <c r="K1191" s="21" t="s">
        <v>19</v>
      </c>
      <c r="L1191" s="25">
        <v>0.125</v>
      </c>
      <c r="M1191" s="25">
        <v>0.05</v>
      </c>
      <c r="N1191" s="22"/>
      <c r="O1191" s="23" t="s">
        <v>19</v>
      </c>
      <c r="P1191" s="20">
        <f t="shared" ref="P1191:P1202" si="602">(C1191+(E1191*F1191*H1191))-N1191</f>
        <v>1656</v>
      </c>
      <c r="Q1191" s="23" t="s">
        <v>19</v>
      </c>
      <c r="R1191" s="24">
        <f t="shared" ref="R1191:R1202" si="603">P1191*(J1191-(J1191*L1191)-((J1191-(J1191*L1191))*M1191))</f>
        <v>26154450</v>
      </c>
      <c r="S1191" s="24">
        <f t="shared" si="573"/>
        <v>23562567.567567565</v>
      </c>
    </row>
    <row r="1192" spans="1:19" s="19" customFormat="1">
      <c r="A1192" s="18" t="s">
        <v>728</v>
      </c>
      <c r="B1192" s="19" t="s">
        <v>18</v>
      </c>
      <c r="C1192" s="20"/>
      <c r="D1192" s="21" t="s">
        <v>19</v>
      </c>
      <c r="E1192" s="26">
        <v>2</v>
      </c>
      <c r="F1192" s="22">
        <v>1</v>
      </c>
      <c r="G1192" s="23" t="s">
        <v>20</v>
      </c>
      <c r="H1192" s="22">
        <v>12</v>
      </c>
      <c r="I1192" s="23" t="s">
        <v>19</v>
      </c>
      <c r="J1192" s="24">
        <v>31000</v>
      </c>
      <c r="K1192" s="21" t="s">
        <v>19</v>
      </c>
      <c r="L1192" s="25">
        <v>0.125</v>
      </c>
      <c r="M1192" s="25">
        <v>0.05</v>
      </c>
      <c r="N1192" s="22"/>
      <c r="O1192" s="23" t="s">
        <v>19</v>
      </c>
      <c r="P1192" s="20">
        <f t="shared" si="602"/>
        <v>24</v>
      </c>
      <c r="Q1192" s="23" t="s">
        <v>19</v>
      </c>
      <c r="R1192" s="24">
        <f t="shared" si="603"/>
        <v>618450</v>
      </c>
      <c r="S1192" s="24">
        <f t="shared" si="573"/>
        <v>557162.16216216213</v>
      </c>
    </row>
    <row r="1193" spans="1:19" s="19" customFormat="1">
      <c r="A1193" s="159" t="s">
        <v>982</v>
      </c>
      <c r="B1193" s="19" t="s">
        <v>18</v>
      </c>
      <c r="C1193" s="20"/>
      <c r="D1193" s="21" t="s">
        <v>19</v>
      </c>
      <c r="E1193" s="26">
        <v>1</v>
      </c>
      <c r="F1193" s="22">
        <v>1</v>
      </c>
      <c r="G1193" s="23" t="s">
        <v>20</v>
      </c>
      <c r="H1193" s="22">
        <v>12</v>
      </c>
      <c r="I1193" s="23" t="s">
        <v>19</v>
      </c>
      <c r="J1193" s="24">
        <v>28500</v>
      </c>
      <c r="K1193" s="21" t="s">
        <v>19</v>
      </c>
      <c r="L1193" s="25">
        <v>0.125</v>
      </c>
      <c r="M1193" s="25">
        <v>0.05</v>
      </c>
      <c r="N1193" s="22"/>
      <c r="O1193" s="23" t="s">
        <v>19</v>
      </c>
      <c r="P1193" s="20">
        <f t="shared" ref="P1193" si="604">(C1193+(E1193*F1193*H1193))-N1193</f>
        <v>12</v>
      </c>
      <c r="Q1193" s="23" t="s">
        <v>19</v>
      </c>
      <c r="R1193" s="24">
        <f t="shared" ref="R1193" si="605">P1193*(J1193-(J1193*L1193)-((J1193-(J1193*L1193))*M1193))</f>
        <v>284287.5</v>
      </c>
      <c r="S1193" s="24">
        <f t="shared" ref="S1193" si="606">R1193/1.11</f>
        <v>256114.86486486485</v>
      </c>
    </row>
    <row r="1194" spans="1:19" s="95" customFormat="1">
      <c r="A1194" s="87" t="s">
        <v>930</v>
      </c>
      <c r="B1194" s="95" t="s">
        <v>18</v>
      </c>
      <c r="C1194" s="96"/>
      <c r="D1194" s="97" t="s">
        <v>19</v>
      </c>
      <c r="E1194" s="98">
        <v>1</v>
      </c>
      <c r="F1194" s="99">
        <v>1</v>
      </c>
      <c r="G1194" s="100" t="s">
        <v>20</v>
      </c>
      <c r="H1194" s="99">
        <v>24</v>
      </c>
      <c r="I1194" s="100" t="s">
        <v>19</v>
      </c>
      <c r="J1194" s="101">
        <v>20400</v>
      </c>
      <c r="K1194" s="97" t="s">
        <v>19</v>
      </c>
      <c r="L1194" s="102">
        <v>0.125</v>
      </c>
      <c r="M1194" s="102">
        <v>0.05</v>
      </c>
      <c r="N1194" s="99"/>
      <c r="O1194" s="100" t="s">
        <v>19</v>
      </c>
      <c r="P1194" s="96">
        <f t="shared" ref="P1194" si="607">(C1194+(E1194*F1194*H1194))-N1194</f>
        <v>24</v>
      </c>
      <c r="Q1194" s="100" t="s">
        <v>19</v>
      </c>
      <c r="R1194" s="101">
        <f t="shared" ref="R1194" si="608">P1194*(J1194-(J1194*L1194)-((J1194-(J1194*L1194))*M1194))</f>
        <v>406980</v>
      </c>
      <c r="S1194" s="101">
        <f t="shared" ref="S1194" si="609">R1194/1.11</f>
        <v>366648.64864864864</v>
      </c>
    </row>
    <row r="1195" spans="1:19" s="95" customFormat="1">
      <c r="A1195" s="87" t="s">
        <v>727</v>
      </c>
      <c r="B1195" s="95" t="s">
        <v>18</v>
      </c>
      <c r="C1195" s="96"/>
      <c r="D1195" s="97" t="s">
        <v>19</v>
      </c>
      <c r="E1195" s="98">
        <v>3</v>
      </c>
      <c r="F1195" s="99">
        <v>1</v>
      </c>
      <c r="G1195" s="100" t="s">
        <v>20</v>
      </c>
      <c r="H1195" s="99">
        <v>24</v>
      </c>
      <c r="I1195" s="100" t="s">
        <v>19</v>
      </c>
      <c r="J1195" s="101">
        <v>12300</v>
      </c>
      <c r="K1195" s="97" t="s">
        <v>19</v>
      </c>
      <c r="L1195" s="102">
        <v>0.125</v>
      </c>
      <c r="M1195" s="102">
        <v>0.05</v>
      </c>
      <c r="N1195" s="99"/>
      <c r="O1195" s="100" t="s">
        <v>19</v>
      </c>
      <c r="P1195" s="96">
        <f t="shared" si="602"/>
        <v>72</v>
      </c>
      <c r="Q1195" s="100" t="s">
        <v>19</v>
      </c>
      <c r="R1195" s="101">
        <f t="shared" si="603"/>
        <v>736155</v>
      </c>
      <c r="S1195" s="93">
        <f t="shared" si="573"/>
        <v>663202.70270270261</v>
      </c>
    </row>
    <row r="1196" spans="1:19" s="19" customFormat="1">
      <c r="A1196" s="18" t="s">
        <v>825</v>
      </c>
      <c r="B1196" s="19" t="s">
        <v>18</v>
      </c>
      <c r="C1196" s="20"/>
      <c r="D1196" s="21" t="s">
        <v>19</v>
      </c>
      <c r="E1196" s="26">
        <v>3</v>
      </c>
      <c r="F1196" s="22">
        <v>1</v>
      </c>
      <c r="G1196" s="23" t="s">
        <v>20</v>
      </c>
      <c r="H1196" s="22">
        <v>24</v>
      </c>
      <c r="I1196" s="23" t="s">
        <v>19</v>
      </c>
      <c r="J1196" s="24">
        <v>16500</v>
      </c>
      <c r="K1196" s="21" t="s">
        <v>19</v>
      </c>
      <c r="L1196" s="25">
        <v>0.125</v>
      </c>
      <c r="M1196" s="25">
        <v>0.05</v>
      </c>
      <c r="N1196" s="22"/>
      <c r="O1196" s="23" t="s">
        <v>19</v>
      </c>
      <c r="P1196" s="20">
        <f t="shared" si="602"/>
        <v>72</v>
      </c>
      <c r="Q1196" s="23" t="s">
        <v>19</v>
      </c>
      <c r="R1196" s="24">
        <f t="shared" si="603"/>
        <v>987525</v>
      </c>
      <c r="S1196" s="8">
        <f t="shared" si="573"/>
        <v>889662.16216216213</v>
      </c>
    </row>
    <row r="1197" spans="1:19" s="85" customFormat="1">
      <c r="A1197" s="104" t="s">
        <v>632</v>
      </c>
      <c r="B1197" s="85" t="s">
        <v>18</v>
      </c>
      <c r="C1197" s="88"/>
      <c r="D1197" s="89" t="s">
        <v>19</v>
      </c>
      <c r="E1197" s="90">
        <v>2</v>
      </c>
      <c r="F1197" s="91">
        <v>1</v>
      </c>
      <c r="G1197" s="92" t="s">
        <v>20</v>
      </c>
      <c r="H1197" s="91">
        <v>24</v>
      </c>
      <c r="I1197" s="92" t="s">
        <v>19</v>
      </c>
      <c r="J1197" s="93">
        <v>17200</v>
      </c>
      <c r="K1197" s="89" t="s">
        <v>19</v>
      </c>
      <c r="L1197" s="94">
        <v>0.125</v>
      </c>
      <c r="M1197" s="94">
        <v>0.05</v>
      </c>
      <c r="N1197" s="91"/>
      <c r="O1197" s="92" t="s">
        <v>19</v>
      </c>
      <c r="P1197" s="88">
        <f t="shared" si="602"/>
        <v>48</v>
      </c>
      <c r="Q1197" s="92" t="s">
        <v>19</v>
      </c>
      <c r="R1197" s="93">
        <f t="shared" si="603"/>
        <v>686280</v>
      </c>
      <c r="S1197" s="93">
        <f>R1197/1.11</f>
        <v>618270.27027027018</v>
      </c>
    </row>
    <row r="1198" spans="1:19" s="85" customFormat="1">
      <c r="A1198" s="104" t="s">
        <v>878</v>
      </c>
      <c r="B1198" s="85" t="s">
        <v>18</v>
      </c>
      <c r="C1198" s="88"/>
      <c r="D1198" s="89" t="s">
        <v>19</v>
      </c>
      <c r="E1198" s="90">
        <v>2</v>
      </c>
      <c r="F1198" s="91">
        <v>1</v>
      </c>
      <c r="G1198" s="92" t="s">
        <v>20</v>
      </c>
      <c r="H1198" s="91">
        <v>12</v>
      </c>
      <c r="I1198" s="92" t="s">
        <v>19</v>
      </c>
      <c r="J1198" s="93">
        <v>30500</v>
      </c>
      <c r="K1198" s="89" t="s">
        <v>19</v>
      </c>
      <c r="L1198" s="94">
        <v>0.125</v>
      </c>
      <c r="M1198" s="94">
        <v>0.05</v>
      </c>
      <c r="N1198" s="91"/>
      <c r="O1198" s="92" t="s">
        <v>19</v>
      </c>
      <c r="P1198" s="88">
        <f>(C1198+(E1198*F1198*H1198))-N1198</f>
        <v>24</v>
      </c>
      <c r="Q1198" s="92" t="s">
        <v>19</v>
      </c>
      <c r="R1198" s="93">
        <f t="shared" ref="R1198" si="610">P1198*(J1198-(J1198*L1198)-((J1198-(J1198*L1198))*M1198))</f>
        <v>608475</v>
      </c>
      <c r="S1198" s="93">
        <f>R1198/1.11</f>
        <v>548175.67567567562</v>
      </c>
    </row>
    <row r="1199" spans="1:19" s="78" customFormat="1">
      <c r="A1199" s="77" t="s">
        <v>647</v>
      </c>
      <c r="B1199" s="78" t="s">
        <v>18</v>
      </c>
      <c r="C1199" s="76"/>
      <c r="D1199" s="79" t="s">
        <v>19</v>
      </c>
      <c r="E1199" s="80"/>
      <c r="F1199" s="81">
        <v>12</v>
      </c>
      <c r="G1199" s="82" t="s">
        <v>33</v>
      </c>
      <c r="H1199" s="81">
        <v>20</v>
      </c>
      <c r="I1199" s="82" t="s">
        <v>19</v>
      </c>
      <c r="J1199" s="83">
        <v>5150</v>
      </c>
      <c r="K1199" s="79" t="s">
        <v>19</v>
      </c>
      <c r="L1199" s="84">
        <v>0.125</v>
      </c>
      <c r="M1199" s="84">
        <v>0.05</v>
      </c>
      <c r="N1199" s="81"/>
      <c r="O1199" s="82" t="s">
        <v>19</v>
      </c>
      <c r="P1199" s="76">
        <f t="shared" si="602"/>
        <v>0</v>
      </c>
      <c r="Q1199" s="82" t="s">
        <v>19</v>
      </c>
      <c r="R1199" s="83">
        <f t="shared" si="603"/>
        <v>0</v>
      </c>
      <c r="S1199" s="83">
        <f t="shared" ref="S1199" si="611">R1199/1.11</f>
        <v>0</v>
      </c>
    </row>
    <row r="1200" spans="1:19" s="19" customFormat="1">
      <c r="A1200" s="18" t="s">
        <v>637</v>
      </c>
      <c r="B1200" s="19" t="s">
        <v>18</v>
      </c>
      <c r="C1200" s="20">
        <v>73</v>
      </c>
      <c r="D1200" s="21" t="s">
        <v>19</v>
      </c>
      <c r="E1200" s="26">
        <v>4</v>
      </c>
      <c r="F1200" s="22">
        <v>1</v>
      </c>
      <c r="G1200" s="23" t="s">
        <v>20</v>
      </c>
      <c r="H1200" s="22">
        <v>96</v>
      </c>
      <c r="I1200" s="23" t="s">
        <v>19</v>
      </c>
      <c r="J1200" s="24">
        <v>14200</v>
      </c>
      <c r="K1200" s="21" t="s">
        <v>19</v>
      </c>
      <c r="L1200" s="25">
        <v>0.125</v>
      </c>
      <c r="M1200" s="25">
        <v>0.05</v>
      </c>
      <c r="N1200" s="22"/>
      <c r="O1200" s="23" t="s">
        <v>19</v>
      </c>
      <c r="P1200" s="20">
        <f t="shared" si="602"/>
        <v>457</v>
      </c>
      <c r="Q1200" s="23" t="s">
        <v>19</v>
      </c>
      <c r="R1200" s="24">
        <f t="shared" si="603"/>
        <v>5394313.75</v>
      </c>
      <c r="S1200" s="24">
        <f t="shared" si="573"/>
        <v>4859742.1171171162</v>
      </c>
    </row>
    <row r="1201" spans="1:19" s="69" customFormat="1">
      <c r="A1201" s="68" t="s">
        <v>638</v>
      </c>
      <c r="B1201" s="69" t="s">
        <v>18</v>
      </c>
      <c r="C1201" s="70"/>
      <c r="D1201" s="71" t="s">
        <v>19</v>
      </c>
      <c r="E1201" s="72">
        <v>3</v>
      </c>
      <c r="F1201" s="73">
        <v>1</v>
      </c>
      <c r="G1201" s="74" t="s">
        <v>20</v>
      </c>
      <c r="H1201" s="73">
        <v>24</v>
      </c>
      <c r="I1201" s="74" t="s">
        <v>19</v>
      </c>
      <c r="J1201" s="16">
        <v>41000</v>
      </c>
      <c r="K1201" s="71" t="s">
        <v>19</v>
      </c>
      <c r="L1201" s="75">
        <v>0.125</v>
      </c>
      <c r="M1201" s="75">
        <v>0.05</v>
      </c>
      <c r="N1201" s="73"/>
      <c r="O1201" s="74" t="s">
        <v>19</v>
      </c>
      <c r="P1201" s="70">
        <f t="shared" si="602"/>
        <v>72</v>
      </c>
      <c r="Q1201" s="74" t="s">
        <v>19</v>
      </c>
      <c r="R1201" s="16">
        <f t="shared" si="603"/>
        <v>2453850</v>
      </c>
      <c r="S1201" s="16">
        <f t="shared" si="573"/>
        <v>2210675.6756756753</v>
      </c>
    </row>
    <row r="1202" spans="1:19">
      <c r="A1202" s="17" t="s">
        <v>639</v>
      </c>
      <c r="B1202" s="2" t="s">
        <v>18</v>
      </c>
      <c r="C1202" s="3">
        <v>146</v>
      </c>
      <c r="D1202" s="4" t="s">
        <v>19</v>
      </c>
      <c r="F1202" s="6">
        <v>1</v>
      </c>
      <c r="G1202" s="7" t="s">
        <v>20</v>
      </c>
      <c r="H1202" s="6">
        <v>100</v>
      </c>
      <c r="I1202" s="7" t="s">
        <v>19</v>
      </c>
      <c r="J1202" s="8">
        <v>15500</v>
      </c>
      <c r="K1202" s="4" t="s">
        <v>19</v>
      </c>
      <c r="L1202" s="9">
        <v>0.125</v>
      </c>
      <c r="M1202" s="9">
        <v>0.05</v>
      </c>
      <c r="O1202" s="7" t="s">
        <v>19</v>
      </c>
      <c r="P1202" s="3">
        <f t="shared" si="602"/>
        <v>146</v>
      </c>
      <c r="Q1202" s="7" t="s">
        <v>19</v>
      </c>
      <c r="R1202" s="8">
        <f t="shared" si="603"/>
        <v>1881118.75</v>
      </c>
      <c r="S1202" s="8">
        <f t="shared" si="573"/>
        <v>1694701.5765765763</v>
      </c>
    </row>
    <row r="1204" spans="1:19" s="95" customFormat="1">
      <c r="A1204" s="128" t="s">
        <v>676</v>
      </c>
      <c r="B1204" s="95" t="s">
        <v>25</v>
      </c>
      <c r="C1204" s="96"/>
      <c r="D1204" s="97" t="s">
        <v>19</v>
      </c>
      <c r="E1204" s="98">
        <v>3</v>
      </c>
      <c r="F1204" s="99">
        <v>1</v>
      </c>
      <c r="G1204" s="100" t="s">
        <v>20</v>
      </c>
      <c r="H1204" s="99">
        <v>24</v>
      </c>
      <c r="I1204" s="100" t="s">
        <v>19</v>
      </c>
      <c r="J1204" s="101">
        <f>372000/24</f>
        <v>15500</v>
      </c>
      <c r="K1204" s="97" t="s">
        <v>19</v>
      </c>
      <c r="L1204" s="102"/>
      <c r="M1204" s="102">
        <v>0.17</v>
      </c>
      <c r="N1204" s="99"/>
      <c r="O1204" s="100" t="s">
        <v>19</v>
      </c>
      <c r="P1204" s="96">
        <f t="shared" ref="P1204:P1212" si="612">(C1204+(E1204*F1204*H1204))-N1204</f>
        <v>72</v>
      </c>
      <c r="Q1204" s="100" t="s">
        <v>19</v>
      </c>
      <c r="R1204" s="101">
        <f t="shared" ref="R1204:R1212" si="613">P1204*(J1204-(J1204*L1204)-((J1204-(J1204*L1204))*M1204))</f>
        <v>926280</v>
      </c>
      <c r="S1204" s="101">
        <f t="shared" si="573"/>
        <v>834486.48648648639</v>
      </c>
    </row>
    <row r="1205" spans="1:19" s="85" customFormat="1">
      <c r="A1205" s="128" t="s">
        <v>640</v>
      </c>
      <c r="B1205" s="85" t="s">
        <v>25</v>
      </c>
      <c r="C1205" s="88"/>
      <c r="D1205" s="89" t="s">
        <v>19</v>
      </c>
      <c r="E1205" s="90">
        <v>3</v>
      </c>
      <c r="F1205" s="91">
        <v>1</v>
      </c>
      <c r="G1205" s="92" t="s">
        <v>20</v>
      </c>
      <c r="H1205" s="91">
        <v>24</v>
      </c>
      <c r="I1205" s="92" t="s">
        <v>19</v>
      </c>
      <c r="J1205" s="93">
        <f>444000/24</f>
        <v>18500</v>
      </c>
      <c r="K1205" s="89" t="s">
        <v>19</v>
      </c>
      <c r="L1205" s="94"/>
      <c r="M1205" s="94">
        <v>0.17</v>
      </c>
      <c r="N1205" s="91"/>
      <c r="O1205" s="92" t="s">
        <v>19</v>
      </c>
      <c r="P1205" s="88">
        <f t="shared" si="612"/>
        <v>72</v>
      </c>
      <c r="Q1205" s="92" t="s">
        <v>19</v>
      </c>
      <c r="R1205" s="93">
        <f t="shared" si="613"/>
        <v>1105560</v>
      </c>
      <c r="S1205" s="93">
        <f t="shared" si="573"/>
        <v>995999.99999999988</v>
      </c>
    </row>
    <row r="1206" spans="1:19" s="19" customFormat="1">
      <c r="A1206" s="46" t="s">
        <v>641</v>
      </c>
      <c r="B1206" s="19" t="s">
        <v>25</v>
      </c>
      <c r="C1206" s="20">
        <v>19</v>
      </c>
      <c r="D1206" s="21" t="s">
        <v>19</v>
      </c>
      <c r="E1206" s="26">
        <v>80</v>
      </c>
      <c r="F1206" s="22">
        <v>1</v>
      </c>
      <c r="G1206" s="23" t="s">
        <v>20</v>
      </c>
      <c r="H1206" s="22">
        <v>24</v>
      </c>
      <c r="I1206" s="23" t="s">
        <v>19</v>
      </c>
      <c r="J1206" s="24">
        <f>462000/24</f>
        <v>19250</v>
      </c>
      <c r="K1206" s="21" t="s">
        <v>19</v>
      </c>
      <c r="L1206" s="25"/>
      <c r="M1206" s="25">
        <v>0.17</v>
      </c>
      <c r="N1206" s="22"/>
      <c r="O1206" s="23" t="s">
        <v>19</v>
      </c>
      <c r="P1206" s="20">
        <f t="shared" si="612"/>
        <v>1939</v>
      </c>
      <c r="Q1206" s="23" t="s">
        <v>19</v>
      </c>
      <c r="R1206" s="24">
        <f t="shared" si="613"/>
        <v>30980372.5</v>
      </c>
      <c r="S1206" s="8">
        <f t="shared" si="573"/>
        <v>27910245.495495494</v>
      </c>
    </row>
    <row r="1207" spans="1:19" s="19" customFormat="1">
      <c r="A1207" s="46" t="s">
        <v>708</v>
      </c>
      <c r="B1207" s="19" t="s">
        <v>25</v>
      </c>
      <c r="C1207" s="20">
        <v>30</v>
      </c>
      <c r="D1207" s="21" t="s">
        <v>19</v>
      </c>
      <c r="E1207" s="26">
        <v>3</v>
      </c>
      <c r="F1207" s="22">
        <v>1</v>
      </c>
      <c r="G1207" s="23" t="s">
        <v>20</v>
      </c>
      <c r="H1207" s="22">
        <v>24</v>
      </c>
      <c r="I1207" s="23" t="s">
        <v>19</v>
      </c>
      <c r="J1207" s="24">
        <f>462000/24</f>
        <v>19250</v>
      </c>
      <c r="K1207" s="21" t="s">
        <v>19</v>
      </c>
      <c r="L1207" s="25"/>
      <c r="M1207" s="25">
        <v>0.17</v>
      </c>
      <c r="N1207" s="22"/>
      <c r="O1207" s="23" t="s">
        <v>19</v>
      </c>
      <c r="P1207" s="20">
        <f t="shared" si="612"/>
        <v>102</v>
      </c>
      <c r="Q1207" s="23" t="s">
        <v>19</v>
      </c>
      <c r="R1207" s="24">
        <f t="shared" si="613"/>
        <v>1629705</v>
      </c>
      <c r="S1207" s="8">
        <f t="shared" si="573"/>
        <v>1468202.7027027025</v>
      </c>
    </row>
    <row r="1208" spans="1:19" s="69" customFormat="1">
      <c r="A1208" s="113" t="s">
        <v>642</v>
      </c>
      <c r="B1208" s="69" t="s">
        <v>25</v>
      </c>
      <c r="C1208" s="70"/>
      <c r="D1208" s="71" t="s">
        <v>19</v>
      </c>
      <c r="E1208" s="72"/>
      <c r="F1208" s="73">
        <v>1</v>
      </c>
      <c r="G1208" s="74" t="s">
        <v>20</v>
      </c>
      <c r="H1208" s="73">
        <v>24</v>
      </c>
      <c r="I1208" s="74" t="s">
        <v>19</v>
      </c>
      <c r="J1208" s="16">
        <v>17250</v>
      </c>
      <c r="K1208" s="71" t="s">
        <v>19</v>
      </c>
      <c r="L1208" s="75"/>
      <c r="M1208" s="75">
        <v>0.17</v>
      </c>
      <c r="N1208" s="73"/>
      <c r="O1208" s="74" t="s">
        <v>19</v>
      </c>
      <c r="P1208" s="70">
        <f t="shared" si="612"/>
        <v>0</v>
      </c>
      <c r="Q1208" s="74" t="s">
        <v>19</v>
      </c>
      <c r="R1208" s="16">
        <f t="shared" si="613"/>
        <v>0</v>
      </c>
      <c r="S1208" s="16">
        <f t="shared" si="573"/>
        <v>0</v>
      </c>
    </row>
    <row r="1209" spans="1:19" s="69" customFormat="1">
      <c r="A1209" s="113" t="s">
        <v>711</v>
      </c>
      <c r="B1209" s="69" t="s">
        <v>25</v>
      </c>
      <c r="C1209" s="70"/>
      <c r="D1209" s="71" t="s">
        <v>19</v>
      </c>
      <c r="E1209" s="72">
        <v>1</v>
      </c>
      <c r="F1209" s="73">
        <v>1</v>
      </c>
      <c r="G1209" s="74" t="s">
        <v>20</v>
      </c>
      <c r="H1209" s="73">
        <v>24</v>
      </c>
      <c r="I1209" s="74" t="s">
        <v>19</v>
      </c>
      <c r="J1209" s="16">
        <f>420000/24</f>
        <v>17500</v>
      </c>
      <c r="K1209" s="71" t="s">
        <v>19</v>
      </c>
      <c r="L1209" s="75"/>
      <c r="M1209" s="75">
        <v>0.17</v>
      </c>
      <c r="N1209" s="73"/>
      <c r="O1209" s="74" t="s">
        <v>19</v>
      </c>
      <c r="P1209" s="70">
        <f t="shared" si="612"/>
        <v>24</v>
      </c>
      <c r="Q1209" s="74" t="s">
        <v>19</v>
      </c>
      <c r="R1209" s="16">
        <f t="shared" si="613"/>
        <v>348600</v>
      </c>
      <c r="S1209" s="16">
        <f t="shared" si="573"/>
        <v>314054.05405405402</v>
      </c>
    </row>
    <row r="1210" spans="1:19">
      <c r="A1210" s="46" t="s">
        <v>643</v>
      </c>
      <c r="B1210" s="2" t="s">
        <v>25</v>
      </c>
      <c r="C1210" s="3">
        <v>12</v>
      </c>
      <c r="D1210" s="4" t="s">
        <v>19</v>
      </c>
      <c r="E1210" s="5">
        <v>2</v>
      </c>
      <c r="F1210" s="6">
        <v>1</v>
      </c>
      <c r="G1210" s="7" t="s">
        <v>20</v>
      </c>
      <c r="H1210" s="6">
        <v>12</v>
      </c>
      <c r="I1210" s="7" t="s">
        <v>19</v>
      </c>
      <c r="J1210" s="8">
        <f>342000/12</f>
        <v>28500</v>
      </c>
      <c r="K1210" s="4" t="s">
        <v>19</v>
      </c>
      <c r="M1210" s="9">
        <v>0.17</v>
      </c>
      <c r="O1210" s="7" t="s">
        <v>19</v>
      </c>
      <c r="P1210" s="3">
        <f t="shared" si="612"/>
        <v>36</v>
      </c>
      <c r="Q1210" s="7" t="s">
        <v>19</v>
      </c>
      <c r="R1210" s="8">
        <f t="shared" si="613"/>
        <v>851580</v>
      </c>
      <c r="S1210" s="8">
        <f t="shared" si="573"/>
        <v>767189.18918918911</v>
      </c>
    </row>
    <row r="1211" spans="1:19" s="85" customFormat="1">
      <c r="A1211" s="128" t="s">
        <v>644</v>
      </c>
      <c r="B1211" s="85" t="s">
        <v>25</v>
      </c>
      <c r="C1211" s="96"/>
      <c r="D1211" s="89" t="s">
        <v>19</v>
      </c>
      <c r="E1211" s="90">
        <v>2</v>
      </c>
      <c r="F1211" s="91">
        <v>1</v>
      </c>
      <c r="G1211" s="92" t="s">
        <v>20</v>
      </c>
      <c r="H1211" s="91">
        <v>12</v>
      </c>
      <c r="I1211" s="92" t="s">
        <v>19</v>
      </c>
      <c r="J1211" s="93">
        <f>348000/12</f>
        <v>29000</v>
      </c>
      <c r="K1211" s="89" t="s">
        <v>19</v>
      </c>
      <c r="L1211" s="94"/>
      <c r="M1211" s="94">
        <v>0.17</v>
      </c>
      <c r="N1211" s="91"/>
      <c r="O1211" s="92" t="s">
        <v>19</v>
      </c>
      <c r="P1211" s="88">
        <f t="shared" si="612"/>
        <v>24</v>
      </c>
      <c r="Q1211" s="92" t="s">
        <v>19</v>
      </c>
      <c r="R1211" s="93">
        <f t="shared" si="613"/>
        <v>577680</v>
      </c>
      <c r="S1211" s="93">
        <f t="shared" si="573"/>
        <v>520432.43243243237</v>
      </c>
    </row>
    <row r="1212" spans="1:19" s="69" customFormat="1">
      <c r="A1212" s="113" t="s">
        <v>656</v>
      </c>
      <c r="B1212" s="69" t="s">
        <v>25</v>
      </c>
      <c r="C1212" s="76"/>
      <c r="D1212" s="71" t="s">
        <v>19</v>
      </c>
      <c r="E1212" s="72">
        <v>1</v>
      </c>
      <c r="F1212" s="73">
        <v>8</v>
      </c>
      <c r="G1212" s="74" t="s">
        <v>40</v>
      </c>
      <c r="H1212" s="73">
        <v>12</v>
      </c>
      <c r="I1212" s="74" t="s">
        <v>19</v>
      </c>
      <c r="J1212" s="16">
        <f>2112000/8/12</f>
        <v>22000</v>
      </c>
      <c r="K1212" s="71" t="s">
        <v>19</v>
      </c>
      <c r="L1212" s="75"/>
      <c r="M1212" s="75">
        <v>0.17</v>
      </c>
      <c r="N1212" s="73"/>
      <c r="O1212" s="74" t="s">
        <v>19</v>
      </c>
      <c r="P1212" s="70">
        <f t="shared" si="612"/>
        <v>96</v>
      </c>
      <c r="Q1212" s="74" t="s">
        <v>19</v>
      </c>
      <c r="R1212" s="16">
        <f t="shared" si="613"/>
        <v>1752960</v>
      </c>
      <c r="S1212" s="16">
        <f t="shared" si="573"/>
        <v>1579243.2432432431</v>
      </c>
    </row>
    <row r="1213" spans="1:19">
      <c r="A1213" s="46"/>
      <c r="C1213" s="20"/>
    </row>
    <row r="1214" spans="1:19" s="19" customFormat="1">
      <c r="A1214" s="46" t="s">
        <v>645</v>
      </c>
      <c r="B1214" s="19" t="s">
        <v>181</v>
      </c>
      <c r="C1214" s="20"/>
      <c r="D1214" s="21" t="s">
        <v>40</v>
      </c>
      <c r="E1214" s="26">
        <v>10</v>
      </c>
      <c r="F1214" s="22">
        <v>48</v>
      </c>
      <c r="G1214" s="23" t="s">
        <v>33</v>
      </c>
      <c r="H1214" s="22">
        <v>1</v>
      </c>
      <c r="I1214" s="23" t="s">
        <v>40</v>
      </c>
      <c r="J1214" s="24">
        <v>92000</v>
      </c>
      <c r="K1214" s="21" t="s">
        <v>40</v>
      </c>
      <c r="L1214" s="67">
        <v>0.27927000000000002</v>
      </c>
      <c r="M1214" s="25"/>
      <c r="N1214" s="22"/>
      <c r="O1214" s="23" t="s">
        <v>40</v>
      </c>
      <c r="P1214" s="20">
        <f>(C1214+(E1214*F1214*H1214))-N1214</f>
        <v>480</v>
      </c>
      <c r="Q1214" s="23" t="s">
        <v>40</v>
      </c>
      <c r="R1214" s="24">
        <f>P1214*(J1214-(J1214*L1214)-((J1214-(J1214*L1214))*M1214))</f>
        <v>31827436.800000001</v>
      </c>
      <c r="S1214" s="24">
        <f t="shared" ref="S1214" si="614">R1214/1.11</f>
        <v>28673366.486486483</v>
      </c>
    </row>
    <row r="1215" spans="1:19" s="19" customFormat="1">
      <c r="A1215" s="46"/>
      <c r="C1215" s="20"/>
      <c r="D1215" s="21"/>
      <c r="E1215" s="26"/>
      <c r="F1215" s="22"/>
      <c r="G1215" s="23"/>
      <c r="H1215" s="22"/>
      <c r="I1215" s="23"/>
      <c r="J1215" s="24"/>
      <c r="K1215" s="21"/>
      <c r="L1215" s="25"/>
      <c r="M1215" s="25"/>
      <c r="N1215" s="22"/>
      <c r="O1215" s="23"/>
      <c r="P1215" s="20"/>
      <c r="Q1215" s="23"/>
      <c r="R1215" s="24"/>
      <c r="S1215" s="8"/>
    </row>
    <row r="1216" spans="1:19" s="69" customFormat="1">
      <c r="A1216" s="113" t="s">
        <v>646</v>
      </c>
      <c r="B1216" s="69" t="s">
        <v>597</v>
      </c>
      <c r="C1216" s="76"/>
      <c r="D1216" s="71" t="s">
        <v>19</v>
      </c>
      <c r="E1216" s="72"/>
      <c r="F1216" s="73">
        <v>1</v>
      </c>
      <c r="G1216" s="74" t="s">
        <v>20</v>
      </c>
      <c r="H1216" s="73">
        <v>24</v>
      </c>
      <c r="I1216" s="74" t="s">
        <v>19</v>
      </c>
      <c r="J1216" s="16">
        <v>18200</v>
      </c>
      <c r="K1216" s="71" t="s">
        <v>19</v>
      </c>
      <c r="L1216" s="75">
        <v>0.15</v>
      </c>
      <c r="M1216" s="75">
        <v>0.03</v>
      </c>
      <c r="N1216" s="73"/>
      <c r="O1216" s="74" t="s">
        <v>19</v>
      </c>
      <c r="P1216" s="70">
        <f>(C1216+(E1216*F1216*H1216))-N1216</f>
        <v>0</v>
      </c>
      <c r="Q1216" s="74" t="s">
        <v>19</v>
      </c>
      <c r="R1216" s="16">
        <f>P1216*(J1216-(J1216*L1216)-((J1216-(J1216*L1216))*M1216))</f>
        <v>0</v>
      </c>
      <c r="S1216" s="16">
        <f t="shared" ref="S1216" si="615">R1216/1.11</f>
        <v>0</v>
      </c>
    </row>
    <row r="1217" spans="1:19">
      <c r="C1217" s="20"/>
    </row>
    <row r="1218" spans="1:19" ht="15.75">
      <c r="A1218" s="14" t="s">
        <v>650</v>
      </c>
      <c r="C1218" s="20"/>
    </row>
    <row r="1219" spans="1:19" s="78" customFormat="1">
      <c r="A1219" s="77" t="s">
        <v>651</v>
      </c>
      <c r="B1219" s="78" t="s">
        <v>18</v>
      </c>
      <c r="C1219" s="76"/>
      <c r="D1219" s="79" t="s">
        <v>19</v>
      </c>
      <c r="E1219" s="80"/>
      <c r="F1219" s="81">
        <v>1</v>
      </c>
      <c r="G1219" s="82" t="s">
        <v>20</v>
      </c>
      <c r="H1219" s="81">
        <v>100</v>
      </c>
      <c r="I1219" s="82" t="s">
        <v>19</v>
      </c>
      <c r="J1219" s="83">
        <v>8400</v>
      </c>
      <c r="K1219" s="79" t="s">
        <v>19</v>
      </c>
      <c r="L1219" s="84">
        <v>0.125</v>
      </c>
      <c r="M1219" s="84">
        <v>0.05</v>
      </c>
      <c r="N1219" s="81"/>
      <c r="O1219" s="82" t="s">
        <v>19</v>
      </c>
      <c r="P1219" s="76">
        <f>(C1219+(E1219*F1219*H1219))-N1219</f>
        <v>0</v>
      </c>
      <c r="Q1219" s="82" t="s">
        <v>19</v>
      </c>
      <c r="R1219" s="83">
        <f>P1219*(J1219-(J1219*L1219)-((J1219-(J1219*L1219))*M1219))</f>
        <v>0</v>
      </c>
      <c r="S1219" s="83">
        <f t="shared" ref="S1219" si="616">R1219/1.11</f>
        <v>0</v>
      </c>
    </row>
    <row r="1220" spans="1:19">
      <c r="C1220" s="20"/>
    </row>
    <row r="1221" spans="1:19" ht="15.75">
      <c r="A1221" s="14" t="s">
        <v>801</v>
      </c>
      <c r="C1221" s="20"/>
    </row>
    <row r="1222" spans="1:19" s="19" customFormat="1">
      <c r="A1222" s="18" t="s">
        <v>870</v>
      </c>
      <c r="B1222" s="19" t="s">
        <v>45</v>
      </c>
      <c r="C1222" s="20">
        <v>14</v>
      </c>
      <c r="D1222" s="21" t="s">
        <v>19</v>
      </c>
      <c r="E1222" s="26"/>
      <c r="F1222" s="22">
        <v>4</v>
      </c>
      <c r="G1222" s="23" t="s">
        <v>33</v>
      </c>
      <c r="H1222" s="22">
        <v>12</v>
      </c>
      <c r="I1222" s="23" t="s">
        <v>19</v>
      </c>
      <c r="J1222" s="24"/>
      <c r="K1222" s="21" t="s">
        <v>19</v>
      </c>
      <c r="L1222" s="25">
        <v>0.1</v>
      </c>
      <c r="M1222" s="25">
        <v>0.05</v>
      </c>
      <c r="N1222" s="22"/>
      <c r="O1222" s="23" t="s">
        <v>19</v>
      </c>
      <c r="P1222" s="20">
        <f>(C1222+(E1222*F1222*H1222))-N1222</f>
        <v>14</v>
      </c>
      <c r="Q1222" s="23" t="s">
        <v>19</v>
      </c>
      <c r="R1222" s="24">
        <f>P1222*(J1222-(J1222*L1222)-((J1222-(J1222*L1222))*M1222))</f>
        <v>0</v>
      </c>
      <c r="S1222" s="24">
        <f t="shared" ref="S1222" si="617">R1222/1.11</f>
        <v>0</v>
      </c>
    </row>
    <row r="1223" spans="1:19">
      <c r="A1223" s="2"/>
      <c r="R1223" s="16"/>
      <c r="S1223" s="16"/>
    </row>
    <row r="1224" spans="1:19" ht="15.75">
      <c r="A1224" s="14" t="s">
        <v>940</v>
      </c>
      <c r="R1224" s="16"/>
      <c r="S1224" s="16"/>
    </row>
    <row r="1225" spans="1:19">
      <c r="A1225" s="17" t="s">
        <v>941</v>
      </c>
      <c r="B1225" s="19" t="s">
        <v>181</v>
      </c>
      <c r="D1225" s="4" t="s">
        <v>40</v>
      </c>
      <c r="E1225" s="5">
        <v>10</v>
      </c>
      <c r="F1225" s="6">
        <v>1</v>
      </c>
      <c r="G1225" s="7" t="s">
        <v>20</v>
      </c>
      <c r="H1225" s="6">
        <v>12</v>
      </c>
      <c r="I1225" s="7" t="s">
        <v>40</v>
      </c>
      <c r="J1225" s="24">
        <v>52552.583333333336</v>
      </c>
      <c r="K1225" s="21" t="s">
        <v>40</v>
      </c>
      <c r="L1225" s="25"/>
      <c r="M1225" s="25"/>
      <c r="N1225" s="22"/>
      <c r="O1225" s="23" t="s">
        <v>40</v>
      </c>
      <c r="P1225" s="20">
        <f>(C1225+(E1225*F1225*H1225))-N1225</f>
        <v>120</v>
      </c>
      <c r="Q1225" s="23" t="s">
        <v>40</v>
      </c>
      <c r="R1225" s="24">
        <f>P1225*(J1225-(J1225*L1225)-((J1225-(J1225*L1225))*M1225))</f>
        <v>6306310</v>
      </c>
      <c r="S1225" s="24">
        <f t="shared" ref="S1225" si="618">R1225/1.11</f>
        <v>5681360.3603603598</v>
      </c>
    </row>
    <row r="1226" spans="1:19">
      <c r="B1226" s="19"/>
      <c r="J1226" s="24"/>
      <c r="K1226" s="21"/>
      <c r="L1226" s="25"/>
      <c r="M1226" s="25"/>
      <c r="N1226" s="22"/>
      <c r="O1226" s="23"/>
      <c r="P1226" s="20"/>
      <c r="Q1226" s="23"/>
      <c r="R1226" s="24"/>
      <c r="S1226" s="24"/>
    </row>
    <row r="1227" spans="1:19">
      <c r="A1227" s="159" t="s">
        <v>1018</v>
      </c>
      <c r="B1227" s="19" t="s">
        <v>18</v>
      </c>
      <c r="D1227" s="4" t="s">
        <v>40</v>
      </c>
      <c r="E1227" s="5">
        <v>1</v>
      </c>
      <c r="F1227" s="6">
        <v>1</v>
      </c>
      <c r="G1227" s="7" t="s">
        <v>20</v>
      </c>
      <c r="H1227" s="6">
        <v>12</v>
      </c>
      <c r="I1227" s="7" t="s">
        <v>40</v>
      </c>
      <c r="J1227" s="24">
        <v>60600</v>
      </c>
      <c r="K1227" s="21" t="s">
        <v>40</v>
      </c>
      <c r="L1227" s="25">
        <v>0.125</v>
      </c>
      <c r="M1227" s="25">
        <v>0.05</v>
      </c>
      <c r="N1227" s="22"/>
      <c r="O1227" s="23" t="s">
        <v>40</v>
      </c>
      <c r="P1227" s="20">
        <f>(C1227+(E1227*F1227*H1227))-N1227</f>
        <v>12</v>
      </c>
      <c r="Q1227" s="23" t="s">
        <v>40</v>
      </c>
      <c r="R1227" s="24">
        <f>P1227*(J1227-(J1227*L1227)-((J1227-(J1227*L1227))*M1227))</f>
        <v>604485</v>
      </c>
      <c r="S1227" s="24">
        <f t="shared" ref="S1227" si="619">R1227/1.11</f>
        <v>544581.08108108107</v>
      </c>
    </row>
    <row r="1228" spans="1:19">
      <c r="J1228" s="24"/>
      <c r="K1228" s="21"/>
      <c r="L1228" s="25"/>
      <c r="M1228" s="25"/>
      <c r="N1228" s="22"/>
      <c r="O1228" s="23"/>
      <c r="P1228" s="20"/>
      <c r="Q1228" s="23"/>
      <c r="R1228" s="24"/>
      <c r="S1228" s="24"/>
    </row>
    <row r="1229" spans="1:19" ht="15.75">
      <c r="A1229" s="14" t="s">
        <v>938</v>
      </c>
      <c r="R1229" s="16"/>
      <c r="S1229" s="16"/>
    </row>
    <row r="1230" spans="1:19">
      <c r="A1230" s="17" t="s">
        <v>939</v>
      </c>
      <c r="B1230" s="2" t="s">
        <v>18</v>
      </c>
      <c r="C1230" s="3">
        <v>114</v>
      </c>
      <c r="D1230" s="4" t="s">
        <v>19</v>
      </c>
      <c r="F1230" s="6">
        <v>1</v>
      </c>
      <c r="G1230" s="7" t="s">
        <v>20</v>
      </c>
      <c r="H1230" s="6">
        <v>50</v>
      </c>
      <c r="I1230" s="7" t="s">
        <v>833</v>
      </c>
      <c r="J1230" s="24">
        <v>40000</v>
      </c>
      <c r="K1230" s="21" t="s">
        <v>19</v>
      </c>
      <c r="L1230" s="25"/>
      <c r="M1230" s="25"/>
      <c r="N1230" s="22"/>
      <c r="O1230" s="23" t="s">
        <v>19</v>
      </c>
      <c r="P1230" s="20">
        <f>(C1230+(E1230*F1230*H1230))-N1230</f>
        <v>114</v>
      </c>
      <c r="Q1230" s="23" t="s">
        <v>19</v>
      </c>
      <c r="R1230" s="24">
        <f>P1230*(J1230-(J1230*L1230)-((J1230-(J1230*L1230))*M1230))</f>
        <v>4560000</v>
      </c>
      <c r="S1230" s="24">
        <f t="shared" ref="S1230" si="620">R1230/1.11</f>
        <v>4108108.1081081079</v>
      </c>
    </row>
    <row r="1231" spans="1:19">
      <c r="J1231" s="24"/>
      <c r="K1231" s="21"/>
      <c r="L1231" s="25"/>
      <c r="M1231" s="25"/>
      <c r="N1231" s="22"/>
      <c r="O1231" s="23"/>
      <c r="P1231" s="20"/>
      <c r="Q1231" s="23"/>
      <c r="R1231" s="24"/>
      <c r="S1231" s="24"/>
    </row>
    <row r="1232" spans="1:19" ht="15.75">
      <c r="A1232" s="14" t="s">
        <v>985</v>
      </c>
      <c r="R1232" s="16"/>
      <c r="S1232" s="16"/>
    </row>
    <row r="1233" spans="1:21">
      <c r="A1233" s="17" t="s">
        <v>986</v>
      </c>
      <c r="B1233" s="2" t="s">
        <v>18</v>
      </c>
      <c r="D1233" s="4" t="s">
        <v>33</v>
      </c>
      <c r="E1233" s="5">
        <v>1</v>
      </c>
      <c r="F1233" s="6">
        <v>1</v>
      </c>
      <c r="G1233" s="7" t="s">
        <v>1015</v>
      </c>
      <c r="H1233" s="6">
        <v>4</v>
      </c>
      <c r="I1233" s="7" t="s">
        <v>33</v>
      </c>
      <c r="J1233" s="24">
        <v>216000</v>
      </c>
      <c r="K1233" s="21" t="s">
        <v>33</v>
      </c>
      <c r="L1233" s="25">
        <v>0.125</v>
      </c>
      <c r="M1233" s="25">
        <v>0.05</v>
      </c>
      <c r="N1233" s="22"/>
      <c r="O1233" s="23" t="s">
        <v>33</v>
      </c>
      <c r="P1233" s="20">
        <f>(C1233+(E1233*F1233*H1233))-N1233</f>
        <v>4</v>
      </c>
      <c r="Q1233" s="23" t="s">
        <v>33</v>
      </c>
      <c r="R1233" s="24">
        <f>P1233*(J1233-(J1233*L1233)-((J1233-(J1233*L1233))*M1233))</f>
        <v>718200</v>
      </c>
      <c r="S1233" s="24">
        <f t="shared" ref="S1233" si="621">R1233/1.11</f>
        <v>647027.02702702698</v>
      </c>
    </row>
    <row r="1234" spans="1:21">
      <c r="A1234" s="17" t="s">
        <v>987</v>
      </c>
      <c r="B1234" s="2" t="s">
        <v>18</v>
      </c>
      <c r="D1234" s="4" t="s">
        <v>33</v>
      </c>
      <c r="E1234" s="5">
        <v>1</v>
      </c>
      <c r="F1234" s="6">
        <v>1</v>
      </c>
      <c r="G1234" s="7" t="s">
        <v>1015</v>
      </c>
      <c r="H1234" s="6">
        <v>4</v>
      </c>
      <c r="I1234" s="7" t="s">
        <v>33</v>
      </c>
      <c r="J1234" s="24">
        <v>184000</v>
      </c>
      <c r="K1234" s="21" t="s">
        <v>33</v>
      </c>
      <c r="L1234" s="25">
        <v>0.125</v>
      </c>
      <c r="M1234" s="25">
        <v>0.05</v>
      </c>
      <c r="N1234" s="22"/>
      <c r="O1234" s="23" t="s">
        <v>33</v>
      </c>
      <c r="P1234" s="20">
        <f>(C1234+(E1234*F1234*H1234))-N1234</f>
        <v>4</v>
      </c>
      <c r="Q1234" s="23" t="s">
        <v>33</v>
      </c>
      <c r="R1234" s="24">
        <f>P1234*(J1234-(J1234*L1234)-((J1234-(J1234*L1234))*M1234))</f>
        <v>611800</v>
      </c>
      <c r="S1234" s="24">
        <f t="shared" ref="S1234" si="622">R1234/1.11</f>
        <v>551171.17117117113</v>
      </c>
    </row>
    <row r="1235" spans="1:21">
      <c r="J1235" s="24"/>
      <c r="K1235" s="21"/>
      <c r="L1235" s="25"/>
      <c r="M1235" s="25"/>
      <c r="N1235" s="22"/>
      <c r="O1235" s="23"/>
      <c r="P1235" s="20"/>
      <c r="Q1235" s="23"/>
      <c r="R1235" s="24"/>
      <c r="S1235" s="24"/>
    </row>
    <row r="1236" spans="1:21" ht="15.75">
      <c r="A1236" s="14" t="s">
        <v>1010</v>
      </c>
      <c r="R1236" s="16"/>
      <c r="S1236" s="16"/>
    </row>
    <row r="1237" spans="1:21">
      <c r="A1237" s="17" t="s">
        <v>1012</v>
      </c>
      <c r="B1237" s="2" t="s">
        <v>1011</v>
      </c>
      <c r="D1237" s="4" t="s">
        <v>833</v>
      </c>
      <c r="E1237" s="5">
        <v>25</v>
      </c>
      <c r="F1237" s="6">
        <v>1</v>
      </c>
      <c r="G1237" s="7" t="s">
        <v>20</v>
      </c>
      <c r="H1237" s="6">
        <v>180</v>
      </c>
      <c r="I1237" s="7" t="s">
        <v>833</v>
      </c>
      <c r="J1237" s="24">
        <v>7555</v>
      </c>
      <c r="K1237" s="21" t="s">
        <v>833</v>
      </c>
      <c r="L1237" s="25">
        <v>0.1</v>
      </c>
      <c r="M1237" s="25">
        <v>0.1</v>
      </c>
      <c r="N1237" s="22"/>
      <c r="O1237" s="23" t="s">
        <v>833</v>
      </c>
      <c r="P1237" s="20">
        <f>(C1237+(E1237*F1237*H1237))-N1237</f>
        <v>4500</v>
      </c>
      <c r="Q1237" s="23" t="s">
        <v>833</v>
      </c>
      <c r="R1237" s="24">
        <f>P1237*(J1237-(J1237*L1237)-((J1237-(J1237*L1237))*M1237))</f>
        <v>27537975</v>
      </c>
      <c r="S1237" s="24">
        <f t="shared" ref="S1237:S1238" si="623">R1237/1.11</f>
        <v>24808986.486486483</v>
      </c>
    </row>
    <row r="1238" spans="1:21">
      <c r="A1238" s="17" t="s">
        <v>1013</v>
      </c>
      <c r="B1238" s="2" t="s">
        <v>1011</v>
      </c>
      <c r="D1238" s="4" t="s">
        <v>833</v>
      </c>
      <c r="E1238" s="5">
        <v>10</v>
      </c>
      <c r="F1238" s="6">
        <v>1</v>
      </c>
      <c r="G1238" s="7" t="s">
        <v>20</v>
      </c>
      <c r="H1238" s="6">
        <v>240</v>
      </c>
      <c r="I1238" s="7" t="s">
        <v>833</v>
      </c>
      <c r="J1238" s="24">
        <v>5485</v>
      </c>
      <c r="K1238" s="21" t="s">
        <v>833</v>
      </c>
      <c r="L1238" s="25">
        <v>0.1</v>
      </c>
      <c r="M1238" s="25">
        <v>0.1</v>
      </c>
      <c r="N1238" s="22"/>
      <c r="O1238" s="23" t="s">
        <v>833</v>
      </c>
      <c r="P1238" s="20">
        <f>(C1238+(E1238*F1238*H1238))-N1238</f>
        <v>2400</v>
      </c>
      <c r="Q1238" s="23" t="s">
        <v>833</v>
      </c>
      <c r="R1238" s="24">
        <f>P1238*(J1238-(J1238*L1238)-((J1238-(J1238*L1238))*M1238))</f>
        <v>10662840</v>
      </c>
      <c r="S1238" s="24">
        <f t="shared" si="623"/>
        <v>9606162.1621621605</v>
      </c>
    </row>
    <row r="1239" spans="1:21">
      <c r="R1239" s="60"/>
      <c r="S1239" s="59"/>
      <c r="U1239" s="34"/>
    </row>
    <row r="1240" spans="1:21" ht="15.75">
      <c r="R1240" s="61"/>
      <c r="S1240" s="61"/>
    </row>
    <row r="1241" spans="1:21">
      <c r="R1241" s="27"/>
      <c r="S1241" s="27"/>
    </row>
    <row r="1242" spans="1:21">
      <c r="S1242" s="36"/>
    </row>
    <row r="1243" spans="1:21">
      <c r="R1243" s="37"/>
    </row>
  </sheetData>
  <sortState ref="A57:U103">
    <sortCondition ref="A57"/>
  </sortState>
  <mergeCells count="12">
    <mergeCell ref="N2:O3"/>
    <mergeCell ref="P2:Q3"/>
    <mergeCell ref="R2:R3"/>
    <mergeCell ref="S2:S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2023-09-05T09:01:39Z</dcterms:modified>
</cp:coreProperties>
</file>