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firstSheet="1" activeTab="4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6" r:id="rId9"/>
  </pivotCaches>
</workbook>
</file>

<file path=xl/calcChain.xml><?xml version="1.0" encoding="utf-8"?>
<calcChain xmlns="http://schemas.openxmlformats.org/spreadsheetml/2006/main">
  <c r="O128" i="1" l="1"/>
  <c r="O129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H61" i="1" l="1"/>
  <c r="C62" i="1"/>
  <c r="C63" i="1"/>
  <c r="C64" i="1"/>
  <c r="C65" i="1"/>
  <c r="C66" i="1"/>
  <c r="C67" i="1"/>
  <c r="H62" i="1"/>
  <c r="B62" i="1" s="1"/>
  <c r="G62" i="1" s="1"/>
  <c r="A62" i="1" s="1"/>
  <c r="H63" i="1"/>
  <c r="B63" i="1" s="1"/>
  <c r="G63" i="1" s="1"/>
  <c r="H64" i="1"/>
  <c r="B64" i="1" s="1"/>
  <c r="G64" i="1" s="1"/>
  <c r="H65" i="1"/>
  <c r="B65" i="1" s="1"/>
  <c r="G65" i="1" s="1"/>
  <c r="H66" i="1"/>
  <c r="B66" i="1" s="1"/>
  <c r="G66" i="1" s="1"/>
  <c r="A66" i="1" s="1"/>
  <c r="H67" i="1"/>
  <c r="B67" i="1" s="1"/>
  <c r="G67" i="1" s="1"/>
  <c r="I62" i="1"/>
  <c r="I63" i="1"/>
  <c r="I64" i="1"/>
  <c r="I65" i="1"/>
  <c r="I66" i="1"/>
  <c r="I67" i="1"/>
  <c r="J62" i="1"/>
  <c r="J63" i="1"/>
  <c r="J64" i="1"/>
  <c r="J65" i="1"/>
  <c r="J66" i="1"/>
  <c r="J67" i="1"/>
  <c r="W66" i="1"/>
  <c r="X66" i="1" s="1"/>
  <c r="W67" i="1"/>
  <c r="X67" i="1" s="1"/>
  <c r="Y62" i="1"/>
  <c r="Y63" i="1"/>
  <c r="Y64" i="1"/>
  <c r="Y65" i="1"/>
  <c r="Y66" i="1"/>
  <c r="Y67" i="1"/>
  <c r="Z62" i="1"/>
  <c r="Z63" i="1"/>
  <c r="Z64" i="1"/>
  <c r="Z65" i="1"/>
  <c r="Z66" i="1"/>
  <c r="Z67" i="1"/>
  <c r="AA62" i="1"/>
  <c r="AA63" i="1"/>
  <c r="AA64" i="1"/>
  <c r="AA65" i="1"/>
  <c r="AA66" i="1"/>
  <c r="AA67" i="1"/>
  <c r="AB62" i="1"/>
  <c r="AB63" i="1"/>
  <c r="AB64" i="1"/>
  <c r="AB65" i="1"/>
  <c r="AB66" i="1"/>
  <c r="AB67" i="1"/>
  <c r="AC62" i="1"/>
  <c r="T62" i="1" s="1"/>
  <c r="AC63" i="1"/>
  <c r="T63" i="1" s="1"/>
  <c r="AC64" i="1"/>
  <c r="T64" i="1" s="1"/>
  <c r="AC65" i="1"/>
  <c r="T65" i="1" s="1"/>
  <c r="AC66" i="1"/>
  <c r="T66" i="1" s="1"/>
  <c r="AC67" i="1"/>
  <c r="T67" i="1" s="1"/>
  <c r="AF62" i="1"/>
  <c r="AF63" i="1"/>
  <c r="AF64" i="1"/>
  <c r="AF65" i="1"/>
  <c r="AF66" i="1"/>
  <c r="AF67" i="1"/>
  <c r="C68" i="1"/>
  <c r="H68" i="1"/>
  <c r="B68" i="1" s="1"/>
  <c r="G68" i="1" s="1"/>
  <c r="J68" i="1"/>
  <c r="W68" i="1"/>
  <c r="X68" i="1" s="1"/>
  <c r="Y68" i="1"/>
  <c r="Z68" i="1" s="1"/>
  <c r="AB68" i="1"/>
  <c r="AC68" i="1"/>
  <c r="T68" i="1" s="1"/>
  <c r="AF68" i="1"/>
  <c r="C69" i="1"/>
  <c r="H69" i="1"/>
  <c r="I69" i="1" s="1"/>
  <c r="J69" i="1"/>
  <c r="Y69" i="1"/>
  <c r="Z69" i="1" s="1"/>
  <c r="AF69" i="1"/>
  <c r="C70" i="1"/>
  <c r="H70" i="1"/>
  <c r="I70" i="1" s="1"/>
  <c r="J70" i="1"/>
  <c r="I68" i="1" l="1"/>
  <c r="B70" i="1"/>
  <c r="G70" i="1" s="1"/>
  <c r="A70" i="1" s="1"/>
  <c r="AD70" i="1" s="1"/>
  <c r="A67" i="1"/>
  <c r="AD67" i="1" s="1"/>
  <c r="A65" i="1"/>
  <c r="AD65" i="1" s="1"/>
  <c r="A63" i="1"/>
  <c r="AD63" i="1" s="1"/>
  <c r="AD66" i="1"/>
  <c r="AD62" i="1"/>
  <c r="A68" i="1"/>
  <c r="AD68" i="1" s="1"/>
  <c r="A64" i="1"/>
  <c r="AD64" i="1" s="1"/>
  <c r="AA68" i="1"/>
  <c r="AA69" i="1"/>
  <c r="AB69" i="1" s="1"/>
  <c r="AC69" i="1" s="1"/>
  <c r="T69" i="1" s="1"/>
  <c r="Y70" i="1"/>
  <c r="Z70" i="1" s="1"/>
  <c r="AF70" i="1"/>
  <c r="C71" i="1"/>
  <c r="H71" i="1"/>
  <c r="B71" i="1" s="1"/>
  <c r="G71" i="1" s="1"/>
  <c r="J71" i="1"/>
  <c r="W71" i="1"/>
  <c r="X71" i="1" s="1"/>
  <c r="Y71" i="1"/>
  <c r="Z71" i="1" s="1"/>
  <c r="AB71" i="1"/>
  <c r="AC71" i="1"/>
  <c r="T71" i="1" s="1"/>
  <c r="AF71" i="1"/>
  <c r="AA71" i="1" l="1"/>
  <c r="A71" i="1"/>
  <c r="AD71" i="1" s="1"/>
  <c r="I71" i="1"/>
  <c r="AA70" i="1"/>
  <c r="AB70" i="1" s="1"/>
  <c r="AC70" i="1" s="1"/>
  <c r="T70" i="1" s="1"/>
  <c r="C72" i="1"/>
  <c r="H72" i="1"/>
  <c r="I72" i="1" s="1"/>
  <c r="J72" i="1"/>
  <c r="Y72" i="1"/>
  <c r="Z72" i="1" s="1"/>
  <c r="AF72" i="1"/>
  <c r="C73" i="1"/>
  <c r="H73" i="1"/>
  <c r="I73" i="1" s="1"/>
  <c r="J73" i="1"/>
  <c r="Y73" i="1"/>
  <c r="Z73" i="1" s="1"/>
  <c r="AF73" i="1"/>
  <c r="AA72" i="1" l="1"/>
  <c r="B73" i="1"/>
  <c r="G73" i="1" s="1"/>
  <c r="A73" i="1" s="1"/>
  <c r="AD73" i="1" s="1"/>
  <c r="AA73" i="1"/>
  <c r="AB73" i="1"/>
  <c r="AC73" i="1" s="1"/>
  <c r="T73" i="1" s="1"/>
  <c r="AB72" i="1"/>
  <c r="AC72" i="1" s="1"/>
  <c r="T72" i="1" s="1"/>
  <c r="C57" i="1" l="1"/>
  <c r="C58" i="1"/>
  <c r="C59" i="1"/>
  <c r="H57" i="1"/>
  <c r="B57" i="1" s="1"/>
  <c r="G57" i="1" s="1"/>
  <c r="H58" i="1"/>
  <c r="B58" i="1" s="1"/>
  <c r="G58" i="1" s="1"/>
  <c r="H59" i="1"/>
  <c r="B59" i="1" s="1"/>
  <c r="G59" i="1" s="1"/>
  <c r="J57" i="1"/>
  <c r="J58" i="1"/>
  <c r="J59" i="1"/>
  <c r="W59" i="1"/>
  <c r="X59" i="1" s="1"/>
  <c r="Y57" i="1"/>
  <c r="Z57" i="1" s="1"/>
  <c r="Y58" i="1"/>
  <c r="Y59" i="1"/>
  <c r="Z59" i="1" s="1"/>
  <c r="Z58" i="1"/>
  <c r="AA57" i="1"/>
  <c r="AA58" i="1"/>
  <c r="AA59" i="1"/>
  <c r="AB58" i="1"/>
  <c r="AC58" i="1" s="1"/>
  <c r="T58" i="1" s="1"/>
  <c r="AB59" i="1"/>
  <c r="AC59" i="1"/>
  <c r="T59" i="1" s="1"/>
  <c r="AF57" i="1"/>
  <c r="AF58" i="1"/>
  <c r="AF59" i="1"/>
  <c r="I59" i="1" l="1"/>
  <c r="I57" i="1"/>
  <c r="A57" i="1"/>
  <c r="AD57" i="1" s="1"/>
  <c r="A59" i="1"/>
  <c r="AD59" i="1" s="1"/>
  <c r="A58" i="1"/>
  <c r="AD58" i="1" s="1"/>
  <c r="AB57" i="1"/>
  <c r="AC57" i="1" s="1"/>
  <c r="T57" i="1" s="1"/>
  <c r="I58" i="1"/>
  <c r="E28" i="3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57" i="4" s="1"/>
  <c r="O3" i="4"/>
  <c r="H3" i="4"/>
  <c r="X3" i="4" s="1"/>
  <c r="AF297" i="1"/>
  <c r="AC297" i="1"/>
  <c r="T297" i="1" s="1"/>
  <c r="AB297" i="1"/>
  <c r="Z297" i="1"/>
  <c r="Y297" i="1"/>
  <c r="AA297" i="1" s="1"/>
  <c r="W297" i="1"/>
  <c r="X297" i="1" s="1"/>
  <c r="J297" i="1"/>
  <c r="H297" i="1"/>
  <c r="B297" i="1" s="1"/>
  <c r="G297" i="1" s="1"/>
  <c r="C297" i="1"/>
  <c r="AF296" i="1"/>
  <c r="AC296" i="1"/>
  <c r="AB296" i="1"/>
  <c r="Y296" i="1"/>
  <c r="AA296" i="1" s="1"/>
  <c r="W296" i="1"/>
  <c r="X296" i="1" s="1"/>
  <c r="T296" i="1"/>
  <c r="J296" i="1"/>
  <c r="H296" i="1"/>
  <c r="C296" i="1"/>
  <c r="AF295" i="1"/>
  <c r="AC295" i="1"/>
  <c r="AB295" i="1"/>
  <c r="Y295" i="1"/>
  <c r="AA295" i="1" s="1"/>
  <c r="W295" i="1"/>
  <c r="X295" i="1" s="1"/>
  <c r="T295" i="1"/>
  <c r="J295" i="1"/>
  <c r="H295" i="1"/>
  <c r="B295" i="1" s="1"/>
  <c r="G295" i="1" s="1"/>
  <c r="C295" i="1"/>
  <c r="AF294" i="1"/>
  <c r="AC294" i="1"/>
  <c r="AB294" i="1"/>
  <c r="Y294" i="1"/>
  <c r="AA294" i="1" s="1"/>
  <c r="W294" i="1"/>
  <c r="X294" i="1" s="1"/>
  <c r="T294" i="1"/>
  <c r="J294" i="1"/>
  <c r="H294" i="1"/>
  <c r="C294" i="1"/>
  <c r="AF293" i="1"/>
  <c r="AC293" i="1"/>
  <c r="T293" i="1" s="1"/>
  <c r="AB293" i="1"/>
  <c r="Y293" i="1"/>
  <c r="AA293" i="1" s="1"/>
  <c r="W293" i="1"/>
  <c r="X293" i="1" s="1"/>
  <c r="J293" i="1"/>
  <c r="H293" i="1"/>
  <c r="C293" i="1"/>
  <c r="AF292" i="1"/>
  <c r="AC292" i="1"/>
  <c r="T292" i="1" s="1"/>
  <c r="AB292" i="1"/>
  <c r="Y292" i="1"/>
  <c r="AA292" i="1" s="1"/>
  <c r="W292" i="1"/>
  <c r="X292" i="1" s="1"/>
  <c r="J292" i="1"/>
  <c r="H292" i="1"/>
  <c r="C292" i="1"/>
  <c r="AF291" i="1"/>
  <c r="AC291" i="1"/>
  <c r="T291" i="1" s="1"/>
  <c r="AB291" i="1"/>
  <c r="Y291" i="1"/>
  <c r="AA291" i="1" s="1"/>
  <c r="W291" i="1"/>
  <c r="X291" i="1" s="1"/>
  <c r="J291" i="1"/>
  <c r="H291" i="1"/>
  <c r="C291" i="1"/>
  <c r="AF290" i="1"/>
  <c r="AC290" i="1"/>
  <c r="AB290" i="1"/>
  <c r="Y290" i="1"/>
  <c r="AA290" i="1" s="1"/>
  <c r="W290" i="1"/>
  <c r="X290" i="1" s="1"/>
  <c r="T290" i="1"/>
  <c r="J290" i="1"/>
  <c r="H290" i="1"/>
  <c r="C290" i="1"/>
  <c r="AF289" i="1"/>
  <c r="AC289" i="1"/>
  <c r="AB289" i="1"/>
  <c r="Y289" i="1"/>
  <c r="AA289" i="1" s="1"/>
  <c r="W289" i="1"/>
  <c r="X289" i="1" s="1"/>
  <c r="T289" i="1"/>
  <c r="J289" i="1"/>
  <c r="H289" i="1"/>
  <c r="C289" i="1"/>
  <c r="AF288" i="1"/>
  <c r="AC288" i="1"/>
  <c r="AB288" i="1"/>
  <c r="Y288" i="1"/>
  <c r="AA288" i="1" s="1"/>
  <c r="W288" i="1"/>
  <c r="X288" i="1" s="1"/>
  <c r="T288" i="1"/>
  <c r="J288" i="1"/>
  <c r="H288" i="1"/>
  <c r="C288" i="1"/>
  <c r="AF287" i="1"/>
  <c r="AC287" i="1"/>
  <c r="AB287" i="1"/>
  <c r="Y287" i="1"/>
  <c r="AA287" i="1" s="1"/>
  <c r="W287" i="1"/>
  <c r="X287" i="1" s="1"/>
  <c r="T287" i="1"/>
  <c r="J287" i="1"/>
  <c r="H287" i="1"/>
  <c r="C287" i="1"/>
  <c r="AF286" i="1"/>
  <c r="AC286" i="1"/>
  <c r="T286" i="1" s="1"/>
  <c r="AB286" i="1"/>
  <c r="Y286" i="1"/>
  <c r="AA286" i="1" s="1"/>
  <c r="W286" i="1"/>
  <c r="X286" i="1" s="1"/>
  <c r="J286" i="1"/>
  <c r="H286" i="1"/>
  <c r="C286" i="1"/>
  <c r="AF285" i="1"/>
  <c r="AC285" i="1"/>
  <c r="T285" i="1" s="1"/>
  <c r="AB285" i="1"/>
  <c r="Y285" i="1"/>
  <c r="AA285" i="1" s="1"/>
  <c r="W285" i="1"/>
  <c r="X285" i="1" s="1"/>
  <c r="J285" i="1"/>
  <c r="H285" i="1"/>
  <c r="C285" i="1"/>
  <c r="AF284" i="1"/>
  <c r="AC284" i="1"/>
  <c r="T284" i="1" s="1"/>
  <c r="AB284" i="1"/>
  <c r="Y284" i="1"/>
  <c r="AA284" i="1" s="1"/>
  <c r="W284" i="1"/>
  <c r="X284" i="1" s="1"/>
  <c r="J284" i="1"/>
  <c r="H284" i="1"/>
  <c r="C284" i="1"/>
  <c r="AF283" i="1"/>
  <c r="AC283" i="1"/>
  <c r="T283" i="1" s="1"/>
  <c r="AB283" i="1"/>
  <c r="Y283" i="1"/>
  <c r="AA283" i="1" s="1"/>
  <c r="W283" i="1"/>
  <c r="X283" i="1" s="1"/>
  <c r="J283" i="1"/>
  <c r="H283" i="1"/>
  <c r="B283" i="1" s="1"/>
  <c r="G283" i="1" s="1"/>
  <c r="C283" i="1"/>
  <c r="AF282" i="1"/>
  <c r="AC282" i="1"/>
  <c r="AB282" i="1"/>
  <c r="Y282" i="1"/>
  <c r="AA282" i="1" s="1"/>
  <c r="W282" i="1"/>
  <c r="X282" i="1" s="1"/>
  <c r="T282" i="1"/>
  <c r="J282" i="1"/>
  <c r="H282" i="1"/>
  <c r="C282" i="1"/>
  <c r="AF281" i="1"/>
  <c r="AC281" i="1"/>
  <c r="AB281" i="1"/>
  <c r="Y281" i="1"/>
  <c r="AA281" i="1" s="1"/>
  <c r="W281" i="1"/>
  <c r="X281" i="1" s="1"/>
  <c r="T281" i="1"/>
  <c r="J281" i="1"/>
  <c r="H281" i="1"/>
  <c r="C281" i="1"/>
  <c r="AF280" i="1"/>
  <c r="AC280" i="1"/>
  <c r="AB280" i="1"/>
  <c r="Y280" i="1"/>
  <c r="AA280" i="1" s="1"/>
  <c r="W280" i="1"/>
  <c r="X280" i="1" s="1"/>
  <c r="T280" i="1"/>
  <c r="J280" i="1"/>
  <c r="H280" i="1"/>
  <c r="C280" i="1"/>
  <c r="AF279" i="1"/>
  <c r="AC279" i="1"/>
  <c r="AB279" i="1"/>
  <c r="Y279" i="1"/>
  <c r="AA279" i="1" s="1"/>
  <c r="W279" i="1"/>
  <c r="X279" i="1" s="1"/>
  <c r="T279" i="1"/>
  <c r="J279" i="1"/>
  <c r="H279" i="1"/>
  <c r="C279" i="1"/>
  <c r="AF278" i="1"/>
  <c r="AC278" i="1"/>
  <c r="T278" i="1" s="1"/>
  <c r="AB278" i="1"/>
  <c r="Y278" i="1"/>
  <c r="AA278" i="1" s="1"/>
  <c r="W278" i="1"/>
  <c r="X278" i="1" s="1"/>
  <c r="J278" i="1"/>
  <c r="H278" i="1"/>
  <c r="C278" i="1"/>
  <c r="AF277" i="1"/>
  <c r="AC277" i="1"/>
  <c r="T277" i="1" s="1"/>
  <c r="AB277" i="1"/>
  <c r="Y277" i="1"/>
  <c r="AA277" i="1" s="1"/>
  <c r="W277" i="1"/>
  <c r="X277" i="1" s="1"/>
  <c r="J277" i="1"/>
  <c r="H277" i="1"/>
  <c r="C277" i="1"/>
  <c r="AF276" i="1"/>
  <c r="AC276" i="1"/>
  <c r="T276" i="1" s="1"/>
  <c r="AB276" i="1"/>
  <c r="Y276" i="1"/>
  <c r="AA276" i="1" s="1"/>
  <c r="W276" i="1"/>
  <c r="X276" i="1" s="1"/>
  <c r="J276" i="1"/>
  <c r="H276" i="1"/>
  <c r="C276" i="1"/>
  <c r="AF275" i="1"/>
  <c r="AC275" i="1"/>
  <c r="T275" i="1" s="1"/>
  <c r="AB275" i="1"/>
  <c r="Y275" i="1"/>
  <c r="AA275" i="1" s="1"/>
  <c r="W275" i="1"/>
  <c r="X275" i="1" s="1"/>
  <c r="J275" i="1"/>
  <c r="H275" i="1"/>
  <c r="C275" i="1"/>
  <c r="AF274" i="1"/>
  <c r="AC274" i="1"/>
  <c r="AB274" i="1"/>
  <c r="Y274" i="1"/>
  <c r="AA274" i="1" s="1"/>
  <c r="W274" i="1"/>
  <c r="X274" i="1" s="1"/>
  <c r="T274" i="1"/>
  <c r="J274" i="1"/>
  <c r="H274" i="1"/>
  <c r="C274" i="1"/>
  <c r="AF273" i="1"/>
  <c r="AC273" i="1"/>
  <c r="AB273" i="1"/>
  <c r="Y273" i="1"/>
  <c r="AA273" i="1" s="1"/>
  <c r="W273" i="1"/>
  <c r="X273" i="1" s="1"/>
  <c r="T273" i="1"/>
  <c r="J273" i="1"/>
  <c r="H273" i="1"/>
  <c r="C273" i="1"/>
  <c r="AF272" i="1"/>
  <c r="AC272" i="1"/>
  <c r="AB272" i="1"/>
  <c r="Y272" i="1"/>
  <c r="AA272" i="1" s="1"/>
  <c r="W272" i="1"/>
  <c r="X272" i="1" s="1"/>
  <c r="T272" i="1"/>
  <c r="J272" i="1"/>
  <c r="H272" i="1"/>
  <c r="C272" i="1"/>
  <c r="AF271" i="1"/>
  <c r="AC271" i="1"/>
  <c r="T271" i="1" s="1"/>
  <c r="AB271" i="1"/>
  <c r="Y271" i="1"/>
  <c r="AA271" i="1" s="1"/>
  <c r="W271" i="1"/>
  <c r="X271" i="1" s="1"/>
  <c r="J271" i="1"/>
  <c r="H271" i="1"/>
  <c r="B271" i="1" s="1"/>
  <c r="G271" i="1" s="1"/>
  <c r="C271" i="1"/>
  <c r="AF270" i="1"/>
  <c r="AC270" i="1"/>
  <c r="AB270" i="1"/>
  <c r="Y270" i="1"/>
  <c r="AA270" i="1" s="1"/>
  <c r="W270" i="1"/>
  <c r="X270" i="1" s="1"/>
  <c r="T270" i="1"/>
  <c r="J270" i="1"/>
  <c r="H270" i="1"/>
  <c r="C270" i="1"/>
  <c r="AF269" i="1"/>
  <c r="AC269" i="1"/>
  <c r="T269" i="1" s="1"/>
  <c r="AB269" i="1"/>
  <c r="Y269" i="1"/>
  <c r="AA269" i="1" s="1"/>
  <c r="W269" i="1"/>
  <c r="X269" i="1" s="1"/>
  <c r="J269" i="1"/>
  <c r="H269" i="1"/>
  <c r="C269" i="1"/>
  <c r="AF268" i="1"/>
  <c r="AC268" i="1"/>
  <c r="T268" i="1" s="1"/>
  <c r="AB268" i="1"/>
  <c r="Y268" i="1"/>
  <c r="AA268" i="1" s="1"/>
  <c r="W268" i="1"/>
  <c r="X268" i="1" s="1"/>
  <c r="J268" i="1"/>
  <c r="H268" i="1"/>
  <c r="C268" i="1"/>
  <c r="AF267" i="1"/>
  <c r="AC267" i="1"/>
  <c r="T267" i="1" s="1"/>
  <c r="AB267" i="1"/>
  <c r="Y267" i="1"/>
  <c r="AA267" i="1" s="1"/>
  <c r="W267" i="1"/>
  <c r="X267" i="1" s="1"/>
  <c r="J267" i="1"/>
  <c r="H267" i="1"/>
  <c r="C267" i="1"/>
  <c r="AF266" i="1"/>
  <c r="AC266" i="1"/>
  <c r="AB266" i="1"/>
  <c r="Y266" i="1"/>
  <c r="AA266" i="1" s="1"/>
  <c r="W266" i="1"/>
  <c r="X266" i="1" s="1"/>
  <c r="T266" i="1"/>
  <c r="J266" i="1"/>
  <c r="H266" i="1"/>
  <c r="C266" i="1"/>
  <c r="AF265" i="1"/>
  <c r="AC265" i="1"/>
  <c r="AB265" i="1"/>
  <c r="Y265" i="1"/>
  <c r="AA265" i="1" s="1"/>
  <c r="W265" i="1"/>
  <c r="X265" i="1" s="1"/>
  <c r="T265" i="1"/>
  <c r="J265" i="1"/>
  <c r="H265" i="1"/>
  <c r="C265" i="1"/>
  <c r="AF264" i="1"/>
  <c r="AC264" i="1"/>
  <c r="AB264" i="1"/>
  <c r="Y264" i="1"/>
  <c r="AA264" i="1" s="1"/>
  <c r="W264" i="1"/>
  <c r="X264" i="1" s="1"/>
  <c r="T264" i="1"/>
  <c r="J264" i="1"/>
  <c r="H264" i="1"/>
  <c r="C264" i="1"/>
  <c r="AF263" i="1"/>
  <c r="AC263" i="1"/>
  <c r="AB263" i="1"/>
  <c r="Y263" i="1"/>
  <c r="AA263" i="1" s="1"/>
  <c r="W263" i="1"/>
  <c r="X263" i="1" s="1"/>
  <c r="T263" i="1"/>
  <c r="J263" i="1"/>
  <c r="H263" i="1"/>
  <c r="C263" i="1"/>
  <c r="AF262" i="1"/>
  <c r="AC262" i="1"/>
  <c r="AB262" i="1"/>
  <c r="Y262" i="1"/>
  <c r="AA262" i="1" s="1"/>
  <c r="W262" i="1"/>
  <c r="X262" i="1" s="1"/>
  <c r="T262" i="1"/>
  <c r="J262" i="1"/>
  <c r="H262" i="1"/>
  <c r="C262" i="1"/>
  <c r="AF261" i="1"/>
  <c r="AC261" i="1"/>
  <c r="AB261" i="1"/>
  <c r="Y261" i="1"/>
  <c r="AA261" i="1" s="1"/>
  <c r="W261" i="1"/>
  <c r="X261" i="1" s="1"/>
  <c r="T261" i="1"/>
  <c r="J261" i="1"/>
  <c r="H261" i="1"/>
  <c r="C261" i="1"/>
  <c r="AF260" i="1"/>
  <c r="AC260" i="1"/>
  <c r="AB260" i="1"/>
  <c r="Y260" i="1"/>
  <c r="AA260" i="1" s="1"/>
  <c r="W260" i="1"/>
  <c r="X260" i="1" s="1"/>
  <c r="T260" i="1"/>
  <c r="J260" i="1"/>
  <c r="H260" i="1"/>
  <c r="C260" i="1"/>
  <c r="AF259" i="1"/>
  <c r="AC259" i="1"/>
  <c r="AB259" i="1"/>
  <c r="Y259" i="1"/>
  <c r="AA259" i="1" s="1"/>
  <c r="W259" i="1"/>
  <c r="X259" i="1" s="1"/>
  <c r="T259" i="1"/>
  <c r="J259" i="1"/>
  <c r="H259" i="1"/>
  <c r="C259" i="1"/>
  <c r="AF258" i="1"/>
  <c r="AC258" i="1"/>
  <c r="T258" i="1" s="1"/>
  <c r="AB258" i="1"/>
  <c r="Y258" i="1"/>
  <c r="AA258" i="1" s="1"/>
  <c r="W258" i="1"/>
  <c r="X258" i="1" s="1"/>
  <c r="J258" i="1"/>
  <c r="H258" i="1"/>
  <c r="C258" i="1"/>
  <c r="AF257" i="1"/>
  <c r="AC257" i="1"/>
  <c r="T257" i="1" s="1"/>
  <c r="AB257" i="1"/>
  <c r="Y257" i="1"/>
  <c r="AA257" i="1" s="1"/>
  <c r="W257" i="1"/>
  <c r="X257" i="1" s="1"/>
  <c r="J257" i="1"/>
  <c r="H257" i="1"/>
  <c r="C257" i="1"/>
  <c r="AF256" i="1"/>
  <c r="AC256" i="1"/>
  <c r="T256" i="1" s="1"/>
  <c r="AB256" i="1"/>
  <c r="Y256" i="1"/>
  <c r="AA256" i="1" s="1"/>
  <c r="W256" i="1"/>
  <c r="X256" i="1" s="1"/>
  <c r="J256" i="1"/>
  <c r="H256" i="1"/>
  <c r="C256" i="1"/>
  <c r="AF255" i="1"/>
  <c r="AC255" i="1"/>
  <c r="T255" i="1" s="1"/>
  <c r="AB255" i="1"/>
  <c r="Y255" i="1"/>
  <c r="AA255" i="1" s="1"/>
  <c r="W255" i="1"/>
  <c r="X255" i="1" s="1"/>
  <c r="J255" i="1"/>
  <c r="I255" i="1"/>
  <c r="H255" i="1"/>
  <c r="B255" i="1" s="1"/>
  <c r="G255" i="1" s="1"/>
  <c r="C255" i="1"/>
  <c r="AF254" i="1"/>
  <c r="AC254" i="1"/>
  <c r="AB254" i="1"/>
  <c r="Y254" i="1"/>
  <c r="AA254" i="1" s="1"/>
  <c r="W254" i="1"/>
  <c r="X254" i="1" s="1"/>
  <c r="T254" i="1"/>
  <c r="J254" i="1"/>
  <c r="H254" i="1"/>
  <c r="C254" i="1"/>
  <c r="AF253" i="1"/>
  <c r="AC253" i="1"/>
  <c r="T253" i="1" s="1"/>
  <c r="AB253" i="1"/>
  <c r="Z253" i="1"/>
  <c r="Y253" i="1"/>
  <c r="AA253" i="1" s="1"/>
  <c r="W253" i="1"/>
  <c r="X253" i="1" s="1"/>
  <c r="J253" i="1"/>
  <c r="H253" i="1"/>
  <c r="C253" i="1"/>
  <c r="AF252" i="1"/>
  <c r="AC252" i="1"/>
  <c r="T252" i="1" s="1"/>
  <c r="AB252" i="1"/>
  <c r="Z252" i="1"/>
  <c r="Y252" i="1"/>
  <c r="AA252" i="1" s="1"/>
  <c r="W252" i="1"/>
  <c r="X252" i="1" s="1"/>
  <c r="J252" i="1"/>
  <c r="H252" i="1"/>
  <c r="C252" i="1"/>
  <c r="AF251" i="1"/>
  <c r="AC251" i="1"/>
  <c r="T251" i="1" s="1"/>
  <c r="AB251" i="1"/>
  <c r="Z251" i="1"/>
  <c r="Y251" i="1"/>
  <c r="AA251" i="1" s="1"/>
  <c r="W251" i="1"/>
  <c r="X251" i="1" s="1"/>
  <c r="J251" i="1"/>
  <c r="H251" i="1"/>
  <c r="C251" i="1"/>
  <c r="AF250" i="1"/>
  <c r="AC250" i="1"/>
  <c r="AB250" i="1"/>
  <c r="Y250" i="1"/>
  <c r="AA250" i="1" s="1"/>
  <c r="W250" i="1"/>
  <c r="X250" i="1" s="1"/>
  <c r="T250" i="1"/>
  <c r="J250" i="1"/>
  <c r="H250" i="1"/>
  <c r="C250" i="1"/>
  <c r="AF249" i="1"/>
  <c r="AC249" i="1"/>
  <c r="AB249" i="1"/>
  <c r="Y249" i="1"/>
  <c r="AA249" i="1" s="1"/>
  <c r="W249" i="1"/>
  <c r="X249" i="1" s="1"/>
  <c r="T249" i="1"/>
  <c r="J249" i="1"/>
  <c r="H249" i="1"/>
  <c r="C249" i="1"/>
  <c r="AF248" i="1"/>
  <c r="AC248" i="1"/>
  <c r="AB248" i="1"/>
  <c r="Y248" i="1"/>
  <c r="AA248" i="1" s="1"/>
  <c r="W248" i="1"/>
  <c r="X248" i="1" s="1"/>
  <c r="T248" i="1"/>
  <c r="J248" i="1"/>
  <c r="H248" i="1"/>
  <c r="C248" i="1"/>
  <c r="AF247" i="1"/>
  <c r="AC247" i="1"/>
  <c r="AB247" i="1"/>
  <c r="Y247" i="1"/>
  <c r="AA247" i="1" s="1"/>
  <c r="W247" i="1"/>
  <c r="X247" i="1" s="1"/>
  <c r="T247" i="1"/>
  <c r="J247" i="1"/>
  <c r="H247" i="1"/>
  <c r="C247" i="1"/>
  <c r="AF246" i="1"/>
  <c r="AC246" i="1"/>
  <c r="T246" i="1" s="1"/>
  <c r="AB246" i="1"/>
  <c r="Z246" i="1"/>
  <c r="Y246" i="1"/>
  <c r="AA246" i="1" s="1"/>
  <c r="W246" i="1"/>
  <c r="X246" i="1" s="1"/>
  <c r="J246" i="1"/>
  <c r="H246" i="1"/>
  <c r="C246" i="1"/>
  <c r="AF245" i="1"/>
  <c r="AC245" i="1"/>
  <c r="T245" i="1" s="1"/>
  <c r="AB245" i="1"/>
  <c r="Z245" i="1"/>
  <c r="Y245" i="1"/>
  <c r="AA245" i="1" s="1"/>
  <c r="W245" i="1"/>
  <c r="X245" i="1" s="1"/>
  <c r="J245" i="1"/>
  <c r="H245" i="1"/>
  <c r="C245" i="1"/>
  <c r="AF244" i="1"/>
  <c r="AC244" i="1"/>
  <c r="T244" i="1" s="1"/>
  <c r="AB244" i="1"/>
  <c r="Z244" i="1"/>
  <c r="Y244" i="1"/>
  <c r="AA244" i="1" s="1"/>
  <c r="W244" i="1"/>
  <c r="X244" i="1" s="1"/>
  <c r="J244" i="1"/>
  <c r="H244" i="1"/>
  <c r="C244" i="1"/>
  <c r="AF243" i="1"/>
  <c r="AC243" i="1"/>
  <c r="T243" i="1" s="1"/>
  <c r="AB243" i="1"/>
  <c r="Z243" i="1"/>
  <c r="Y243" i="1"/>
  <c r="AA243" i="1" s="1"/>
  <c r="W243" i="1"/>
  <c r="X243" i="1" s="1"/>
  <c r="J243" i="1"/>
  <c r="H243" i="1"/>
  <c r="B243" i="1" s="1"/>
  <c r="G243" i="1" s="1"/>
  <c r="C243" i="1"/>
  <c r="AF242" i="1"/>
  <c r="AC242" i="1"/>
  <c r="AB242" i="1"/>
  <c r="Y242" i="1"/>
  <c r="AA242" i="1" s="1"/>
  <c r="W242" i="1"/>
  <c r="X242" i="1" s="1"/>
  <c r="T242" i="1"/>
  <c r="J242" i="1"/>
  <c r="H242" i="1"/>
  <c r="C242" i="1"/>
  <c r="AF241" i="1"/>
  <c r="AC241" i="1"/>
  <c r="AB241" i="1"/>
  <c r="Y241" i="1"/>
  <c r="AA241" i="1" s="1"/>
  <c r="W241" i="1"/>
  <c r="X241" i="1" s="1"/>
  <c r="T241" i="1"/>
  <c r="J241" i="1"/>
  <c r="H241" i="1"/>
  <c r="C241" i="1"/>
  <c r="AF240" i="1"/>
  <c r="AC240" i="1"/>
  <c r="AB240" i="1"/>
  <c r="Y240" i="1"/>
  <c r="AA240" i="1" s="1"/>
  <c r="W240" i="1"/>
  <c r="X240" i="1" s="1"/>
  <c r="T240" i="1"/>
  <c r="J240" i="1"/>
  <c r="H240" i="1"/>
  <c r="C240" i="1"/>
  <c r="AF239" i="1"/>
  <c r="AC239" i="1"/>
  <c r="AB239" i="1"/>
  <c r="Y239" i="1"/>
  <c r="AA239" i="1" s="1"/>
  <c r="W239" i="1"/>
  <c r="X239" i="1" s="1"/>
  <c r="T239" i="1"/>
  <c r="J239" i="1"/>
  <c r="H239" i="1"/>
  <c r="C239" i="1"/>
  <c r="AF238" i="1"/>
  <c r="AC238" i="1"/>
  <c r="T238" i="1" s="1"/>
  <c r="AB238" i="1"/>
  <c r="Z238" i="1"/>
  <c r="Y238" i="1"/>
  <c r="AA238" i="1" s="1"/>
  <c r="W238" i="1"/>
  <c r="X238" i="1" s="1"/>
  <c r="J238" i="1"/>
  <c r="H238" i="1"/>
  <c r="C238" i="1"/>
  <c r="AF237" i="1"/>
  <c r="AC237" i="1"/>
  <c r="T237" i="1" s="1"/>
  <c r="AB237" i="1"/>
  <c r="Z237" i="1"/>
  <c r="Y237" i="1"/>
  <c r="AA237" i="1" s="1"/>
  <c r="W237" i="1"/>
  <c r="X237" i="1" s="1"/>
  <c r="J237" i="1"/>
  <c r="H237" i="1"/>
  <c r="C237" i="1"/>
  <c r="AF236" i="1"/>
  <c r="AC236" i="1"/>
  <c r="T236" i="1" s="1"/>
  <c r="AB236" i="1"/>
  <c r="Z236" i="1"/>
  <c r="Y236" i="1"/>
  <c r="AA236" i="1" s="1"/>
  <c r="W236" i="1"/>
  <c r="X236" i="1" s="1"/>
  <c r="J236" i="1"/>
  <c r="H236" i="1"/>
  <c r="C236" i="1"/>
  <c r="AF235" i="1"/>
  <c r="AC235" i="1"/>
  <c r="T235" i="1" s="1"/>
  <c r="AB235" i="1"/>
  <c r="Z235" i="1"/>
  <c r="Y235" i="1"/>
  <c r="AA235" i="1" s="1"/>
  <c r="W235" i="1"/>
  <c r="X235" i="1" s="1"/>
  <c r="J235" i="1"/>
  <c r="H235" i="1"/>
  <c r="C235" i="1"/>
  <c r="AF234" i="1"/>
  <c r="AC234" i="1"/>
  <c r="AB234" i="1"/>
  <c r="Y234" i="1"/>
  <c r="AA234" i="1" s="1"/>
  <c r="W234" i="1"/>
  <c r="X234" i="1" s="1"/>
  <c r="T234" i="1"/>
  <c r="J234" i="1"/>
  <c r="H234" i="1"/>
  <c r="C234" i="1"/>
  <c r="AF233" i="1"/>
  <c r="AC233" i="1"/>
  <c r="AB233" i="1"/>
  <c r="Y233" i="1"/>
  <c r="AA233" i="1" s="1"/>
  <c r="W233" i="1"/>
  <c r="X233" i="1" s="1"/>
  <c r="T233" i="1"/>
  <c r="J233" i="1"/>
  <c r="H233" i="1"/>
  <c r="C233" i="1"/>
  <c r="AF232" i="1"/>
  <c r="AC232" i="1"/>
  <c r="AB232" i="1"/>
  <c r="Y232" i="1"/>
  <c r="AA232" i="1" s="1"/>
  <c r="W232" i="1"/>
  <c r="X232" i="1" s="1"/>
  <c r="T232" i="1"/>
  <c r="J232" i="1"/>
  <c r="H232" i="1"/>
  <c r="C232" i="1"/>
  <c r="AF231" i="1"/>
  <c r="AC231" i="1"/>
  <c r="AB231" i="1"/>
  <c r="Y231" i="1"/>
  <c r="AA231" i="1" s="1"/>
  <c r="W231" i="1"/>
  <c r="X231" i="1" s="1"/>
  <c r="T231" i="1"/>
  <c r="J231" i="1"/>
  <c r="H231" i="1"/>
  <c r="C231" i="1"/>
  <c r="AF230" i="1"/>
  <c r="AC230" i="1"/>
  <c r="T230" i="1" s="1"/>
  <c r="AB230" i="1"/>
  <c r="Z230" i="1"/>
  <c r="Y230" i="1"/>
  <c r="AA230" i="1" s="1"/>
  <c r="W230" i="1"/>
  <c r="X230" i="1" s="1"/>
  <c r="J230" i="1"/>
  <c r="H230" i="1"/>
  <c r="C230" i="1"/>
  <c r="AF229" i="1"/>
  <c r="AC229" i="1"/>
  <c r="T229" i="1" s="1"/>
  <c r="AB229" i="1"/>
  <c r="Z229" i="1"/>
  <c r="Y229" i="1"/>
  <c r="AA229" i="1" s="1"/>
  <c r="W229" i="1"/>
  <c r="X229" i="1" s="1"/>
  <c r="J229" i="1"/>
  <c r="H229" i="1"/>
  <c r="C229" i="1"/>
  <c r="AF228" i="1"/>
  <c r="AC228" i="1"/>
  <c r="T228" i="1" s="1"/>
  <c r="AB228" i="1"/>
  <c r="Z228" i="1"/>
  <c r="Y228" i="1"/>
  <c r="AA228" i="1" s="1"/>
  <c r="W228" i="1"/>
  <c r="X228" i="1" s="1"/>
  <c r="J228" i="1"/>
  <c r="H228" i="1"/>
  <c r="C228" i="1"/>
  <c r="AF227" i="1"/>
  <c r="AC227" i="1"/>
  <c r="T227" i="1" s="1"/>
  <c r="AB227" i="1"/>
  <c r="Z227" i="1"/>
  <c r="Y227" i="1"/>
  <c r="AA227" i="1" s="1"/>
  <c r="W227" i="1"/>
  <c r="X227" i="1" s="1"/>
  <c r="J227" i="1"/>
  <c r="H227" i="1"/>
  <c r="B227" i="1" s="1"/>
  <c r="G227" i="1" s="1"/>
  <c r="C227" i="1"/>
  <c r="AF226" i="1"/>
  <c r="AC226" i="1"/>
  <c r="AB226" i="1"/>
  <c r="Y226" i="1"/>
  <c r="AA226" i="1" s="1"/>
  <c r="W226" i="1"/>
  <c r="X226" i="1" s="1"/>
  <c r="T226" i="1"/>
  <c r="J226" i="1"/>
  <c r="H226" i="1"/>
  <c r="C226" i="1"/>
  <c r="AF225" i="1"/>
  <c r="AC225" i="1"/>
  <c r="AB225" i="1"/>
  <c r="Y225" i="1"/>
  <c r="AA225" i="1" s="1"/>
  <c r="W225" i="1"/>
  <c r="X225" i="1" s="1"/>
  <c r="T225" i="1"/>
  <c r="J225" i="1"/>
  <c r="H225" i="1"/>
  <c r="C225" i="1"/>
  <c r="AF224" i="1"/>
  <c r="AC224" i="1"/>
  <c r="AB224" i="1"/>
  <c r="Y224" i="1"/>
  <c r="AA224" i="1" s="1"/>
  <c r="W224" i="1"/>
  <c r="X224" i="1" s="1"/>
  <c r="T224" i="1"/>
  <c r="J224" i="1"/>
  <c r="H224" i="1"/>
  <c r="C224" i="1"/>
  <c r="AF223" i="1"/>
  <c r="AC223" i="1"/>
  <c r="AB223" i="1"/>
  <c r="Y223" i="1"/>
  <c r="AA223" i="1" s="1"/>
  <c r="W223" i="1"/>
  <c r="X223" i="1" s="1"/>
  <c r="T223" i="1"/>
  <c r="J223" i="1"/>
  <c r="H223" i="1"/>
  <c r="C223" i="1"/>
  <c r="AF222" i="1"/>
  <c r="AC222" i="1"/>
  <c r="T222" i="1" s="1"/>
  <c r="AB222" i="1"/>
  <c r="Z222" i="1"/>
  <c r="Y222" i="1"/>
  <c r="AA222" i="1" s="1"/>
  <c r="W222" i="1"/>
  <c r="X222" i="1" s="1"/>
  <c r="J222" i="1"/>
  <c r="H222" i="1"/>
  <c r="C222" i="1"/>
  <c r="AF221" i="1"/>
  <c r="AC221" i="1"/>
  <c r="T221" i="1" s="1"/>
  <c r="AB221" i="1"/>
  <c r="Z221" i="1"/>
  <c r="Y221" i="1"/>
  <c r="AA221" i="1" s="1"/>
  <c r="W221" i="1"/>
  <c r="X221" i="1" s="1"/>
  <c r="J221" i="1"/>
  <c r="H221" i="1"/>
  <c r="C221" i="1"/>
  <c r="AF220" i="1"/>
  <c r="AC220" i="1"/>
  <c r="T220" i="1" s="1"/>
  <c r="AB220" i="1"/>
  <c r="Z220" i="1"/>
  <c r="Y220" i="1"/>
  <c r="AA220" i="1" s="1"/>
  <c r="W220" i="1"/>
  <c r="X220" i="1" s="1"/>
  <c r="J220" i="1"/>
  <c r="H220" i="1"/>
  <c r="C220" i="1"/>
  <c r="AF219" i="1"/>
  <c r="AC219" i="1"/>
  <c r="T219" i="1" s="1"/>
  <c r="AB219" i="1"/>
  <c r="Z219" i="1"/>
  <c r="Y219" i="1"/>
  <c r="AA219" i="1" s="1"/>
  <c r="W219" i="1"/>
  <c r="X219" i="1" s="1"/>
  <c r="J219" i="1"/>
  <c r="H219" i="1"/>
  <c r="C219" i="1"/>
  <c r="AF218" i="1"/>
  <c r="AC218" i="1"/>
  <c r="AB218" i="1"/>
  <c r="Y218" i="1"/>
  <c r="AA218" i="1" s="1"/>
  <c r="W218" i="1"/>
  <c r="X218" i="1" s="1"/>
  <c r="T218" i="1"/>
  <c r="J218" i="1"/>
  <c r="H218" i="1"/>
  <c r="C218" i="1"/>
  <c r="AF217" i="1"/>
  <c r="AC217" i="1"/>
  <c r="AB217" i="1"/>
  <c r="Y217" i="1"/>
  <c r="AA217" i="1" s="1"/>
  <c r="W217" i="1"/>
  <c r="X217" i="1" s="1"/>
  <c r="T217" i="1"/>
  <c r="J217" i="1"/>
  <c r="H217" i="1"/>
  <c r="C217" i="1"/>
  <c r="AF216" i="1"/>
  <c r="AC216" i="1"/>
  <c r="AB216" i="1"/>
  <c r="Y216" i="1"/>
  <c r="AA216" i="1" s="1"/>
  <c r="W216" i="1"/>
  <c r="X216" i="1" s="1"/>
  <c r="T216" i="1"/>
  <c r="J216" i="1"/>
  <c r="H216" i="1"/>
  <c r="C216" i="1"/>
  <c r="AF215" i="1"/>
  <c r="AC215" i="1"/>
  <c r="AB215" i="1"/>
  <c r="Y215" i="1"/>
  <c r="AA215" i="1" s="1"/>
  <c r="W215" i="1"/>
  <c r="X215" i="1" s="1"/>
  <c r="T215" i="1"/>
  <c r="J215" i="1"/>
  <c r="H215" i="1"/>
  <c r="C215" i="1"/>
  <c r="AF214" i="1"/>
  <c r="AC214" i="1"/>
  <c r="T214" i="1" s="1"/>
  <c r="AB214" i="1"/>
  <c r="Z214" i="1"/>
  <c r="Y214" i="1"/>
  <c r="AA214" i="1" s="1"/>
  <c r="W214" i="1"/>
  <c r="X214" i="1" s="1"/>
  <c r="J214" i="1"/>
  <c r="H214" i="1"/>
  <c r="C214" i="1"/>
  <c r="AF213" i="1"/>
  <c r="AC213" i="1"/>
  <c r="AB213" i="1"/>
  <c r="Y213" i="1"/>
  <c r="W213" i="1"/>
  <c r="X213" i="1" s="1"/>
  <c r="T213" i="1"/>
  <c r="J213" i="1"/>
  <c r="H213" i="1"/>
  <c r="C213" i="1"/>
  <c r="AF212" i="1"/>
  <c r="AC212" i="1"/>
  <c r="T212" i="1" s="1"/>
  <c r="AB212" i="1"/>
  <c r="Y212" i="1"/>
  <c r="Z212" i="1" s="1"/>
  <c r="W212" i="1"/>
  <c r="X212" i="1" s="1"/>
  <c r="J212" i="1"/>
  <c r="H212" i="1"/>
  <c r="C212" i="1"/>
  <c r="AF211" i="1"/>
  <c r="AC211" i="1"/>
  <c r="T211" i="1" s="1"/>
  <c r="AB211" i="1"/>
  <c r="Y211" i="1"/>
  <c r="Z211" i="1" s="1"/>
  <c r="W211" i="1"/>
  <c r="X211" i="1" s="1"/>
  <c r="J211" i="1"/>
  <c r="H211" i="1"/>
  <c r="C211" i="1"/>
  <c r="AF210" i="1"/>
  <c r="AC210" i="1"/>
  <c r="T210" i="1" s="1"/>
  <c r="AB210" i="1"/>
  <c r="Y210" i="1"/>
  <c r="Z210" i="1" s="1"/>
  <c r="W210" i="1"/>
  <c r="X210" i="1" s="1"/>
  <c r="J210" i="1"/>
  <c r="H210" i="1"/>
  <c r="C210" i="1"/>
  <c r="AF209" i="1"/>
  <c r="AC209" i="1"/>
  <c r="T209" i="1" s="1"/>
  <c r="AB209" i="1"/>
  <c r="Y209" i="1"/>
  <c r="Z209" i="1" s="1"/>
  <c r="W209" i="1"/>
  <c r="X209" i="1" s="1"/>
  <c r="J209" i="1"/>
  <c r="H209" i="1"/>
  <c r="C209" i="1"/>
  <c r="AF208" i="1"/>
  <c r="AC208" i="1"/>
  <c r="T208" i="1" s="1"/>
  <c r="AB208" i="1"/>
  <c r="Y208" i="1"/>
  <c r="W208" i="1"/>
  <c r="X208" i="1" s="1"/>
  <c r="J208" i="1"/>
  <c r="H208" i="1"/>
  <c r="C208" i="1"/>
  <c r="AF207" i="1"/>
  <c r="AC207" i="1"/>
  <c r="T207" i="1" s="1"/>
  <c r="AB207" i="1"/>
  <c r="Y207" i="1"/>
  <c r="Z207" i="1" s="1"/>
  <c r="W207" i="1"/>
  <c r="X207" i="1" s="1"/>
  <c r="J207" i="1"/>
  <c r="H207" i="1"/>
  <c r="C207" i="1"/>
  <c r="AF206" i="1"/>
  <c r="AC206" i="1"/>
  <c r="T206" i="1" s="1"/>
  <c r="AB206" i="1"/>
  <c r="Y206" i="1"/>
  <c r="W206" i="1"/>
  <c r="X206" i="1" s="1"/>
  <c r="J206" i="1"/>
  <c r="H206" i="1"/>
  <c r="C206" i="1"/>
  <c r="AF205" i="1"/>
  <c r="AC205" i="1"/>
  <c r="T205" i="1" s="1"/>
  <c r="AB205" i="1"/>
  <c r="Y205" i="1"/>
  <c r="Z205" i="1" s="1"/>
  <c r="W205" i="1"/>
  <c r="X205" i="1" s="1"/>
  <c r="J205" i="1"/>
  <c r="H205" i="1"/>
  <c r="C205" i="1"/>
  <c r="AF204" i="1"/>
  <c r="AC204" i="1"/>
  <c r="T204" i="1" s="1"/>
  <c r="AB204" i="1"/>
  <c r="Y204" i="1"/>
  <c r="W204" i="1"/>
  <c r="X204" i="1" s="1"/>
  <c r="J204" i="1"/>
  <c r="H204" i="1"/>
  <c r="C204" i="1"/>
  <c r="AF203" i="1"/>
  <c r="AC203" i="1"/>
  <c r="T203" i="1" s="1"/>
  <c r="AB203" i="1"/>
  <c r="Y203" i="1"/>
  <c r="Z203" i="1" s="1"/>
  <c r="W203" i="1"/>
  <c r="X203" i="1" s="1"/>
  <c r="J203" i="1"/>
  <c r="H203" i="1"/>
  <c r="C203" i="1"/>
  <c r="AF202" i="1"/>
  <c r="AC202" i="1"/>
  <c r="T202" i="1" s="1"/>
  <c r="AB202" i="1"/>
  <c r="Y202" i="1"/>
  <c r="Z202" i="1" s="1"/>
  <c r="W202" i="1"/>
  <c r="X202" i="1" s="1"/>
  <c r="J202" i="1"/>
  <c r="H202" i="1"/>
  <c r="C202" i="1"/>
  <c r="AF201" i="1"/>
  <c r="AC201" i="1"/>
  <c r="T201" i="1" s="1"/>
  <c r="AB201" i="1"/>
  <c r="Y201" i="1"/>
  <c r="Z201" i="1" s="1"/>
  <c r="W201" i="1"/>
  <c r="X201" i="1" s="1"/>
  <c r="J201" i="1"/>
  <c r="H201" i="1"/>
  <c r="C201" i="1"/>
  <c r="AF200" i="1"/>
  <c r="AC200" i="1"/>
  <c r="T200" i="1" s="1"/>
  <c r="AB200" i="1"/>
  <c r="Y200" i="1"/>
  <c r="Z200" i="1" s="1"/>
  <c r="W200" i="1"/>
  <c r="X200" i="1" s="1"/>
  <c r="J200" i="1"/>
  <c r="H200" i="1"/>
  <c r="C200" i="1"/>
  <c r="AF199" i="1"/>
  <c r="AC199" i="1"/>
  <c r="T199" i="1" s="1"/>
  <c r="AB199" i="1"/>
  <c r="Y199" i="1"/>
  <c r="Z199" i="1" s="1"/>
  <c r="W199" i="1"/>
  <c r="X199" i="1" s="1"/>
  <c r="J199" i="1"/>
  <c r="H199" i="1"/>
  <c r="C199" i="1"/>
  <c r="AF198" i="1"/>
  <c r="AC198" i="1"/>
  <c r="T198" i="1" s="1"/>
  <c r="AB198" i="1"/>
  <c r="Y198" i="1"/>
  <c r="Z198" i="1" s="1"/>
  <c r="W198" i="1"/>
  <c r="X198" i="1" s="1"/>
  <c r="J198" i="1"/>
  <c r="H198" i="1"/>
  <c r="C198" i="1"/>
  <c r="AF197" i="1"/>
  <c r="AC197" i="1"/>
  <c r="T197" i="1" s="1"/>
  <c r="AB197" i="1"/>
  <c r="Y197" i="1"/>
  <c r="Z197" i="1" s="1"/>
  <c r="W197" i="1"/>
  <c r="X197" i="1" s="1"/>
  <c r="J197" i="1"/>
  <c r="H197" i="1"/>
  <c r="C197" i="1"/>
  <c r="AF196" i="1"/>
  <c r="AC196" i="1"/>
  <c r="T196" i="1" s="1"/>
  <c r="AB196" i="1"/>
  <c r="Y196" i="1"/>
  <c r="Z196" i="1" s="1"/>
  <c r="W196" i="1"/>
  <c r="X196" i="1" s="1"/>
  <c r="J196" i="1"/>
  <c r="H196" i="1"/>
  <c r="C196" i="1"/>
  <c r="AF195" i="1"/>
  <c r="AC195" i="1"/>
  <c r="T195" i="1" s="1"/>
  <c r="AB195" i="1"/>
  <c r="Y195" i="1"/>
  <c r="Z195" i="1" s="1"/>
  <c r="W195" i="1"/>
  <c r="X195" i="1" s="1"/>
  <c r="J195" i="1"/>
  <c r="H195" i="1"/>
  <c r="C195" i="1"/>
  <c r="AF194" i="1"/>
  <c r="AC194" i="1"/>
  <c r="T194" i="1" s="1"/>
  <c r="AB194" i="1"/>
  <c r="Y194" i="1"/>
  <c r="Z194" i="1" s="1"/>
  <c r="W194" i="1"/>
  <c r="X194" i="1" s="1"/>
  <c r="J194" i="1"/>
  <c r="H194" i="1"/>
  <c r="C194" i="1"/>
  <c r="AF193" i="1"/>
  <c r="AC193" i="1"/>
  <c r="T193" i="1" s="1"/>
  <c r="AB193" i="1"/>
  <c r="Y193" i="1"/>
  <c r="Z193" i="1" s="1"/>
  <c r="W193" i="1"/>
  <c r="X193" i="1" s="1"/>
  <c r="J193" i="1"/>
  <c r="H193" i="1"/>
  <c r="C193" i="1"/>
  <c r="AF192" i="1"/>
  <c r="AC192" i="1"/>
  <c r="T192" i="1" s="1"/>
  <c r="AB192" i="1"/>
  <c r="Y192" i="1"/>
  <c r="Z192" i="1" s="1"/>
  <c r="W192" i="1"/>
  <c r="X192" i="1" s="1"/>
  <c r="J192" i="1"/>
  <c r="H192" i="1"/>
  <c r="C192" i="1"/>
  <c r="AF191" i="1"/>
  <c r="AC191" i="1"/>
  <c r="T191" i="1" s="1"/>
  <c r="AB191" i="1"/>
  <c r="Y191" i="1"/>
  <c r="Z191" i="1" s="1"/>
  <c r="W191" i="1"/>
  <c r="X191" i="1" s="1"/>
  <c r="J191" i="1"/>
  <c r="H191" i="1"/>
  <c r="C191" i="1"/>
  <c r="AF190" i="1"/>
  <c r="AC190" i="1"/>
  <c r="T190" i="1" s="1"/>
  <c r="AB190" i="1"/>
  <c r="Y190" i="1"/>
  <c r="Z190" i="1" s="1"/>
  <c r="W190" i="1"/>
  <c r="X190" i="1" s="1"/>
  <c r="J190" i="1"/>
  <c r="H190" i="1"/>
  <c r="C190" i="1"/>
  <c r="AF189" i="1"/>
  <c r="AC189" i="1"/>
  <c r="T189" i="1" s="1"/>
  <c r="AB189" i="1"/>
  <c r="Y189" i="1"/>
  <c r="Z189" i="1" s="1"/>
  <c r="W189" i="1"/>
  <c r="X189" i="1" s="1"/>
  <c r="J189" i="1"/>
  <c r="H189" i="1"/>
  <c r="C189" i="1"/>
  <c r="AF188" i="1"/>
  <c r="AC188" i="1"/>
  <c r="T188" i="1" s="1"/>
  <c r="AB188" i="1"/>
  <c r="Y188" i="1"/>
  <c r="Z188" i="1" s="1"/>
  <c r="W188" i="1"/>
  <c r="X188" i="1" s="1"/>
  <c r="J188" i="1"/>
  <c r="H188" i="1"/>
  <c r="C188" i="1"/>
  <c r="AF187" i="1"/>
  <c r="AC187" i="1"/>
  <c r="T187" i="1" s="1"/>
  <c r="AB187" i="1"/>
  <c r="Y187" i="1"/>
  <c r="Z187" i="1" s="1"/>
  <c r="W187" i="1"/>
  <c r="X187" i="1" s="1"/>
  <c r="J187" i="1"/>
  <c r="H187" i="1"/>
  <c r="C187" i="1"/>
  <c r="AF186" i="1"/>
  <c r="AC186" i="1"/>
  <c r="T186" i="1" s="1"/>
  <c r="AB186" i="1"/>
  <c r="Y186" i="1"/>
  <c r="Z186" i="1" s="1"/>
  <c r="W186" i="1"/>
  <c r="X186" i="1" s="1"/>
  <c r="J186" i="1"/>
  <c r="H186" i="1"/>
  <c r="C186" i="1"/>
  <c r="AF185" i="1"/>
  <c r="AC185" i="1"/>
  <c r="T185" i="1" s="1"/>
  <c r="AB185" i="1"/>
  <c r="Y185" i="1"/>
  <c r="Z185" i="1" s="1"/>
  <c r="W185" i="1"/>
  <c r="X185" i="1" s="1"/>
  <c r="J185" i="1"/>
  <c r="H185" i="1"/>
  <c r="C185" i="1"/>
  <c r="AF184" i="1"/>
  <c r="AC184" i="1"/>
  <c r="T184" i="1" s="1"/>
  <c r="AB184" i="1"/>
  <c r="Y184" i="1"/>
  <c r="Z184" i="1" s="1"/>
  <c r="W184" i="1"/>
  <c r="X184" i="1" s="1"/>
  <c r="J184" i="1"/>
  <c r="H184" i="1"/>
  <c r="C184" i="1"/>
  <c r="AF183" i="1"/>
  <c r="AC183" i="1"/>
  <c r="T183" i="1" s="1"/>
  <c r="AB183" i="1"/>
  <c r="Y183" i="1"/>
  <c r="Z183" i="1" s="1"/>
  <c r="W183" i="1"/>
  <c r="X183" i="1" s="1"/>
  <c r="J183" i="1"/>
  <c r="H183" i="1"/>
  <c r="C183" i="1"/>
  <c r="AF182" i="1"/>
  <c r="Y182" i="1"/>
  <c r="AA182" i="1" s="1"/>
  <c r="J182" i="1"/>
  <c r="H182" i="1"/>
  <c r="C182" i="1"/>
  <c r="AF181" i="1"/>
  <c r="Y181" i="1"/>
  <c r="AA181" i="1" s="1"/>
  <c r="J181" i="1"/>
  <c r="H181" i="1"/>
  <c r="C181" i="1"/>
  <c r="AF180" i="1"/>
  <c r="Y180" i="1"/>
  <c r="AA180" i="1" s="1"/>
  <c r="J180" i="1"/>
  <c r="H180" i="1"/>
  <c r="C180" i="1"/>
  <c r="AF179" i="1"/>
  <c r="Y179" i="1"/>
  <c r="AA179" i="1" s="1"/>
  <c r="J179" i="1"/>
  <c r="H179" i="1"/>
  <c r="C179" i="1"/>
  <c r="AF178" i="1"/>
  <c r="AC178" i="1"/>
  <c r="AB178" i="1"/>
  <c r="Y178" i="1"/>
  <c r="AA178" i="1" s="1"/>
  <c r="W178" i="1"/>
  <c r="X178" i="1" s="1"/>
  <c r="T178" i="1"/>
  <c r="J178" i="1"/>
  <c r="H178" i="1"/>
  <c r="C178" i="1"/>
  <c r="AF177" i="1"/>
  <c r="Y177" i="1"/>
  <c r="AA177" i="1" s="1"/>
  <c r="J177" i="1"/>
  <c r="H177" i="1"/>
  <c r="C177" i="1"/>
  <c r="AF176" i="1"/>
  <c r="Y176" i="1"/>
  <c r="AA176" i="1" s="1"/>
  <c r="J176" i="1"/>
  <c r="H176" i="1"/>
  <c r="C176" i="1"/>
  <c r="AF175" i="1"/>
  <c r="Y175" i="1"/>
  <c r="AA175" i="1" s="1"/>
  <c r="J175" i="1"/>
  <c r="H175" i="1"/>
  <c r="C175" i="1"/>
  <c r="AF174" i="1"/>
  <c r="AC174" i="1"/>
  <c r="AB174" i="1"/>
  <c r="Y174" i="1"/>
  <c r="Z174" i="1" s="1"/>
  <c r="W174" i="1"/>
  <c r="X174" i="1" s="1"/>
  <c r="T174" i="1"/>
  <c r="J174" i="1"/>
  <c r="H174" i="1"/>
  <c r="C174" i="1"/>
  <c r="AF173" i="1"/>
  <c r="Y173" i="1"/>
  <c r="AA173" i="1" s="1"/>
  <c r="J173" i="1"/>
  <c r="H173" i="1"/>
  <c r="C173" i="1"/>
  <c r="AF172" i="1"/>
  <c r="AC172" i="1"/>
  <c r="AB172" i="1"/>
  <c r="Y172" i="1"/>
  <c r="Z172" i="1" s="1"/>
  <c r="W172" i="1"/>
  <c r="X172" i="1" s="1"/>
  <c r="T172" i="1"/>
  <c r="J172" i="1"/>
  <c r="H172" i="1"/>
  <c r="C172" i="1"/>
  <c r="AF171" i="1"/>
  <c r="Y171" i="1"/>
  <c r="AA171" i="1" s="1"/>
  <c r="J171" i="1"/>
  <c r="H171" i="1"/>
  <c r="C171" i="1"/>
  <c r="AF170" i="1"/>
  <c r="Y170" i="1"/>
  <c r="AA170" i="1" s="1"/>
  <c r="J170" i="1"/>
  <c r="H170" i="1"/>
  <c r="C170" i="1"/>
  <c r="AF169" i="1"/>
  <c r="Y169" i="1"/>
  <c r="AA169" i="1" s="1"/>
  <c r="J169" i="1"/>
  <c r="H169" i="1"/>
  <c r="C169" i="1"/>
  <c r="AF168" i="1"/>
  <c r="Y168" i="1"/>
  <c r="Z168" i="1" s="1"/>
  <c r="J168" i="1"/>
  <c r="H168" i="1"/>
  <c r="C168" i="1"/>
  <c r="AF167" i="1"/>
  <c r="AC167" i="1"/>
  <c r="AB167" i="1"/>
  <c r="Y167" i="1"/>
  <c r="AA167" i="1" s="1"/>
  <c r="W167" i="1"/>
  <c r="X167" i="1" s="1"/>
  <c r="T167" i="1"/>
  <c r="J167" i="1"/>
  <c r="H167" i="1"/>
  <c r="C167" i="1"/>
  <c r="AF166" i="1"/>
  <c r="Y166" i="1"/>
  <c r="AA166" i="1" s="1"/>
  <c r="J166" i="1"/>
  <c r="H166" i="1"/>
  <c r="C166" i="1"/>
  <c r="AF165" i="1"/>
  <c r="Y165" i="1"/>
  <c r="AA165" i="1" s="1"/>
  <c r="J165" i="1"/>
  <c r="H165" i="1"/>
  <c r="C165" i="1"/>
  <c r="AF164" i="1"/>
  <c r="Y164" i="1"/>
  <c r="AA164" i="1" s="1"/>
  <c r="J164" i="1"/>
  <c r="H164" i="1"/>
  <c r="C164" i="1"/>
  <c r="AF163" i="1"/>
  <c r="AC163" i="1"/>
  <c r="AB163" i="1"/>
  <c r="Y163" i="1"/>
  <c r="Z163" i="1" s="1"/>
  <c r="W163" i="1"/>
  <c r="X163" i="1" s="1"/>
  <c r="T163" i="1"/>
  <c r="J163" i="1"/>
  <c r="H163" i="1"/>
  <c r="C163" i="1"/>
  <c r="AF162" i="1"/>
  <c r="Y162" i="1"/>
  <c r="AA162" i="1" s="1"/>
  <c r="J162" i="1"/>
  <c r="H162" i="1"/>
  <c r="C162" i="1"/>
  <c r="AF161" i="1"/>
  <c r="Y161" i="1"/>
  <c r="AA161" i="1" s="1"/>
  <c r="J161" i="1"/>
  <c r="H161" i="1"/>
  <c r="C161" i="1"/>
  <c r="AF160" i="1"/>
  <c r="Y160" i="1"/>
  <c r="Z160" i="1" s="1"/>
  <c r="J160" i="1"/>
  <c r="H160" i="1"/>
  <c r="C160" i="1"/>
  <c r="AF159" i="1"/>
  <c r="Y159" i="1"/>
  <c r="AA159" i="1" s="1"/>
  <c r="J159" i="1"/>
  <c r="H159" i="1"/>
  <c r="C159" i="1"/>
  <c r="AF158" i="1"/>
  <c r="Y158" i="1"/>
  <c r="Z158" i="1" s="1"/>
  <c r="J158" i="1"/>
  <c r="H158" i="1"/>
  <c r="C158" i="1"/>
  <c r="AF157" i="1"/>
  <c r="Y157" i="1"/>
  <c r="Z157" i="1" s="1"/>
  <c r="J157" i="1"/>
  <c r="H157" i="1"/>
  <c r="C157" i="1"/>
  <c r="AF156" i="1"/>
  <c r="Y156" i="1"/>
  <c r="AA156" i="1" s="1"/>
  <c r="J156" i="1"/>
  <c r="H156" i="1"/>
  <c r="C156" i="1"/>
  <c r="AF155" i="1"/>
  <c r="Y155" i="1"/>
  <c r="AA155" i="1" s="1"/>
  <c r="J155" i="1"/>
  <c r="H155" i="1"/>
  <c r="C155" i="1"/>
  <c r="AF154" i="1"/>
  <c r="Y154" i="1"/>
  <c r="Z154" i="1" s="1"/>
  <c r="J154" i="1"/>
  <c r="H154" i="1"/>
  <c r="C154" i="1"/>
  <c r="AF153" i="1"/>
  <c r="Y153" i="1"/>
  <c r="AA153" i="1" s="1"/>
  <c r="J153" i="1"/>
  <c r="H153" i="1"/>
  <c r="C153" i="1"/>
  <c r="AF152" i="1"/>
  <c r="AC152" i="1"/>
  <c r="T152" i="1" s="1"/>
  <c r="AB152" i="1"/>
  <c r="Y152" i="1"/>
  <c r="AA152" i="1" s="1"/>
  <c r="J152" i="1"/>
  <c r="H152" i="1"/>
  <c r="C152" i="1"/>
  <c r="AF151" i="1"/>
  <c r="Y151" i="1"/>
  <c r="AA151" i="1" s="1"/>
  <c r="J151" i="1"/>
  <c r="H151" i="1"/>
  <c r="C151" i="1"/>
  <c r="AF150" i="1"/>
  <c r="AC150" i="1"/>
  <c r="T150" i="1" s="1"/>
  <c r="AB150" i="1"/>
  <c r="Y150" i="1"/>
  <c r="AA150" i="1" s="1"/>
  <c r="W150" i="1"/>
  <c r="X150" i="1" s="1"/>
  <c r="J150" i="1"/>
  <c r="H150" i="1"/>
  <c r="C150" i="1"/>
  <c r="AF149" i="1"/>
  <c r="Y149" i="1"/>
  <c r="Z149" i="1" s="1"/>
  <c r="J149" i="1"/>
  <c r="H149" i="1"/>
  <c r="C149" i="1"/>
  <c r="AF148" i="1"/>
  <c r="AC148" i="1"/>
  <c r="AB148" i="1"/>
  <c r="Y148" i="1"/>
  <c r="Z148" i="1" s="1"/>
  <c r="W148" i="1"/>
  <c r="X148" i="1" s="1"/>
  <c r="T148" i="1"/>
  <c r="J148" i="1"/>
  <c r="H148" i="1"/>
  <c r="C148" i="1"/>
  <c r="AF147" i="1"/>
  <c r="Y147" i="1"/>
  <c r="AA147" i="1" s="1"/>
  <c r="J147" i="1"/>
  <c r="H147" i="1"/>
  <c r="C147" i="1"/>
  <c r="AF146" i="1"/>
  <c r="Y146" i="1"/>
  <c r="Z146" i="1" s="1"/>
  <c r="J146" i="1"/>
  <c r="H146" i="1"/>
  <c r="C146" i="1"/>
  <c r="AF145" i="1"/>
  <c r="Y145" i="1"/>
  <c r="AA145" i="1" s="1"/>
  <c r="J145" i="1"/>
  <c r="H145" i="1"/>
  <c r="C145" i="1"/>
  <c r="AF144" i="1"/>
  <c r="AC144" i="1"/>
  <c r="T144" i="1" s="1"/>
  <c r="AB144" i="1"/>
  <c r="Y144" i="1"/>
  <c r="AA144" i="1" s="1"/>
  <c r="J144" i="1"/>
  <c r="H144" i="1"/>
  <c r="C144" i="1"/>
  <c r="AF143" i="1"/>
  <c r="Y143" i="1"/>
  <c r="AA143" i="1" s="1"/>
  <c r="J143" i="1"/>
  <c r="H143" i="1"/>
  <c r="C143" i="1"/>
  <c r="AF142" i="1"/>
  <c r="AC142" i="1"/>
  <c r="T142" i="1" s="1"/>
  <c r="AB142" i="1"/>
  <c r="Y142" i="1"/>
  <c r="AA142" i="1" s="1"/>
  <c r="W142" i="1"/>
  <c r="X142" i="1" s="1"/>
  <c r="J142" i="1"/>
  <c r="H142" i="1"/>
  <c r="C142" i="1"/>
  <c r="AF141" i="1"/>
  <c r="Y141" i="1"/>
  <c r="Z141" i="1" s="1"/>
  <c r="J141" i="1"/>
  <c r="H141" i="1"/>
  <c r="C141" i="1"/>
  <c r="AF140" i="1"/>
  <c r="Y140" i="1"/>
  <c r="AA140" i="1" s="1"/>
  <c r="J140" i="1"/>
  <c r="H140" i="1"/>
  <c r="C140" i="1"/>
  <c r="AF139" i="1"/>
  <c r="Y139" i="1"/>
  <c r="Z139" i="1" s="1"/>
  <c r="J139" i="1"/>
  <c r="H139" i="1"/>
  <c r="C139" i="1"/>
  <c r="AF138" i="1"/>
  <c r="AC138" i="1"/>
  <c r="T138" i="1" s="1"/>
  <c r="AB138" i="1"/>
  <c r="Y138" i="1"/>
  <c r="Z138" i="1" s="1"/>
  <c r="J138" i="1"/>
  <c r="H138" i="1"/>
  <c r="C138" i="1"/>
  <c r="AF137" i="1"/>
  <c r="Y137" i="1"/>
  <c r="AA137" i="1" s="1"/>
  <c r="J137" i="1"/>
  <c r="H137" i="1"/>
  <c r="C137" i="1"/>
  <c r="AF136" i="1"/>
  <c r="Y136" i="1"/>
  <c r="AA136" i="1" s="1"/>
  <c r="J136" i="1"/>
  <c r="H136" i="1"/>
  <c r="C136" i="1"/>
  <c r="AF135" i="1"/>
  <c r="AC135" i="1"/>
  <c r="T135" i="1" s="1"/>
  <c r="AB135" i="1"/>
  <c r="Y135" i="1"/>
  <c r="Z135" i="1" s="1"/>
  <c r="W135" i="1"/>
  <c r="X135" i="1" s="1"/>
  <c r="J135" i="1"/>
  <c r="H135" i="1"/>
  <c r="C135" i="1"/>
  <c r="AF134" i="1"/>
  <c r="Y134" i="1"/>
  <c r="Z134" i="1" s="1"/>
  <c r="J134" i="1"/>
  <c r="H134" i="1"/>
  <c r="C134" i="1"/>
  <c r="AF133" i="1"/>
  <c r="Y133" i="1"/>
  <c r="AA133" i="1" s="1"/>
  <c r="J133" i="1"/>
  <c r="H133" i="1"/>
  <c r="C133" i="1"/>
  <c r="AF132" i="1"/>
  <c r="Y132" i="1"/>
  <c r="AA132" i="1" s="1"/>
  <c r="J132" i="1"/>
  <c r="H132" i="1"/>
  <c r="C132" i="1"/>
  <c r="AF131" i="1"/>
  <c r="Y131" i="1"/>
  <c r="AA131" i="1" s="1"/>
  <c r="J131" i="1"/>
  <c r="H131" i="1"/>
  <c r="C131" i="1"/>
  <c r="AF130" i="1"/>
  <c r="AC130" i="1"/>
  <c r="T130" i="1" s="1"/>
  <c r="AB130" i="1"/>
  <c r="Y130" i="1"/>
  <c r="AA130" i="1" s="1"/>
  <c r="J130" i="1"/>
  <c r="H130" i="1"/>
  <c r="C130" i="1"/>
  <c r="AF129" i="1"/>
  <c r="Y129" i="1"/>
  <c r="Z129" i="1" s="1"/>
  <c r="J129" i="1"/>
  <c r="H129" i="1"/>
  <c r="C129" i="1"/>
  <c r="AF128" i="1"/>
  <c r="Y128" i="1"/>
  <c r="Z128" i="1" s="1"/>
  <c r="J128" i="1"/>
  <c r="H128" i="1"/>
  <c r="C128" i="1"/>
  <c r="AF127" i="1"/>
  <c r="AC127" i="1"/>
  <c r="T127" i="1" s="1"/>
  <c r="AB127" i="1"/>
  <c r="Y127" i="1"/>
  <c r="Z127" i="1" s="1"/>
  <c r="J127" i="1"/>
  <c r="H127" i="1"/>
  <c r="C127" i="1"/>
  <c r="AF126" i="1"/>
  <c r="Y126" i="1"/>
  <c r="AA126" i="1" s="1"/>
  <c r="J126" i="1"/>
  <c r="H126" i="1"/>
  <c r="C126" i="1"/>
  <c r="AF125" i="1"/>
  <c r="AC125" i="1"/>
  <c r="T125" i="1" s="1"/>
  <c r="AB125" i="1"/>
  <c r="Y125" i="1"/>
  <c r="AA125" i="1" s="1"/>
  <c r="J125" i="1"/>
  <c r="H125" i="1"/>
  <c r="C125" i="1"/>
  <c r="AF124" i="1"/>
  <c r="Y124" i="1"/>
  <c r="Z124" i="1" s="1"/>
  <c r="J124" i="1"/>
  <c r="H124" i="1"/>
  <c r="C124" i="1"/>
  <c r="AF123" i="1"/>
  <c r="Y123" i="1"/>
  <c r="Z123" i="1" s="1"/>
  <c r="J123" i="1"/>
  <c r="H123" i="1"/>
  <c r="C123" i="1"/>
  <c r="AF122" i="1"/>
  <c r="Y122" i="1"/>
  <c r="AA122" i="1" s="1"/>
  <c r="J122" i="1"/>
  <c r="H122" i="1"/>
  <c r="C122" i="1"/>
  <c r="AF121" i="1"/>
  <c r="AC121" i="1"/>
  <c r="AB121" i="1"/>
  <c r="Y121" i="1"/>
  <c r="AA121" i="1" s="1"/>
  <c r="T121" i="1"/>
  <c r="J121" i="1"/>
  <c r="H121" i="1"/>
  <c r="C121" i="1"/>
  <c r="AF120" i="1"/>
  <c r="Y120" i="1"/>
  <c r="Z120" i="1" s="1"/>
  <c r="J120" i="1"/>
  <c r="H120" i="1"/>
  <c r="C120" i="1"/>
  <c r="AF119" i="1"/>
  <c r="AC119" i="1"/>
  <c r="AB119" i="1"/>
  <c r="Y119" i="1"/>
  <c r="AA119" i="1" s="1"/>
  <c r="W119" i="1"/>
  <c r="X119" i="1" s="1"/>
  <c r="T119" i="1"/>
  <c r="J119" i="1"/>
  <c r="H119" i="1"/>
  <c r="C119" i="1"/>
  <c r="AF118" i="1"/>
  <c r="Y118" i="1"/>
  <c r="AA118" i="1" s="1"/>
  <c r="J118" i="1"/>
  <c r="H118" i="1"/>
  <c r="C118" i="1"/>
  <c r="AF117" i="1"/>
  <c r="Y117" i="1"/>
  <c r="AA117" i="1" s="1"/>
  <c r="J117" i="1"/>
  <c r="H117" i="1"/>
  <c r="C117" i="1"/>
  <c r="AF116" i="1"/>
  <c r="Y116" i="1"/>
  <c r="Z116" i="1" s="1"/>
  <c r="J116" i="1"/>
  <c r="H116" i="1"/>
  <c r="C116" i="1"/>
  <c r="AF115" i="1"/>
  <c r="Y115" i="1"/>
  <c r="AA115" i="1" s="1"/>
  <c r="J115" i="1"/>
  <c r="H115" i="1"/>
  <c r="C115" i="1"/>
  <c r="AF114" i="1"/>
  <c r="Y114" i="1"/>
  <c r="AA114" i="1" s="1"/>
  <c r="J114" i="1"/>
  <c r="H114" i="1"/>
  <c r="C114" i="1"/>
  <c r="AF113" i="1"/>
  <c r="Y113" i="1"/>
  <c r="Z113" i="1" s="1"/>
  <c r="J113" i="1"/>
  <c r="H113" i="1"/>
  <c r="C113" i="1"/>
  <c r="AF112" i="1"/>
  <c r="AC112" i="1"/>
  <c r="T112" i="1" s="1"/>
  <c r="AB112" i="1"/>
  <c r="Y112" i="1"/>
  <c r="AA112" i="1" s="1"/>
  <c r="J112" i="1"/>
  <c r="H112" i="1"/>
  <c r="C112" i="1"/>
  <c r="AF111" i="1"/>
  <c r="Y111" i="1"/>
  <c r="Z111" i="1" s="1"/>
  <c r="J111" i="1"/>
  <c r="H111" i="1"/>
  <c r="C111" i="1"/>
  <c r="AF110" i="1"/>
  <c r="Y110" i="1"/>
  <c r="Z110" i="1" s="1"/>
  <c r="J110" i="1"/>
  <c r="H110" i="1"/>
  <c r="C110" i="1"/>
  <c r="AF109" i="1"/>
  <c r="Y109" i="1"/>
  <c r="AA109" i="1" s="1"/>
  <c r="J109" i="1"/>
  <c r="H109" i="1"/>
  <c r="C109" i="1"/>
  <c r="AF108" i="1"/>
  <c r="Y108" i="1"/>
  <c r="AA108" i="1" s="1"/>
  <c r="J108" i="1"/>
  <c r="H108" i="1"/>
  <c r="C108" i="1"/>
  <c r="AF107" i="1"/>
  <c r="Y107" i="1"/>
  <c r="Z107" i="1" s="1"/>
  <c r="J107" i="1"/>
  <c r="H107" i="1"/>
  <c r="C107" i="1"/>
  <c r="AF106" i="1"/>
  <c r="Y106" i="1"/>
  <c r="AA106" i="1" s="1"/>
  <c r="J106" i="1"/>
  <c r="H106" i="1"/>
  <c r="C106" i="1"/>
  <c r="AF105" i="1"/>
  <c r="Y105" i="1"/>
  <c r="Z105" i="1" s="1"/>
  <c r="J105" i="1"/>
  <c r="H105" i="1"/>
  <c r="C105" i="1"/>
  <c r="AF104" i="1"/>
  <c r="Y104" i="1"/>
  <c r="AA104" i="1" s="1"/>
  <c r="J104" i="1"/>
  <c r="H104" i="1"/>
  <c r="C104" i="1"/>
  <c r="AF103" i="1"/>
  <c r="Y103" i="1"/>
  <c r="Z103" i="1" s="1"/>
  <c r="J103" i="1"/>
  <c r="H103" i="1"/>
  <c r="C103" i="1"/>
  <c r="AF102" i="1"/>
  <c r="Y102" i="1"/>
  <c r="AA102" i="1" s="1"/>
  <c r="J102" i="1"/>
  <c r="H102" i="1"/>
  <c r="C102" i="1"/>
  <c r="AF101" i="1"/>
  <c r="Y101" i="1"/>
  <c r="AA101" i="1" s="1"/>
  <c r="J101" i="1"/>
  <c r="H101" i="1"/>
  <c r="C101" i="1"/>
  <c r="AF100" i="1"/>
  <c r="Y100" i="1"/>
  <c r="Z100" i="1" s="1"/>
  <c r="J100" i="1"/>
  <c r="H100" i="1"/>
  <c r="C100" i="1"/>
  <c r="AF99" i="1"/>
  <c r="Y99" i="1"/>
  <c r="AA99" i="1" s="1"/>
  <c r="J99" i="1"/>
  <c r="H99" i="1"/>
  <c r="C99" i="1"/>
  <c r="AF98" i="1"/>
  <c r="Y98" i="1"/>
  <c r="Z98" i="1" s="1"/>
  <c r="J98" i="1"/>
  <c r="H98" i="1"/>
  <c r="C98" i="1"/>
  <c r="AF97" i="1"/>
  <c r="Y97" i="1"/>
  <c r="AA97" i="1" s="1"/>
  <c r="J97" i="1"/>
  <c r="H97" i="1"/>
  <c r="C97" i="1"/>
  <c r="AF96" i="1"/>
  <c r="AC96" i="1"/>
  <c r="T96" i="1" s="1"/>
  <c r="AB96" i="1"/>
  <c r="Y96" i="1"/>
  <c r="AA96" i="1" s="1"/>
  <c r="J96" i="1"/>
  <c r="H96" i="1"/>
  <c r="C96" i="1"/>
  <c r="AF95" i="1"/>
  <c r="Y95" i="1"/>
  <c r="AA95" i="1" s="1"/>
  <c r="J95" i="1"/>
  <c r="H95" i="1"/>
  <c r="C95" i="1"/>
  <c r="AF94" i="1"/>
  <c r="AC94" i="1"/>
  <c r="T94" i="1" s="1"/>
  <c r="AB94" i="1"/>
  <c r="Y94" i="1"/>
  <c r="AA94" i="1" s="1"/>
  <c r="W94" i="1"/>
  <c r="X94" i="1" s="1"/>
  <c r="J94" i="1"/>
  <c r="H94" i="1"/>
  <c r="C94" i="1"/>
  <c r="AF93" i="1"/>
  <c r="Y93" i="1"/>
  <c r="J93" i="1"/>
  <c r="H93" i="1"/>
  <c r="C93" i="1"/>
  <c r="AF92" i="1"/>
  <c r="Y92" i="1"/>
  <c r="Z92" i="1" s="1"/>
  <c r="J92" i="1"/>
  <c r="H92" i="1"/>
  <c r="C92" i="1"/>
  <c r="AF91" i="1"/>
  <c r="Y91" i="1"/>
  <c r="Z91" i="1" s="1"/>
  <c r="J91" i="1"/>
  <c r="H91" i="1"/>
  <c r="C91" i="1"/>
  <c r="AF90" i="1"/>
  <c r="Y90" i="1"/>
  <c r="Z90" i="1" s="1"/>
  <c r="J90" i="1"/>
  <c r="H90" i="1"/>
  <c r="C90" i="1"/>
  <c r="AF89" i="1"/>
  <c r="Y89" i="1"/>
  <c r="J89" i="1"/>
  <c r="H89" i="1"/>
  <c r="C89" i="1"/>
  <c r="AF88" i="1"/>
  <c r="Y88" i="1"/>
  <c r="Z88" i="1" s="1"/>
  <c r="J88" i="1"/>
  <c r="H88" i="1"/>
  <c r="C88" i="1"/>
  <c r="AF87" i="1"/>
  <c r="AC87" i="1"/>
  <c r="T87" i="1" s="1"/>
  <c r="AB87" i="1"/>
  <c r="Y87" i="1"/>
  <c r="Z87" i="1" s="1"/>
  <c r="J87" i="1"/>
  <c r="H87" i="1"/>
  <c r="C87" i="1"/>
  <c r="AF86" i="1"/>
  <c r="Y86" i="1"/>
  <c r="AA86" i="1" s="1"/>
  <c r="J86" i="1"/>
  <c r="H86" i="1"/>
  <c r="C86" i="1"/>
  <c r="AF85" i="1"/>
  <c r="AC85" i="1"/>
  <c r="T85" i="1" s="1"/>
  <c r="AB85" i="1"/>
  <c r="Y85" i="1"/>
  <c r="Z85" i="1" s="1"/>
  <c r="J85" i="1"/>
  <c r="H85" i="1"/>
  <c r="C85" i="1"/>
  <c r="AF84" i="1"/>
  <c r="Y84" i="1"/>
  <c r="Z84" i="1" s="1"/>
  <c r="J84" i="1"/>
  <c r="H84" i="1"/>
  <c r="C84" i="1"/>
  <c r="AF83" i="1"/>
  <c r="Y83" i="1"/>
  <c r="J83" i="1"/>
  <c r="H83" i="1"/>
  <c r="C83" i="1"/>
  <c r="AF82" i="1"/>
  <c r="AC82" i="1"/>
  <c r="T82" i="1" s="1"/>
  <c r="AB82" i="1"/>
  <c r="Y82" i="1"/>
  <c r="AA82" i="1" s="1"/>
  <c r="W82" i="1"/>
  <c r="X82" i="1" s="1"/>
  <c r="J82" i="1"/>
  <c r="H82" i="1"/>
  <c r="C82" i="1"/>
  <c r="AF81" i="1"/>
  <c r="Y81" i="1"/>
  <c r="AA81" i="1" s="1"/>
  <c r="J81" i="1"/>
  <c r="H81" i="1"/>
  <c r="C81" i="1"/>
  <c r="AF80" i="1"/>
  <c r="AC80" i="1"/>
  <c r="T80" i="1" s="1"/>
  <c r="AB80" i="1"/>
  <c r="Y80" i="1"/>
  <c r="Z80" i="1" s="1"/>
  <c r="J80" i="1"/>
  <c r="H80" i="1"/>
  <c r="C80" i="1"/>
  <c r="AF79" i="1"/>
  <c r="Y79" i="1"/>
  <c r="Z79" i="1" s="1"/>
  <c r="J79" i="1"/>
  <c r="H79" i="1"/>
  <c r="B79" i="1" s="1"/>
  <c r="G79" i="1" s="1"/>
  <c r="A79" i="1" s="1"/>
  <c r="C79" i="1"/>
  <c r="AF78" i="1"/>
  <c r="Y78" i="1"/>
  <c r="J78" i="1"/>
  <c r="H78" i="1"/>
  <c r="C78" i="1"/>
  <c r="AF77" i="1"/>
  <c r="Y77" i="1"/>
  <c r="Z77" i="1" s="1"/>
  <c r="J77" i="1"/>
  <c r="H77" i="1"/>
  <c r="C77" i="1"/>
  <c r="AF76" i="1"/>
  <c r="Y76" i="1"/>
  <c r="J76" i="1"/>
  <c r="H76" i="1"/>
  <c r="C76" i="1"/>
  <c r="AF75" i="1"/>
  <c r="AC75" i="1"/>
  <c r="AB75" i="1"/>
  <c r="Y75" i="1"/>
  <c r="Z75" i="1" s="1"/>
  <c r="W75" i="1"/>
  <c r="X75" i="1" s="1"/>
  <c r="T75" i="1"/>
  <c r="J75" i="1"/>
  <c r="H75" i="1"/>
  <c r="C75" i="1"/>
  <c r="AF74" i="1"/>
  <c r="Y74" i="1"/>
  <c r="Z74" i="1" s="1"/>
  <c r="J74" i="1"/>
  <c r="H74" i="1"/>
  <c r="C74" i="1"/>
  <c r="AF61" i="1"/>
  <c r="Y61" i="1"/>
  <c r="Z61" i="1" s="1"/>
  <c r="J61" i="1"/>
  <c r="C61" i="1"/>
  <c r="AF60" i="1"/>
  <c r="AC60" i="1"/>
  <c r="T60" i="1" s="1"/>
  <c r="AB60" i="1"/>
  <c r="Y60" i="1"/>
  <c r="AA60" i="1" s="1"/>
  <c r="J60" i="1"/>
  <c r="H60" i="1"/>
  <c r="C60" i="1"/>
  <c r="AF56" i="1"/>
  <c r="Y56" i="1"/>
  <c r="J56" i="1"/>
  <c r="H56" i="1"/>
  <c r="C56" i="1"/>
  <c r="AF55" i="1"/>
  <c r="AC55" i="1"/>
  <c r="T55" i="1" s="1"/>
  <c r="AB55" i="1"/>
  <c r="Y55" i="1"/>
  <c r="AA55" i="1" s="1"/>
  <c r="W55" i="1"/>
  <c r="X55" i="1" s="1"/>
  <c r="J55" i="1"/>
  <c r="H55" i="1"/>
  <c r="C55" i="1"/>
  <c r="AF54" i="1"/>
  <c r="Y54" i="1"/>
  <c r="J54" i="1"/>
  <c r="H54" i="1"/>
  <c r="C54" i="1"/>
  <c r="AF53" i="1"/>
  <c r="AC53" i="1"/>
  <c r="T53" i="1" s="1"/>
  <c r="AB53" i="1"/>
  <c r="Y53" i="1"/>
  <c r="Z53" i="1" s="1"/>
  <c r="J53" i="1"/>
  <c r="H53" i="1"/>
  <c r="C53" i="1"/>
  <c r="AF52" i="1"/>
  <c r="Y52" i="1"/>
  <c r="Z52" i="1" s="1"/>
  <c r="J52" i="1"/>
  <c r="H52" i="1"/>
  <c r="B52" i="1" s="1"/>
  <c r="G52" i="1" s="1"/>
  <c r="A52" i="1" s="1"/>
  <c r="C52" i="1"/>
  <c r="AF51" i="1"/>
  <c r="Y51" i="1"/>
  <c r="J51" i="1"/>
  <c r="H51" i="1"/>
  <c r="C51" i="1"/>
  <c r="AF50" i="1"/>
  <c r="Y50" i="1"/>
  <c r="Z50" i="1" s="1"/>
  <c r="J50" i="1"/>
  <c r="H50" i="1"/>
  <c r="C50" i="1"/>
  <c r="AF49" i="1"/>
  <c r="Y49" i="1"/>
  <c r="J49" i="1"/>
  <c r="H49" i="1"/>
  <c r="C49" i="1"/>
  <c r="AF48" i="1"/>
  <c r="Y48" i="1"/>
  <c r="J48" i="1"/>
  <c r="H48" i="1"/>
  <c r="C48" i="1"/>
  <c r="AF47" i="1"/>
  <c r="AC47" i="1"/>
  <c r="T47" i="1" s="1"/>
  <c r="AB47" i="1"/>
  <c r="Y47" i="1"/>
  <c r="Z47" i="1" s="1"/>
  <c r="J47" i="1"/>
  <c r="H47" i="1"/>
  <c r="C47" i="1"/>
  <c r="AF46" i="1"/>
  <c r="Y46" i="1"/>
  <c r="J46" i="1"/>
  <c r="H46" i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C44" i="1"/>
  <c r="AF43" i="1"/>
  <c r="Y43" i="1"/>
  <c r="Z43" i="1" s="1"/>
  <c r="J43" i="1"/>
  <c r="H43" i="1"/>
  <c r="I43" i="1" s="1"/>
  <c r="C43" i="1"/>
  <c r="AF42" i="1"/>
  <c r="AC42" i="1"/>
  <c r="AB42" i="1"/>
  <c r="Y42" i="1"/>
  <c r="Z42" i="1" s="1"/>
  <c r="W42" i="1"/>
  <c r="X42" i="1" s="1"/>
  <c r="T42" i="1"/>
  <c r="J42" i="1"/>
  <c r="H42" i="1"/>
  <c r="C42" i="1"/>
  <c r="AF41" i="1"/>
  <c r="Y41" i="1"/>
  <c r="Z41" i="1" s="1"/>
  <c r="J41" i="1"/>
  <c r="H41" i="1"/>
  <c r="C41" i="1"/>
  <c r="AF40" i="1"/>
  <c r="Y40" i="1"/>
  <c r="AA40" i="1" s="1"/>
  <c r="J40" i="1"/>
  <c r="H40" i="1"/>
  <c r="C40" i="1"/>
  <c r="AF39" i="1"/>
  <c r="AC39" i="1"/>
  <c r="T39" i="1" s="1"/>
  <c r="AB39" i="1"/>
  <c r="Y39" i="1"/>
  <c r="Z39" i="1" s="1"/>
  <c r="J39" i="1"/>
  <c r="H39" i="1"/>
  <c r="B39" i="1" s="1"/>
  <c r="C39" i="1"/>
  <c r="AF38" i="1"/>
  <c r="Y38" i="1"/>
  <c r="Z38" i="1" s="1"/>
  <c r="J38" i="1"/>
  <c r="H38" i="1"/>
  <c r="C38" i="1"/>
  <c r="AF37" i="1"/>
  <c r="Y37" i="1"/>
  <c r="AA37" i="1" s="1"/>
  <c r="J37" i="1"/>
  <c r="H37" i="1"/>
  <c r="C37" i="1"/>
  <c r="AF36" i="1"/>
  <c r="Y36" i="1"/>
  <c r="AA36" i="1" s="1"/>
  <c r="J36" i="1"/>
  <c r="H36" i="1"/>
  <c r="C36" i="1"/>
  <c r="AF35" i="1"/>
  <c r="Y35" i="1"/>
  <c r="AA35" i="1" s="1"/>
  <c r="J35" i="1"/>
  <c r="H35" i="1"/>
  <c r="C35" i="1"/>
  <c r="AF34" i="1"/>
  <c r="Y34" i="1"/>
  <c r="Z34" i="1" s="1"/>
  <c r="J34" i="1"/>
  <c r="H34" i="1"/>
  <c r="C34" i="1"/>
  <c r="AF33" i="1"/>
  <c r="Y33" i="1"/>
  <c r="AA33" i="1" s="1"/>
  <c r="J33" i="1"/>
  <c r="H33" i="1"/>
  <c r="C33" i="1"/>
  <c r="AF32" i="1"/>
  <c r="Y32" i="1"/>
  <c r="AA32" i="1" s="1"/>
  <c r="J32" i="1"/>
  <c r="H32" i="1"/>
  <c r="C32" i="1"/>
  <c r="AF31" i="1"/>
  <c r="AC31" i="1"/>
  <c r="AB31" i="1"/>
  <c r="Y31" i="1"/>
  <c r="Z31" i="1" s="1"/>
  <c r="W31" i="1"/>
  <c r="X31" i="1" s="1"/>
  <c r="T31" i="1"/>
  <c r="J31" i="1"/>
  <c r="H31" i="1"/>
  <c r="C31" i="1"/>
  <c r="AF30" i="1"/>
  <c r="Y30" i="1"/>
  <c r="Z30" i="1" s="1"/>
  <c r="J30" i="1"/>
  <c r="H30" i="1"/>
  <c r="C30" i="1"/>
  <c r="AF29" i="1"/>
  <c r="AC29" i="1"/>
  <c r="AB29" i="1"/>
  <c r="Y29" i="1"/>
  <c r="AA29" i="1" s="1"/>
  <c r="W29" i="1"/>
  <c r="X29" i="1" s="1"/>
  <c r="T29" i="1"/>
  <c r="J29" i="1"/>
  <c r="H29" i="1"/>
  <c r="C29" i="1"/>
  <c r="AF28" i="1"/>
  <c r="Y28" i="1"/>
  <c r="AA28" i="1" s="1"/>
  <c r="J28" i="1"/>
  <c r="H28" i="1"/>
  <c r="C28" i="1"/>
  <c r="AF27" i="1"/>
  <c r="AC27" i="1"/>
  <c r="AB27" i="1"/>
  <c r="Y27" i="1"/>
  <c r="Z27" i="1" s="1"/>
  <c r="W27" i="1"/>
  <c r="X27" i="1" s="1"/>
  <c r="T27" i="1"/>
  <c r="J27" i="1"/>
  <c r="H27" i="1"/>
  <c r="C27" i="1"/>
  <c r="AF26" i="1"/>
  <c r="Y26" i="1"/>
  <c r="Z26" i="1" s="1"/>
  <c r="J26" i="1"/>
  <c r="H26" i="1"/>
  <c r="C26" i="1"/>
  <c r="AF25" i="1"/>
  <c r="AC25" i="1"/>
  <c r="T25" i="1" s="1"/>
  <c r="AB25" i="1"/>
  <c r="Y25" i="1"/>
  <c r="AA25" i="1" s="1"/>
  <c r="J25" i="1"/>
  <c r="H25" i="1"/>
  <c r="C25" i="1"/>
  <c r="AF24" i="1"/>
  <c r="Y24" i="1"/>
  <c r="AA24" i="1" s="1"/>
  <c r="J24" i="1"/>
  <c r="H24" i="1"/>
  <c r="C24" i="1"/>
  <c r="AF23" i="1"/>
  <c r="AC23" i="1"/>
  <c r="T23" i="1" s="1"/>
  <c r="AB23" i="1"/>
  <c r="Y23" i="1"/>
  <c r="Z23" i="1" s="1"/>
  <c r="J23" i="1"/>
  <c r="H23" i="1"/>
  <c r="C23" i="1"/>
  <c r="AF22" i="1"/>
  <c r="Y22" i="1"/>
  <c r="AA22" i="1" s="1"/>
  <c r="J22" i="1"/>
  <c r="H22" i="1"/>
  <c r="C22" i="1"/>
  <c r="AF21" i="1"/>
  <c r="Y21" i="1"/>
  <c r="AA21" i="1" s="1"/>
  <c r="J21" i="1"/>
  <c r="H21" i="1"/>
  <c r="C21" i="1"/>
  <c r="AF20" i="1"/>
  <c r="Y20" i="1"/>
  <c r="AA20" i="1" s="1"/>
  <c r="J20" i="1"/>
  <c r="H20" i="1"/>
  <c r="C20" i="1"/>
  <c r="AF19" i="1"/>
  <c r="AC19" i="1"/>
  <c r="T19" i="1" s="1"/>
  <c r="AB19" i="1"/>
  <c r="Y19" i="1"/>
  <c r="AA19" i="1" s="1"/>
  <c r="J19" i="1"/>
  <c r="H19" i="1"/>
  <c r="C19" i="1"/>
  <c r="AF18" i="1"/>
  <c r="Y18" i="1"/>
  <c r="AA18" i="1" s="1"/>
  <c r="J18" i="1"/>
  <c r="H18" i="1"/>
  <c r="C18" i="1"/>
  <c r="AF17" i="1"/>
  <c r="AC17" i="1"/>
  <c r="T17" i="1" s="1"/>
  <c r="AB17" i="1"/>
  <c r="Y17" i="1"/>
  <c r="Z17" i="1" s="1"/>
  <c r="J17" i="1"/>
  <c r="H17" i="1"/>
  <c r="C17" i="1"/>
  <c r="AF16" i="1"/>
  <c r="Y16" i="1"/>
  <c r="AA16" i="1" s="1"/>
  <c r="J16" i="1"/>
  <c r="H16" i="1"/>
  <c r="C16" i="1"/>
  <c r="AF15" i="1"/>
  <c r="Y15" i="1"/>
  <c r="AA15" i="1" s="1"/>
  <c r="J15" i="1"/>
  <c r="H15" i="1"/>
  <c r="C15" i="1"/>
  <c r="AF14" i="1"/>
  <c r="Y14" i="1"/>
  <c r="AA14" i="1" s="1"/>
  <c r="J14" i="1"/>
  <c r="H14" i="1"/>
  <c r="C14" i="1"/>
  <c r="AF13" i="1"/>
  <c r="Y13" i="1"/>
  <c r="AA13" i="1" s="1"/>
  <c r="J13" i="1"/>
  <c r="H13" i="1"/>
  <c r="C13" i="1"/>
  <c r="AF12" i="1"/>
  <c r="Y12" i="1"/>
  <c r="AA12" i="1" s="1"/>
  <c r="J12" i="1"/>
  <c r="H12" i="1"/>
  <c r="C12" i="1"/>
  <c r="AF11" i="1"/>
  <c r="Y11" i="1"/>
  <c r="Z11" i="1" s="1"/>
  <c r="J11" i="1"/>
  <c r="H11" i="1"/>
  <c r="C11" i="1"/>
  <c r="AF10" i="1"/>
  <c r="Y10" i="1"/>
  <c r="Z10" i="1" s="1"/>
  <c r="J10" i="1"/>
  <c r="H10" i="1"/>
  <c r="C10" i="1"/>
  <c r="AF9" i="1"/>
  <c r="AC9" i="1"/>
  <c r="T9" i="1" s="1"/>
  <c r="AB9" i="1"/>
  <c r="Y9" i="1"/>
  <c r="AA9" i="1" s="1"/>
  <c r="J9" i="1"/>
  <c r="H9" i="1"/>
  <c r="C9" i="1"/>
  <c r="AF8" i="1"/>
  <c r="Y8" i="1"/>
  <c r="Z8" i="1" s="1"/>
  <c r="J8" i="1"/>
  <c r="H8" i="1"/>
  <c r="C8" i="1"/>
  <c r="AF7" i="1"/>
  <c r="Y7" i="1"/>
  <c r="Z7" i="1" s="1"/>
  <c r="J7" i="1"/>
  <c r="H7" i="1"/>
  <c r="C7" i="1"/>
  <c r="AF6" i="1"/>
  <c r="AC6" i="1"/>
  <c r="T6" i="1" s="1"/>
  <c r="AB6" i="1"/>
  <c r="Y6" i="1"/>
  <c r="AA6" i="1" s="1"/>
  <c r="J6" i="1"/>
  <c r="H6" i="1"/>
  <c r="C6" i="1"/>
  <c r="AF5" i="1"/>
  <c r="Y5" i="1"/>
  <c r="Z5" i="1" s="1"/>
  <c r="J5" i="1"/>
  <c r="H5" i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T3" i="1"/>
  <c r="J3" i="1"/>
  <c r="H3" i="1"/>
  <c r="C3" i="1"/>
  <c r="A1" i="1"/>
  <c r="Z153" i="1" l="1"/>
  <c r="AB153" i="1" s="1"/>
  <c r="AC153" i="1" s="1"/>
  <c r="T153" i="1" s="1"/>
  <c r="AC151" i="1"/>
  <c r="T151" i="1" s="1"/>
  <c r="AC145" i="1"/>
  <c r="T145" i="1" s="1"/>
  <c r="AB113" i="1"/>
  <c r="AC113" i="1" s="1"/>
  <c r="T113" i="1" s="1"/>
  <c r="AC118" i="1"/>
  <c r="T118" i="1" s="1"/>
  <c r="AC106" i="1"/>
  <c r="T106" i="1" s="1"/>
  <c r="AC108" i="1"/>
  <c r="T108" i="1" s="1"/>
  <c r="AC110" i="1"/>
  <c r="T110" i="1" s="1"/>
  <c r="AC100" i="1"/>
  <c r="T100" i="1" s="1"/>
  <c r="AC90" i="1"/>
  <c r="T90" i="1" s="1"/>
  <c r="AC92" i="1"/>
  <c r="T92" i="1" s="1"/>
  <c r="AA138" i="1"/>
  <c r="AA186" i="1"/>
  <c r="AA197" i="1"/>
  <c r="A283" i="1"/>
  <c r="AD283" i="1" s="1"/>
  <c r="A295" i="1"/>
  <c r="AD295" i="1" s="1"/>
  <c r="A227" i="1"/>
  <c r="AD227" i="1" s="1"/>
  <c r="A243" i="1"/>
  <c r="AD243" i="1" s="1"/>
  <c r="A255" i="1"/>
  <c r="AD255" i="1" s="1"/>
  <c r="A271" i="1"/>
  <c r="AD271" i="1" s="1"/>
  <c r="A297" i="1"/>
  <c r="AD297" i="1" s="1"/>
  <c r="Z76" i="1"/>
  <c r="Z89" i="1"/>
  <c r="AA103" i="1"/>
  <c r="AB103" i="1" s="1"/>
  <c r="AC103" i="1" s="1"/>
  <c r="T103" i="1" s="1"/>
  <c r="Z104" i="1"/>
  <c r="AB104" i="1" s="1"/>
  <c r="AC104" i="1" s="1"/>
  <c r="T104" i="1" s="1"/>
  <c r="AA205" i="1"/>
  <c r="Z18" i="1"/>
  <c r="AB18" i="1" s="1"/>
  <c r="AC18" i="1" s="1"/>
  <c r="T18" i="1" s="1"/>
  <c r="Z19" i="1"/>
  <c r="I52" i="1"/>
  <c r="Z99" i="1"/>
  <c r="AB99" i="1" s="1"/>
  <c r="AC99" i="1" s="1"/>
  <c r="T99" i="1" s="1"/>
  <c r="Z112" i="1"/>
  <c r="Z118" i="1"/>
  <c r="AB118" i="1" s="1"/>
  <c r="Z121" i="1"/>
  <c r="Z142" i="1"/>
  <c r="Z143" i="1"/>
  <c r="AB143" i="1" s="1"/>
  <c r="AC143" i="1" s="1"/>
  <c r="T143" i="1" s="1"/>
  <c r="AA146" i="1"/>
  <c r="AB146" i="1" s="1"/>
  <c r="AC146" i="1" s="1"/>
  <c r="T146" i="1" s="1"/>
  <c r="Z155" i="1"/>
  <c r="AB155" i="1" s="1"/>
  <c r="AC155" i="1" s="1"/>
  <c r="T155" i="1" s="1"/>
  <c r="AA190" i="1"/>
  <c r="AA191" i="1"/>
  <c r="AA192" i="1"/>
  <c r="AA193" i="1"/>
  <c r="AA201" i="1"/>
  <c r="AA209" i="1"/>
  <c r="Z6" i="1"/>
  <c r="Z9" i="1"/>
  <c r="Z24" i="1"/>
  <c r="AB24" i="1" s="1"/>
  <c r="AC24" i="1" s="1"/>
  <c r="T24" i="1" s="1"/>
  <c r="Z25" i="1"/>
  <c r="Z55" i="1"/>
  <c r="Z56" i="1"/>
  <c r="Z82" i="1"/>
  <c r="Z83" i="1"/>
  <c r="Z94" i="1"/>
  <c r="Z95" i="1"/>
  <c r="AB95" i="1" s="1"/>
  <c r="AC95" i="1" s="1"/>
  <c r="T95" i="1" s="1"/>
  <c r="Z102" i="1"/>
  <c r="AB102" i="1" s="1"/>
  <c r="AC102" i="1" s="1"/>
  <c r="T102" i="1" s="1"/>
  <c r="AA113" i="1"/>
  <c r="Z114" i="1"/>
  <c r="AB114" i="1" s="1"/>
  <c r="AC114" i="1" s="1"/>
  <c r="T114" i="1" s="1"/>
  <c r="Z115" i="1"/>
  <c r="AB115" i="1" s="1"/>
  <c r="AC115" i="1" s="1"/>
  <c r="T115" i="1" s="1"/>
  <c r="Z125" i="1"/>
  <c r="Z131" i="1"/>
  <c r="AB131" i="1" s="1"/>
  <c r="AC131" i="1" s="1"/>
  <c r="T131" i="1" s="1"/>
  <c r="Z132" i="1"/>
  <c r="AB132" i="1" s="1"/>
  <c r="AC132" i="1" s="1"/>
  <c r="T132" i="1" s="1"/>
  <c r="Z133" i="1"/>
  <c r="AB133" i="1" s="1"/>
  <c r="AC133" i="1" s="1"/>
  <c r="T133" i="1" s="1"/>
  <c r="AA135" i="1"/>
  <c r="Z136" i="1"/>
  <c r="AB136" i="1" s="1"/>
  <c r="AC136" i="1" s="1"/>
  <c r="T136" i="1" s="1"/>
  <c r="Z150" i="1"/>
  <c r="Z151" i="1"/>
  <c r="AB151" i="1" s="1"/>
  <c r="Z159" i="1"/>
  <c r="AB159" i="1" s="1"/>
  <c r="AC159" i="1" s="1"/>
  <c r="T159" i="1" s="1"/>
  <c r="AA183" i="1"/>
  <c r="AA184" i="1"/>
  <c r="AA188" i="1"/>
  <c r="AA195" i="1"/>
  <c r="AA199" i="1"/>
  <c r="AA203" i="1"/>
  <c r="AA207" i="1"/>
  <c r="AA211" i="1"/>
  <c r="Z255" i="1"/>
  <c r="Z256" i="1"/>
  <c r="Z257" i="1"/>
  <c r="Z258" i="1"/>
  <c r="Z267" i="1"/>
  <c r="Z268" i="1"/>
  <c r="Z269" i="1"/>
  <c r="Z271" i="1"/>
  <c r="Z275" i="1"/>
  <c r="Z276" i="1"/>
  <c r="Z277" i="1"/>
  <c r="Z278" i="1"/>
  <c r="Z283" i="1"/>
  <c r="Z284" i="1"/>
  <c r="Z285" i="1"/>
  <c r="Z286" i="1"/>
  <c r="Z291" i="1"/>
  <c r="Z292" i="1"/>
  <c r="Z293" i="1"/>
  <c r="Z295" i="1"/>
  <c r="I39" i="1"/>
  <c r="I79" i="1"/>
  <c r="I227" i="1"/>
  <c r="I283" i="1"/>
  <c r="I6" i="1"/>
  <c r="B6" i="1"/>
  <c r="I13" i="1"/>
  <c r="B13" i="1"/>
  <c r="I14" i="1"/>
  <c r="B14" i="1"/>
  <c r="I3" i="1"/>
  <c r="B3" i="1"/>
  <c r="I4" i="1"/>
  <c r="I8" i="1"/>
  <c r="B8" i="1"/>
  <c r="G8" i="1" s="1"/>
  <c r="I17" i="1"/>
  <c r="B17" i="1"/>
  <c r="G17" i="1" s="1"/>
  <c r="I18" i="1"/>
  <c r="I22" i="1"/>
  <c r="B22" i="1"/>
  <c r="G22" i="1" s="1"/>
  <c r="B23" i="1"/>
  <c r="G23" i="1" s="1"/>
  <c r="I24" i="1"/>
  <c r="I27" i="1"/>
  <c r="B27" i="1"/>
  <c r="G27" i="1" s="1"/>
  <c r="I28" i="1"/>
  <c r="I35" i="1"/>
  <c r="B35" i="1"/>
  <c r="G35" i="1" s="1"/>
  <c r="A35" i="1" s="1"/>
  <c r="AD35" i="1" s="1"/>
  <c r="I36" i="1"/>
  <c r="B36" i="1"/>
  <c r="G36" i="1" s="1"/>
  <c r="A36" i="1" s="1"/>
  <c r="I37" i="1"/>
  <c r="B37" i="1"/>
  <c r="I46" i="1"/>
  <c r="B46" i="1"/>
  <c r="G46" i="1" s="1"/>
  <c r="B47" i="1"/>
  <c r="G47" i="1" s="1"/>
  <c r="I48" i="1"/>
  <c r="I60" i="1"/>
  <c r="B60" i="1"/>
  <c r="G60" i="1" s="1"/>
  <c r="I61" i="1"/>
  <c r="B74" i="1"/>
  <c r="G74" i="1" s="1"/>
  <c r="I76" i="1"/>
  <c r="I89" i="1"/>
  <c r="B89" i="1"/>
  <c r="G89" i="1" s="1"/>
  <c r="I101" i="1"/>
  <c r="B101" i="1"/>
  <c r="G101" i="1" s="1"/>
  <c r="I102" i="1"/>
  <c r="B102" i="1"/>
  <c r="G102" i="1" s="1"/>
  <c r="I121" i="1"/>
  <c r="B121" i="1"/>
  <c r="G121" i="1" s="1"/>
  <c r="I124" i="1"/>
  <c r="B124" i="1"/>
  <c r="G124" i="1" s="1"/>
  <c r="I129" i="1"/>
  <c r="B129" i="1"/>
  <c r="G129" i="1" s="1"/>
  <c r="I132" i="1"/>
  <c r="B132" i="1"/>
  <c r="G132" i="1" s="1"/>
  <c r="I144" i="1"/>
  <c r="B144" i="1"/>
  <c r="G144" i="1" s="1"/>
  <c r="I145" i="1"/>
  <c r="I146" i="1"/>
  <c r="B146" i="1"/>
  <c r="I147" i="1"/>
  <c r="B147" i="1"/>
  <c r="G147" i="1" s="1"/>
  <c r="I148" i="1"/>
  <c r="B148" i="1"/>
  <c r="G148" i="1" s="1"/>
  <c r="I149" i="1"/>
  <c r="I156" i="1"/>
  <c r="B156" i="1"/>
  <c r="G156" i="1" s="1"/>
  <c r="I5" i="1"/>
  <c r="B5" i="1"/>
  <c r="G5" i="1" s="1"/>
  <c r="I12" i="1"/>
  <c r="B12" i="1"/>
  <c r="G12" i="1" s="1"/>
  <c r="I15" i="1"/>
  <c r="B15" i="1"/>
  <c r="I31" i="1"/>
  <c r="B31" i="1"/>
  <c r="G31" i="1" s="1"/>
  <c r="I32" i="1"/>
  <c r="I40" i="1"/>
  <c r="I41" i="1"/>
  <c r="B41" i="1"/>
  <c r="I44" i="1"/>
  <c r="B44" i="1"/>
  <c r="G44" i="1" s="1"/>
  <c r="I50" i="1"/>
  <c r="B50" i="1"/>
  <c r="G50" i="1" s="1"/>
  <c r="I51" i="1"/>
  <c r="B51" i="1"/>
  <c r="G51" i="1" s="1"/>
  <c r="I81" i="1"/>
  <c r="I84" i="1"/>
  <c r="B84" i="1"/>
  <c r="G84" i="1" s="1"/>
  <c r="I85" i="1"/>
  <c r="B85" i="1"/>
  <c r="I86" i="1"/>
  <c r="I87" i="1"/>
  <c r="B87" i="1"/>
  <c r="G87" i="1" s="1"/>
  <c r="I93" i="1"/>
  <c r="B93" i="1"/>
  <c r="G93" i="1" s="1"/>
  <c r="I96" i="1"/>
  <c r="B96" i="1"/>
  <c r="G96" i="1" s="1"/>
  <c r="I97" i="1"/>
  <c r="I98" i="1"/>
  <c r="B98" i="1"/>
  <c r="B104" i="1"/>
  <c r="G104" i="1" s="1"/>
  <c r="I108" i="1"/>
  <c r="B108" i="1"/>
  <c r="G108" i="1" s="1"/>
  <c r="I109" i="1"/>
  <c r="B109" i="1"/>
  <c r="I111" i="1"/>
  <c r="B111" i="1"/>
  <c r="G111" i="1" s="1"/>
  <c r="I112" i="1"/>
  <c r="B112" i="1"/>
  <c r="I117" i="1"/>
  <c r="B117" i="1"/>
  <c r="G117" i="1" s="1"/>
  <c r="I118" i="1"/>
  <c r="B118" i="1"/>
  <c r="G118" i="1" s="1"/>
  <c r="I126" i="1"/>
  <c r="I127" i="1"/>
  <c r="B127" i="1"/>
  <c r="G127" i="1" s="1"/>
  <c r="I135" i="1"/>
  <c r="B135" i="1"/>
  <c r="G135" i="1" s="1"/>
  <c r="I136" i="1"/>
  <c r="I140" i="1"/>
  <c r="B140" i="1"/>
  <c r="I141" i="1"/>
  <c r="B141" i="1"/>
  <c r="G141" i="1" s="1"/>
  <c r="I152" i="1"/>
  <c r="B152" i="1"/>
  <c r="G152" i="1" s="1"/>
  <c r="I153" i="1"/>
  <c r="I154" i="1"/>
  <c r="B154" i="1"/>
  <c r="I157" i="1"/>
  <c r="B157" i="1"/>
  <c r="G157" i="1" s="1"/>
  <c r="I159" i="1"/>
  <c r="B159" i="1"/>
  <c r="G159" i="1" s="1"/>
  <c r="I161" i="1"/>
  <c r="B161" i="1"/>
  <c r="I163" i="1"/>
  <c r="B163" i="1"/>
  <c r="G163" i="1" s="1"/>
  <c r="I164" i="1"/>
  <c r="B164" i="1"/>
  <c r="I166" i="1"/>
  <c r="B166" i="1"/>
  <c r="G166" i="1" s="1"/>
  <c r="I169" i="1"/>
  <c r="B169" i="1"/>
  <c r="G169" i="1" s="1"/>
  <c r="I172" i="1"/>
  <c r="B172" i="1"/>
  <c r="G172" i="1" s="1"/>
  <c r="I173" i="1"/>
  <c r="B173" i="1"/>
  <c r="I176" i="1"/>
  <c r="B176" i="1"/>
  <c r="G176" i="1" s="1"/>
  <c r="I178" i="1"/>
  <c r="B178" i="1"/>
  <c r="G178" i="1" s="1"/>
  <c r="I179" i="1"/>
  <c r="B179" i="1"/>
  <c r="I181" i="1"/>
  <c r="B181" i="1"/>
  <c r="G181" i="1" s="1"/>
  <c r="I183" i="1"/>
  <c r="B183" i="1"/>
  <c r="G183" i="1" s="1"/>
  <c r="I185" i="1"/>
  <c r="B185" i="1"/>
  <c r="G185" i="1" s="1"/>
  <c r="I186" i="1"/>
  <c r="B186" i="1"/>
  <c r="G186" i="1" s="1"/>
  <c r="I189" i="1"/>
  <c r="B189" i="1"/>
  <c r="G189" i="1" s="1"/>
  <c r="I190" i="1"/>
  <c r="B190" i="1"/>
  <c r="G190" i="1" s="1"/>
  <c r="I192" i="1"/>
  <c r="B192" i="1"/>
  <c r="G192" i="1" s="1"/>
  <c r="I194" i="1"/>
  <c r="B194" i="1"/>
  <c r="G194" i="1" s="1"/>
  <c r="I195" i="1"/>
  <c r="B195" i="1"/>
  <c r="G195" i="1" s="1"/>
  <c r="I198" i="1"/>
  <c r="B198" i="1"/>
  <c r="G198" i="1" s="1"/>
  <c r="I199" i="1"/>
  <c r="B199" i="1"/>
  <c r="G199" i="1" s="1"/>
  <c r="I202" i="1"/>
  <c r="B202" i="1"/>
  <c r="G202" i="1" s="1"/>
  <c r="I203" i="1"/>
  <c r="B203" i="1"/>
  <c r="G203" i="1" s="1"/>
  <c r="I206" i="1"/>
  <c r="B206" i="1"/>
  <c r="G206" i="1" s="1"/>
  <c r="I207" i="1"/>
  <c r="B207" i="1"/>
  <c r="G207" i="1" s="1"/>
  <c r="I210" i="1"/>
  <c r="B210" i="1"/>
  <c r="G210" i="1" s="1"/>
  <c r="I211" i="1"/>
  <c r="B211" i="1"/>
  <c r="G211" i="1" s="1"/>
  <c r="I214" i="1"/>
  <c r="B214" i="1"/>
  <c r="G214" i="1" s="1"/>
  <c r="I216" i="1"/>
  <c r="B216" i="1"/>
  <c r="G216" i="1" s="1"/>
  <c r="I218" i="1"/>
  <c r="B218" i="1"/>
  <c r="G218" i="1" s="1"/>
  <c r="I220" i="1"/>
  <c r="B220" i="1"/>
  <c r="G220" i="1" s="1"/>
  <c r="I222" i="1"/>
  <c r="B222" i="1"/>
  <c r="G222" i="1" s="1"/>
  <c r="I224" i="1"/>
  <c r="B224" i="1"/>
  <c r="G224" i="1" s="1"/>
  <c r="I226" i="1"/>
  <c r="B226" i="1"/>
  <c r="G226" i="1" s="1"/>
  <c r="I229" i="1"/>
  <c r="B229" i="1"/>
  <c r="G229" i="1" s="1"/>
  <c r="I231" i="1"/>
  <c r="B231" i="1"/>
  <c r="G231" i="1" s="1"/>
  <c r="I233" i="1"/>
  <c r="B233" i="1"/>
  <c r="G233" i="1" s="1"/>
  <c r="I235" i="1"/>
  <c r="B235" i="1"/>
  <c r="G235" i="1" s="1"/>
  <c r="I237" i="1"/>
  <c r="B237" i="1"/>
  <c r="G237" i="1" s="1"/>
  <c r="I239" i="1"/>
  <c r="B239" i="1"/>
  <c r="G239" i="1" s="1"/>
  <c r="I241" i="1"/>
  <c r="B241" i="1"/>
  <c r="G241" i="1" s="1"/>
  <c r="I244" i="1"/>
  <c r="B244" i="1"/>
  <c r="G244" i="1" s="1"/>
  <c r="I246" i="1"/>
  <c r="B246" i="1"/>
  <c r="G246" i="1" s="1"/>
  <c r="I248" i="1"/>
  <c r="B248" i="1"/>
  <c r="G248" i="1" s="1"/>
  <c r="I250" i="1"/>
  <c r="B250" i="1"/>
  <c r="G250" i="1" s="1"/>
  <c r="I252" i="1"/>
  <c r="B252" i="1"/>
  <c r="G252" i="1" s="1"/>
  <c r="I254" i="1"/>
  <c r="B254" i="1"/>
  <c r="G254" i="1" s="1"/>
  <c r="I257" i="1"/>
  <c r="B257" i="1"/>
  <c r="G257" i="1" s="1"/>
  <c r="I259" i="1"/>
  <c r="B259" i="1"/>
  <c r="G259" i="1" s="1"/>
  <c r="I261" i="1"/>
  <c r="B261" i="1"/>
  <c r="G261" i="1" s="1"/>
  <c r="I263" i="1"/>
  <c r="B263" i="1"/>
  <c r="G263" i="1" s="1"/>
  <c r="I265" i="1"/>
  <c r="B265" i="1"/>
  <c r="G265" i="1" s="1"/>
  <c r="I267" i="1"/>
  <c r="B267" i="1"/>
  <c r="G267" i="1" s="1"/>
  <c r="I269" i="1"/>
  <c r="B269" i="1"/>
  <c r="G269" i="1" s="1"/>
  <c r="I272" i="1"/>
  <c r="B272" i="1"/>
  <c r="G272" i="1" s="1"/>
  <c r="I274" i="1"/>
  <c r="B274" i="1"/>
  <c r="G274" i="1" s="1"/>
  <c r="I276" i="1"/>
  <c r="B276" i="1"/>
  <c r="G276" i="1" s="1"/>
  <c r="I278" i="1"/>
  <c r="B278" i="1"/>
  <c r="G278" i="1" s="1"/>
  <c r="I280" i="1"/>
  <c r="B280" i="1"/>
  <c r="G280" i="1" s="1"/>
  <c r="I282" i="1"/>
  <c r="B282" i="1"/>
  <c r="G282" i="1" s="1"/>
  <c r="I285" i="1"/>
  <c r="B285" i="1"/>
  <c r="G285" i="1" s="1"/>
  <c r="I287" i="1"/>
  <c r="B287" i="1"/>
  <c r="G287" i="1" s="1"/>
  <c r="I289" i="1"/>
  <c r="B289" i="1"/>
  <c r="G289" i="1" s="1"/>
  <c r="I291" i="1"/>
  <c r="B291" i="1"/>
  <c r="G291" i="1" s="1"/>
  <c r="I293" i="1"/>
  <c r="B293" i="1"/>
  <c r="G293" i="1" s="1"/>
  <c r="I7" i="1"/>
  <c r="I9" i="1"/>
  <c r="B9" i="1"/>
  <c r="G9" i="1" s="1"/>
  <c r="I10" i="1"/>
  <c r="I11" i="1"/>
  <c r="B11" i="1"/>
  <c r="I16" i="1"/>
  <c r="B16" i="1"/>
  <c r="G16" i="1" s="1"/>
  <c r="I19" i="1"/>
  <c r="B19" i="1"/>
  <c r="I20" i="1"/>
  <c r="I21" i="1"/>
  <c r="B21" i="1"/>
  <c r="I25" i="1"/>
  <c r="B25" i="1"/>
  <c r="I26" i="1"/>
  <c r="I29" i="1"/>
  <c r="B29" i="1"/>
  <c r="G29" i="1" s="1"/>
  <c r="I30" i="1"/>
  <c r="I33" i="1"/>
  <c r="B33" i="1"/>
  <c r="G33" i="1" s="1"/>
  <c r="I34" i="1"/>
  <c r="B34" i="1"/>
  <c r="I38" i="1"/>
  <c r="B38" i="1"/>
  <c r="G38" i="1" s="1"/>
  <c r="I42" i="1"/>
  <c r="B42" i="1"/>
  <c r="G42" i="1" s="1"/>
  <c r="I45" i="1"/>
  <c r="B45" i="1"/>
  <c r="G45" i="1" s="1"/>
  <c r="I49" i="1"/>
  <c r="B49" i="1"/>
  <c r="G49" i="1" s="1"/>
  <c r="I53" i="1"/>
  <c r="B53" i="1"/>
  <c r="G53" i="1" s="1"/>
  <c r="I54" i="1"/>
  <c r="I55" i="1"/>
  <c r="B55" i="1"/>
  <c r="G55" i="1" s="1"/>
  <c r="I56" i="1"/>
  <c r="I75" i="1"/>
  <c r="B75" i="1"/>
  <c r="G75" i="1" s="1"/>
  <c r="I77" i="1"/>
  <c r="B77" i="1"/>
  <c r="G77" i="1" s="1"/>
  <c r="A77" i="1" s="1"/>
  <c r="I78" i="1"/>
  <c r="B78" i="1"/>
  <c r="I80" i="1"/>
  <c r="B80" i="1"/>
  <c r="G80" i="1" s="1"/>
  <c r="B82" i="1"/>
  <c r="G82" i="1" s="1"/>
  <c r="I83" i="1"/>
  <c r="I88" i="1"/>
  <c r="I90" i="1"/>
  <c r="B90" i="1"/>
  <c r="G90" i="1" s="1"/>
  <c r="I91" i="1"/>
  <c r="B91" i="1"/>
  <c r="I92" i="1"/>
  <c r="B92" i="1"/>
  <c r="G92" i="1" s="1"/>
  <c r="I94" i="1"/>
  <c r="B94" i="1"/>
  <c r="G94" i="1" s="1"/>
  <c r="I95" i="1"/>
  <c r="I99" i="1"/>
  <c r="B99" i="1"/>
  <c r="G99" i="1" s="1"/>
  <c r="B100" i="1"/>
  <c r="G100" i="1" s="1"/>
  <c r="I103" i="1"/>
  <c r="B103" i="1"/>
  <c r="G103" i="1" s="1"/>
  <c r="I105" i="1"/>
  <c r="B105" i="1"/>
  <c r="G105" i="1" s="1"/>
  <c r="B106" i="1"/>
  <c r="G106" i="1" s="1"/>
  <c r="I107" i="1"/>
  <c r="B107" i="1"/>
  <c r="G107" i="1" s="1"/>
  <c r="B110" i="1"/>
  <c r="G110" i="1" s="1"/>
  <c r="I113" i="1"/>
  <c r="I114" i="1"/>
  <c r="B114" i="1"/>
  <c r="G114" i="1" s="1"/>
  <c r="I115" i="1"/>
  <c r="B115" i="1"/>
  <c r="I116" i="1"/>
  <c r="B116" i="1"/>
  <c r="G116" i="1" s="1"/>
  <c r="I119" i="1"/>
  <c r="B119" i="1"/>
  <c r="G119" i="1" s="1"/>
  <c r="I120" i="1"/>
  <c r="I122" i="1"/>
  <c r="I123" i="1"/>
  <c r="B123" i="1"/>
  <c r="G123" i="1" s="1"/>
  <c r="I125" i="1"/>
  <c r="B125" i="1"/>
  <c r="G125" i="1" s="1"/>
  <c r="I128" i="1"/>
  <c r="I130" i="1"/>
  <c r="B130" i="1"/>
  <c r="G130" i="1" s="1"/>
  <c r="I131" i="1"/>
  <c r="I133" i="1"/>
  <c r="B133" i="1"/>
  <c r="G133" i="1" s="1"/>
  <c r="I134" i="1"/>
  <c r="B134" i="1"/>
  <c r="I137" i="1"/>
  <c r="B137" i="1"/>
  <c r="G137" i="1" s="1"/>
  <c r="I138" i="1"/>
  <c r="B138" i="1"/>
  <c r="I139" i="1"/>
  <c r="I142" i="1"/>
  <c r="B142" i="1"/>
  <c r="G142" i="1" s="1"/>
  <c r="I143" i="1"/>
  <c r="I150" i="1"/>
  <c r="B150" i="1"/>
  <c r="G150" i="1" s="1"/>
  <c r="I151" i="1"/>
  <c r="I155" i="1"/>
  <c r="B155" i="1"/>
  <c r="G155" i="1" s="1"/>
  <c r="I158" i="1"/>
  <c r="B158" i="1"/>
  <c r="G158" i="1" s="1"/>
  <c r="I160" i="1"/>
  <c r="B160" i="1"/>
  <c r="G160" i="1" s="1"/>
  <c r="I162" i="1"/>
  <c r="B162" i="1"/>
  <c r="G162" i="1" s="1"/>
  <c r="I165" i="1"/>
  <c r="B165" i="1"/>
  <c r="G165" i="1" s="1"/>
  <c r="I167" i="1"/>
  <c r="B167" i="1"/>
  <c r="G167" i="1" s="1"/>
  <c r="I168" i="1"/>
  <c r="B168" i="1"/>
  <c r="I170" i="1"/>
  <c r="B170" i="1"/>
  <c r="G170" i="1" s="1"/>
  <c r="I171" i="1"/>
  <c r="B171" i="1"/>
  <c r="G171" i="1" s="1"/>
  <c r="I174" i="1"/>
  <c r="B174" i="1"/>
  <c r="G174" i="1" s="1"/>
  <c r="I175" i="1"/>
  <c r="B175" i="1"/>
  <c r="I177" i="1"/>
  <c r="B177" i="1"/>
  <c r="G177" i="1" s="1"/>
  <c r="I180" i="1"/>
  <c r="B180" i="1"/>
  <c r="G180" i="1" s="1"/>
  <c r="I182" i="1"/>
  <c r="B182" i="1"/>
  <c r="G182" i="1" s="1"/>
  <c r="I184" i="1"/>
  <c r="B184" i="1"/>
  <c r="G184" i="1" s="1"/>
  <c r="I187" i="1"/>
  <c r="B187" i="1"/>
  <c r="G187" i="1" s="1"/>
  <c r="I188" i="1"/>
  <c r="B188" i="1"/>
  <c r="G188" i="1" s="1"/>
  <c r="I191" i="1"/>
  <c r="B191" i="1"/>
  <c r="G191" i="1" s="1"/>
  <c r="I193" i="1"/>
  <c r="B193" i="1"/>
  <c r="G193" i="1" s="1"/>
  <c r="I196" i="1"/>
  <c r="B196" i="1"/>
  <c r="G196" i="1" s="1"/>
  <c r="I197" i="1"/>
  <c r="B197" i="1"/>
  <c r="G197" i="1" s="1"/>
  <c r="I200" i="1"/>
  <c r="B200" i="1"/>
  <c r="G200" i="1" s="1"/>
  <c r="I201" i="1"/>
  <c r="B201" i="1"/>
  <c r="G201" i="1" s="1"/>
  <c r="I204" i="1"/>
  <c r="B204" i="1"/>
  <c r="G204" i="1" s="1"/>
  <c r="I205" i="1"/>
  <c r="B205" i="1"/>
  <c r="G205" i="1" s="1"/>
  <c r="I208" i="1"/>
  <c r="B208" i="1"/>
  <c r="G208" i="1" s="1"/>
  <c r="I209" i="1"/>
  <c r="B209" i="1"/>
  <c r="G209" i="1" s="1"/>
  <c r="I212" i="1"/>
  <c r="B212" i="1"/>
  <c r="G212" i="1" s="1"/>
  <c r="I213" i="1"/>
  <c r="B213" i="1"/>
  <c r="G213" i="1" s="1"/>
  <c r="I215" i="1"/>
  <c r="B215" i="1"/>
  <c r="G215" i="1" s="1"/>
  <c r="I217" i="1"/>
  <c r="B217" i="1"/>
  <c r="G217" i="1" s="1"/>
  <c r="I219" i="1"/>
  <c r="B219" i="1"/>
  <c r="G219" i="1" s="1"/>
  <c r="I221" i="1"/>
  <c r="B221" i="1"/>
  <c r="G221" i="1" s="1"/>
  <c r="I223" i="1"/>
  <c r="B223" i="1"/>
  <c r="G223" i="1" s="1"/>
  <c r="I225" i="1"/>
  <c r="B225" i="1"/>
  <c r="G225" i="1" s="1"/>
  <c r="I228" i="1"/>
  <c r="B228" i="1"/>
  <c r="G228" i="1" s="1"/>
  <c r="I230" i="1"/>
  <c r="B230" i="1"/>
  <c r="G230" i="1" s="1"/>
  <c r="I232" i="1"/>
  <c r="B232" i="1"/>
  <c r="G232" i="1" s="1"/>
  <c r="I234" i="1"/>
  <c r="B234" i="1"/>
  <c r="G234" i="1" s="1"/>
  <c r="I236" i="1"/>
  <c r="B236" i="1"/>
  <c r="G236" i="1" s="1"/>
  <c r="I238" i="1"/>
  <c r="B238" i="1"/>
  <c r="G238" i="1" s="1"/>
  <c r="I240" i="1"/>
  <c r="B240" i="1"/>
  <c r="G240" i="1" s="1"/>
  <c r="I242" i="1"/>
  <c r="B242" i="1"/>
  <c r="G242" i="1" s="1"/>
  <c r="I243" i="1"/>
  <c r="I245" i="1"/>
  <c r="B245" i="1"/>
  <c r="G245" i="1" s="1"/>
  <c r="I247" i="1"/>
  <c r="B247" i="1"/>
  <c r="G247" i="1" s="1"/>
  <c r="I249" i="1"/>
  <c r="B249" i="1"/>
  <c r="G249" i="1" s="1"/>
  <c r="I251" i="1"/>
  <c r="B251" i="1"/>
  <c r="G251" i="1" s="1"/>
  <c r="I253" i="1"/>
  <c r="B253" i="1"/>
  <c r="G253" i="1" s="1"/>
  <c r="I256" i="1"/>
  <c r="B256" i="1"/>
  <c r="G256" i="1" s="1"/>
  <c r="I258" i="1"/>
  <c r="B258" i="1"/>
  <c r="G258" i="1" s="1"/>
  <c r="I260" i="1"/>
  <c r="B260" i="1"/>
  <c r="G260" i="1" s="1"/>
  <c r="I262" i="1"/>
  <c r="B262" i="1"/>
  <c r="G262" i="1" s="1"/>
  <c r="I264" i="1"/>
  <c r="B264" i="1"/>
  <c r="G264" i="1" s="1"/>
  <c r="I266" i="1"/>
  <c r="B266" i="1"/>
  <c r="G266" i="1" s="1"/>
  <c r="I268" i="1"/>
  <c r="B268" i="1"/>
  <c r="G268" i="1" s="1"/>
  <c r="I270" i="1"/>
  <c r="B270" i="1"/>
  <c r="G270" i="1" s="1"/>
  <c r="I271" i="1"/>
  <c r="I273" i="1"/>
  <c r="B273" i="1"/>
  <c r="G273" i="1" s="1"/>
  <c r="I275" i="1"/>
  <c r="B275" i="1"/>
  <c r="G275" i="1" s="1"/>
  <c r="I277" i="1"/>
  <c r="B277" i="1"/>
  <c r="G277" i="1" s="1"/>
  <c r="I279" i="1"/>
  <c r="B279" i="1"/>
  <c r="G279" i="1" s="1"/>
  <c r="I281" i="1"/>
  <c r="B281" i="1"/>
  <c r="G281" i="1" s="1"/>
  <c r="I284" i="1"/>
  <c r="B284" i="1"/>
  <c r="G284" i="1" s="1"/>
  <c r="I286" i="1"/>
  <c r="B286" i="1"/>
  <c r="G286" i="1" s="1"/>
  <c r="I288" i="1"/>
  <c r="B288" i="1"/>
  <c r="G288" i="1" s="1"/>
  <c r="I290" i="1"/>
  <c r="B290" i="1"/>
  <c r="G290" i="1" s="1"/>
  <c r="I292" i="1"/>
  <c r="B292" i="1"/>
  <c r="G292" i="1" s="1"/>
  <c r="I294" i="1"/>
  <c r="B294" i="1"/>
  <c r="G294" i="1" s="1"/>
  <c r="I295" i="1"/>
  <c r="I296" i="1"/>
  <c r="B296" i="1"/>
  <c r="G296" i="1" s="1"/>
  <c r="I297" i="1"/>
  <c r="Z49" i="1"/>
  <c r="AA43" i="1"/>
  <c r="AB43" i="1" s="1"/>
  <c r="AC43" i="1" s="1"/>
  <c r="T43" i="1" s="1"/>
  <c r="Z46" i="1"/>
  <c r="Z48" i="1"/>
  <c r="Z78" i="1"/>
  <c r="Z81" i="1"/>
  <c r="AB81" i="1" s="1"/>
  <c r="AC81" i="1" s="1"/>
  <c r="T81" i="1" s="1"/>
  <c r="Z86" i="1"/>
  <c r="AB86" i="1" s="1"/>
  <c r="AC86" i="1" s="1"/>
  <c r="T86" i="1" s="1"/>
  <c r="AA160" i="1"/>
  <c r="AB160" i="1" s="1"/>
  <c r="AC160" i="1" s="1"/>
  <c r="T160" i="1" s="1"/>
  <c r="Z161" i="1"/>
  <c r="AB161" i="1" s="1"/>
  <c r="AC161" i="1" s="1"/>
  <c r="T161" i="1" s="1"/>
  <c r="Z164" i="1"/>
  <c r="AB164" i="1" s="1"/>
  <c r="AC164" i="1" s="1"/>
  <c r="T164" i="1" s="1"/>
  <c r="Z167" i="1"/>
  <c r="Z178" i="1"/>
  <c r="Z180" i="1"/>
  <c r="AB180" i="1" s="1"/>
  <c r="AC180" i="1" s="1"/>
  <c r="T180" i="1" s="1"/>
  <c r="AA194" i="1"/>
  <c r="AA196" i="1"/>
  <c r="AA198" i="1"/>
  <c r="AA200" i="1"/>
  <c r="AA202" i="1"/>
  <c r="Z206" i="1"/>
  <c r="AA206" i="1"/>
  <c r="Z3" i="1"/>
  <c r="Z29" i="1"/>
  <c r="Z35" i="1"/>
  <c r="AB35" i="1" s="1"/>
  <c r="AC35" i="1" s="1"/>
  <c r="T35" i="1" s="1"/>
  <c r="Z51" i="1"/>
  <c r="Z54" i="1"/>
  <c r="Z60" i="1"/>
  <c r="Z93" i="1"/>
  <c r="Z96" i="1"/>
  <c r="Z97" i="1"/>
  <c r="AB97" i="1" s="1"/>
  <c r="AC97" i="1" s="1"/>
  <c r="T97" i="1" s="1"/>
  <c r="Z101" i="1"/>
  <c r="AB101" i="1" s="1"/>
  <c r="AC101" i="1" s="1"/>
  <c r="T101" i="1" s="1"/>
  <c r="Z106" i="1"/>
  <c r="AB106" i="1" s="1"/>
  <c r="AA107" i="1"/>
  <c r="AB107" i="1" s="1"/>
  <c r="AC107" i="1" s="1"/>
  <c r="T107" i="1" s="1"/>
  <c r="Z108" i="1"/>
  <c r="AB108" i="1" s="1"/>
  <c r="Z109" i="1"/>
  <c r="AB109" i="1" s="1"/>
  <c r="AC109" i="1" s="1"/>
  <c r="T109" i="1" s="1"/>
  <c r="Z117" i="1"/>
  <c r="AB117" i="1" s="1"/>
  <c r="AC117" i="1" s="1"/>
  <c r="T117" i="1" s="1"/>
  <c r="Z119" i="1"/>
  <c r="Z122" i="1"/>
  <c r="AB122" i="1" s="1"/>
  <c r="AC122" i="1" s="1"/>
  <c r="T122" i="1" s="1"/>
  <c r="AA123" i="1"/>
  <c r="AB123" i="1" s="1"/>
  <c r="AC123" i="1" s="1"/>
  <c r="T123" i="1" s="1"/>
  <c r="AA124" i="1"/>
  <c r="AB124" i="1" s="1"/>
  <c r="AC124" i="1" s="1"/>
  <c r="T124" i="1" s="1"/>
  <c r="Z126" i="1"/>
  <c r="AB126" i="1" s="1"/>
  <c r="AC126" i="1" s="1"/>
  <c r="T126" i="1" s="1"/>
  <c r="Z130" i="1"/>
  <c r="AA134" i="1"/>
  <c r="AB134" i="1" s="1"/>
  <c r="AC134" i="1" s="1"/>
  <c r="T134" i="1" s="1"/>
  <c r="Z137" i="1"/>
  <c r="AB137" i="1" s="1"/>
  <c r="AC137" i="1" s="1"/>
  <c r="T137" i="1" s="1"/>
  <c r="AA139" i="1"/>
  <c r="AB139" i="1" s="1"/>
  <c r="AC139" i="1" s="1"/>
  <c r="T139" i="1" s="1"/>
  <c r="Z140" i="1"/>
  <c r="AB140" i="1" s="1"/>
  <c r="AC140" i="1" s="1"/>
  <c r="T140" i="1" s="1"/>
  <c r="Z144" i="1"/>
  <c r="Z145" i="1"/>
  <c r="AB145" i="1" s="1"/>
  <c r="Z147" i="1"/>
  <c r="AB147" i="1" s="1"/>
  <c r="AC147" i="1" s="1"/>
  <c r="T147" i="1" s="1"/>
  <c r="Z152" i="1"/>
  <c r="AA154" i="1"/>
  <c r="AB154" i="1" s="1"/>
  <c r="AC154" i="1" s="1"/>
  <c r="T154" i="1" s="1"/>
  <c r="Z156" i="1"/>
  <c r="AB156" i="1" s="1"/>
  <c r="AC156" i="1" s="1"/>
  <c r="T156" i="1" s="1"/>
  <c r="AA185" i="1"/>
  <c r="AA187" i="1"/>
  <c r="AA189" i="1"/>
  <c r="Z204" i="1"/>
  <c r="AA204" i="1"/>
  <c r="Z208" i="1"/>
  <c r="AA208" i="1"/>
  <c r="Z254" i="1"/>
  <c r="Z259" i="1"/>
  <c r="Z260" i="1"/>
  <c r="Z261" i="1"/>
  <c r="Z262" i="1"/>
  <c r="Z270" i="1"/>
  <c r="Z294" i="1"/>
  <c r="W3" i="4"/>
  <c r="AA210" i="1"/>
  <c r="AA212" i="1"/>
  <c r="Z215" i="1"/>
  <c r="Z216" i="1"/>
  <c r="Z217" i="1"/>
  <c r="Z218" i="1"/>
  <c r="Z223" i="1"/>
  <c r="Z224" i="1"/>
  <c r="Z225" i="1"/>
  <c r="Z226" i="1"/>
  <c r="Z231" i="1"/>
  <c r="Z232" i="1"/>
  <c r="Z233" i="1"/>
  <c r="Z234" i="1"/>
  <c r="Z239" i="1"/>
  <c r="Z240" i="1"/>
  <c r="Z241" i="1"/>
  <c r="Z242" i="1"/>
  <c r="Z247" i="1"/>
  <c r="Z248" i="1"/>
  <c r="Z249" i="1"/>
  <c r="Z250" i="1"/>
  <c r="Z263" i="1"/>
  <c r="Z264" i="1"/>
  <c r="Z265" i="1"/>
  <c r="Z266" i="1"/>
  <c r="Z272" i="1"/>
  <c r="Z273" i="1"/>
  <c r="Z274" i="1"/>
  <c r="Z279" i="1"/>
  <c r="Z280" i="1"/>
  <c r="Z281" i="1"/>
  <c r="Z282" i="1"/>
  <c r="Z287" i="1"/>
  <c r="Z288" i="1"/>
  <c r="Z289" i="1"/>
  <c r="Z290" i="1"/>
  <c r="Z296" i="1"/>
  <c r="U3" i="4"/>
  <c r="Z40" i="1"/>
  <c r="AB40" i="1" s="1"/>
  <c r="AC40" i="1" s="1"/>
  <c r="T40" i="1" s="1"/>
  <c r="Z37" i="1"/>
  <c r="AB37" i="1" s="1"/>
  <c r="AC37" i="1" s="1"/>
  <c r="T37" i="1" s="1"/>
  <c r="Z36" i="1"/>
  <c r="AB36" i="1" s="1"/>
  <c r="AC36" i="1" s="1"/>
  <c r="T36" i="1" s="1"/>
  <c r="Z32" i="1"/>
  <c r="AB32" i="1" s="1"/>
  <c r="AC32" i="1" s="1"/>
  <c r="T32" i="1" s="1"/>
  <c r="Z33" i="1"/>
  <c r="AB33" i="1" s="1"/>
  <c r="AC33" i="1" s="1"/>
  <c r="T33" i="1" s="1"/>
  <c r="I23" i="1"/>
  <c r="Z28" i="1"/>
  <c r="AB28" i="1" s="1"/>
  <c r="AC28" i="1" s="1"/>
  <c r="T28" i="1" s="1"/>
  <c r="Z22" i="1"/>
  <c r="AB22" i="1" s="1"/>
  <c r="AC22" i="1" s="1"/>
  <c r="T22" i="1" s="1"/>
  <c r="Z20" i="1"/>
  <c r="AB20" i="1" s="1"/>
  <c r="AC20" i="1" s="1"/>
  <c r="T20" i="1" s="1"/>
  <c r="Z21" i="1"/>
  <c r="AB21" i="1" s="1"/>
  <c r="AC21" i="1" s="1"/>
  <c r="T21" i="1" s="1"/>
  <c r="Z16" i="1"/>
  <c r="AB16" i="1" s="1"/>
  <c r="AC16" i="1" s="1"/>
  <c r="T16" i="1" s="1"/>
  <c r="Z14" i="1"/>
  <c r="AB14" i="1" s="1"/>
  <c r="AC14" i="1" s="1"/>
  <c r="T14" i="1" s="1"/>
  <c r="Z15" i="1"/>
  <c r="AB15" i="1" s="1"/>
  <c r="AC15" i="1" s="1"/>
  <c r="T15" i="1" s="1"/>
  <c r="Z12" i="1"/>
  <c r="AB12" i="1" s="1"/>
  <c r="AC12" i="1" s="1"/>
  <c r="T12" i="1" s="1"/>
  <c r="Z13" i="1"/>
  <c r="AB13" i="1" s="1"/>
  <c r="AC13" i="1" s="1"/>
  <c r="T13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98" i="1"/>
  <c r="AB98" i="1" s="1"/>
  <c r="AC98" i="1" s="1"/>
  <c r="T98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7" i="1"/>
  <c r="AA23" i="1"/>
  <c r="AA26" i="1"/>
  <c r="AB26" i="1" s="1"/>
  <c r="AC26" i="1" s="1"/>
  <c r="T26" i="1" s="1"/>
  <c r="AA27" i="1"/>
  <c r="AA30" i="1"/>
  <c r="AB30" i="1" s="1"/>
  <c r="AC30" i="1" s="1"/>
  <c r="T30" i="1" s="1"/>
  <c r="AA31" i="1"/>
  <c r="AA34" i="1"/>
  <c r="AB34" i="1" s="1"/>
  <c r="AC34" i="1" s="1"/>
  <c r="T34" i="1" s="1"/>
  <c r="AA38" i="1"/>
  <c r="AB38" i="1" s="1"/>
  <c r="AC38" i="1" s="1"/>
  <c r="T38" i="1" s="1"/>
  <c r="AA39" i="1"/>
  <c r="AA41" i="1"/>
  <c r="AB41" i="1" s="1"/>
  <c r="AC41" i="1" s="1"/>
  <c r="T41" i="1" s="1"/>
  <c r="AA42" i="1"/>
  <c r="AA44" i="1"/>
  <c r="AB44" i="1" s="1"/>
  <c r="AC44" i="1" s="1"/>
  <c r="T44" i="1" s="1"/>
  <c r="AA45" i="1"/>
  <c r="AB45" i="1" s="1"/>
  <c r="AC45" i="1" s="1"/>
  <c r="T45" i="1" s="1"/>
  <c r="AA47" i="1"/>
  <c r="AA50" i="1"/>
  <c r="AB50" i="1" s="1"/>
  <c r="AC50" i="1" s="1"/>
  <c r="T50" i="1" s="1"/>
  <c r="AA52" i="1"/>
  <c r="AB52" i="1" s="1"/>
  <c r="AC52" i="1" s="1"/>
  <c r="T52" i="1" s="1"/>
  <c r="AA53" i="1"/>
  <c r="AA61" i="1"/>
  <c r="AB61" i="1" s="1"/>
  <c r="AC61" i="1" s="1"/>
  <c r="T61" i="1" s="1"/>
  <c r="AA74" i="1"/>
  <c r="AB74" i="1" s="1"/>
  <c r="AC74" i="1" s="1"/>
  <c r="T74" i="1" s="1"/>
  <c r="AA75" i="1"/>
  <c r="AA77" i="1"/>
  <c r="AB77" i="1" s="1"/>
  <c r="AC77" i="1" s="1"/>
  <c r="T77" i="1" s="1"/>
  <c r="AA79" i="1"/>
  <c r="AB79" i="1" s="1"/>
  <c r="AC79" i="1" s="1"/>
  <c r="T79" i="1" s="1"/>
  <c r="AA80" i="1"/>
  <c r="AA84" i="1"/>
  <c r="AB84" i="1" s="1"/>
  <c r="AC84" i="1" s="1"/>
  <c r="T84" i="1" s="1"/>
  <c r="AA85" i="1"/>
  <c r="AA87" i="1"/>
  <c r="AA88" i="1"/>
  <c r="AB88" i="1" s="1"/>
  <c r="AC88" i="1" s="1"/>
  <c r="T88" i="1" s="1"/>
  <c r="AA90" i="1"/>
  <c r="AB90" i="1" s="1"/>
  <c r="AA91" i="1"/>
  <c r="AB91" i="1" s="1"/>
  <c r="AC91" i="1" s="1"/>
  <c r="T91" i="1" s="1"/>
  <c r="AA92" i="1"/>
  <c r="AB92" i="1" s="1"/>
  <c r="AA100" i="1"/>
  <c r="AB100" i="1" s="1"/>
  <c r="AA105" i="1"/>
  <c r="AB105" i="1" s="1"/>
  <c r="AC105" i="1" s="1"/>
  <c r="T105" i="1" s="1"/>
  <c r="AA110" i="1"/>
  <c r="AB110" i="1" s="1"/>
  <c r="AA111" i="1"/>
  <c r="AB111" i="1" s="1"/>
  <c r="AC111" i="1" s="1"/>
  <c r="T111" i="1" s="1"/>
  <c r="AA116" i="1"/>
  <c r="AB116" i="1" s="1"/>
  <c r="AC116" i="1" s="1"/>
  <c r="T116" i="1" s="1"/>
  <c r="AA120" i="1"/>
  <c r="AB120" i="1" s="1"/>
  <c r="AC120" i="1" s="1"/>
  <c r="T120" i="1" s="1"/>
  <c r="AA127" i="1"/>
  <c r="AA128" i="1"/>
  <c r="AB128" i="1" s="1"/>
  <c r="AC128" i="1" s="1"/>
  <c r="T128" i="1" s="1"/>
  <c r="AA129" i="1"/>
  <c r="AB129" i="1" s="1"/>
  <c r="AC129" i="1" s="1"/>
  <c r="T129" i="1" s="1"/>
  <c r="AA141" i="1"/>
  <c r="AB141" i="1" s="1"/>
  <c r="AC141" i="1" s="1"/>
  <c r="T141" i="1" s="1"/>
  <c r="AA148" i="1"/>
  <c r="AA149" i="1"/>
  <c r="AB149" i="1" s="1"/>
  <c r="AC149" i="1" s="1"/>
  <c r="T149" i="1" s="1"/>
  <c r="AA157" i="1"/>
  <c r="AB157" i="1" s="1"/>
  <c r="AC157" i="1" s="1"/>
  <c r="T157" i="1" s="1"/>
  <c r="AA158" i="1"/>
  <c r="AB158" i="1" s="1"/>
  <c r="AC158" i="1" s="1"/>
  <c r="T158" i="1" s="1"/>
  <c r="AA163" i="1"/>
  <c r="AA172" i="1"/>
  <c r="AA174" i="1"/>
  <c r="AA213" i="1"/>
  <c r="Z213" i="1"/>
  <c r="Z179" i="1"/>
  <c r="AB179" i="1" s="1"/>
  <c r="AC179" i="1"/>
  <c r="T179" i="1" s="1"/>
  <c r="Z181" i="1"/>
  <c r="AB181" i="1" s="1"/>
  <c r="AC181" i="1" s="1"/>
  <c r="T181" i="1" s="1"/>
  <c r="Z182" i="1"/>
  <c r="AB182" i="1" s="1"/>
  <c r="AC182" i="1" s="1"/>
  <c r="T182" i="1" s="1"/>
  <c r="I47" i="1"/>
  <c r="I74" i="1"/>
  <c r="I82" i="1"/>
  <c r="I100" i="1"/>
  <c r="I104" i="1"/>
  <c r="I106" i="1"/>
  <c r="I110" i="1"/>
  <c r="AC175" i="1"/>
  <c r="T175" i="1" s="1"/>
  <c r="AC177" i="1"/>
  <c r="T177" i="1" s="1"/>
  <c r="Z177" i="1"/>
  <c r="AB177" i="1" s="1"/>
  <c r="Z176" i="1"/>
  <c r="AB176" i="1" s="1"/>
  <c r="AC176" i="1" s="1"/>
  <c r="T176" i="1" s="1"/>
  <c r="Z175" i="1"/>
  <c r="AB175" i="1" s="1"/>
  <c r="Z173" i="1"/>
  <c r="AB173" i="1" s="1"/>
  <c r="AC173" i="1" s="1"/>
  <c r="T173" i="1" s="1"/>
  <c r="AC168" i="1"/>
  <c r="T168" i="1" s="1"/>
  <c r="Z169" i="1"/>
  <c r="AB169" i="1" s="1"/>
  <c r="AC169" i="1" s="1"/>
  <c r="T169" i="1" s="1"/>
  <c r="Z171" i="1"/>
  <c r="AB171" i="1" s="1"/>
  <c r="AC171" i="1" s="1"/>
  <c r="T171" i="1" s="1"/>
  <c r="Z170" i="1"/>
  <c r="AB170" i="1" s="1"/>
  <c r="AC170" i="1" s="1"/>
  <c r="T170" i="1" s="1"/>
  <c r="AA168" i="1"/>
  <c r="AB168" i="1" s="1"/>
  <c r="Z166" i="1"/>
  <c r="AB166" i="1" s="1"/>
  <c r="AC166" i="1"/>
  <c r="T166" i="1" s="1"/>
  <c r="Z165" i="1"/>
  <c r="AB165" i="1" s="1"/>
  <c r="AC165" i="1" s="1"/>
  <c r="T165" i="1" s="1"/>
  <c r="Z162" i="1"/>
  <c r="AB162" i="1" s="1"/>
  <c r="AC162" i="1" s="1"/>
  <c r="T162" i="1" s="1"/>
  <c r="AD52" i="1"/>
  <c r="AD79" i="1"/>
  <c r="B4" i="1"/>
  <c r="B7" i="1"/>
  <c r="B10" i="1"/>
  <c r="B18" i="1"/>
  <c r="B20" i="1"/>
  <c r="B24" i="1"/>
  <c r="B26" i="1"/>
  <c r="B28" i="1"/>
  <c r="B30" i="1"/>
  <c r="B32" i="1"/>
  <c r="B40" i="1"/>
  <c r="B43" i="1"/>
  <c r="B48" i="1"/>
  <c r="B54" i="1"/>
  <c r="AB93" i="1" l="1"/>
  <c r="AC93" i="1" s="1"/>
  <c r="T93" i="1" s="1"/>
  <c r="AA89" i="1"/>
  <c r="AB89" i="1" s="1"/>
  <c r="AC89" i="1" s="1"/>
  <c r="T89" i="1" s="1"/>
  <c r="AA93" i="1"/>
  <c r="AA83" i="1"/>
  <c r="AB83" i="1" s="1"/>
  <c r="AC83" i="1" s="1"/>
  <c r="T83" i="1" s="1"/>
  <c r="A296" i="1"/>
  <c r="AD296" i="1" s="1"/>
  <c r="A270" i="1"/>
  <c r="AD270" i="1" s="1"/>
  <c r="A268" i="1"/>
  <c r="AD268" i="1" s="1"/>
  <c r="A266" i="1"/>
  <c r="AD266" i="1" s="1"/>
  <c r="A264" i="1"/>
  <c r="AD264" i="1" s="1"/>
  <c r="A262" i="1"/>
  <c r="AD262" i="1" s="1"/>
  <c r="A260" i="1"/>
  <c r="AD260" i="1" s="1"/>
  <c r="A258" i="1"/>
  <c r="AD258" i="1" s="1"/>
  <c r="A256" i="1"/>
  <c r="AD256" i="1" s="1"/>
  <c r="A253" i="1"/>
  <c r="AD253" i="1" s="1"/>
  <c r="A251" i="1"/>
  <c r="AD251" i="1" s="1"/>
  <c r="A249" i="1"/>
  <c r="AD249" i="1" s="1"/>
  <c r="A247" i="1"/>
  <c r="AD247" i="1" s="1"/>
  <c r="A245" i="1"/>
  <c r="AD245" i="1" s="1"/>
  <c r="A107" i="1"/>
  <c r="AD107" i="1" s="1"/>
  <c r="A106" i="1"/>
  <c r="AD106" i="1" s="1"/>
  <c r="A99" i="1"/>
  <c r="AD99" i="1" s="1"/>
  <c r="A94" i="1"/>
  <c r="AD94" i="1" s="1"/>
  <c r="A92" i="1"/>
  <c r="AD92" i="1" s="1"/>
  <c r="A90" i="1"/>
  <c r="A82" i="1"/>
  <c r="AD82" i="1" s="1"/>
  <c r="A55" i="1"/>
  <c r="AD55" i="1" s="1"/>
  <c r="A29" i="1"/>
  <c r="AD29" i="1" s="1"/>
  <c r="A16" i="1"/>
  <c r="AD16" i="1" s="1"/>
  <c r="A293" i="1"/>
  <c r="AD293" i="1" s="1"/>
  <c r="A291" i="1"/>
  <c r="AD291" i="1" s="1"/>
  <c r="A289" i="1"/>
  <c r="AD289" i="1" s="1"/>
  <c r="A287" i="1"/>
  <c r="AD287" i="1" s="1"/>
  <c r="A285" i="1"/>
  <c r="AD285" i="1" s="1"/>
  <c r="A282" i="1"/>
  <c r="AD282" i="1" s="1"/>
  <c r="A280" i="1"/>
  <c r="AD280" i="1" s="1"/>
  <c r="A278" i="1"/>
  <c r="AD278" i="1" s="1"/>
  <c r="A276" i="1"/>
  <c r="AD276" i="1" s="1"/>
  <c r="A274" i="1"/>
  <c r="AD274" i="1" s="1"/>
  <c r="A272" i="1"/>
  <c r="AD272" i="1" s="1"/>
  <c r="A269" i="1"/>
  <c r="AD269" i="1" s="1"/>
  <c r="A267" i="1"/>
  <c r="AD267" i="1" s="1"/>
  <c r="A265" i="1"/>
  <c r="AD265" i="1" s="1"/>
  <c r="A263" i="1"/>
  <c r="AD263" i="1" s="1"/>
  <c r="A261" i="1"/>
  <c r="AD261" i="1" s="1"/>
  <c r="A259" i="1"/>
  <c r="AD259" i="1" s="1"/>
  <c r="A257" i="1"/>
  <c r="AD257" i="1" s="1"/>
  <c r="A254" i="1"/>
  <c r="AD254" i="1" s="1"/>
  <c r="A252" i="1"/>
  <c r="AD252" i="1" s="1"/>
  <c r="A250" i="1"/>
  <c r="AD250" i="1" s="1"/>
  <c r="A248" i="1"/>
  <c r="AD248" i="1" s="1"/>
  <c r="A246" i="1"/>
  <c r="AD246" i="1" s="1"/>
  <c r="A244" i="1"/>
  <c r="AD244" i="1" s="1"/>
  <c r="A241" i="1"/>
  <c r="AD241" i="1" s="1"/>
  <c r="A239" i="1"/>
  <c r="AD239" i="1" s="1"/>
  <c r="A237" i="1"/>
  <c r="AD237" i="1" s="1"/>
  <c r="A235" i="1"/>
  <c r="AD235" i="1" s="1"/>
  <c r="A233" i="1"/>
  <c r="AD233" i="1" s="1"/>
  <c r="A231" i="1"/>
  <c r="AD231" i="1" s="1"/>
  <c r="A229" i="1"/>
  <c r="AD229" i="1" s="1"/>
  <c r="A226" i="1"/>
  <c r="AD226" i="1" s="1"/>
  <c r="A224" i="1"/>
  <c r="AD224" i="1" s="1"/>
  <c r="A222" i="1"/>
  <c r="AD222" i="1" s="1"/>
  <c r="A220" i="1"/>
  <c r="AD220" i="1" s="1"/>
  <c r="A218" i="1"/>
  <c r="AD218" i="1" s="1"/>
  <c r="A216" i="1"/>
  <c r="AD216" i="1" s="1"/>
  <c r="A214" i="1"/>
  <c r="AD214" i="1" s="1"/>
  <c r="A211" i="1"/>
  <c r="AD211" i="1" s="1"/>
  <c r="A210" i="1"/>
  <c r="AD210" i="1" s="1"/>
  <c r="A207" i="1"/>
  <c r="AD207" i="1" s="1"/>
  <c r="A206" i="1"/>
  <c r="AD206" i="1" s="1"/>
  <c r="A203" i="1"/>
  <c r="AD203" i="1" s="1"/>
  <c r="A202" i="1"/>
  <c r="AD202" i="1" s="1"/>
  <c r="A199" i="1"/>
  <c r="AD199" i="1" s="1"/>
  <c r="A198" i="1"/>
  <c r="AD198" i="1" s="1"/>
  <c r="A195" i="1"/>
  <c r="AD195" i="1" s="1"/>
  <c r="A194" i="1"/>
  <c r="AD194" i="1" s="1"/>
  <c r="A192" i="1"/>
  <c r="AD192" i="1" s="1"/>
  <c r="A190" i="1"/>
  <c r="AD190" i="1" s="1"/>
  <c r="A189" i="1"/>
  <c r="AD189" i="1" s="1"/>
  <c r="A186" i="1"/>
  <c r="AD186" i="1" s="1"/>
  <c r="A185" i="1"/>
  <c r="AD185" i="1" s="1"/>
  <c r="A183" i="1"/>
  <c r="AD183" i="1" s="1"/>
  <c r="A181" i="1"/>
  <c r="AD181" i="1" s="1"/>
  <c r="A178" i="1"/>
  <c r="AD178" i="1" s="1"/>
  <c r="A176" i="1"/>
  <c r="AD176" i="1" s="1"/>
  <c r="A172" i="1"/>
  <c r="AD172" i="1" s="1"/>
  <c r="A169" i="1"/>
  <c r="AD169" i="1" s="1"/>
  <c r="A166" i="1"/>
  <c r="AD166" i="1" s="1"/>
  <c r="A163" i="1"/>
  <c r="AD163" i="1" s="1"/>
  <c r="A159" i="1"/>
  <c r="AD159" i="1" s="1"/>
  <c r="A157" i="1"/>
  <c r="AD157" i="1" s="1"/>
  <c r="A152" i="1"/>
  <c r="AD152" i="1" s="1"/>
  <c r="A141" i="1"/>
  <c r="AD141" i="1" s="1"/>
  <c r="A135" i="1"/>
  <c r="AD135" i="1" s="1"/>
  <c r="A127" i="1"/>
  <c r="AD127" i="1" s="1"/>
  <c r="A118" i="1"/>
  <c r="AD118" i="1" s="1"/>
  <c r="A117" i="1"/>
  <c r="AD117" i="1" s="1"/>
  <c r="A111" i="1"/>
  <c r="A108" i="1"/>
  <c r="A104" i="1"/>
  <c r="AD104" i="1" s="1"/>
  <c r="A74" i="1"/>
  <c r="AD74" i="1" s="1"/>
  <c r="A60" i="1"/>
  <c r="AD60" i="1" s="1"/>
  <c r="A46" i="1"/>
  <c r="AD46" i="1" s="1"/>
  <c r="A23" i="1"/>
  <c r="AD23" i="1" s="1"/>
  <c r="A17" i="1"/>
  <c r="AD17" i="1" s="1"/>
  <c r="A8" i="1"/>
  <c r="AD8" i="1" s="1"/>
  <c r="A294" i="1"/>
  <c r="AD294" i="1" s="1"/>
  <c r="A292" i="1"/>
  <c r="AD292" i="1" s="1"/>
  <c r="A290" i="1"/>
  <c r="AD290" i="1" s="1"/>
  <c r="A288" i="1"/>
  <c r="AD288" i="1" s="1"/>
  <c r="A286" i="1"/>
  <c r="AD286" i="1" s="1"/>
  <c r="A284" i="1"/>
  <c r="AD284" i="1" s="1"/>
  <c r="A281" i="1"/>
  <c r="AD281" i="1" s="1"/>
  <c r="A279" i="1"/>
  <c r="AD279" i="1" s="1"/>
  <c r="A277" i="1"/>
  <c r="AD277" i="1" s="1"/>
  <c r="A275" i="1"/>
  <c r="AD275" i="1" s="1"/>
  <c r="A273" i="1"/>
  <c r="AD273" i="1" s="1"/>
  <c r="A242" i="1"/>
  <c r="AD242" i="1" s="1"/>
  <c r="A240" i="1"/>
  <c r="AD240" i="1" s="1"/>
  <c r="A238" i="1"/>
  <c r="AD238" i="1" s="1"/>
  <c r="A236" i="1"/>
  <c r="AD236" i="1" s="1"/>
  <c r="A234" i="1"/>
  <c r="AD234" i="1" s="1"/>
  <c r="A232" i="1"/>
  <c r="AD232" i="1" s="1"/>
  <c r="A230" i="1"/>
  <c r="AD230" i="1" s="1"/>
  <c r="A228" i="1"/>
  <c r="AD228" i="1" s="1"/>
  <c r="A225" i="1"/>
  <c r="AD225" i="1" s="1"/>
  <c r="A223" i="1"/>
  <c r="AD223" i="1" s="1"/>
  <c r="A221" i="1"/>
  <c r="AD221" i="1" s="1"/>
  <c r="A219" i="1"/>
  <c r="AD219" i="1" s="1"/>
  <c r="A217" i="1"/>
  <c r="AD217" i="1" s="1"/>
  <c r="A215" i="1"/>
  <c r="AD215" i="1" s="1"/>
  <c r="A213" i="1"/>
  <c r="AD213" i="1" s="1"/>
  <c r="A212" i="1"/>
  <c r="AD212" i="1" s="1"/>
  <c r="A209" i="1"/>
  <c r="AD209" i="1" s="1"/>
  <c r="A208" i="1"/>
  <c r="AD208" i="1" s="1"/>
  <c r="A205" i="1"/>
  <c r="AD205" i="1" s="1"/>
  <c r="A204" i="1"/>
  <c r="AD204" i="1" s="1"/>
  <c r="A201" i="1"/>
  <c r="AD201" i="1" s="1"/>
  <c r="A200" i="1"/>
  <c r="AD200" i="1" s="1"/>
  <c r="A197" i="1"/>
  <c r="AD197" i="1" s="1"/>
  <c r="A196" i="1"/>
  <c r="AD196" i="1" s="1"/>
  <c r="A193" i="1"/>
  <c r="AD193" i="1" s="1"/>
  <c r="A191" i="1"/>
  <c r="AD191" i="1" s="1"/>
  <c r="A188" i="1"/>
  <c r="AD188" i="1" s="1"/>
  <c r="A187" i="1"/>
  <c r="AD187" i="1" s="1"/>
  <c r="A184" i="1"/>
  <c r="AD184" i="1" s="1"/>
  <c r="A182" i="1"/>
  <c r="AD182" i="1" s="1"/>
  <c r="A180" i="1"/>
  <c r="AD180" i="1" s="1"/>
  <c r="A177" i="1"/>
  <c r="AD177" i="1" s="1"/>
  <c r="A174" i="1"/>
  <c r="AD174" i="1" s="1"/>
  <c r="A171" i="1"/>
  <c r="AD171" i="1" s="1"/>
  <c r="A170" i="1"/>
  <c r="AD170" i="1" s="1"/>
  <c r="A167" i="1"/>
  <c r="AD167" i="1" s="1"/>
  <c r="A165" i="1"/>
  <c r="AD165" i="1" s="1"/>
  <c r="A162" i="1"/>
  <c r="AD162" i="1" s="1"/>
  <c r="A160" i="1"/>
  <c r="A158" i="1"/>
  <c r="AD158" i="1" s="1"/>
  <c r="A155" i="1"/>
  <c r="AD155" i="1" s="1"/>
  <c r="A150" i="1"/>
  <c r="AD150" i="1" s="1"/>
  <c r="A142" i="1"/>
  <c r="AD142" i="1" s="1"/>
  <c r="A137" i="1"/>
  <c r="A133" i="1"/>
  <c r="A130" i="1"/>
  <c r="AD130" i="1" s="1"/>
  <c r="A125" i="1"/>
  <c r="AD125" i="1" s="1"/>
  <c r="A123" i="1"/>
  <c r="AD123" i="1" s="1"/>
  <c r="A119" i="1"/>
  <c r="AD119" i="1" s="1"/>
  <c r="A116" i="1"/>
  <c r="AD116" i="1" s="1"/>
  <c r="A114" i="1"/>
  <c r="A110" i="1"/>
  <c r="AD110" i="1" s="1"/>
  <c r="A105" i="1"/>
  <c r="AD105" i="1" s="1"/>
  <c r="A103" i="1"/>
  <c r="AD103" i="1" s="1"/>
  <c r="A100" i="1"/>
  <c r="AD100" i="1" s="1"/>
  <c r="A80" i="1"/>
  <c r="AD80" i="1" s="1"/>
  <c r="A75" i="1"/>
  <c r="AD75" i="1" s="1"/>
  <c r="A53" i="1"/>
  <c r="AD53" i="1" s="1"/>
  <c r="A49" i="1"/>
  <c r="AD49" i="1" s="1"/>
  <c r="A45" i="1"/>
  <c r="AD45" i="1" s="1"/>
  <c r="A42" i="1"/>
  <c r="AD42" i="1" s="1"/>
  <c r="A38" i="1"/>
  <c r="AD38" i="1" s="1"/>
  <c r="A33" i="1"/>
  <c r="AD33" i="1" s="1"/>
  <c r="A9" i="1"/>
  <c r="AD9" i="1" s="1"/>
  <c r="A96" i="1"/>
  <c r="AD96" i="1" s="1"/>
  <c r="A93" i="1"/>
  <c r="AD93" i="1" s="1"/>
  <c r="A87" i="1"/>
  <c r="AD87" i="1" s="1"/>
  <c r="A84" i="1"/>
  <c r="A51" i="1"/>
  <c r="AD51" i="1" s="1"/>
  <c r="A50" i="1"/>
  <c r="AD50" i="1" s="1"/>
  <c r="A44" i="1"/>
  <c r="AD44" i="1" s="1"/>
  <c r="A31" i="1"/>
  <c r="AD31" i="1" s="1"/>
  <c r="A12" i="1"/>
  <c r="AD12" i="1" s="1"/>
  <c r="A5" i="1"/>
  <c r="AD5" i="1" s="1"/>
  <c r="A156" i="1"/>
  <c r="AD156" i="1" s="1"/>
  <c r="A148" i="1"/>
  <c r="AD148" i="1" s="1"/>
  <c r="A147" i="1"/>
  <c r="AD147" i="1" s="1"/>
  <c r="A144" i="1"/>
  <c r="AD144" i="1" s="1"/>
  <c r="A132" i="1"/>
  <c r="A129" i="1"/>
  <c r="AD129" i="1" s="1"/>
  <c r="A124" i="1"/>
  <c r="AD124" i="1" s="1"/>
  <c r="A121" i="1"/>
  <c r="AD121" i="1" s="1"/>
  <c r="A102" i="1"/>
  <c r="AD102" i="1" s="1"/>
  <c r="A101" i="1"/>
  <c r="AD101" i="1" s="1"/>
  <c r="A89" i="1"/>
  <c r="AD89" i="1" s="1"/>
  <c r="A47" i="1"/>
  <c r="AD47" i="1" s="1"/>
  <c r="A27" i="1"/>
  <c r="AD27" i="1" s="1"/>
  <c r="A22" i="1"/>
  <c r="AD22" i="1" s="1"/>
  <c r="AA78" i="1"/>
  <c r="AB78" i="1" s="1"/>
  <c r="AC78" i="1" s="1"/>
  <c r="T78" i="1" s="1"/>
  <c r="AD77" i="1"/>
  <c r="AA76" i="1"/>
  <c r="AB76" i="1" s="1"/>
  <c r="AC76" i="1" s="1"/>
  <c r="T76" i="1" s="1"/>
  <c r="AA56" i="1"/>
  <c r="AB56" i="1" s="1"/>
  <c r="AC56" i="1" s="1"/>
  <c r="T56" i="1" s="1"/>
  <c r="G4" i="1"/>
  <c r="G3" i="1"/>
  <c r="AA54" i="1"/>
  <c r="AB54" i="1" s="1"/>
  <c r="AC54" i="1" s="1"/>
  <c r="T54" i="1" s="1"/>
  <c r="AA51" i="1"/>
  <c r="AB51" i="1" s="1"/>
  <c r="AC51" i="1" s="1"/>
  <c r="T51" i="1" s="1"/>
  <c r="AA49" i="1"/>
  <c r="AB49" i="1" s="1"/>
  <c r="AC49" i="1" s="1"/>
  <c r="T49" i="1" s="1"/>
  <c r="AA48" i="1"/>
  <c r="AB48" i="1" s="1"/>
  <c r="AC48" i="1" s="1"/>
  <c r="T48" i="1" s="1"/>
  <c r="G6" i="1"/>
  <c r="A6" i="1" s="1"/>
  <c r="AA46" i="1"/>
  <c r="AB46" i="1" s="1"/>
  <c r="AC46" i="1" s="1"/>
  <c r="T46" i="1" s="1"/>
  <c r="AD36" i="1"/>
  <c r="G7" i="1"/>
  <c r="G13" i="1"/>
  <c r="A13" i="1" s="1"/>
  <c r="G11" i="1"/>
  <c r="A11" i="1" s="1"/>
  <c r="G154" i="1"/>
  <c r="A154" i="1" s="1"/>
  <c r="G146" i="1"/>
  <c r="G140" i="1"/>
  <c r="G138" i="1"/>
  <c r="A138" i="1" s="1"/>
  <c r="G134" i="1"/>
  <c r="A134" i="1" s="1"/>
  <c r="G115" i="1"/>
  <c r="A115" i="1" s="1"/>
  <c r="G112" i="1"/>
  <c r="G109" i="1"/>
  <c r="G98" i="1"/>
  <c r="G91" i="1"/>
  <c r="G85" i="1"/>
  <c r="G78" i="1"/>
  <c r="A78" i="1" s="1"/>
  <c r="G41" i="1"/>
  <c r="A41" i="1" s="1"/>
  <c r="G39" i="1"/>
  <c r="G37" i="1"/>
  <c r="A37" i="1" s="1"/>
  <c r="G34" i="1"/>
  <c r="A34" i="1" s="1"/>
  <c r="G25" i="1"/>
  <c r="G21" i="1"/>
  <c r="A21" i="1" s="1"/>
  <c r="G19" i="1"/>
  <c r="G15" i="1"/>
  <c r="A15" i="1" s="1"/>
  <c r="G14" i="1"/>
  <c r="A14" i="1" s="1"/>
  <c r="G161" i="1"/>
  <c r="G168" i="1"/>
  <c r="G164" i="1"/>
  <c r="W138" i="1"/>
  <c r="W6" i="1"/>
  <c r="W96" i="1"/>
  <c r="W169" i="1"/>
  <c r="W170" i="1" s="1"/>
  <c r="W165" i="1"/>
  <c r="W144" i="1"/>
  <c r="W60" i="1"/>
  <c r="W152" i="1"/>
  <c r="W23" i="1"/>
  <c r="W80" i="1"/>
  <c r="W121" i="1"/>
  <c r="B56" i="1"/>
  <c r="B61" i="1"/>
  <c r="B69" i="1"/>
  <c r="AD160" i="1" l="1"/>
  <c r="G56" i="1"/>
  <c r="A56" i="1" s="1"/>
  <c r="W56" i="1" s="1"/>
  <c r="G61" i="1"/>
  <c r="A61" i="1" s="1"/>
  <c r="W61" i="1" s="1"/>
  <c r="AD137" i="1"/>
  <c r="AD133" i="1"/>
  <c r="AD132" i="1"/>
  <c r="G69" i="1"/>
  <c r="A69" i="1" s="1"/>
  <c r="W69" i="1" s="1"/>
  <c r="AD114" i="1"/>
  <c r="AD111" i="1"/>
  <c r="AD108" i="1"/>
  <c r="AD90" i="1"/>
  <c r="AD84" i="1"/>
  <c r="A161" i="1"/>
  <c r="A98" i="1"/>
  <c r="A146" i="1"/>
  <c r="A3" i="1"/>
  <c r="AD3" i="1" s="1"/>
  <c r="W164" i="1"/>
  <c r="A164" i="1"/>
  <c r="W39" i="1"/>
  <c r="A39" i="1"/>
  <c r="A91" i="1"/>
  <c r="W112" i="1"/>
  <c r="A112" i="1"/>
  <c r="A140" i="1"/>
  <c r="A7" i="1"/>
  <c r="W7" i="1" s="1"/>
  <c r="W168" i="1"/>
  <c r="A168" i="1"/>
  <c r="W19" i="1"/>
  <c r="A19" i="1"/>
  <c r="W25" i="1"/>
  <c r="A25" i="1"/>
  <c r="W85" i="1"/>
  <c r="A85" i="1"/>
  <c r="A109" i="1"/>
  <c r="A4" i="1"/>
  <c r="W4" i="1" s="1"/>
  <c r="G10" i="1"/>
  <c r="G18" i="1"/>
  <c r="G20" i="1"/>
  <c r="AD14" i="1"/>
  <c r="G179" i="1"/>
  <c r="G173" i="1"/>
  <c r="G175" i="1"/>
  <c r="W180" i="1"/>
  <c r="W171" i="1"/>
  <c r="W47" i="1"/>
  <c r="W9" i="1"/>
  <c r="W87" i="1"/>
  <c r="W166" i="1"/>
  <c r="W176" i="1"/>
  <c r="W17" i="1"/>
  <c r="W181" i="1"/>
  <c r="W182" i="1"/>
  <c r="W70" i="1"/>
  <c r="B72" i="1"/>
  <c r="W62" i="1"/>
  <c r="W8" i="1"/>
  <c r="B76" i="1"/>
  <c r="W5" i="1"/>
  <c r="W57" i="1"/>
  <c r="B81" i="1"/>
  <c r="B83" i="1"/>
  <c r="G76" i="1" l="1"/>
  <c r="A76" i="1" s="1"/>
  <c r="W76" i="1" s="1"/>
  <c r="G72" i="1"/>
  <c r="A72" i="1" s="1"/>
  <c r="W72" i="1" s="1"/>
  <c r="G81" i="1"/>
  <c r="A81" i="1" s="1"/>
  <c r="W81" i="1" s="1"/>
  <c r="G83" i="1"/>
  <c r="A83" i="1" s="1"/>
  <c r="W83" i="1" s="1"/>
  <c r="W175" i="1"/>
  <c r="A175" i="1"/>
  <c r="W179" i="1"/>
  <c r="A179" i="1"/>
  <c r="A20" i="1"/>
  <c r="W20" i="1" s="1"/>
  <c r="A10" i="1"/>
  <c r="W10" i="1" s="1"/>
  <c r="W173" i="1"/>
  <c r="A173" i="1"/>
  <c r="A18" i="1"/>
  <c r="W18" i="1" s="1"/>
  <c r="G24" i="1"/>
  <c r="W177" i="1"/>
  <c r="W77" i="1"/>
  <c r="W78" i="1"/>
  <c r="W21" i="1"/>
  <c r="W63" i="1"/>
  <c r="W58" i="1"/>
  <c r="W84" i="1"/>
  <c r="W11" i="1"/>
  <c r="B86" i="1"/>
  <c r="W73" i="1"/>
  <c r="W74" i="1" s="1"/>
  <c r="B88" i="1"/>
  <c r="G86" i="1" l="1"/>
  <c r="A86" i="1" s="1"/>
  <c r="W86" i="1" s="1"/>
  <c r="G88" i="1"/>
  <c r="A88" i="1" s="1"/>
  <c r="W88" i="1" s="1"/>
  <c r="A24" i="1"/>
  <c r="W24" i="1" s="1"/>
  <c r="G26" i="1"/>
  <c r="G32" i="1"/>
  <c r="G30" i="1"/>
  <c r="G28" i="1"/>
  <c r="W12" i="1"/>
  <c r="B95" i="1"/>
  <c r="B97" i="1"/>
  <c r="W22" i="1"/>
  <c r="W79" i="1"/>
  <c r="W64" i="1"/>
  <c r="G97" i="1" l="1"/>
  <c r="A97" i="1" s="1"/>
  <c r="W97" i="1" s="1"/>
  <c r="G95" i="1"/>
  <c r="A95" i="1" s="1"/>
  <c r="W95" i="1" s="1"/>
  <c r="A30" i="1"/>
  <c r="W30" i="1" s="1"/>
  <c r="A26" i="1"/>
  <c r="W26" i="1" s="1"/>
  <c r="A28" i="1"/>
  <c r="W28" i="1" s="1"/>
  <c r="A32" i="1"/>
  <c r="W32" i="1" s="1"/>
  <c r="G43" i="1"/>
  <c r="G40" i="1"/>
  <c r="W53" i="1"/>
  <c r="W125" i="1"/>
  <c r="W89" i="1"/>
  <c r="W98" i="1"/>
  <c r="W13" i="1"/>
  <c r="W33" i="1"/>
  <c r="B113" i="1"/>
  <c r="W65" i="1"/>
  <c r="B120" i="1"/>
  <c r="B122" i="1"/>
  <c r="B126" i="1"/>
  <c r="B128" i="1"/>
  <c r="G113" i="1" l="1"/>
  <c r="A113" i="1" s="1"/>
  <c r="W113" i="1" s="1"/>
  <c r="G120" i="1"/>
  <c r="A120" i="1" s="1"/>
  <c r="W120" i="1" s="1"/>
  <c r="G128" i="1"/>
  <c r="A128" i="1" s="1"/>
  <c r="W128" i="1" s="1"/>
  <c r="G122" i="1"/>
  <c r="A122" i="1" s="1"/>
  <c r="W122" i="1" s="1"/>
  <c r="G126" i="1"/>
  <c r="A126" i="1" s="1"/>
  <c r="W126" i="1" s="1"/>
  <c r="A43" i="1"/>
  <c r="W43" i="1" s="1"/>
  <c r="A40" i="1"/>
  <c r="W40" i="1" s="1"/>
  <c r="G54" i="1"/>
  <c r="G48" i="1"/>
  <c r="W127" i="1"/>
  <c r="W130" i="1"/>
  <c r="W14" i="1"/>
  <c r="W114" i="1"/>
  <c r="W90" i="1"/>
  <c r="W129" i="1"/>
  <c r="W41" i="1"/>
  <c r="W34" i="1"/>
  <c r="W44" i="1"/>
  <c r="W99" i="1"/>
  <c r="B131" i="1"/>
  <c r="W115" i="1"/>
  <c r="W123" i="1"/>
  <c r="B136" i="1"/>
  <c r="G136" i="1" l="1"/>
  <c r="A136" i="1" s="1"/>
  <c r="W136" i="1" s="1"/>
  <c r="G131" i="1"/>
  <c r="A131" i="1" s="1"/>
  <c r="W131" i="1" s="1"/>
  <c r="A54" i="1"/>
  <c r="W54" i="1" s="1"/>
  <c r="A48" i="1"/>
  <c r="W48" i="1" s="1"/>
  <c r="W116" i="1"/>
  <c r="W49" i="1"/>
  <c r="W124" i="1"/>
  <c r="W15" i="1"/>
  <c r="W137" i="1"/>
  <c r="W132" i="1"/>
  <c r="W117" i="1"/>
  <c r="W91" i="1"/>
  <c r="W45" i="1"/>
  <c r="W100" i="1"/>
  <c r="W101" i="1"/>
  <c r="W16" i="1"/>
  <c r="W35" i="1"/>
  <c r="B139" i="1"/>
  <c r="G139" i="1" l="1"/>
  <c r="A139" i="1" s="1"/>
  <c r="W139" i="1" s="1"/>
  <c r="X182" i="1"/>
  <c r="X179" i="1"/>
  <c r="X181" i="1"/>
  <c r="X180" i="1"/>
  <c r="AD179" i="1"/>
  <c r="X127" i="1"/>
  <c r="X177" i="1"/>
  <c r="AD173" i="1"/>
  <c r="AD134" i="1"/>
  <c r="AD34" i="1"/>
  <c r="AD37" i="1"/>
  <c r="X170" i="1"/>
  <c r="AD39" i="1"/>
  <c r="AD112" i="1"/>
  <c r="X60" i="1"/>
  <c r="X25" i="1"/>
  <c r="X176" i="1"/>
  <c r="AD13" i="1"/>
  <c r="AD168" i="1"/>
  <c r="AD115" i="1"/>
  <c r="AD175" i="1"/>
  <c r="AD140" i="1"/>
  <c r="X96" i="1"/>
  <c r="X6" i="1"/>
  <c r="X138" i="1"/>
  <c r="AD85" i="1"/>
  <c r="X19" i="1"/>
  <c r="X39" i="1"/>
  <c r="X80" i="1"/>
  <c r="X87" i="1"/>
  <c r="AD6" i="1"/>
  <c r="AD161" i="1"/>
  <c r="AD25" i="1"/>
  <c r="X17" i="1"/>
  <c r="X164" i="1"/>
  <c r="X130" i="1"/>
  <c r="X171" i="1"/>
  <c r="AD78" i="1"/>
  <c r="AD11" i="1"/>
  <c r="X112" i="1"/>
  <c r="X175" i="1"/>
  <c r="X152" i="1"/>
  <c r="AD21" i="1"/>
  <c r="AD15" i="1"/>
  <c r="X169" i="1"/>
  <c r="AD19" i="1"/>
  <c r="AD154" i="1"/>
  <c r="X144" i="1"/>
  <c r="AD164" i="1"/>
  <c r="X173" i="1"/>
  <c r="X168" i="1"/>
  <c r="X85" i="1"/>
  <c r="X23" i="1"/>
  <c r="AD109" i="1"/>
  <c r="AD138" i="1"/>
  <c r="X166" i="1"/>
  <c r="AD146" i="1"/>
  <c r="AD41" i="1"/>
  <c r="X9" i="1"/>
  <c r="X121" i="1"/>
  <c r="X47" i="1"/>
  <c r="X53" i="1"/>
  <c r="AD98" i="1"/>
  <c r="X165" i="1"/>
  <c r="AD91" i="1"/>
  <c r="X125" i="1"/>
  <c r="W133" i="1"/>
  <c r="W118" i="1"/>
  <c r="W92" i="1"/>
  <c r="B143" i="1"/>
  <c r="W102" i="1"/>
  <c r="B145" i="1"/>
  <c r="W140" i="1"/>
  <c r="W46" i="1"/>
  <c r="W50" i="1"/>
  <c r="B149" i="1"/>
  <c r="G149" i="1" l="1"/>
  <c r="A149" i="1" s="1"/>
  <c r="W149" i="1" s="1"/>
  <c r="G145" i="1"/>
  <c r="A145" i="1" s="1"/>
  <c r="G143" i="1"/>
  <c r="A143" i="1" s="1"/>
  <c r="W143" i="1" s="1"/>
  <c r="B151" i="1"/>
  <c r="B153" i="1" s="1"/>
  <c r="W93" i="1"/>
  <c r="W134" i="1"/>
  <c r="W103" i="1"/>
  <c r="W141" i="1"/>
  <c r="G153" i="1" l="1"/>
  <c r="A153" i="1" s="1"/>
  <c r="W153" i="1" s="1"/>
  <c r="G151" i="1"/>
  <c r="A151" i="1" s="1"/>
  <c r="W151" i="1" s="1"/>
  <c r="W145" i="1"/>
  <c r="W154" i="1"/>
  <c r="W146" i="1"/>
  <c r="W104" i="1"/>
  <c r="W147" i="1"/>
  <c r="W155" i="1"/>
  <c r="W156" i="1"/>
  <c r="W157" i="1"/>
  <c r="W158" i="1"/>
  <c r="W159" i="1"/>
  <c r="W160" i="1"/>
  <c r="W161" i="1"/>
  <c r="W162" i="1"/>
  <c r="A1" i="6" l="1"/>
  <c r="D5" i="6" s="1"/>
  <c r="D43" i="6" s="1"/>
  <c r="D81" i="6" s="1"/>
  <c r="E3" i="4"/>
  <c r="D55" i="4" s="1"/>
  <c r="N55" i="4" s="1"/>
  <c r="A1" i="2"/>
  <c r="D5" i="2" s="1"/>
  <c r="D43" i="2" s="1"/>
  <c r="D81" i="2" s="1"/>
  <c r="D19" i="4"/>
  <c r="G19" i="4" s="1"/>
  <c r="E1" i="6"/>
  <c r="H6" i="6" s="1"/>
  <c r="H44" i="6" s="1"/>
  <c r="H82" i="6" s="1"/>
  <c r="D8" i="4"/>
  <c r="F8" i="4" s="1"/>
  <c r="E3" i="6" l="1"/>
  <c r="E41" i="6" s="1"/>
  <c r="E79" i="6" s="1"/>
  <c r="D7" i="2"/>
  <c r="D45" i="2" s="1"/>
  <c r="D83" i="2" s="1"/>
  <c r="D7" i="6"/>
  <c r="D45" i="6" s="1"/>
  <c r="D83" i="6" s="1"/>
  <c r="O19" i="4"/>
  <c r="D35" i="4"/>
  <c r="H35" i="4" s="1"/>
  <c r="D7" i="4"/>
  <c r="F7" i="4" s="1"/>
  <c r="D6" i="4"/>
  <c r="G6" i="4" s="1"/>
  <c r="D40" i="4"/>
  <c r="F40" i="4" s="1"/>
  <c r="D25" i="4"/>
  <c r="H25" i="4" s="1"/>
  <c r="N40" i="4"/>
  <c r="D13" i="4"/>
  <c r="H13" i="4" s="1"/>
  <c r="D56" i="4"/>
  <c r="N56" i="4" s="1"/>
  <c r="D41" i="4"/>
  <c r="F41" i="4" s="1"/>
  <c r="D9" i="4"/>
  <c r="O9" i="4" s="1"/>
  <c r="D50" i="4"/>
  <c r="N50" i="4" s="1"/>
  <c r="D16" i="4"/>
  <c r="H16" i="4" s="1"/>
  <c r="L55" i="4"/>
  <c r="D33" i="4"/>
  <c r="G33" i="4" s="1"/>
  <c r="D14" i="4"/>
  <c r="H14" i="4" s="1"/>
  <c r="D29" i="4"/>
  <c r="H29" i="4" s="1"/>
  <c r="D47" i="4"/>
  <c r="N47" i="4" s="1"/>
  <c r="O55" i="4"/>
  <c r="F55" i="4"/>
  <c r="H55" i="4"/>
  <c r="D18" i="4"/>
  <c r="F18" i="4" s="1"/>
  <c r="D12" i="4"/>
  <c r="E12" i="4" s="1"/>
  <c r="D51" i="4"/>
  <c r="G51" i="4" s="1"/>
  <c r="D5" i="4"/>
  <c r="H5" i="4" s="1"/>
  <c r="D23" i="4"/>
  <c r="O23" i="4" s="1"/>
  <c r="D21" i="4"/>
  <c r="F21" i="4" s="1"/>
  <c r="J55" i="4"/>
  <c r="D17" i="4"/>
  <c r="O17" i="4" s="1"/>
  <c r="E55" i="4"/>
  <c r="E19" i="4"/>
  <c r="N19" i="4"/>
  <c r="H19" i="4"/>
  <c r="F19" i="4"/>
  <c r="O21" i="4"/>
  <c r="D36" i="4"/>
  <c r="N36" i="4" s="1"/>
  <c r="K55" i="4"/>
  <c r="M55" i="4" s="1"/>
  <c r="D45" i="4"/>
  <c r="L45" i="4" s="1"/>
  <c r="D38" i="4"/>
  <c r="N38" i="4" s="1"/>
  <c r="D43" i="4"/>
  <c r="E43" i="4" s="1"/>
  <c r="D15" i="4"/>
  <c r="O15" i="4" s="1"/>
  <c r="D26" i="4"/>
  <c r="O26" i="4" s="1"/>
  <c r="D44" i="4"/>
  <c r="I44" i="4" s="1"/>
  <c r="D34" i="4"/>
  <c r="N34" i="4" s="1"/>
  <c r="D31" i="4"/>
  <c r="N31" i="4" s="1"/>
  <c r="G55" i="4"/>
  <c r="D27" i="4"/>
  <c r="F27" i="4" s="1"/>
  <c r="D24" i="4"/>
  <c r="F24" i="4" s="1"/>
  <c r="D22" i="4"/>
  <c r="E22" i="4" s="1"/>
  <c r="D48" i="4"/>
  <c r="G48" i="4" s="1"/>
  <c r="D10" i="4"/>
  <c r="F10" i="4" s="1"/>
  <c r="D28" i="4"/>
  <c r="N28" i="4" s="1"/>
  <c r="D11" i="4"/>
  <c r="E11" i="4" s="1"/>
  <c r="D42" i="4"/>
  <c r="N42" i="4" s="1"/>
  <c r="D37" i="4"/>
  <c r="N37" i="4" s="1"/>
  <c r="D49" i="4"/>
  <c r="G49" i="4" s="1"/>
  <c r="D20" i="4"/>
  <c r="F20" i="4" s="1"/>
  <c r="D53" i="4"/>
  <c r="G53" i="4" s="1"/>
  <c r="D30" i="4"/>
  <c r="O30" i="4" s="1"/>
  <c r="D52" i="4"/>
  <c r="L52" i="4" s="1"/>
  <c r="I55" i="4"/>
  <c r="D54" i="4"/>
  <c r="L54" i="4" s="1"/>
  <c r="D32" i="4"/>
  <c r="O32" i="4" s="1"/>
  <c r="D46" i="4"/>
  <c r="O46" i="4" s="1"/>
  <c r="D57" i="4"/>
  <c r="N57" i="4" s="1"/>
  <c r="D39" i="4"/>
  <c r="E39" i="4" s="1"/>
  <c r="E1" i="2"/>
  <c r="E3" i="2"/>
  <c r="E41" i="2" s="1"/>
  <c r="E79" i="2" s="1"/>
  <c r="G8" i="4"/>
  <c r="H8" i="4"/>
  <c r="H3" i="6"/>
  <c r="H41" i="6" s="1"/>
  <c r="H79" i="6" s="1"/>
  <c r="N8" i="4"/>
  <c r="O8" i="4"/>
  <c r="E8" i="4"/>
  <c r="H5" i="6"/>
  <c r="H43" i="6" s="1"/>
  <c r="H81" i="6" s="1"/>
  <c r="T12" i="4"/>
  <c r="T43" i="4"/>
  <c r="T22" i="4"/>
  <c r="T55" i="4"/>
  <c r="W51" i="1"/>
  <c r="U55" i="4"/>
  <c r="T11" i="4"/>
  <c r="W55" i="4"/>
  <c r="W36" i="1"/>
  <c r="T39" i="4"/>
  <c r="W105" i="1"/>
  <c r="T8" i="4"/>
  <c r="V55" i="4"/>
  <c r="T19" i="4"/>
  <c r="U19" i="4" s="1"/>
  <c r="V8" i="4"/>
  <c r="W37" i="1"/>
  <c r="V19" i="4"/>
  <c r="W106" i="1"/>
  <c r="W107" i="1"/>
  <c r="W108" i="1" s="1"/>
  <c r="W109" i="1"/>
  <c r="X19" i="4"/>
  <c r="W110" i="1"/>
  <c r="W111" i="1" s="1"/>
  <c r="U8" i="4"/>
  <c r="X8" i="4"/>
  <c r="F29" i="4" l="1"/>
  <c r="E49" i="4"/>
  <c r="E18" i="4"/>
  <c r="H52" i="4"/>
  <c r="N45" i="4"/>
  <c r="G43" i="4"/>
  <c r="N6" i="4"/>
  <c r="N52" i="4"/>
  <c r="F28" i="4"/>
  <c r="F53" i="4"/>
  <c r="O25" i="4"/>
  <c r="N46" i="4"/>
  <c r="O51" i="4"/>
  <c r="I51" i="4"/>
  <c r="L47" i="4"/>
  <c r="I54" i="4"/>
  <c r="O41" i="4"/>
  <c r="N53" i="4"/>
  <c r="O53" i="4"/>
  <c r="O43" i="4"/>
  <c r="G39" i="4"/>
  <c r="O34" i="4"/>
  <c r="F23" i="4"/>
  <c r="H7" i="4"/>
  <c r="G5" i="4"/>
  <c r="G56" i="4"/>
  <c r="F9" i="4"/>
  <c r="E40" i="4"/>
  <c r="G40" i="4"/>
  <c r="H40" i="4"/>
  <c r="G7" i="4"/>
  <c r="O7" i="4"/>
  <c r="E56" i="4"/>
  <c r="F56" i="4"/>
  <c r="E17" i="4"/>
  <c r="H56" i="4"/>
  <c r="O57" i="4"/>
  <c r="G29" i="4"/>
  <c r="E16" i="4"/>
  <c r="H12" i="4"/>
  <c r="N12" i="4"/>
  <c r="N26" i="4"/>
  <c r="H28" i="4"/>
  <c r="L49" i="4"/>
  <c r="G13" i="4"/>
  <c r="H36" i="4"/>
  <c r="H23" i="4"/>
  <c r="G52" i="4"/>
  <c r="E24" i="4"/>
  <c r="O24" i="4"/>
  <c r="H26" i="4"/>
  <c r="K46" i="4"/>
  <c r="M46" i="4" s="1"/>
  <c r="J43" i="4"/>
  <c r="I43" i="4"/>
  <c r="L46" i="4"/>
  <c r="I46" i="4"/>
  <c r="G36" i="4"/>
  <c r="E6" i="4"/>
  <c r="I49" i="4"/>
  <c r="J53" i="4"/>
  <c r="E42" i="4"/>
  <c r="N13" i="4"/>
  <c r="F13" i="4"/>
  <c r="E50" i="4"/>
  <c r="E45" i="4"/>
  <c r="H50" i="4"/>
  <c r="E54" i="4"/>
  <c r="J52" i="4"/>
  <c r="E52" i="4"/>
  <c r="E14" i="4"/>
  <c r="E23" i="4"/>
  <c r="H48" i="4"/>
  <c r="J45" i="4"/>
  <c r="L48" i="4"/>
  <c r="O48" i="4"/>
  <c r="H43" i="4"/>
  <c r="J49" i="4"/>
  <c r="O42" i="4"/>
  <c r="N49" i="4"/>
  <c r="F39" i="4"/>
  <c r="L51" i="4"/>
  <c r="G54" i="4"/>
  <c r="H46" i="4"/>
  <c r="L43" i="4"/>
  <c r="E34" i="4"/>
  <c r="F43" i="4"/>
  <c r="O39" i="4"/>
  <c r="N35" i="4"/>
  <c r="F52" i="4"/>
  <c r="E30" i="4"/>
  <c r="N9" i="4"/>
  <c r="E29" i="4"/>
  <c r="E7" i="4"/>
  <c r="G16" i="4"/>
  <c r="G9" i="4"/>
  <c r="H11" i="4"/>
  <c r="N21" i="4"/>
  <c r="O37" i="4"/>
  <c r="O33" i="4"/>
  <c r="N7" i="4"/>
  <c r="F12" i="4"/>
  <c r="H6" i="4"/>
  <c r="J37" i="6"/>
  <c r="J75" i="6" s="1"/>
  <c r="J113" i="6" s="1"/>
  <c r="E35" i="4"/>
  <c r="O29" i="4"/>
  <c r="E13" i="4"/>
  <c r="J50" i="4"/>
  <c r="O50" i="4"/>
  <c r="O13" i="4"/>
  <c r="O6" i="4"/>
  <c r="G25" i="4"/>
  <c r="F15" i="4"/>
  <c r="F25" i="4"/>
  <c r="H21" i="4"/>
  <c r="E25" i="4"/>
  <c r="F35" i="4"/>
  <c r="G35" i="4"/>
  <c r="N5" i="4"/>
  <c r="F32" i="4"/>
  <c r="O35" i="4"/>
  <c r="E5" i="4"/>
  <c r="G12" i="4"/>
  <c r="O22" i="4"/>
  <c r="F6" i="4"/>
  <c r="N44" i="4"/>
  <c r="F22" i="4"/>
  <c r="G32" i="4"/>
  <c r="H57" i="4"/>
  <c r="N25" i="4"/>
  <c r="E26" i="4"/>
  <c r="F36" i="4"/>
  <c r="G34" i="4"/>
  <c r="O5" i="4"/>
  <c r="H49" i="4"/>
  <c r="O28" i="4"/>
  <c r="G42" i="4"/>
  <c r="K53" i="4"/>
  <c r="M53" i="4" s="1"/>
  <c r="F42" i="4"/>
  <c r="H53" i="4"/>
  <c r="L56" i="4"/>
  <c r="E33" i="4"/>
  <c r="K56" i="4"/>
  <c r="M56" i="4" s="1"/>
  <c r="I56" i="4"/>
  <c r="N29" i="4"/>
  <c r="J56" i="4"/>
  <c r="F49" i="4"/>
  <c r="O36" i="4"/>
  <c r="I45" i="4"/>
  <c r="N54" i="4"/>
  <c r="J54" i="4"/>
  <c r="O12" i="4"/>
  <c r="K52" i="4"/>
  <c r="M52" i="4" s="1"/>
  <c r="I52" i="4"/>
  <c r="O56" i="4"/>
  <c r="H9" i="4"/>
  <c r="E9" i="4"/>
  <c r="H33" i="4"/>
  <c r="N16" i="4"/>
  <c r="K54" i="4"/>
  <c r="M54" i="4" s="1"/>
  <c r="O52" i="4"/>
  <c r="H17" i="4"/>
  <c r="H42" i="4"/>
  <c r="E36" i="4"/>
  <c r="G21" i="4"/>
  <c r="E53" i="4"/>
  <c r="G17" i="4"/>
  <c r="E28" i="4"/>
  <c r="G28" i="4"/>
  <c r="F34" i="4"/>
  <c r="K43" i="4"/>
  <c r="M43" i="4" s="1"/>
  <c r="N43" i="4"/>
  <c r="K48" i="4"/>
  <c r="M48" i="4" s="1"/>
  <c r="N24" i="4"/>
  <c r="H34" i="4"/>
  <c r="H45" i="4"/>
  <c r="L53" i="4"/>
  <c r="N17" i="4"/>
  <c r="E21" i="4"/>
  <c r="I53" i="4"/>
  <c r="J46" i="4"/>
  <c r="H39" i="4"/>
  <c r="F33" i="4"/>
  <c r="O16" i="4"/>
  <c r="G46" i="4"/>
  <c r="F5" i="4"/>
  <c r="N39" i="4"/>
  <c r="E46" i="4"/>
  <c r="F46" i="4"/>
  <c r="F16" i="4"/>
  <c r="N33" i="4"/>
  <c r="F17" i="4"/>
  <c r="O40" i="4"/>
  <c r="F47" i="4"/>
  <c r="O11" i="4"/>
  <c r="G41" i="4"/>
  <c r="F14" i="4"/>
  <c r="J47" i="4"/>
  <c r="N18" i="4"/>
  <c r="N41" i="4"/>
  <c r="J37" i="2" s="1"/>
  <c r="J75" i="2" s="1"/>
  <c r="J113" i="2" s="1"/>
  <c r="I50" i="4"/>
  <c r="K50" i="4"/>
  <c r="M50" i="4" s="1"/>
  <c r="G50" i="4"/>
  <c r="O18" i="4"/>
  <c r="O14" i="4"/>
  <c r="I47" i="4"/>
  <c r="H41" i="4"/>
  <c r="E41" i="4"/>
  <c r="J44" i="4"/>
  <c r="G20" i="4"/>
  <c r="K57" i="4"/>
  <c r="M57" i="4" s="1"/>
  <c r="L50" i="4"/>
  <c r="F50" i="4"/>
  <c r="F51" i="4"/>
  <c r="K51" i="4"/>
  <c r="M51" i="4" s="1"/>
  <c r="H47" i="4"/>
  <c r="H38" i="4"/>
  <c r="J51" i="4"/>
  <c r="N30" i="4"/>
  <c r="F30" i="4"/>
  <c r="E37" i="4"/>
  <c r="H18" i="4"/>
  <c r="G18" i="4"/>
  <c r="G47" i="4"/>
  <c r="N14" i="4"/>
  <c r="N23" i="4"/>
  <c r="H51" i="4"/>
  <c r="E51" i="4"/>
  <c r="O47" i="4"/>
  <c r="E47" i="4"/>
  <c r="K47" i="4"/>
  <c r="M47" i="4" s="1"/>
  <c r="F37" i="4"/>
  <c r="H30" i="4"/>
  <c r="G27" i="4"/>
  <c r="H27" i="4"/>
  <c r="O27" i="4"/>
  <c r="F44" i="4"/>
  <c r="H32" i="4"/>
  <c r="G23" i="4"/>
  <c r="G14" i="4"/>
  <c r="N51" i="4"/>
  <c r="I57" i="4"/>
  <c r="G57" i="4"/>
  <c r="O20" i="4"/>
  <c r="E20" i="4"/>
  <c r="H37" i="4"/>
  <c r="G37" i="4"/>
  <c r="O10" i="4"/>
  <c r="E10" i="4"/>
  <c r="N10" i="4"/>
  <c r="N22" i="4"/>
  <c r="G22" i="4"/>
  <c r="H22" i="4"/>
  <c r="O31" i="4"/>
  <c r="F31" i="4"/>
  <c r="E44" i="4"/>
  <c r="O44" i="4"/>
  <c r="G44" i="4"/>
  <c r="L44" i="4"/>
  <c r="E15" i="4"/>
  <c r="H15" i="4"/>
  <c r="E38" i="4"/>
  <c r="F38" i="4"/>
  <c r="N27" i="4"/>
  <c r="F11" i="4"/>
  <c r="G30" i="4"/>
  <c r="N20" i="4"/>
  <c r="H20" i="4"/>
  <c r="J38" i="6"/>
  <c r="J76" i="6" s="1"/>
  <c r="J114" i="6" s="1"/>
  <c r="N11" i="4"/>
  <c r="E31" i="4"/>
  <c r="N15" i="4"/>
  <c r="H31" i="4"/>
  <c r="E27" i="4"/>
  <c r="H44" i="4"/>
  <c r="G38" i="4"/>
  <c r="H10" i="4"/>
  <c r="K44" i="4"/>
  <c r="M44" i="4" s="1"/>
  <c r="G15" i="4"/>
  <c r="G11" i="4"/>
  <c r="F57" i="4"/>
  <c r="E32" i="4"/>
  <c r="L57" i="4"/>
  <c r="J57" i="4"/>
  <c r="N32" i="4"/>
  <c r="O38" i="4"/>
  <c r="G10" i="4"/>
  <c r="G31" i="4"/>
  <c r="E57" i="4"/>
  <c r="H54" i="4"/>
  <c r="O54" i="4"/>
  <c r="F54" i="4"/>
  <c r="O49" i="4"/>
  <c r="K49" i="4"/>
  <c r="M49" i="4" s="1"/>
  <c r="I48" i="4"/>
  <c r="N48" i="4"/>
  <c r="F48" i="4"/>
  <c r="J48" i="4"/>
  <c r="E48" i="4"/>
  <c r="G24" i="4"/>
  <c r="H24" i="4"/>
  <c r="F26" i="4"/>
  <c r="G26" i="4"/>
  <c r="O45" i="4"/>
  <c r="K45" i="4"/>
  <c r="M45" i="4" s="1"/>
  <c r="F45" i="4"/>
  <c r="G45" i="4"/>
  <c r="H3" i="2"/>
  <c r="H41" i="2" s="1"/>
  <c r="H79" i="2" s="1"/>
  <c r="H5" i="2"/>
  <c r="H43" i="2" s="1"/>
  <c r="H81" i="2" s="1"/>
  <c r="H6" i="2"/>
  <c r="H44" i="2" s="1"/>
  <c r="H82" i="2" s="1"/>
  <c r="J38" i="2"/>
  <c r="J76" i="2" s="1"/>
  <c r="J114" i="2" s="1"/>
  <c r="T49" i="4"/>
  <c r="U49" i="4" s="1"/>
  <c r="T18" i="4"/>
  <c r="V18" i="4" s="1"/>
  <c r="U43" i="4"/>
  <c r="U39" i="4"/>
  <c r="T40" i="4"/>
  <c r="T56" i="4"/>
  <c r="T17" i="4"/>
  <c r="T16" i="4"/>
  <c r="X12" i="4"/>
  <c r="T24" i="4"/>
  <c r="V24" i="4" s="1"/>
  <c r="T42" i="4"/>
  <c r="X42" i="4" s="1"/>
  <c r="T45" i="4"/>
  <c r="X45" i="4" s="1"/>
  <c r="T54" i="4"/>
  <c r="U54" i="4" s="1"/>
  <c r="T52" i="4"/>
  <c r="T23" i="4"/>
  <c r="V23" i="4" s="1"/>
  <c r="X49" i="4"/>
  <c r="T34" i="4"/>
  <c r="T6" i="4"/>
  <c r="T50" i="4"/>
  <c r="X50" i="4" s="1"/>
  <c r="T14" i="4"/>
  <c r="V39" i="4"/>
  <c r="V43" i="4"/>
  <c r="T30" i="4"/>
  <c r="T29" i="4"/>
  <c r="U16" i="4"/>
  <c r="T7" i="4"/>
  <c r="V12" i="4"/>
  <c r="T35" i="4"/>
  <c r="T13" i="4"/>
  <c r="U12" i="4"/>
  <c r="V6" i="4"/>
  <c r="V22" i="4"/>
  <c r="T25" i="4"/>
  <c r="T5" i="4"/>
  <c r="T26" i="4"/>
  <c r="X26" i="4" s="1"/>
  <c r="U34" i="4"/>
  <c r="U42" i="4"/>
  <c r="V42" i="4"/>
  <c r="W56" i="4"/>
  <c r="X29" i="4"/>
  <c r="V49" i="4"/>
  <c r="W52" i="4"/>
  <c r="T9" i="4"/>
  <c r="X16" i="4"/>
  <c r="U17" i="4"/>
  <c r="W43" i="4"/>
  <c r="T21" i="4"/>
  <c r="X39" i="4"/>
  <c r="T33" i="4"/>
  <c r="X54" i="4"/>
  <c r="W54" i="4"/>
  <c r="T36" i="4"/>
  <c r="T53" i="4"/>
  <c r="T28" i="4"/>
  <c r="V34" i="4"/>
  <c r="X43" i="4"/>
  <c r="X24" i="4"/>
  <c r="X17" i="4"/>
  <c r="V5" i="4"/>
  <c r="T46" i="4"/>
  <c r="V16" i="4"/>
  <c r="V17" i="4"/>
  <c r="W50" i="4"/>
  <c r="T41" i="4"/>
  <c r="X18" i="4"/>
  <c r="U50" i="4"/>
  <c r="V50" i="4"/>
  <c r="V30" i="4"/>
  <c r="X23" i="4"/>
  <c r="T51" i="4"/>
  <c r="T47" i="4"/>
  <c r="U14" i="4"/>
  <c r="X30" i="4"/>
  <c r="T37" i="4"/>
  <c r="U18" i="4"/>
  <c r="X14" i="4"/>
  <c r="U23" i="4"/>
  <c r="U22" i="4"/>
  <c r="T44" i="4"/>
  <c r="T15" i="4"/>
  <c r="T38" i="4"/>
  <c r="X11" i="4"/>
  <c r="T27" i="4"/>
  <c r="U11" i="4"/>
  <c r="T32" i="4"/>
  <c r="V54" i="4"/>
  <c r="W49" i="4"/>
  <c r="U24" i="4"/>
  <c r="V26" i="4"/>
  <c r="V45" i="4"/>
  <c r="T20" i="4"/>
  <c r="U37" i="4"/>
  <c r="T10" i="4"/>
  <c r="X22" i="4"/>
  <c r="V11" i="4"/>
  <c r="T31" i="4"/>
  <c r="T57" i="4"/>
  <c r="T48" i="4"/>
  <c r="U26" i="4"/>
  <c r="W45" i="4"/>
  <c r="U45" i="4"/>
  <c r="W38" i="1"/>
  <c r="V14" i="4"/>
  <c r="X35" i="4"/>
  <c r="U30" i="4"/>
  <c r="X55" i="4"/>
  <c r="W44" i="4"/>
  <c r="X34" i="4"/>
  <c r="V32" i="4"/>
  <c r="W52" i="1"/>
  <c r="X44" i="4"/>
  <c r="V44" i="4"/>
  <c r="U44" i="4"/>
  <c r="X15" i="4"/>
  <c r="U15" i="4"/>
  <c r="V15" i="4"/>
  <c r="V38" i="4"/>
  <c r="X38" i="4"/>
  <c r="U38" i="4"/>
  <c r="V27" i="4"/>
  <c r="U27" i="4"/>
  <c r="X27" i="4"/>
  <c r="X32" i="4"/>
  <c r="U32" i="4"/>
  <c r="U20" i="4"/>
  <c r="X20" i="4"/>
  <c r="V20" i="4"/>
  <c r="X10" i="4"/>
  <c r="V10" i="4"/>
  <c r="U10" i="4"/>
  <c r="X31" i="4"/>
  <c r="V31" i="4"/>
  <c r="U31" i="4"/>
  <c r="V57" i="4"/>
  <c r="U57" i="4"/>
  <c r="X57" i="4"/>
  <c r="W57" i="4"/>
  <c r="W48" i="4"/>
  <c r="X48" i="4"/>
  <c r="U48" i="4"/>
  <c r="V48" i="4"/>
  <c r="X51" i="4"/>
  <c r="U51" i="4"/>
  <c r="V51" i="4"/>
  <c r="W51" i="4"/>
  <c r="V47" i="4"/>
  <c r="X47" i="4"/>
  <c r="W47" i="4"/>
  <c r="U47" i="4"/>
  <c r="V37" i="4"/>
  <c r="X37" i="4"/>
  <c r="X41" i="4"/>
  <c r="V41" i="4"/>
  <c r="U41" i="4"/>
  <c r="U9" i="4"/>
  <c r="V9" i="4"/>
  <c r="X9" i="4"/>
  <c r="X21" i="4"/>
  <c r="U21" i="4"/>
  <c r="V21" i="4"/>
  <c r="U33" i="4"/>
  <c r="V33" i="4"/>
  <c r="X33" i="4"/>
  <c r="V36" i="4"/>
  <c r="X36" i="4"/>
  <c r="U36" i="4"/>
  <c r="X53" i="4"/>
  <c r="W53" i="4"/>
  <c r="V53" i="4"/>
  <c r="U53" i="4"/>
  <c r="U28" i="4"/>
  <c r="V28" i="4"/>
  <c r="X28" i="4"/>
  <c r="U46" i="4"/>
  <c r="X46" i="4"/>
  <c r="V46" i="4"/>
  <c r="W46" i="4"/>
  <c r="V35" i="4"/>
  <c r="U35" i="4"/>
  <c r="U13" i="4"/>
  <c r="X13" i="4"/>
  <c r="V13" i="4"/>
  <c r="V25" i="4"/>
  <c r="X25" i="4"/>
  <c r="U25" i="4"/>
  <c r="X5" i="4"/>
  <c r="U5" i="4"/>
  <c r="U29" i="4"/>
  <c r="V29" i="4"/>
  <c r="V7" i="4"/>
  <c r="U7" i="4"/>
  <c r="X7" i="4"/>
  <c r="V52" i="4"/>
  <c r="U52" i="4"/>
  <c r="X52" i="4"/>
  <c r="X6" i="4"/>
  <c r="U6" i="4"/>
  <c r="U56" i="4"/>
  <c r="V56" i="4"/>
  <c r="X56" i="4"/>
  <c r="X40" i="4"/>
  <c r="V40" i="4"/>
  <c r="U40" i="4"/>
  <c r="X162" i="1" l="1"/>
  <c r="X158" i="1"/>
  <c r="X154" i="1"/>
  <c r="X159" i="1"/>
  <c r="X155" i="1"/>
  <c r="X160" i="1"/>
  <c r="X156" i="1"/>
  <c r="X161" i="1"/>
  <c r="X157" i="1"/>
  <c r="X153" i="1"/>
  <c r="AD153" i="1"/>
  <c r="J42" i="4"/>
  <c r="I42" i="4"/>
  <c r="K42" i="4"/>
  <c r="X52" i="1"/>
  <c r="X151" i="1"/>
  <c r="J41" i="4"/>
  <c r="K41" i="4"/>
  <c r="AD149" i="1"/>
  <c r="I40" i="4"/>
  <c r="X111" i="1"/>
  <c r="X109" i="1"/>
  <c r="X107" i="1"/>
  <c r="I22" i="4"/>
  <c r="I37" i="4"/>
  <c r="J6" i="4"/>
  <c r="X57" i="1"/>
  <c r="AD54" i="1"/>
  <c r="J10" i="4"/>
  <c r="X24" i="1"/>
  <c r="AD145" i="1"/>
  <c r="I7" i="4"/>
  <c r="I21" i="4"/>
  <c r="J9" i="4"/>
  <c r="I12" i="4"/>
  <c r="X122" i="1"/>
  <c r="I25" i="4"/>
  <c r="X132" i="1"/>
  <c r="X91" i="1"/>
  <c r="X77" i="1"/>
  <c r="X58" i="1"/>
  <c r="X147" i="1"/>
  <c r="I10" i="4"/>
  <c r="I14" i="4"/>
  <c r="X35" i="1"/>
  <c r="X62" i="1"/>
  <c r="I18" i="4"/>
  <c r="X93" i="1"/>
  <c r="X126" i="1"/>
  <c r="X143" i="1"/>
  <c r="G1" i="6" s="1"/>
  <c r="K32" i="4"/>
  <c r="J29" i="4"/>
  <c r="X70" i="1"/>
  <c r="J8" i="4"/>
  <c r="X37" i="1"/>
  <c r="X61" i="1"/>
  <c r="J22" i="4"/>
  <c r="K18" i="4"/>
  <c r="X5" i="1"/>
  <c r="J34" i="4"/>
  <c r="X30" i="1"/>
  <c r="K29" i="4"/>
  <c r="X103" i="1"/>
  <c r="I6" i="4"/>
  <c r="AD4" i="1"/>
  <c r="X114" i="1"/>
  <c r="AD131" i="1"/>
  <c r="AD97" i="1"/>
  <c r="X118" i="1"/>
  <c r="AD139" i="1"/>
  <c r="K17" i="4"/>
  <c r="X97" i="1"/>
  <c r="AD72" i="1"/>
  <c r="K24" i="4"/>
  <c r="X4" i="1"/>
  <c r="X89" i="1"/>
  <c r="J11" i="4"/>
  <c r="J7" i="4"/>
  <c r="X145" i="1"/>
  <c r="X22" i="1"/>
  <c r="K5" i="4"/>
  <c r="X44" i="1"/>
  <c r="X10" i="1"/>
  <c r="I19" i="4"/>
  <c r="AD136" i="1"/>
  <c r="X99" i="1"/>
  <c r="K37" i="4"/>
  <c r="X86" i="1"/>
  <c r="AD151" i="1"/>
  <c r="I41" i="4"/>
  <c r="X149" i="1"/>
  <c r="J40" i="4"/>
  <c r="K40" i="4"/>
  <c r="X110" i="1"/>
  <c r="X108" i="1"/>
  <c r="X38" i="1"/>
  <c r="I24" i="4"/>
  <c r="X12" i="1"/>
  <c r="AD76" i="1"/>
  <c r="I26" i="4"/>
  <c r="X40" i="1"/>
  <c r="K21" i="4"/>
  <c r="AD20" i="1"/>
  <c r="K35" i="4"/>
  <c r="K25" i="4"/>
  <c r="I15" i="4"/>
  <c r="J19" i="4"/>
  <c r="X116" i="1"/>
  <c r="X45" i="1"/>
  <c r="K14" i="4"/>
  <c r="AD81" i="1"/>
  <c r="AD18" i="1"/>
  <c r="K38" i="4"/>
  <c r="K9" i="4"/>
  <c r="K39" i="4"/>
  <c r="J30" i="4"/>
  <c r="X133" i="1"/>
  <c r="AD122" i="1"/>
  <c r="J12" i="4"/>
  <c r="J37" i="4"/>
  <c r="K28" i="4"/>
  <c r="X16" i="1"/>
  <c r="J16" i="4"/>
  <c r="J25" i="4"/>
  <c r="I36" i="4"/>
  <c r="AD48" i="1"/>
  <c r="J32" i="4"/>
  <c r="X21" i="1"/>
  <c r="I5" i="4"/>
  <c r="K15" i="4"/>
  <c r="M15" i="4" s="1"/>
  <c r="X54" i="1"/>
  <c r="X48" i="1"/>
  <c r="X95" i="1"/>
  <c r="K10" i="4"/>
  <c r="M10" i="4" s="1"/>
  <c r="J21" i="4"/>
  <c r="I30" i="4"/>
  <c r="J18" i="4"/>
  <c r="X14" i="1"/>
  <c r="K23" i="4"/>
  <c r="AD88" i="1"/>
  <c r="AD30" i="1"/>
  <c r="K8" i="4"/>
  <c r="M8" i="4" s="1"/>
  <c r="X32" i="1"/>
  <c r="I13" i="4"/>
  <c r="AD113" i="1"/>
  <c r="AD32" i="1"/>
  <c r="X56" i="1"/>
  <c r="J14" i="4"/>
  <c r="I32" i="4"/>
  <c r="I8" i="4"/>
  <c r="X88" i="1"/>
  <c r="X64" i="1"/>
  <c r="X140" i="1"/>
  <c r="K19" i="4"/>
  <c r="L19" i="4" s="1"/>
  <c r="I9" i="4"/>
  <c r="X115" i="1"/>
  <c r="K13" i="4"/>
  <c r="K12" i="4"/>
  <c r="L12" i="4" s="1"/>
  <c r="X120" i="1"/>
  <c r="AD40" i="1"/>
  <c r="X28" i="1"/>
  <c r="J33" i="4"/>
  <c r="J35" i="4"/>
  <c r="AD126" i="1"/>
  <c r="X51" i="1"/>
  <c r="X137" i="1"/>
  <c r="AD128" i="1"/>
  <c r="J28" i="4"/>
  <c r="X63" i="1"/>
  <c r="K27" i="4"/>
  <c r="M27" i="4" s="1"/>
  <c r="I38" i="4"/>
  <c r="AD10" i="1"/>
  <c r="J26" i="4"/>
  <c r="X15" i="1"/>
  <c r="J36" i="4"/>
  <c r="J13" i="4"/>
  <c r="X92" i="1"/>
  <c r="K31" i="4"/>
  <c r="M31" i="4" s="1"/>
  <c r="X18" i="1"/>
  <c r="X123" i="1"/>
  <c r="I34" i="4"/>
  <c r="X84" i="1"/>
  <c r="AD86" i="1"/>
  <c r="K36" i="4"/>
  <c r="L36" i="4" s="1"/>
  <c r="X101" i="1"/>
  <c r="K33" i="4"/>
  <c r="L33" i="4" s="1"/>
  <c r="I35" i="4"/>
  <c r="X13" i="1"/>
  <c r="AD56" i="1"/>
  <c r="X134" i="1"/>
  <c r="X129" i="1"/>
  <c r="AD69" i="1"/>
  <c r="J39" i="4"/>
  <c r="I17" i="4"/>
  <c r="J24" i="4"/>
  <c r="J15" i="4"/>
  <c r="AD7" i="1"/>
  <c r="K20" i="4"/>
  <c r="L20" i="4" s="1"/>
  <c r="X73" i="1"/>
  <c r="K11" i="4"/>
  <c r="M11" i="4" s="1"/>
  <c r="X113" i="1"/>
  <c r="X131" i="1"/>
  <c r="G1" i="2" s="1"/>
  <c r="E12" i="2" s="1"/>
  <c r="E50" i="2" s="1"/>
  <c r="E88" i="2" s="1"/>
  <c r="K34" i="4"/>
  <c r="AD28" i="1"/>
  <c r="J27" i="4"/>
  <c r="X36" i="1"/>
  <c r="K16" i="4"/>
  <c r="X69" i="1"/>
  <c r="X50" i="1"/>
  <c r="AD26" i="1"/>
  <c r="AD120" i="1"/>
  <c r="AD43" i="1"/>
  <c r="X7" i="1"/>
  <c r="X78" i="1"/>
  <c r="AD83" i="1"/>
  <c r="X136" i="1"/>
  <c r="X141" i="1"/>
  <c r="X79" i="1"/>
  <c r="AD61" i="1"/>
  <c r="X81" i="1"/>
  <c r="I20" i="4"/>
  <c r="J31" i="4"/>
  <c r="X83" i="1"/>
  <c r="X100" i="1"/>
  <c r="I23" i="4"/>
  <c r="X146" i="1"/>
  <c r="X76" i="1"/>
  <c r="K22" i="4"/>
  <c r="L22" i="4" s="1"/>
  <c r="X106" i="1"/>
  <c r="J38" i="4"/>
  <c r="K7" i="4"/>
  <c r="I16" i="4"/>
  <c r="X8" i="1"/>
  <c r="I11" i="4"/>
  <c r="X139" i="1"/>
  <c r="I39" i="4"/>
  <c r="K6" i="4"/>
  <c r="X43" i="1"/>
  <c r="X33" i="1"/>
  <c r="I29" i="4"/>
  <c r="AD143" i="1"/>
  <c r="J20" i="4"/>
  <c r="X104" i="1"/>
  <c r="I28" i="4"/>
  <c r="I27" i="4"/>
  <c r="X74" i="1"/>
  <c r="AD24" i="1"/>
  <c r="K26" i="4"/>
  <c r="M26" i="4" s="1"/>
  <c r="X11" i="1"/>
  <c r="K30" i="4"/>
  <c r="M30" i="4" s="1"/>
  <c r="X49" i="1"/>
  <c r="X98" i="1"/>
  <c r="X20" i="1"/>
  <c r="X34" i="1"/>
  <c r="X117" i="1"/>
  <c r="X90" i="1"/>
  <c r="X26" i="1"/>
  <c r="X105" i="1"/>
  <c r="J23" i="4"/>
  <c r="X102" i="1"/>
  <c r="J17" i="4"/>
  <c r="I33" i="4"/>
  <c r="X72" i="1"/>
  <c r="I31" i="4"/>
  <c r="I58" i="4" s="1"/>
  <c r="X41" i="1"/>
  <c r="J5" i="4"/>
  <c r="J58" i="4" s="1"/>
  <c r="X128" i="1"/>
  <c r="X124" i="1"/>
  <c r="X46" i="1"/>
  <c r="AD95" i="1"/>
  <c r="X65" i="1"/>
  <c r="M41" i="4"/>
  <c r="L41" i="4"/>
  <c r="M40" i="4"/>
  <c r="L40" i="4"/>
  <c r="J23" i="2"/>
  <c r="J61" i="2" s="1"/>
  <c r="J99" i="2" s="1"/>
  <c r="E20" i="2"/>
  <c r="E58" i="2" s="1"/>
  <c r="E96" i="2" s="1"/>
  <c r="J18" i="2"/>
  <c r="J56" i="2" s="1"/>
  <c r="J94" i="2" s="1"/>
  <c r="C22" i="2"/>
  <c r="C60" i="2" s="1"/>
  <c r="C98" i="2" s="1"/>
  <c r="C19" i="2"/>
  <c r="C57" i="2" s="1"/>
  <c r="C95" i="2" s="1"/>
  <c r="C15" i="2"/>
  <c r="C53" i="2" s="1"/>
  <c r="C91" i="2" s="1"/>
  <c r="H15" i="2"/>
  <c r="H53" i="2" s="1"/>
  <c r="H91" i="2" s="1"/>
  <c r="J25" i="2"/>
  <c r="J63" i="2" s="1"/>
  <c r="J101" i="2" s="1"/>
  <c r="B20" i="2"/>
  <c r="B58" i="2" s="1"/>
  <c r="B96" i="2" s="1"/>
  <c r="E24" i="2"/>
  <c r="E62" i="2" s="1"/>
  <c r="E100" i="2" s="1"/>
  <c r="E13" i="2"/>
  <c r="E51" i="2" s="1"/>
  <c r="E89" i="2" s="1"/>
  <c r="K16" i="2"/>
  <c r="K54" i="2" s="1"/>
  <c r="K92" i="2" s="1"/>
  <c r="I26" i="2"/>
  <c r="I64" i="2" s="1"/>
  <c r="I102" i="2" s="1"/>
  <c r="E18" i="2"/>
  <c r="E56" i="2" s="1"/>
  <c r="E94" i="2" s="1"/>
  <c r="K25" i="2"/>
  <c r="K63" i="2" s="1"/>
  <c r="K101" i="2" s="1"/>
  <c r="J20" i="2"/>
  <c r="J58" i="2" s="1"/>
  <c r="J96" i="2" s="1"/>
  <c r="I19" i="2"/>
  <c r="I57" i="2" s="1"/>
  <c r="I95" i="2" s="1"/>
  <c r="B26" i="2"/>
  <c r="B64" i="2" s="1"/>
  <c r="B102" i="2" s="1"/>
  <c r="H21" i="2"/>
  <c r="H59" i="2" s="1"/>
  <c r="H97" i="2" s="1"/>
  <c r="I11" i="2"/>
  <c r="I49" i="2" s="1"/>
  <c r="I87" i="2" s="1"/>
  <c r="C11" i="2"/>
  <c r="C49" i="2" s="1"/>
  <c r="C87" i="2" s="1"/>
  <c r="B17" i="2"/>
  <c r="B55" i="2" s="1"/>
  <c r="B93" i="2" s="1"/>
  <c r="D17" i="2"/>
  <c r="D55" i="2" s="1"/>
  <c r="D93" i="2" s="1"/>
  <c r="I22" i="2"/>
  <c r="I60" i="2" s="1"/>
  <c r="I98" i="2" s="1"/>
  <c r="E25" i="2"/>
  <c r="E63" i="2" s="1"/>
  <c r="E101" i="2" s="1"/>
  <c r="J14" i="2"/>
  <c r="J52" i="2" s="1"/>
  <c r="J90" i="2" s="1"/>
  <c r="E21" i="2"/>
  <c r="E59" i="2" s="1"/>
  <c r="E97" i="2" s="1"/>
  <c r="D14" i="2"/>
  <c r="D52" i="2" s="1"/>
  <c r="D90" i="2" s="1"/>
  <c r="C13" i="2"/>
  <c r="C51" i="2" s="1"/>
  <c r="C89" i="2" s="1"/>
  <c r="H20" i="2"/>
  <c r="H58" i="2" s="1"/>
  <c r="H96" i="2" s="1"/>
  <c r="I24" i="2"/>
  <c r="I62" i="2" s="1"/>
  <c r="I100" i="2" s="1"/>
  <c r="J12" i="2"/>
  <c r="J50" i="2" s="1"/>
  <c r="J88" i="2" s="1"/>
  <c r="L11" i="4"/>
  <c r="M20" i="4"/>
  <c r="L31" i="4"/>
  <c r="M12" i="4"/>
  <c r="M13" i="4"/>
  <c r="L13" i="4"/>
  <c r="M19" i="4"/>
  <c r="L8" i="4"/>
  <c r="M23" i="4"/>
  <c r="L23" i="4"/>
  <c r="L10" i="4"/>
  <c r="L15" i="4"/>
  <c r="L28" i="4"/>
  <c r="M28" i="4"/>
  <c r="J29" i="6"/>
  <c r="M39" i="4"/>
  <c r="L39" i="4"/>
  <c r="L9" i="4"/>
  <c r="M9" i="4"/>
  <c r="L38" i="4"/>
  <c r="M38" i="4"/>
  <c r="M14" i="4"/>
  <c r="L14" i="4"/>
  <c r="M25" i="4"/>
  <c r="L25" i="4"/>
  <c r="L35" i="4"/>
  <c r="M35" i="4"/>
  <c r="L21" i="4"/>
  <c r="M21" i="4"/>
  <c r="L16" i="4"/>
  <c r="M16" i="4"/>
  <c r="M34" i="4"/>
  <c r="L34" i="4"/>
  <c r="M33" i="4"/>
  <c r="M36" i="4"/>
  <c r="L27" i="4"/>
  <c r="L26" i="4"/>
  <c r="M6" i="4"/>
  <c r="L6" i="4"/>
  <c r="L7" i="4"/>
  <c r="M7" i="4"/>
  <c r="M37" i="4"/>
  <c r="L37" i="4"/>
  <c r="M5" i="4"/>
  <c r="L5" i="4"/>
  <c r="M24" i="4"/>
  <c r="L24" i="4"/>
  <c r="L17" i="4"/>
  <c r="M17" i="4"/>
  <c r="L29" i="4"/>
  <c r="M29" i="4"/>
  <c r="L18" i="4"/>
  <c r="M18" i="4"/>
  <c r="L32" i="4"/>
  <c r="M32" i="4"/>
  <c r="K21" i="6"/>
  <c r="K59" i="6" s="1"/>
  <c r="K97" i="6" s="1"/>
  <c r="E17" i="6"/>
  <c r="E55" i="6" s="1"/>
  <c r="E93" i="6" s="1"/>
  <c r="K16" i="6"/>
  <c r="K54" i="6" s="1"/>
  <c r="K92" i="6" s="1"/>
  <c r="B18" i="6"/>
  <c r="B56" i="6" s="1"/>
  <c r="B94" i="6" s="1"/>
  <c r="C15" i="6"/>
  <c r="C53" i="6" s="1"/>
  <c r="C91" i="6" s="1"/>
  <c r="D14" i="6"/>
  <c r="D52" i="6" s="1"/>
  <c r="D90" i="6" s="1"/>
  <c r="E19" i="6"/>
  <c r="E57" i="6" s="1"/>
  <c r="E95" i="6" s="1"/>
  <c r="C14" i="6"/>
  <c r="C52" i="6" s="1"/>
  <c r="C90" i="6" s="1"/>
  <c r="K20" i="6"/>
  <c r="K58" i="6" s="1"/>
  <c r="K96" i="6" s="1"/>
  <c r="I13" i="6"/>
  <c r="I51" i="6" s="1"/>
  <c r="I89" i="6" s="1"/>
  <c r="E21" i="6"/>
  <c r="E59" i="6" s="1"/>
  <c r="E97" i="6" s="1"/>
  <c r="E24" i="6"/>
  <c r="E62" i="6" s="1"/>
  <c r="E100" i="6" s="1"/>
  <c r="E20" i="6"/>
  <c r="E58" i="6" s="1"/>
  <c r="E96" i="6" s="1"/>
  <c r="C21" i="6"/>
  <c r="C59" i="6" s="1"/>
  <c r="C97" i="6" s="1"/>
  <c r="E13" i="6"/>
  <c r="E51" i="6" s="1"/>
  <c r="E89" i="6" s="1"/>
  <c r="E26" i="6"/>
  <c r="E64" i="6" s="1"/>
  <c r="E102" i="6" s="1"/>
  <c r="H26" i="6"/>
  <c r="H64" i="6" s="1"/>
  <c r="H102" i="6" s="1"/>
  <c r="I19" i="6"/>
  <c r="I57" i="6" s="1"/>
  <c r="I95" i="6" s="1"/>
  <c r="C19" i="6"/>
  <c r="C57" i="6" s="1"/>
  <c r="C95" i="6" s="1"/>
  <c r="H14" i="6"/>
  <c r="H52" i="6" s="1"/>
  <c r="H90" i="6" s="1"/>
  <c r="C13" i="6"/>
  <c r="C51" i="6" s="1"/>
  <c r="C89" i="6" s="1"/>
  <c r="K22" i="6"/>
  <c r="K60" i="6" s="1"/>
  <c r="K98" i="6" s="1"/>
  <c r="D23" i="6"/>
  <c r="D61" i="6" s="1"/>
  <c r="D99" i="6" s="1"/>
  <c r="B15" i="6"/>
  <c r="B53" i="6" s="1"/>
  <c r="B91" i="6" s="1"/>
  <c r="B14" i="6"/>
  <c r="B52" i="6" s="1"/>
  <c r="B90" i="6" s="1"/>
  <c r="I22" i="6"/>
  <c r="I60" i="6" s="1"/>
  <c r="I98" i="6" s="1"/>
  <c r="D17" i="6"/>
  <c r="D55" i="6" s="1"/>
  <c r="D93" i="6" s="1"/>
  <c r="J23" i="6"/>
  <c r="J61" i="6" s="1"/>
  <c r="J99" i="6" s="1"/>
  <c r="J17" i="6"/>
  <c r="J55" i="6" s="1"/>
  <c r="J93" i="6" s="1"/>
  <c r="I12" i="6"/>
  <c r="I50" i="6" s="1"/>
  <c r="I88" i="6" s="1"/>
  <c r="K15" i="6"/>
  <c r="K53" i="6" s="1"/>
  <c r="K91" i="6" s="1"/>
  <c r="C20" i="6"/>
  <c r="C58" i="6" s="1"/>
  <c r="C96" i="6" s="1"/>
  <c r="B19" i="6"/>
  <c r="B57" i="6" s="1"/>
  <c r="B95" i="6" s="1"/>
  <c r="E18" i="6"/>
  <c r="E56" i="6" s="1"/>
  <c r="E94" i="6" s="1"/>
  <c r="H16" i="6"/>
  <c r="H54" i="6" s="1"/>
  <c r="H92" i="6" s="1"/>
  <c r="K26" i="6"/>
  <c r="K64" i="6" s="1"/>
  <c r="K102" i="6" s="1"/>
  <c r="C11" i="6"/>
  <c r="C49" i="6" s="1"/>
  <c r="C87" i="6" s="1"/>
  <c r="H19" i="6"/>
  <c r="H57" i="6" s="1"/>
  <c r="H95" i="6" s="1"/>
  <c r="I20" i="6"/>
  <c r="I58" i="6" s="1"/>
  <c r="I96" i="6" s="1"/>
  <c r="D15" i="6"/>
  <c r="D53" i="6" s="1"/>
  <c r="D91" i="6" s="1"/>
  <c r="D26" i="6"/>
  <c r="D64" i="6" s="1"/>
  <c r="D102" i="6" s="1"/>
  <c r="I25" i="6"/>
  <c r="I63" i="6" s="1"/>
  <c r="I101" i="6" s="1"/>
  <c r="H21" i="6"/>
  <c r="H59" i="6" s="1"/>
  <c r="H97" i="6" s="1"/>
  <c r="H12" i="6"/>
  <c r="H50" i="6" s="1"/>
  <c r="H88" i="6" s="1"/>
  <c r="D24" i="6"/>
  <c r="D62" i="6" s="1"/>
  <c r="D100" i="6" s="1"/>
  <c r="I24" i="6"/>
  <c r="I62" i="6" s="1"/>
  <c r="I100" i="6" s="1"/>
  <c r="D18" i="6"/>
  <c r="D56" i="6" s="1"/>
  <c r="D94" i="6" s="1"/>
  <c r="I11" i="6"/>
  <c r="I49" i="6" s="1"/>
  <c r="I87" i="6" s="1"/>
  <c r="I17" i="6"/>
  <c r="I55" i="6" s="1"/>
  <c r="I93" i="6" s="1"/>
  <c r="J15" i="6"/>
  <c r="J53" i="6" s="1"/>
  <c r="J91" i="6" s="1"/>
  <c r="D13" i="6"/>
  <c r="D51" i="6" s="1"/>
  <c r="D89" i="6" s="1"/>
  <c r="E15" i="6"/>
  <c r="E53" i="6" s="1"/>
  <c r="E91" i="6" s="1"/>
  <c r="D12" i="6"/>
  <c r="D50" i="6" s="1"/>
  <c r="D88" i="6" s="1"/>
  <c r="K18" i="6"/>
  <c r="K56" i="6" s="1"/>
  <c r="K94" i="6" s="1"/>
  <c r="J24" i="6"/>
  <c r="J62" i="6" s="1"/>
  <c r="J100" i="6" s="1"/>
  <c r="I18" i="6"/>
  <c r="I56" i="6" s="1"/>
  <c r="I94" i="6" s="1"/>
  <c r="E16" i="6"/>
  <c r="E54" i="6" s="1"/>
  <c r="E92" i="6" s="1"/>
  <c r="I26" i="6"/>
  <c r="I64" i="6" s="1"/>
  <c r="I102" i="6" s="1"/>
  <c r="I15" i="6"/>
  <c r="I53" i="6" s="1"/>
  <c r="I91" i="6" s="1"/>
  <c r="D21" i="6"/>
  <c r="D59" i="6" s="1"/>
  <c r="D97" i="6" s="1"/>
  <c r="C16" i="6"/>
  <c r="C54" i="6" s="1"/>
  <c r="C92" i="6" s="1"/>
  <c r="D16" i="6"/>
  <c r="D54" i="6" s="1"/>
  <c r="D92" i="6" s="1"/>
  <c r="H25" i="6"/>
  <c r="H63" i="6" s="1"/>
  <c r="H101" i="6" s="1"/>
  <c r="I21" i="6"/>
  <c r="I59" i="6" s="1"/>
  <c r="I97" i="6" s="1"/>
  <c r="H17" i="6"/>
  <c r="H55" i="6" s="1"/>
  <c r="H93" i="6" s="1"/>
  <c r="H22" i="6"/>
  <c r="H60" i="6" s="1"/>
  <c r="H98" i="6" s="1"/>
  <c r="J21" i="6"/>
  <c r="J59" i="6" s="1"/>
  <c r="J97" i="6" s="1"/>
  <c r="B16" i="6"/>
  <c r="B54" i="6" s="1"/>
  <c r="B92" i="6" s="1"/>
  <c r="B22" i="6"/>
  <c r="B60" i="6" s="1"/>
  <c r="B98" i="6" s="1"/>
  <c r="B23" i="6"/>
  <c r="B61" i="6" s="1"/>
  <c r="B99" i="6" s="1"/>
  <c r="I14" i="6"/>
  <c r="I52" i="6" s="1"/>
  <c r="I90" i="6" s="1"/>
  <c r="J26" i="6"/>
  <c r="J64" i="6" s="1"/>
  <c r="J102" i="6" s="1"/>
  <c r="B25" i="6"/>
  <c r="B63" i="6" s="1"/>
  <c r="B101" i="6" s="1"/>
  <c r="K17" i="6"/>
  <c r="K55" i="6" s="1"/>
  <c r="K93" i="6" s="1"/>
  <c r="E14" i="6"/>
  <c r="E52" i="6" s="1"/>
  <c r="E90" i="6" s="1"/>
  <c r="C24" i="6"/>
  <c r="C62" i="6" s="1"/>
  <c r="C100" i="6" s="1"/>
  <c r="D19" i="6"/>
  <c r="D57" i="6" s="1"/>
  <c r="D95" i="6" s="1"/>
  <c r="K24" i="6"/>
  <c r="K62" i="6" s="1"/>
  <c r="K100" i="6" s="1"/>
  <c r="K13" i="6"/>
  <c r="K51" i="6" s="1"/>
  <c r="K89" i="6" s="1"/>
  <c r="H15" i="6"/>
  <c r="H53" i="6" s="1"/>
  <c r="H91" i="6" s="1"/>
  <c r="B21" i="6"/>
  <c r="B59" i="6" s="1"/>
  <c r="B97" i="6" s="1"/>
  <c r="C25" i="6"/>
  <c r="C63" i="6" s="1"/>
  <c r="C101" i="6" s="1"/>
  <c r="E23" i="6"/>
  <c r="E61" i="6" s="1"/>
  <c r="E99" i="6" s="1"/>
  <c r="J11" i="6"/>
  <c r="J49" i="6" s="1"/>
  <c r="J87" i="6" s="1"/>
  <c r="J12" i="6"/>
  <c r="J50" i="6" s="1"/>
  <c r="J88" i="6" s="1"/>
  <c r="K25" i="6"/>
  <c r="K63" i="6" s="1"/>
  <c r="K101" i="6" s="1"/>
  <c r="J22" i="6"/>
  <c r="J60" i="6" s="1"/>
  <c r="J98" i="6" s="1"/>
  <c r="D20" i="6"/>
  <c r="D58" i="6" s="1"/>
  <c r="D96" i="6" s="1"/>
  <c r="K23" i="6"/>
  <c r="K61" i="6" s="1"/>
  <c r="K99" i="6" s="1"/>
  <c r="J19" i="6"/>
  <c r="J57" i="6" s="1"/>
  <c r="J95" i="6" s="1"/>
  <c r="D11" i="6"/>
  <c r="D49" i="6" s="1"/>
  <c r="D87" i="6" s="1"/>
  <c r="J13" i="6"/>
  <c r="J51" i="6" s="1"/>
  <c r="J89" i="6" s="1"/>
  <c r="B13" i="6"/>
  <c r="B51" i="6" s="1"/>
  <c r="B89" i="6" s="1"/>
  <c r="H23" i="6"/>
  <c r="H61" i="6" s="1"/>
  <c r="H99" i="6" s="1"/>
  <c r="C22" i="6"/>
  <c r="C60" i="6" s="1"/>
  <c r="C98" i="6" s="1"/>
  <c r="H24" i="6"/>
  <c r="H62" i="6" s="1"/>
  <c r="H100" i="6" s="1"/>
  <c r="B20" i="6"/>
  <c r="B58" i="6" s="1"/>
  <c r="B96" i="6" s="1"/>
  <c r="J25" i="6"/>
  <c r="J63" i="6" s="1"/>
  <c r="J101" i="6" s="1"/>
  <c r="C23" i="6"/>
  <c r="C61" i="6" s="1"/>
  <c r="C99" i="6" s="1"/>
  <c r="H13" i="6"/>
  <c r="H51" i="6" s="1"/>
  <c r="H89" i="6" s="1"/>
  <c r="K12" i="6"/>
  <c r="K50" i="6" s="1"/>
  <c r="K88" i="6" s="1"/>
  <c r="E12" i="6"/>
  <c r="E50" i="6" s="1"/>
  <c r="E88" i="6" s="1"/>
  <c r="J18" i="6"/>
  <c r="J56" i="6" s="1"/>
  <c r="J94" i="6" s="1"/>
  <c r="B12" i="6"/>
  <c r="B50" i="6" s="1"/>
  <c r="B88" i="6" s="1"/>
  <c r="K19" i="6"/>
  <c r="K57" i="6" s="1"/>
  <c r="K95" i="6" s="1"/>
  <c r="H18" i="6"/>
  <c r="H56" i="6" s="1"/>
  <c r="H94" i="6" s="1"/>
  <c r="E22" i="6"/>
  <c r="E60" i="6" s="1"/>
  <c r="E98" i="6" s="1"/>
  <c r="B26" i="6"/>
  <c r="B64" i="6" s="1"/>
  <c r="B102" i="6" s="1"/>
  <c r="K11" i="6"/>
  <c r="K49" i="6" s="1"/>
  <c r="K87" i="6" s="1"/>
  <c r="J14" i="6"/>
  <c r="J52" i="6" s="1"/>
  <c r="J90" i="6" s="1"/>
  <c r="H11" i="6"/>
  <c r="H49" i="6" s="1"/>
  <c r="H87" i="6" s="1"/>
  <c r="J16" i="6"/>
  <c r="J54" i="6" s="1"/>
  <c r="J92" i="6" s="1"/>
  <c r="C17" i="6"/>
  <c r="C55" i="6" s="1"/>
  <c r="C93" i="6" s="1"/>
  <c r="C18" i="6"/>
  <c r="C56" i="6" s="1"/>
  <c r="C94" i="6" s="1"/>
  <c r="B24" i="6"/>
  <c r="B62" i="6" s="1"/>
  <c r="B100" i="6" s="1"/>
  <c r="E25" i="6"/>
  <c r="E63" i="6" s="1"/>
  <c r="E101" i="6" s="1"/>
  <c r="D25" i="6"/>
  <c r="D63" i="6" s="1"/>
  <c r="D101" i="6" s="1"/>
  <c r="C26" i="6"/>
  <c r="C64" i="6" s="1"/>
  <c r="C102" i="6" s="1"/>
  <c r="I16" i="6"/>
  <c r="I54" i="6" s="1"/>
  <c r="I92" i="6" s="1"/>
  <c r="D22" i="6"/>
  <c r="D60" i="6" s="1"/>
  <c r="D98" i="6" s="1"/>
  <c r="B11" i="6"/>
  <c r="B49" i="6" s="1"/>
  <c r="B87" i="6" s="1"/>
  <c r="E11" i="6"/>
  <c r="E49" i="6" s="1"/>
  <c r="E87" i="6" s="1"/>
  <c r="C12" i="6"/>
  <c r="C50" i="6" s="1"/>
  <c r="C88" i="6" s="1"/>
  <c r="K14" i="6"/>
  <c r="K52" i="6" s="1"/>
  <c r="K90" i="6" s="1"/>
  <c r="I23" i="6"/>
  <c r="I61" i="6" s="1"/>
  <c r="I99" i="6" s="1"/>
  <c r="J20" i="6"/>
  <c r="J58" i="6" s="1"/>
  <c r="J96" i="6" s="1"/>
  <c r="B17" i="6"/>
  <c r="B55" i="6" s="1"/>
  <c r="B93" i="6" s="1"/>
  <c r="H20" i="6"/>
  <c r="H58" i="6" s="1"/>
  <c r="H96" i="6" s="1"/>
  <c r="W40" i="4"/>
  <c r="W23" i="4"/>
  <c r="W25" i="4"/>
  <c r="W24" i="4"/>
  <c r="W19" i="4"/>
  <c r="W21" i="4"/>
  <c r="W37" i="4"/>
  <c r="W41" i="4"/>
  <c r="W31" i="4"/>
  <c r="W8" i="4"/>
  <c r="W10" i="4"/>
  <c r="W28" i="4"/>
  <c r="W14" i="4"/>
  <c r="W34" i="4"/>
  <c r="W36" i="4"/>
  <c r="W11" i="4"/>
  <c r="W12" i="4"/>
  <c r="W9" i="4"/>
  <c r="W35" i="4"/>
  <c r="W16" i="4"/>
  <c r="W30" i="4"/>
  <c r="W6" i="4"/>
  <c r="W5" i="4"/>
  <c r="W29" i="4"/>
  <c r="W32" i="4"/>
  <c r="W13" i="4"/>
  <c r="W15" i="4"/>
  <c r="W39" i="4"/>
  <c r="W33" i="4"/>
  <c r="W7" i="4"/>
  <c r="W20" i="4"/>
  <c r="W38" i="4"/>
  <c r="W27" i="4"/>
  <c r="W26" i="4"/>
  <c r="W17" i="4"/>
  <c r="W18" i="4"/>
  <c r="M22" i="4" l="1"/>
  <c r="D20" i="2"/>
  <c r="D58" i="2" s="1"/>
  <c r="D96" i="2" s="1"/>
  <c r="I20" i="2"/>
  <c r="I58" i="2" s="1"/>
  <c r="I96" i="2" s="1"/>
  <c r="B12" i="2"/>
  <c r="B50" i="2" s="1"/>
  <c r="B88" i="2" s="1"/>
  <c r="D16" i="2"/>
  <c r="D54" i="2" s="1"/>
  <c r="D92" i="2" s="1"/>
  <c r="K21" i="2"/>
  <c r="K59" i="2" s="1"/>
  <c r="K97" i="2" s="1"/>
  <c r="H11" i="2"/>
  <c r="H49" i="2" s="1"/>
  <c r="H87" i="2" s="1"/>
  <c r="J11" i="2"/>
  <c r="J49" i="2" s="1"/>
  <c r="J87" i="2" s="1"/>
  <c r="I15" i="2"/>
  <c r="I53" i="2" s="1"/>
  <c r="I91" i="2" s="1"/>
  <c r="I14" i="2"/>
  <c r="I52" i="2" s="1"/>
  <c r="I90" i="2" s="1"/>
  <c r="J26" i="2"/>
  <c r="J64" i="2" s="1"/>
  <c r="J102" i="2" s="1"/>
  <c r="D23" i="2"/>
  <c r="D61" i="2" s="1"/>
  <c r="D99" i="2" s="1"/>
  <c r="D18" i="2"/>
  <c r="D56" i="2" s="1"/>
  <c r="D94" i="2" s="1"/>
  <c r="I21" i="2"/>
  <c r="I59" i="2" s="1"/>
  <c r="I97" i="2" s="1"/>
  <c r="H22" i="2"/>
  <c r="H60" i="2" s="1"/>
  <c r="H98" i="2" s="1"/>
  <c r="D25" i="2"/>
  <c r="D63" i="2" s="1"/>
  <c r="D101" i="2" s="1"/>
  <c r="H13" i="2"/>
  <c r="H51" i="2" s="1"/>
  <c r="H89" i="2" s="1"/>
  <c r="E26" i="2"/>
  <c r="E64" i="2" s="1"/>
  <c r="E102" i="2" s="1"/>
  <c r="I18" i="2"/>
  <c r="I56" i="2" s="1"/>
  <c r="I94" i="2" s="1"/>
  <c r="C24" i="2"/>
  <c r="C62" i="2" s="1"/>
  <c r="C100" i="2" s="1"/>
  <c r="H14" i="2"/>
  <c r="H52" i="2" s="1"/>
  <c r="H90" i="2" s="1"/>
  <c r="C16" i="2"/>
  <c r="C54" i="2" s="1"/>
  <c r="C92" i="2" s="1"/>
  <c r="H17" i="2"/>
  <c r="H55" i="2" s="1"/>
  <c r="H93" i="2" s="1"/>
  <c r="B22" i="2"/>
  <c r="B60" i="2" s="1"/>
  <c r="B98" i="2" s="1"/>
  <c r="C18" i="2"/>
  <c r="C56" i="2" s="1"/>
  <c r="C94" i="2" s="1"/>
  <c r="B18" i="2"/>
  <c r="B56" i="2" s="1"/>
  <c r="B94" i="2" s="1"/>
  <c r="I23" i="2"/>
  <c r="I61" i="2" s="1"/>
  <c r="I99" i="2" s="1"/>
  <c r="B24" i="2"/>
  <c r="B62" i="2" s="1"/>
  <c r="B100" i="2" s="1"/>
  <c r="K24" i="2"/>
  <c r="K62" i="2" s="1"/>
  <c r="K100" i="2" s="1"/>
  <c r="J21" i="2"/>
  <c r="J59" i="2" s="1"/>
  <c r="J97" i="2" s="1"/>
  <c r="K18" i="2"/>
  <c r="K56" i="2" s="1"/>
  <c r="K94" i="2" s="1"/>
  <c r="D19" i="2"/>
  <c r="D57" i="2" s="1"/>
  <c r="D95" i="2" s="1"/>
  <c r="B15" i="2"/>
  <c r="B53" i="2" s="1"/>
  <c r="B91" i="2" s="1"/>
  <c r="J29" i="2"/>
  <c r="L30" i="4"/>
  <c r="K11" i="2"/>
  <c r="K49" i="2" s="1"/>
  <c r="K87" i="2" s="1"/>
  <c r="K26" i="2"/>
  <c r="K64" i="2" s="1"/>
  <c r="K102" i="2" s="1"/>
  <c r="D13" i="2"/>
  <c r="D51" i="2" s="1"/>
  <c r="D89" i="2" s="1"/>
  <c r="H24" i="2"/>
  <c r="H62" i="2" s="1"/>
  <c r="H100" i="2" s="1"/>
  <c r="K22" i="2"/>
  <c r="K60" i="2" s="1"/>
  <c r="K98" i="2" s="1"/>
  <c r="E22" i="2"/>
  <c r="E60" i="2" s="1"/>
  <c r="E98" i="2" s="1"/>
  <c r="C21" i="2"/>
  <c r="C59" i="2" s="1"/>
  <c r="C97" i="2" s="1"/>
  <c r="D24" i="2"/>
  <c r="D62" i="2" s="1"/>
  <c r="D100" i="2" s="1"/>
  <c r="H19" i="2"/>
  <c r="H57" i="2" s="1"/>
  <c r="H95" i="2" s="1"/>
  <c r="E11" i="2"/>
  <c r="E49" i="2" s="1"/>
  <c r="E87" i="2" s="1"/>
  <c r="J22" i="2"/>
  <c r="J60" i="2" s="1"/>
  <c r="J98" i="2" s="1"/>
  <c r="B13" i="2"/>
  <c r="B51" i="2" s="1"/>
  <c r="B89" i="2" s="1"/>
  <c r="D21" i="2"/>
  <c r="D59" i="2" s="1"/>
  <c r="D97" i="2" s="1"/>
  <c r="E14" i="2"/>
  <c r="E52" i="2" s="1"/>
  <c r="E90" i="2" s="1"/>
  <c r="H23" i="2"/>
  <c r="H61" i="2" s="1"/>
  <c r="H99" i="2" s="1"/>
  <c r="C25" i="2"/>
  <c r="C63" i="2" s="1"/>
  <c r="C101" i="2" s="1"/>
  <c r="E19" i="2"/>
  <c r="E57" i="2" s="1"/>
  <c r="E95" i="2" s="1"/>
  <c r="K17" i="2"/>
  <c r="K55" i="2" s="1"/>
  <c r="K93" i="2" s="1"/>
  <c r="I25" i="2"/>
  <c r="I63" i="2" s="1"/>
  <c r="I101" i="2" s="1"/>
  <c r="J15" i="2"/>
  <c r="J53" i="2" s="1"/>
  <c r="J91" i="2" s="1"/>
  <c r="C17" i="2"/>
  <c r="C55" i="2" s="1"/>
  <c r="C93" i="2" s="1"/>
  <c r="K23" i="2"/>
  <c r="K61" i="2" s="1"/>
  <c r="K99" i="2" s="1"/>
  <c r="D12" i="2"/>
  <c r="D50" i="2" s="1"/>
  <c r="D88" i="2" s="1"/>
  <c r="D11" i="2"/>
  <c r="D49" i="2" s="1"/>
  <c r="D87" i="2" s="1"/>
  <c r="H26" i="2"/>
  <c r="H64" i="2" s="1"/>
  <c r="H102" i="2" s="1"/>
  <c r="H16" i="2"/>
  <c r="H54" i="2" s="1"/>
  <c r="H92" i="2" s="1"/>
  <c r="D26" i="2"/>
  <c r="D64" i="2" s="1"/>
  <c r="D102" i="2" s="1"/>
  <c r="J19" i="2"/>
  <c r="J57" i="2" s="1"/>
  <c r="J95" i="2" s="1"/>
  <c r="J17" i="2"/>
  <c r="J55" i="2" s="1"/>
  <c r="J93" i="2" s="1"/>
  <c r="J16" i="2"/>
  <c r="J54" i="2" s="1"/>
  <c r="J92" i="2" s="1"/>
  <c r="K13" i="2"/>
  <c r="K51" i="2" s="1"/>
  <c r="K89" i="2" s="1"/>
  <c r="C26" i="2"/>
  <c r="C64" i="2" s="1"/>
  <c r="C102" i="2" s="1"/>
  <c r="D15" i="2"/>
  <c r="D53" i="2" s="1"/>
  <c r="D91" i="2" s="1"/>
  <c r="E17" i="2"/>
  <c r="E55" i="2" s="1"/>
  <c r="E93" i="2" s="1"/>
  <c r="J24" i="2"/>
  <c r="J62" i="2" s="1"/>
  <c r="J100" i="2" s="1"/>
  <c r="B21" i="2"/>
  <c r="B59" i="2" s="1"/>
  <c r="B97" i="2" s="1"/>
  <c r="C20" i="2"/>
  <c r="C58" i="2" s="1"/>
  <c r="C96" i="2" s="1"/>
  <c r="K19" i="2"/>
  <c r="K57" i="2" s="1"/>
  <c r="K95" i="2" s="1"/>
  <c r="B11" i="2"/>
  <c r="B49" i="2" s="1"/>
  <c r="B87" i="2" s="1"/>
  <c r="D22" i="2"/>
  <c r="D60" i="2" s="1"/>
  <c r="D98" i="2" s="1"/>
  <c r="E23" i="2"/>
  <c r="E61" i="2" s="1"/>
  <c r="E99" i="2" s="1"/>
  <c r="K14" i="2"/>
  <c r="K52" i="2" s="1"/>
  <c r="K90" i="2" s="1"/>
  <c r="C23" i="2"/>
  <c r="C61" i="2" s="1"/>
  <c r="C99" i="2" s="1"/>
  <c r="I17" i="2"/>
  <c r="I55" i="2" s="1"/>
  <c r="I93" i="2" s="1"/>
  <c r="B25" i="2"/>
  <c r="B63" i="2" s="1"/>
  <c r="B101" i="2" s="1"/>
  <c r="C14" i="2"/>
  <c r="C52" i="2" s="1"/>
  <c r="C90" i="2" s="1"/>
  <c r="C12" i="2"/>
  <c r="C50" i="2" s="1"/>
  <c r="C88" i="2" s="1"/>
  <c r="B23" i="2"/>
  <c r="B61" i="2" s="1"/>
  <c r="B99" i="2" s="1"/>
  <c r="E16" i="2"/>
  <c r="E54" i="2" s="1"/>
  <c r="E92" i="2" s="1"/>
  <c r="K15" i="2"/>
  <c r="K53" i="2" s="1"/>
  <c r="K91" i="2" s="1"/>
  <c r="H25" i="2"/>
  <c r="H63" i="2" s="1"/>
  <c r="H101" i="2" s="1"/>
  <c r="I16" i="2"/>
  <c r="I54" i="2" s="1"/>
  <c r="I92" i="2" s="1"/>
  <c r="B16" i="2"/>
  <c r="B54" i="2" s="1"/>
  <c r="B92" i="2" s="1"/>
  <c r="H18" i="2"/>
  <c r="H56" i="2" s="1"/>
  <c r="H94" i="2" s="1"/>
  <c r="H12" i="2"/>
  <c r="H50" i="2" s="1"/>
  <c r="H88" i="2" s="1"/>
  <c r="I12" i="2"/>
  <c r="I50" i="2" s="1"/>
  <c r="I88" i="2" s="1"/>
  <c r="E15" i="2"/>
  <c r="E53" i="2" s="1"/>
  <c r="E91" i="2" s="1"/>
  <c r="B19" i="2"/>
  <c r="B57" i="2" s="1"/>
  <c r="B95" i="2" s="1"/>
  <c r="I13" i="2"/>
  <c r="I51" i="2" s="1"/>
  <c r="I89" i="2" s="1"/>
  <c r="B14" i="2"/>
  <c r="B52" i="2" s="1"/>
  <c r="B90" i="2" s="1"/>
  <c r="K12" i="2"/>
  <c r="K50" i="2" s="1"/>
  <c r="K88" i="2" s="1"/>
  <c r="J13" i="2"/>
  <c r="J51" i="2" s="1"/>
  <c r="J89" i="2" s="1"/>
  <c r="K20" i="2"/>
  <c r="K58" i="2" s="1"/>
  <c r="K96" i="2" s="1"/>
  <c r="M42" i="4"/>
  <c r="M58" i="4" s="1"/>
  <c r="L42" i="4"/>
  <c r="J33" i="6" s="1"/>
  <c r="J71" i="6" s="1"/>
  <c r="J109" i="6" s="1"/>
  <c r="K58" i="4"/>
  <c r="J33" i="2"/>
  <c r="J71" i="2" s="1"/>
  <c r="J109" i="2" s="1"/>
  <c r="J67" i="6"/>
  <c r="J105" i="6" s="1"/>
  <c r="K31" i="6"/>
  <c r="K69" i="6" s="1"/>
  <c r="K107" i="6" s="1"/>
  <c r="L58" i="4"/>
  <c r="W22" i="4"/>
  <c r="J67" i="2" l="1"/>
  <c r="J105" i="2" s="1"/>
  <c r="K31" i="2"/>
  <c r="K69" i="2" s="1"/>
  <c r="K107" i="2" s="1"/>
  <c r="K35" i="2"/>
  <c r="K73" i="2" s="1"/>
  <c r="K111" i="2" s="1"/>
  <c r="AA5" i="4"/>
  <c r="K35" i="6"/>
  <c r="K73" i="6" s="1"/>
  <c r="K111" i="6" s="1"/>
  <c r="AA4" i="4"/>
  <c r="AA6" i="4" s="1"/>
  <c r="W42" i="4"/>
</calcChain>
</file>

<file path=xl/sharedStrings.xml><?xml version="1.0" encoding="utf-8"?>
<sst xmlns="http://schemas.openxmlformats.org/spreadsheetml/2006/main" count="853" uniqueCount="378">
  <si>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</si>
  <si>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</si>
  <si>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</si>
  <si>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</si>
  <si>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</si>
  <si>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</si>
  <si>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</si>
  <si>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</si>
  <si>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</si>
  <si>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</si>
  <si>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</si>
  <si>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</si>
  <si>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</si>
  <si>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</si>
  <si>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</si>
  <si>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</si>
  <si>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</si>
  <si>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</si>
  <si>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</si>
  <si>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</si>
  <si>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</si>
  <si>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</si>
  <si>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</si>
  <si>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</si>
  <si>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</si>
  <si>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</si>
  <si>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</si>
  <si>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</si>
  <si>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</si>
  <si>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</si>
  <si>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</si>
  <si>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</si>
  <si>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</si>
  <si>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</si>
  <si>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</si>
  <si>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</si>
  <si>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</si>
  <si>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</si>
  <si>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</si>
  <si>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</si>
  <si>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</si>
  <si>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</si>
  <si>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</si>
  <si>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</si>
  <si>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</si>
  <si>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</si>
  <si>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</si>
  <si>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</si>
  <si>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</si>
  <si>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</si>
  <si>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</si>
  <si>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</si>
  <si>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</si>
  <si>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</si>
  <si>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</si>
  <si>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</si>
  <si>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</si>
  <si>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</si>
  <si>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</si>
  <si>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</si>
  <si>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</si>
  <si>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</si>
  <si>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</si>
  <si>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</si>
  <si>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</si>
  <si>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</si>
  <si>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</si>
  <si>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</si>
  <si>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</si>
  <si>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</si>
  <si>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</si>
  <si>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</si>
  <si>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</si>
  <si>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</si>
  <si>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</si>
  <si>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</si>
  <si>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</si>
  <si>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</si>
  <si>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</si>
  <si>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</si>
  <si>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</si>
  <si>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</si>
  <si>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</si>
  <si>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</si>
  <si>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</si>
  <si>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</si>
  <si>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</si>
  <si>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</si>
  <si>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</si>
  <si>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</si>
  <si>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</si>
  <si>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</si>
  <si>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</si>
  <si>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</si>
  <si>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</si>
  <si>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</si>
  <si>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</si>
  <si>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</si>
  <si>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</si>
  <si>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</si>
  <si>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</si>
  <si>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</si>
  <si>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</si>
  <si>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</si>
  <si>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</si>
  <si>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</si>
  <si>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</si>
  <si>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</si>
  <si>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</si>
  <si>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</si>
  <si>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</si>
  <si>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</si>
  <si>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</si>
  <si>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</si>
  <si>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</si>
  <si>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</si>
  <si>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</si>
  <si>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</si>
  <si>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</si>
  <si>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</si>
  <si>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</si>
  <si>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</si>
  <si>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</si>
  <si>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</si>
  <si>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</si>
  <si>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</si>
  <si>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</si>
  <si>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</si>
  <si>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</si>
  <si>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</si>
  <si>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</si>
  <si>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</si>
  <si>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</si>
  <si>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</si>
  <si>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</si>
  <si>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</si>
  <si>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</si>
  <si>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</si>
  <si>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</si>
  <si>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</si>
  <si>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</si>
  <si>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</si>
  <si>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</si>
  <si>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CUTKENL500</t>
  </si>
  <si>
    <t>CUTTER 18 MM KENKO L-500 (BESAR)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</si>
  <si>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</si>
  <si>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</si>
  <si>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</si>
  <si>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</si>
  <si>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</si>
  <si>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</si>
  <si>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</si>
  <si>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CUTKENA300A</t>
  </si>
  <si>
    <t>CUTTER 9 MM KENKO A-300 (KECIL)</t>
  </si>
  <si>
    <t>0536</t>
  </si>
  <si>
    <t>12-Hitung FP Keluar Desember 2023</t>
  </si>
  <si>
    <t>0539</t>
  </si>
  <si>
    <t>pentf1191WARNA</t>
  </si>
  <si>
    <t>PENTF1190HITAM</t>
  </si>
  <si>
    <t>GEL PEN TRIFELLO HI-TECH TF-1191 WARNA</t>
  </si>
  <si>
    <t>GEL PEN TRIFELLO HI-TECH TF-1190 HITAM</t>
  </si>
  <si>
    <t>0551</t>
  </si>
  <si>
    <t>PCS</t>
  </si>
  <si>
    <t>PWJK12WPANJANG</t>
  </si>
  <si>
    <t>STAKENHD50</t>
  </si>
  <si>
    <t>GRS</t>
  </si>
  <si>
    <t>PENKEN6191</t>
  </si>
  <si>
    <t>PUNKEN30XL</t>
  </si>
  <si>
    <t>BOX</t>
  </si>
  <si>
    <t>STIJK40HITAM</t>
  </si>
  <si>
    <t>STIJK40PUTIH</t>
  </si>
  <si>
    <t>STIKEN40HITAM</t>
  </si>
  <si>
    <t>PENSIL WARNA JOYKO CP-12PB (PANJANG)</t>
  </si>
  <si>
    <t>STAPLER KENKO HD-50</t>
  </si>
  <si>
    <t>PENSIL KENKO 2B-6191 HIJAU CAP HITAM</t>
  </si>
  <si>
    <t>PUNCH KENKO NO. 30XL</t>
  </si>
  <si>
    <t>STIP / PENGHAPUS JOYKO 526-B40BL HITAM</t>
  </si>
  <si>
    <t>STIP / PENGHAPUS JOYKO 526-B40P PUTIH</t>
  </si>
  <si>
    <t>STIP / PENGHAPUS KENKO ERB-40SQ HITAM</t>
  </si>
  <si>
    <t>0553</t>
  </si>
  <si>
    <t>tiara</t>
  </si>
  <si>
    <t>GEL PEN TRIFELLO HI-TECH TF-1191 HITAM</t>
  </si>
  <si>
    <t>pentf1191</t>
  </si>
  <si>
    <t>0554</t>
  </si>
  <si>
    <t>ganesha</t>
  </si>
  <si>
    <t>CLIKEN200</t>
  </si>
  <si>
    <t>LEMKEN15GR</t>
  </si>
  <si>
    <t>BINDER CLIP KENKO NO. 200</t>
  </si>
  <si>
    <t>LEM STICK KENKO 15 GR (TANGGUNG) isi 20 pc</t>
  </si>
  <si>
    <t>4960</t>
  </si>
  <si>
    <t>lancar</t>
  </si>
  <si>
    <t>DISKENTD323</t>
  </si>
  <si>
    <t>TAPE DISPENSER KENKO TD-323 (1" &amp; 3" CORE)</t>
  </si>
  <si>
    <t>0570</t>
  </si>
  <si>
    <t>TIPKENKE01</t>
  </si>
  <si>
    <t>CORRECTION FLUID KENKO KE-01</t>
  </si>
  <si>
    <t>0568</t>
  </si>
  <si>
    <t>PENJKP88</t>
  </si>
  <si>
    <t>PENSIL JOYKO 2B P-88</t>
  </si>
  <si>
    <t>3287</t>
  </si>
  <si>
    <t>OPJK12W</t>
  </si>
  <si>
    <t>CRAYON / OIL PASTEL JOYKO OP-12S PP CASE SEA WORLD</t>
  </si>
  <si>
    <t>0604</t>
  </si>
  <si>
    <t>trioplaza</t>
  </si>
  <si>
    <t>pcs</t>
  </si>
  <si>
    <t>penkenke303</t>
  </si>
  <si>
    <t>GEL PEN KENKO KE-303 T-GEL TRIANGULAR</t>
  </si>
  <si>
    <t>RISMA / CONDRO</t>
  </si>
  <si>
    <t>CUTKENK200</t>
  </si>
  <si>
    <t>CUTTER 9 MM KENKO K-200 (KECIL)</t>
  </si>
  <si>
    <t>CLIKEN111</t>
  </si>
  <si>
    <t>BINDER CLIP KENKO NO. 111</t>
  </si>
  <si>
    <t>CLIKEN155</t>
  </si>
  <si>
    <t>BINDER CLIP KENKO NO. 155</t>
  </si>
  <si>
    <t>BKKASKWARTO</t>
  </si>
  <si>
    <t>BUKU KAS KWARTO</t>
  </si>
  <si>
    <t>4778</t>
  </si>
  <si>
    <t>LEMKEN8GR</t>
  </si>
  <si>
    <t>LEM STICK KENKO 8 GR (KECIL) isi 30 pc</t>
  </si>
  <si>
    <t>4780</t>
  </si>
  <si>
    <t>OPJK18W</t>
  </si>
  <si>
    <t>CRAYON / OIL PASTEL JOYKO OP-18S PP CASE SEA WORLD</t>
  </si>
  <si>
    <t>OPJK24W</t>
  </si>
  <si>
    <t>CRAYON / OIL PASTEL JOYKO OP-24S PP CASE SEA WORLD</t>
  </si>
  <si>
    <t>OPJK48W</t>
  </si>
  <si>
    <t>CRAYON / OIL PASTEL JOYKO OP-48S PP CASE SEA WORLD</t>
  </si>
  <si>
    <t>OPJK55W</t>
  </si>
  <si>
    <t>CRAYON / OIL PASTEL JOYKO OP-55S PP CASE SEA WORLD</t>
  </si>
  <si>
    <t>4783</t>
  </si>
  <si>
    <t>NIKISAE</t>
  </si>
  <si>
    <t>OPJKTWCR12</t>
  </si>
  <si>
    <t>CRAYON / OIL PASTEL PUTAR JOYKO TWCR-12MINI (PENDEK)</t>
  </si>
  <si>
    <t>CRAYON / OIL PASTEL PUTAR JOYKO TWCR-12S (PANJANG)</t>
  </si>
  <si>
    <t>0584</t>
  </si>
  <si>
    <t>ISIKENBESAR</t>
  </si>
  <si>
    <t>ISI CUTTER 18 MM KENKO L-150 (BESAR)</t>
  </si>
  <si>
    <t>PT.HASTA KENCANA SAKTI</t>
  </si>
  <si>
    <t>( TRIO PLAZA )</t>
  </si>
  <si>
    <t>MRANGGEN</t>
  </si>
  <si>
    <t>MAGELANG</t>
  </si>
  <si>
    <t>4789</t>
  </si>
  <si>
    <t>SET</t>
  </si>
  <si>
    <t>CRAYON / OIL PASTEL JOYKO OP-36S PP CASE SEA WORLD</t>
  </si>
  <si>
    <t>NOVI / YO</t>
  </si>
  <si>
    <t>4788</t>
  </si>
  <si>
    <t>PC</t>
  </si>
  <si>
    <t>LS</t>
  </si>
  <si>
    <t>HIGHLIGHTER / STABILLO JOYKO HL-1/2/3/4/5 (Kn/Hj/Br/Pink/Or)</t>
  </si>
  <si>
    <t>NOTEBOOK JOYKO A6 NB-665</t>
  </si>
  <si>
    <t>BALLPEN JOYKO BP-338 VOCUS</t>
  </si>
  <si>
    <t>4791</t>
  </si>
  <si>
    <t>OPJK36W</t>
  </si>
  <si>
    <t>4792</t>
  </si>
  <si>
    <t>GUNJKSC828</t>
  </si>
  <si>
    <t>GUNJKSC838</t>
  </si>
  <si>
    <t>CRPJK12WPANJANG</t>
  </si>
  <si>
    <t>GUNTING JOYKO SC-828</t>
  </si>
  <si>
    <t>GUNTING JOYKO SC-838</t>
  </si>
  <si>
    <t>3296</t>
  </si>
  <si>
    <t>STAJKHD10CL</t>
  </si>
  <si>
    <t>CUTJKL500</t>
  </si>
  <si>
    <t>ISOJKTD102</t>
  </si>
  <si>
    <t>ISIJKBESAR</t>
  </si>
  <si>
    <t>STAPLER JOYKO HD-10CL</t>
  </si>
  <si>
    <t>ISI CUTTER 18 MM JOYKO L-150 AM (BESAR)</t>
  </si>
  <si>
    <t>CUTTER 18 MM JOYKO L-500 + ISI (BESAR)</t>
  </si>
  <si>
    <t>TAPE CUTTER JOYKO TD-102</t>
  </si>
  <si>
    <t>0654</t>
  </si>
  <si>
    <t>RAK SUSUN BESI 5 SUSUN</t>
  </si>
  <si>
    <t>0705</t>
  </si>
  <si>
    <t>TIPJKCT522</t>
  </si>
  <si>
    <t>CORRECTION TAPE JOYKO CT-522</t>
  </si>
  <si>
    <t>0707</t>
  </si>
  <si>
    <t>isiken1210</t>
  </si>
  <si>
    <t>ISI STAPLER (STAPLES) KENKO 1210 PREMIUM (23/10)</t>
  </si>
  <si>
    <t>0660</t>
  </si>
  <si>
    <t>CRJK12WPUTAR</t>
  </si>
  <si>
    <t>PENJKGP266HT</t>
  </si>
  <si>
    <t>GEL PEN JOYKO GP-266 ITECH HITAM</t>
  </si>
  <si>
    <t>0665</t>
  </si>
  <si>
    <t>reni</t>
  </si>
  <si>
    <t>0666</t>
  </si>
  <si>
    <t>nirmala</t>
  </si>
  <si>
    <t>TAS KARUNG V (35 X 40)</t>
  </si>
  <si>
    <t>PENKENFUNGELHITAM</t>
  </si>
  <si>
    <t>ODM010</t>
  </si>
  <si>
    <t>KARBONSBBB</t>
  </si>
  <si>
    <t>BKKASFOLIO</t>
  </si>
  <si>
    <t>STIJK20HITAM</t>
  </si>
  <si>
    <t>PCAC1762</t>
  </si>
  <si>
    <t>TIPKENKE826</t>
  </si>
  <si>
    <t>SPIKENPM100</t>
  </si>
  <si>
    <t>KERTAS KARBON DOUBLE BIRU</t>
  </si>
  <si>
    <t>SPIDOL PERMANEN KENKO PM-100 HITAM</t>
  </si>
  <si>
    <t>GEL PEN KENKO FUN GEL</t>
  </si>
  <si>
    <t>GEL PEN AODEMI MASTONA 010</t>
  </si>
  <si>
    <t>BUKU KAS (FOLIO)</t>
  </si>
  <si>
    <t>PINJKPP30</t>
  </si>
  <si>
    <t>STIP / PENGHAPUS JOYKO ER-B20BL HITAM</t>
  </si>
  <si>
    <t>PENCIL CASE 22 x 7.5 MAGNET AC-1762</t>
  </si>
  <si>
    <t>CORRECTION FLUID KENKO KE-826M</t>
  </si>
  <si>
    <t>PUSH PIN JOYKO PP-30</t>
  </si>
  <si>
    <t>0667</t>
  </si>
  <si>
    <t>TIPKENCT809</t>
  </si>
  <si>
    <t>STASDI1104</t>
  </si>
  <si>
    <t>GUNKEN848N</t>
  </si>
  <si>
    <t>MAP1935</t>
  </si>
  <si>
    <t>GUNTING KENKO SC-838N</t>
  </si>
  <si>
    <t>GUNTING KENKO SC-848N</t>
  </si>
  <si>
    <t>MAP A5 F 8517</t>
  </si>
  <si>
    <t>CORRECTION TAPE KENKO CT-809 (8M x 5MM)</t>
  </si>
  <si>
    <t>STAPLER SDI 1104</t>
  </si>
  <si>
    <t>MAP DATA A4 1935</t>
  </si>
  <si>
    <t>GUNKEN838N</t>
  </si>
  <si>
    <t>MAP8517</t>
  </si>
  <si>
    <t>0670</t>
  </si>
  <si>
    <t>STAKENHD10</t>
  </si>
  <si>
    <t>STAPLER KENKO HD-10</t>
  </si>
  <si>
    <t>0671</t>
  </si>
  <si>
    <t>bendan</t>
  </si>
  <si>
    <t>CLIKEN1</t>
  </si>
  <si>
    <t>PAPER TRIGONAL CLIP KENKO NO. 1</t>
  </si>
  <si>
    <t>GUNKENSC838</t>
  </si>
  <si>
    <t>0682</t>
  </si>
  <si>
    <t>penkenhitech028hitam</t>
  </si>
  <si>
    <t>GEL PEN KENKO HI-TECH-H 0.28 MM HITAM</t>
  </si>
  <si>
    <t>0661</t>
  </si>
  <si>
    <t>CORRECTION FLUID JOYKO CF-S209</t>
  </si>
  <si>
    <t>CORRECTION FLUID JOYKO CF-S209A</t>
  </si>
  <si>
    <t>0631</t>
  </si>
  <si>
    <t>sinarbhakti</t>
  </si>
  <si>
    <t>NOTEBOOK KANCING SZB-32K-1008-23</t>
  </si>
  <si>
    <t>NOTEBOOK KANCING SZB-32K-1008-22</t>
  </si>
  <si>
    <t>TAS KARUNG WIN/LS 35x40 CM</t>
  </si>
  <si>
    <t>TAS KARUNG WIN/LS 45x50 CM</t>
  </si>
  <si>
    <t>RISMA / YO</t>
  </si>
  <si>
    <t>0639</t>
  </si>
  <si>
    <t>utama</t>
  </si>
  <si>
    <t>PENTF1190BIRU</t>
  </si>
  <si>
    <t>GEL PEN TRIFELLO HI-TECH TF-1190 BIRU</t>
  </si>
  <si>
    <t>0759</t>
  </si>
  <si>
    <t>cliken1</t>
  </si>
  <si>
    <t>CLIKEN5</t>
  </si>
  <si>
    <t>PAPER JUMBO CLIP KENKO NO. 5</t>
  </si>
  <si>
    <t>0764</t>
  </si>
  <si>
    <t>armada</t>
  </si>
  <si>
    <t>0641</t>
  </si>
  <si>
    <t>TIPKENCT902</t>
  </si>
  <si>
    <t>MESKENMX5500</t>
  </si>
  <si>
    <t>CORRECTION TAPE KENKO CT-902 (12M x 5MM)</t>
  </si>
  <si>
    <t>MESIN LABEL HARGA KENKO MX-5500 (8 DIGITS, 1 LINE)</t>
  </si>
  <si>
    <t>0519</t>
  </si>
  <si>
    <t>PENTG340BIRU</t>
  </si>
  <si>
    <t>hiDupbaru</t>
  </si>
  <si>
    <t>GEL PEN TIZO 1.0 MM TG-340BI BIRU</t>
  </si>
  <si>
    <t>0683</t>
  </si>
  <si>
    <t>PENKENHITECH028HITAM</t>
  </si>
  <si>
    <t>4967</t>
  </si>
  <si>
    <t>JANKENC168</t>
  </si>
  <si>
    <t>JANGKA (COMPASS SET) KENKO C-168 / MS-75</t>
  </si>
  <si>
    <t>JANKENC528</t>
  </si>
  <si>
    <t>JANGKA (COMPASS SET) KENKO C-528 / MS-55</t>
  </si>
  <si>
    <t>PWKEN12WPENDEK</t>
  </si>
  <si>
    <t>PENSIL WARNA KENKO CP-12HALF CLASSIC (PENDEK)</t>
  </si>
  <si>
    <t>GARKEN15CM</t>
  </si>
  <si>
    <t>GARISAN BESI (STAINLESS STEEL) KENKO 15 CM</t>
  </si>
  <si>
    <t>GARKEN40CM</t>
  </si>
  <si>
    <t>GARISAN BESI (STAINLESS STEEL) KENKO 40 CM</t>
  </si>
  <si>
    <t>GARKEN50CM</t>
  </si>
  <si>
    <t>GARISAN BESI (STAINLESS STEEL) KENKO 50 CM</t>
  </si>
  <si>
    <t>STAKENNO0</t>
  </si>
  <si>
    <t>STAMP PAD KENKO NO. 0</t>
  </si>
  <si>
    <t>STAKENNO1</t>
  </si>
  <si>
    <t>STAMP PAD KENKO NO. 1</t>
  </si>
  <si>
    <t>STAKEND4</t>
  </si>
  <si>
    <t>DATE STAMP KENKO D-4 (Cap Tanggal 4 Mm)</t>
  </si>
  <si>
    <t>COUKENHT302</t>
  </si>
  <si>
    <t>HAND TALLY COUNTER KENKO HT-302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</si>
</sst>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0" fontId="42" fillId="0" borderId="0" xfId="0" applyNumberFormat="1" applyFont="1" applyFill="1" applyBorder="1" applyAlignment="1">
      <alignment horizontal="left" vertical="center"/>
    </xf>
    <xf numFmtId="164" fontId="42" fillId="0" borderId="0" xfId="0" applyNumberFormat="1" applyFont="1" applyFill="1" applyBorder="1" applyAlignment="1">
      <alignment horizontal="left" vertical="center"/>
    </xf>
    <xf numFmtId="1" fontId="42" fillId="0" borderId="0" xfId="0" applyNumberFormat="1" applyFont="1" applyFill="1" applyBorder="1" applyAlignment="1">
      <alignment horizontal="left" vertical="center"/>
    </xf>
    <xf numFmtId="49" fontId="42" fillId="0" borderId="0" xfId="0" applyNumberFormat="1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43" fontId="42" fillId="0" borderId="0" xfId="0" applyNumberFormat="1" applyFont="1" applyFill="1" applyBorder="1" applyAlignment="1">
      <alignment horizontal="left" vertical="center"/>
    </xf>
    <xf numFmtId="10" fontId="42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22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2%20DESEMBER\KELUAR%201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97.411739814816" createdVersion="5" refreshedVersion="5" minRefreshableVersion="3" recordCount="295">
  <cacheSource type="worksheet">
    <worksheetSource name="Table1" r:id="rId2"/>
  </cacheSource>
  <cacheFields count="32">
    <cacheField name="//" numFmtId="0">
      <sharedItems containsMixedTypes="1" containsNumber="1" containsInteger="1" minValue="4" maxValue="153" count="42">
        <s v=""/>
        <n v="4"/>
        <n v="7"/>
        <n v="10"/>
        <n v="18"/>
        <n v="20"/>
        <n v="24"/>
        <n v="26"/>
        <n v="28"/>
        <n v="30"/>
        <n v="32"/>
        <n v="40"/>
        <n v="43"/>
        <n v="48"/>
        <n v="54"/>
        <n v="56"/>
        <n v="61"/>
        <n v="69"/>
        <n v="72"/>
        <n v="76"/>
        <n v="81"/>
        <n v="83"/>
        <n v="86"/>
        <n v="88"/>
        <n v="95"/>
        <n v="97"/>
        <n v="113"/>
        <n v="120"/>
        <n v="122"/>
        <n v="126"/>
        <n v="128"/>
        <n v="131"/>
        <n v="136"/>
        <n v="139"/>
        <n v="143"/>
        <n v="145"/>
        <n v="149"/>
        <n v="151"/>
        <n v="153"/>
        <n v="63" u="1"/>
        <n v="58" u="1"/>
        <n v="60" u="1"/>
      </sharedItems>
    </cacheField>
    <cacheField name="h_No. Invoice :" numFmtId="0">
      <sharedItems containsMixedTypes="1" containsNumber="1" containsInteger="1" minValue="23120001" maxValue="23120038"/>
    </cacheField>
    <cacheField name="Tgl Invoice :" numFmtId="164">
      <sharedItems containsDate="1" containsMixedTypes="1" minDate="2023-12-04T00:00:00" maxDate="2023-12-31T00:00:00"/>
    </cacheField>
    <cacheField name="Column2" numFmtId="0">
      <sharedItems containsString="0" containsBlank="1" containsNumber="1" containsInteger="1" minValue="4" maxValue="30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864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minValue="341.7" maxValue="276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8200.7999999999993" maxValue="161595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53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minValue="8200.7999999999993" maxValue="19440000"/>
    </cacheField>
    <cacheField name="h_disc 1" numFmtId="43">
      <sharedItems containsMixedTypes="1" containsNumber="1" minValue="0" maxValue="2511000"/>
    </cacheField>
    <cacheField name="h_disc 2" numFmtId="43">
      <sharedItems containsMixedTypes="1" containsNumber="1" minValue="0" maxValue="850500"/>
    </cacheField>
    <cacheField name="h_diskon" numFmtId="43">
      <sharedItems containsMixedTypes="1" containsNumber="1" minValue="0" maxValue="3280500"/>
    </cacheField>
    <cacheField name="h_hargasetelahdiskon" numFmtId="43">
      <sharedItems containsMixedTypes="1" containsNumber="1" minValue="8200.7999999999993" maxValue="16159500"/>
    </cacheField>
    <cacheField name="Total Invoice" numFmtId="43">
      <sharedItems containsMixedTypes="1" containsNumber="1" minValue="329300.95999999996" maxValue="32112675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5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20001"/>
    <d v="2023-12-04T00:00:00"/>
    <n v="4"/>
    <s v="0536"/>
    <s v="rejoagung"/>
    <s v="AM 23120001"/>
    <s v="G"/>
    <s v="G 0536"/>
    <s v="LILY JULIAWATI (REJO AGUNG) JOMBANG"/>
    <n v="100"/>
    <s v="LSN"/>
    <n v="5"/>
    <s v="CUTKENL500"/>
    <s v="CUTTER 18 MM KENKO L-500 (BESAR)"/>
    <s v="CUTTER 18 MM KENKO L-500 (BESAR)"/>
    <n v="147600"/>
    <n v="0.125"/>
    <m/>
    <n v="12915000"/>
    <s v="NOVI / CONDRO"/>
    <m/>
    <n v="4"/>
    <n v="2"/>
    <n v="14760000"/>
    <n v="1845000"/>
    <n v="0"/>
    <n v="1845000"/>
    <n v="12915000"/>
    <n v="15907500"/>
    <m/>
    <s v="CUTTER 18 MM KENKO L-500 (BESAR)LSN1476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4"/>
    <n v="2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20002"/>
    <d v="2023-12-05T00:00:00"/>
    <n v="5"/>
    <s v="0539"/>
    <s v="RENI"/>
    <s v="AM 23120002"/>
    <s v="A"/>
    <s v="A 0539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7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7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20003"/>
    <d v="2023-12-06T00:00:00"/>
    <n v="6"/>
    <s v="0551"/>
    <s v="ANUGERAH"/>
    <s v="AM 23120003"/>
    <s v="KO"/>
    <s v="KO 0551"/>
    <s v="CV PELITA JAYA (ANUGERAH SEJAHTERA) PURWOKERTO"/>
    <n v="288"/>
    <s v="PCS"/>
    <n v="2"/>
    <s v="PWJK12WPANJANG"/>
    <s v="PENSIL WARNA JOYKO CP-12PB (PANJANG)"/>
    <s v="PENSIL WARNA JOYKO CP-12PB (PANJANG)"/>
    <n v="10600"/>
    <n v="0.13500000000000001"/>
    <m/>
    <n v="2640672"/>
    <s v="NOVI / CONDRO"/>
    <m/>
    <n v="10"/>
    <n v="7"/>
    <n v="3052800"/>
    <n v="412128"/>
    <n v="0"/>
    <n v="412128"/>
    <n v="2640672"/>
    <n v="17798067"/>
    <m/>
    <s v="PENSIL WARNA JOYKO CP-12PB (PANJANG)PCS10600"/>
  </r>
  <r>
    <x v="0"/>
    <s v=""/>
    <s v=""/>
    <m/>
    <m/>
    <m/>
    <s v=""/>
    <s v=""/>
    <s v=" "/>
    <s v=""/>
    <n v="30"/>
    <s v="LSN"/>
    <n v="3"/>
    <s v="STAKENHD50"/>
    <s v="STAPLER KENKO HD-50"/>
    <s v="STAPLER KENKO HD-50"/>
    <n v="228000"/>
    <n v="0.13500000000000001"/>
    <m/>
    <n v="5916600"/>
    <m/>
    <m/>
    <n v="10"/>
    <n v="7"/>
    <n v="6840000"/>
    <n v="923400.00000000012"/>
    <n v="0"/>
    <n v="923400.00000000012"/>
    <n v="5916600"/>
    <s v=""/>
    <m/>
    <s v="STAPLER KENKO HD-50LSN228000"/>
  </r>
  <r>
    <x v="0"/>
    <s v=""/>
    <s v=""/>
    <m/>
    <m/>
    <m/>
    <s v=""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10"/>
    <n v="7"/>
    <n v="2208000"/>
    <n v="298080"/>
    <n v="0"/>
    <n v="298080"/>
    <n v="1909920"/>
    <s v=""/>
    <m/>
    <s v="PENSIL KENKO 2B-6191 HIJAU CAP HITAMGRS110400"/>
  </r>
  <r>
    <x v="0"/>
    <s v=""/>
    <s v=""/>
    <m/>
    <m/>
    <m/>
    <s v=""/>
    <s v=""/>
    <s v=" "/>
    <s v=""/>
    <n v="96"/>
    <s v="PCS"/>
    <n v="1"/>
    <s v="PUNKEN30XL"/>
    <s v="PUNCH KENKO NO. 30XL"/>
    <s v="PUNCH KENKO NO. 30XL"/>
    <n v="15000"/>
    <n v="0.13500000000000001"/>
    <m/>
    <n v="1245600"/>
    <m/>
    <m/>
    <n v="10"/>
    <n v="7"/>
    <n v="1440000"/>
    <n v="194400"/>
    <n v="0"/>
    <n v="194400"/>
    <n v="1245600"/>
    <s v=""/>
    <m/>
    <s v="PUNCH KENKO NO. 30XLPCS15000"/>
  </r>
  <r>
    <x v="0"/>
    <s v=""/>
    <s v=""/>
    <m/>
    <m/>
    <m/>
    <s v=""/>
    <s v=""/>
    <s v=" "/>
    <s v=""/>
    <n v="100"/>
    <s v="BOX"/>
    <n v="2"/>
    <s v="STIJK40HITAM"/>
    <s v="STIP / PENGHAPUS JOYKO 526-B40BL HITAM"/>
    <s v="STIP / PENGHAPUS JOYKO 526-B40BL HITAM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BL HITAMBOX283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10"/>
    <n v="7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20004"/>
    <d v="2023-12-06T00:00:00"/>
    <n v="6"/>
    <s v="0553"/>
    <s v="tiara"/>
    <s v="AM 23120004"/>
    <s v="A"/>
    <s v="A 0553"/>
    <s v="CV TIARA SOLO"/>
    <n v="144"/>
    <s v="LSN"/>
    <n v="1"/>
    <s v="pentf1191"/>
    <e v="#N/A"/>
    <s v="GEL PEN TRIFELLO HI-TECH TF-1191 HITAM"/>
    <n v="28000"/>
    <m/>
    <m/>
    <n v="4032000"/>
    <s v="NOVI / CONDRO"/>
    <m/>
    <n v="18"/>
    <n v="1"/>
    <n v="4032000"/>
    <n v="0"/>
    <n v="0"/>
    <n v="0"/>
    <n v="4032000"/>
    <n v="4032000"/>
    <m/>
    <s v="GEL PEN TRIFELLO HI-TECH TF-1191 HITAMLSN28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20005"/>
    <d v="2023-12-06T00:00:00"/>
    <n v="6"/>
    <s v="0554"/>
    <s v="ganesha"/>
    <s v="AM 23120005"/>
    <s v="KO"/>
    <s v="KO 0554"/>
    <s v="CV GANESHA WONOSOBO"/>
    <n v="3"/>
    <s v="GRS"/>
    <m/>
    <s v="CLIKEN200"/>
    <s v="BINDER CLIP KENKO NO. 200"/>
    <s v="BINDER CLIP KENKO NO. 200"/>
    <n v="120000"/>
    <n v="0.1"/>
    <m/>
    <n v="324000"/>
    <s v="NOVI / CONDRO"/>
    <m/>
    <n v="20"/>
    <n v="3"/>
    <n v="360000"/>
    <n v="36000"/>
    <n v="0"/>
    <n v="36000"/>
    <n v="324000"/>
    <n v="853200"/>
    <m/>
    <s v="BINDER CLIP KENKO NO. 200GRS120000"/>
  </r>
  <r>
    <x v="0"/>
    <s v=""/>
    <s v=""/>
    <m/>
    <m/>
    <m/>
    <s v=""/>
    <s v=""/>
    <s v=" "/>
    <s v=""/>
    <n v="5"/>
    <s v="BOX"/>
    <m/>
    <s v="LEMKEN15GR"/>
    <s v="LEM STICK KENKO 15 GR (TANGGUNG) isi 20 pc"/>
    <s v="LEM STICK KENKO 15 GR (TANGGUNG) isi 20 pc"/>
    <n v="72000"/>
    <n v="0.1"/>
    <m/>
    <n v="324000"/>
    <m/>
    <m/>
    <n v="20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n v="4"/>
    <s v="LSN"/>
    <m/>
    <s v="CUTKENA300A"/>
    <s v="CUTTER 9 MM KENKO A-300 (KECIL)"/>
    <s v="CUTTER 9 MM KENKO A-300 (KECIL)"/>
    <n v="57000"/>
    <n v="0.1"/>
    <m/>
    <n v="205200"/>
    <m/>
    <m/>
    <n v="20"/>
    <n v="3"/>
    <n v="228000"/>
    <n v="22800"/>
    <n v="0"/>
    <n v="22800"/>
    <n v="2052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20006"/>
    <d v="2023-12-07T00:00:00"/>
    <n v="7"/>
    <s v="4960"/>
    <s v="lancar"/>
    <s v="AM 23120006"/>
    <s v="KO"/>
    <s v="KO 4960"/>
    <s v="CV LANCAR JAYA SENTOSA MALANG"/>
    <n v="48"/>
    <s v="PCS"/>
    <n v="1"/>
    <s v="DISKENTD323"/>
    <s v="TAPE DISPENSER KENKO TD-323 (1&quot; &amp; 3&quot; CORE)"/>
    <s v="TAPE DISPENSER KENKO TD-323 (1&quot; &amp; 3&quot; CORE)"/>
    <n v="19250"/>
    <n v="0.125"/>
    <m/>
    <n v="808500"/>
    <s v="NOVI / CONDRO"/>
    <m/>
    <n v="24"/>
    <n v="1"/>
    <n v="924000"/>
    <n v="115500"/>
    <n v="0"/>
    <n v="115500"/>
    <n v="808500"/>
    <n v="808500"/>
    <m/>
    <s v="TAPE DISPENSER KENKO TD-323 (1&quot; &amp; 3&quot; CORE)PCS19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20007"/>
    <d v="2023-12-09T00:00:00"/>
    <n v="9"/>
    <s v="0570"/>
    <s v="ANUGERAH"/>
    <s v="AM 23120007"/>
    <s v="KO"/>
    <s v="KO 0570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NOVI / CONDRO"/>
    <m/>
    <n v="26"/>
    <n v="1"/>
    <n v="3909600"/>
    <n v="527796"/>
    <n v="0"/>
    <n v="527796"/>
    <n v="3381804"/>
    <n v="3381804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20008"/>
    <d v="2023-12-09T00:00:00"/>
    <n v="9"/>
    <s v="0568"/>
    <s v="rejoagung"/>
    <s v="AM 23120008"/>
    <s v="G"/>
    <s v="G 0568"/>
    <s v="LILY JULIAWATI (REJO AGUNG) JOMBANG"/>
    <n v="60"/>
    <s v="GRS"/>
    <n v="2"/>
    <s v="PENJKP88"/>
    <s v="PENSIL JOYKO 2B P-88"/>
    <s v="PENSIL JOYKO 2B P-88"/>
    <n v="104400"/>
    <n v="0.125"/>
    <m/>
    <n v="5481000"/>
    <s v="NOVI / CONDRO"/>
    <m/>
    <n v="28"/>
    <n v="1"/>
    <n v="6264000"/>
    <n v="783000"/>
    <n v="0"/>
    <n v="783000"/>
    <n v="5481000"/>
    <n v="5481000"/>
    <m/>
    <s v="PENSIL JOYKO 2B P-88GRS10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20009"/>
    <d v="2023-12-11T00:00:00"/>
    <n v="11"/>
    <s v="3287"/>
    <s v="lancar"/>
    <s v="AM 23120009"/>
    <s v="KO"/>
    <s v="KO 3287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30"/>
    <n v="1"/>
    <n v="8568000"/>
    <n v="1071000"/>
    <n v="374850"/>
    <n v="1445850"/>
    <n v="7122150"/>
    <n v="7122150"/>
    <m/>
    <s v="CRAYON / OIL PASTEL JOYKO OP-12S PP CASE SEA WORLDPCS11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20010"/>
    <d v="2023-12-11T00:00:00"/>
    <n v="11"/>
    <s v="0604"/>
    <s v="trioplaza"/>
    <s v="AM 23120010"/>
    <s v="G"/>
    <s v="G 0604"/>
    <s v="PT.HASTA KENCANA SAKTI ( TRIO PLAZA ) MAGELANG"/>
    <n v="72"/>
    <s v="PCS"/>
    <m/>
    <s v="penkenke303"/>
    <s v="GEL PEN KENKO KE-303 T-GEL TRIANGULAR"/>
    <s v="GEL PEN KENKO KE-303 T-GEL TRIANGULAR"/>
    <n v="1800"/>
    <m/>
    <m/>
    <n v="129600"/>
    <s v="RISMA / CONDRO"/>
    <m/>
    <n v="32"/>
    <n v="7"/>
    <n v="129600"/>
    <n v="0"/>
    <n v="0"/>
    <n v="0"/>
    <n v="129600"/>
    <n v="329300.95999999996"/>
    <m/>
    <s v="GEL PEN KENKO KE-303 T-GEL TRIANGULARpcs1800"/>
  </r>
  <r>
    <x v="0"/>
    <s v=""/>
    <s v=""/>
    <m/>
    <m/>
    <m/>
    <s v=""/>
    <s v=""/>
    <s v=" "/>
    <s v=""/>
    <n v="12"/>
    <s v="PCS"/>
    <m/>
    <s v="CUTKENK200"/>
    <s v="CUTTER 9 MM KENKO K-200 (KECIL)"/>
    <s v="CUTTER 9 MM KENKO K-200 (KECIL)"/>
    <n v="4375"/>
    <m/>
    <m/>
    <n v="52500"/>
    <m/>
    <m/>
    <n v="32"/>
    <n v="7"/>
    <n v="52500"/>
    <n v="0"/>
    <n v="0"/>
    <n v="0"/>
    <n v="52500"/>
    <s v=""/>
    <m/>
    <s v="CUTTER 9 MM KENKO K-200 (KECIL)PCS4375"/>
  </r>
  <r>
    <x v="0"/>
    <s v=""/>
    <s v=""/>
    <m/>
    <m/>
    <m/>
    <s v=""/>
    <s v=""/>
    <s v=" "/>
    <s v=""/>
    <n v="12"/>
    <s v="PCS"/>
    <m/>
    <s v="CUTKENA300A"/>
    <s v="CUTTER 9 MM KENKO A-300 (KECIL)"/>
    <s v="CUTTER 9 MM KENKO A-300 (KECIL)"/>
    <n v="4750"/>
    <m/>
    <m/>
    <n v="57000"/>
    <m/>
    <m/>
    <n v="32"/>
    <n v="7"/>
    <n v="57000"/>
    <n v="0"/>
    <n v="0"/>
    <n v="0"/>
    <n v="57000"/>
    <s v=""/>
    <m/>
    <s v="CUTTER 9 MM KENKO A-300 (KECIL)PCS4750"/>
  </r>
  <r>
    <x v="0"/>
    <s v=""/>
    <s v=""/>
    <m/>
    <m/>
    <m/>
    <s v=""/>
    <s v=""/>
    <s v=" "/>
    <s v=""/>
    <n v="24"/>
    <s v="PCS"/>
    <m/>
    <s v="CLIKEN111"/>
    <s v="BINDER CLIP KENKO NO. 111"/>
    <s v="BINDER CLIP KENKO NO. 111"/>
    <n v="341.7"/>
    <m/>
    <m/>
    <n v="8200.7999999999993"/>
    <m/>
    <m/>
    <n v="32"/>
    <n v="7"/>
    <n v="8200.7999999999993"/>
    <n v="0"/>
    <n v="0"/>
    <n v="0"/>
    <n v="8200.7999999999993"/>
    <s v=""/>
    <m/>
    <s v="BINDER CLIP KENKO NO. 111PCS341.7"/>
  </r>
  <r>
    <x v="0"/>
    <s v=""/>
    <s v=""/>
    <m/>
    <m/>
    <m/>
    <s v=""/>
    <s v=""/>
    <s v=" "/>
    <s v=""/>
    <n v="24"/>
    <s v="PCS"/>
    <m/>
    <s v="CLIKEN155"/>
    <s v="BINDER CLIP KENKO NO. 155"/>
    <s v="BINDER CLIP KENKO NO. 155"/>
    <n v="541.66999999999996"/>
    <m/>
    <m/>
    <n v="13000.079999999998"/>
    <m/>
    <m/>
    <n v="32"/>
    <n v="7"/>
    <n v="13000.079999999998"/>
    <n v="0"/>
    <n v="0"/>
    <n v="0"/>
    <n v="13000.079999999998"/>
    <s v=""/>
    <m/>
    <s v="BINDER CLIP KENKO NO. 155PCS541.67"/>
  </r>
  <r>
    <x v="0"/>
    <s v=""/>
    <s v=""/>
    <m/>
    <m/>
    <m/>
    <s v=""/>
    <s v=""/>
    <s v=" "/>
    <s v=""/>
    <n v="24"/>
    <s v="PCS"/>
    <m/>
    <s v="CLIKEN200"/>
    <s v="BINDER CLIP KENKO NO. 200"/>
    <s v="BINDER CLIP KENKO NO. 200"/>
    <n v="916.67"/>
    <m/>
    <m/>
    <n v="22000.079999999998"/>
    <m/>
    <m/>
    <n v="32"/>
    <n v="7"/>
    <n v="22000.079999999998"/>
    <n v="0"/>
    <n v="0"/>
    <n v="0"/>
    <n v="22000.079999999998"/>
    <s v=""/>
    <m/>
    <s v="BINDER CLIP KENKO NO. 200PCS916.67"/>
  </r>
  <r>
    <x v="0"/>
    <s v=""/>
    <s v=""/>
    <m/>
    <m/>
    <m/>
    <s v=""/>
    <s v=""/>
    <s v=" "/>
    <s v=""/>
    <n v="5"/>
    <s v="PCS"/>
    <m/>
    <s v="BKKASKWARTO"/>
    <s v="BUKU KAS KWARTO"/>
    <s v="BUKU KAS KWARTO"/>
    <n v="9400"/>
    <m/>
    <m/>
    <n v="47000"/>
    <m/>
    <m/>
    <n v="32"/>
    <n v="7"/>
    <n v="47000"/>
    <n v="0"/>
    <n v="0"/>
    <n v="0"/>
    <n v="47000"/>
    <s v=""/>
    <m/>
    <s v="BUKU KAS KWARTOPCS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20011"/>
    <d v="2023-12-11T00:00:00"/>
    <n v="11"/>
    <s v="4778"/>
    <s v="ANUGERAH"/>
    <s v="AM 23120011"/>
    <s v="KO"/>
    <s v="KO 4778"/>
    <s v="CV PELITA JAYA (ANUGERAH SEJAHTERA) PURWOKERTO"/>
    <n v="50"/>
    <s v="BOX"/>
    <n v="1"/>
    <s v="STIKEN40HITAM"/>
    <s v="STIP / PENGHAPUS KENKO ERB-40SQ HITAM"/>
    <s v="STIP / PENGHAPUS KENKO ERB-40SQ HITAM"/>
    <n v="27500"/>
    <n v="0.13500000000000001"/>
    <m/>
    <n v="1189375"/>
    <s v="NOVI / CONDRO"/>
    <m/>
    <n v="40"/>
    <n v="2"/>
    <n v="1375000"/>
    <n v="185625"/>
    <n v="0"/>
    <n v="185625"/>
    <n v="1189375"/>
    <n v="5299855"/>
    <m/>
    <s v="STIP / PENGHAPUS KENKO ERB-40SQ HITAMBOX275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40"/>
    <n v="2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20012"/>
    <d v="2023-12-11T00:00:00"/>
    <n v="11"/>
    <s v="4780"/>
    <s v="rejoagung"/>
    <s v="AM 23120012"/>
    <s v="G"/>
    <s v="G 4780"/>
    <s v="LILY JULIAWATI (REJO AGUNG) JOMBANG"/>
    <n v="360"/>
    <s v="PCS"/>
    <n v="5"/>
    <s v="OPJK18W"/>
    <s v="CRAYON / OIL PASTEL JOYKO OP-18S PP CASE SEA WORLD"/>
    <s v="CRAYON / OIL PASTEL JOYKO OP-18S PP CASE SEA WORLD"/>
    <n v="23000"/>
    <n v="0.125"/>
    <n v="0.05"/>
    <n v="6882750"/>
    <s v="NOVI / CONDRO"/>
    <m/>
    <n v="43"/>
    <n v="4"/>
    <n v="8280000"/>
    <n v="1035000"/>
    <n v="362250"/>
    <n v="1397250"/>
    <n v="6882750"/>
    <n v="17807370"/>
    <m/>
    <s v="CRAYON / OIL PASTEL JOYKO OP-18S PP CASE SEA WORLDPCS23000"/>
  </r>
  <r>
    <x v="0"/>
    <s v=""/>
    <s v=""/>
    <m/>
    <m/>
    <m/>
    <s v=""/>
    <s v=""/>
    <s v=" "/>
    <s v=""/>
    <n v="240"/>
    <s v="PCS"/>
    <n v="5"/>
    <s v="OPJK24W"/>
    <s v="CRAYON / OIL PASTEL JOYKO OP-24S PP CASE SEA WORLD"/>
    <s v="CRAYON / OIL PASTEL JOYKO OP-24S PP CASE SEA WORLD"/>
    <n v="29600"/>
    <n v="0.125"/>
    <n v="0.05"/>
    <n v="5905200"/>
    <m/>
    <m/>
    <n v="43"/>
    <n v="4"/>
    <n v="7104000"/>
    <n v="888000"/>
    <n v="310800"/>
    <n v="1198800"/>
    <n v="5905200"/>
    <s v=""/>
    <m/>
    <s v="CRAYON / OIL PASTEL JOYKO OP-24S PP CASE SEA WORLDPCS29600"/>
  </r>
  <r>
    <x v="0"/>
    <s v=""/>
    <s v=""/>
    <m/>
    <m/>
    <m/>
    <s v=""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n v="0.05"/>
    <n v="2350110"/>
    <m/>
    <m/>
    <n v="43"/>
    <n v="4"/>
    <n v="2827200"/>
    <n v="353400"/>
    <n v="123690"/>
    <n v="477090"/>
    <n v="2350110"/>
    <s v=""/>
    <m/>
    <s v="CRAYON / OIL PASTEL JOYKO OP-48S PP CASE SEA WORLDPCS58900"/>
  </r>
  <r>
    <x v="0"/>
    <s v=""/>
    <s v=""/>
    <m/>
    <m/>
    <m/>
    <s v=""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n v="0.05"/>
    <n v="2669310"/>
    <m/>
    <m/>
    <n v="43"/>
    <n v="4"/>
    <n v="3211200"/>
    <n v="401400"/>
    <n v="140490"/>
    <n v="541890"/>
    <n v="2669310"/>
    <s v=""/>
    <m/>
    <s v="CRAYON / OIL PASTEL JOYKO OP-55S PP CASE SEA WORLDPCS6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20013"/>
    <d v="2023-12-11T00:00:00"/>
    <n v="11"/>
    <s v="4783"/>
    <s v="NIKISAE"/>
    <s v="AM 23120013"/>
    <s v="G"/>
    <s v="G 4783"/>
    <s v="GUNAWAN HARTONO KUSUMA ( NIKI SAE ) TULUNG AGUNG"/>
    <n v="216"/>
    <s v="PCS"/>
    <n v="3"/>
    <s v="OPJK18W"/>
    <s v="CRAYON / OIL PASTEL JOYKO OP-18S PP CASE SEA WORLD"/>
    <s v="CRAYON / OIL PASTEL JOYKO OP-18S PP CASE SEA WORLD"/>
    <n v="23000"/>
    <n v="0.125"/>
    <n v="0.05"/>
    <n v="4129650"/>
    <s v="NOVI / CONDRO"/>
    <m/>
    <n v="48"/>
    <n v="5"/>
    <n v="4968000"/>
    <n v="621000"/>
    <n v="217350"/>
    <n v="838350"/>
    <n v="4129650"/>
    <n v="17454255"/>
    <m/>
    <s v="CRAYON / OIL PASTEL JOYKO OP-18S PP CASE SEA WORLDPCS23000"/>
  </r>
  <r>
    <x v="0"/>
    <s v=""/>
    <s v=""/>
    <m/>
    <m/>
    <m/>
    <s v=""/>
    <s v=""/>
    <s v=" "/>
    <s v=""/>
    <n v="48"/>
    <s v="PCS"/>
    <n v="1"/>
    <s v="OPJK24W"/>
    <s v="CRAYON / OIL PASTEL JOYKO OP-24S PP CASE SEA WORLD"/>
    <s v="CRAYON / OIL PASTEL JOYKO OP-24S PP CASE SEA WORLD"/>
    <n v="29600"/>
    <n v="0.125"/>
    <n v="0.05"/>
    <n v="1181040"/>
    <m/>
    <m/>
    <n v="48"/>
    <n v="5"/>
    <n v="1420800"/>
    <n v="177600"/>
    <n v="62160"/>
    <n v="239760"/>
    <n v="1181040"/>
    <s v=""/>
    <m/>
    <s v="CRAYON / OIL PASTEL JOYKO OP-24S PP CASE SEA WORLDPCS29600"/>
  </r>
  <r>
    <x v="0"/>
    <s v=""/>
    <s v=""/>
    <m/>
    <m/>
    <m/>
    <s v=""/>
    <s v=""/>
    <s v=" "/>
    <s v=""/>
    <n v="24"/>
    <s v="PCS"/>
    <n v="1"/>
    <s v="OPJK55W"/>
    <s v="CRAYON / OIL PASTEL JOYKO OP-55S PP CASE SEA WORLD"/>
    <s v="CRAYON / OIL PASTEL JOYKO OP-55S PP CASE SEA WORLD"/>
    <n v="66900"/>
    <n v="0.125"/>
    <n v="0.05"/>
    <n v="1334655"/>
    <m/>
    <m/>
    <n v="48"/>
    <n v="5"/>
    <n v="1605600"/>
    <n v="200700"/>
    <n v="70245"/>
    <n v="270945"/>
    <n v="1334655"/>
    <s v=""/>
    <m/>
    <s v="CRAYON / OIL PASTEL JOYKO OP-55S PP CASE SEA WORLDPCS66900"/>
  </r>
  <r>
    <x v="0"/>
    <s v=""/>
    <s v=""/>
    <m/>
    <m/>
    <m/>
    <s v=""/>
    <s v=""/>
    <s v=" "/>
    <s v=""/>
    <n v="432"/>
    <s v="PCS"/>
    <n v="3"/>
    <s v="OPJKTWCR12"/>
    <e v="#N/A"/>
    <s v="CRAYON / OIL PASTEL PUTAR JOYKO TWCR-12S (PANJANG)"/>
    <n v="23900"/>
    <n v="0.125"/>
    <n v="0.05"/>
    <n v="8582490"/>
    <m/>
    <m/>
    <n v="48"/>
    <n v="5"/>
    <n v="10324800"/>
    <n v="1290600"/>
    <n v="451710"/>
    <n v="1742310"/>
    <n v="8582490"/>
    <s v=""/>
    <m/>
    <s v="CRAYON / OIL PASTEL PUTAR JOYKO TWCR-12S (PANJANG)PCS23900"/>
  </r>
  <r>
    <x v="0"/>
    <s v=""/>
    <s v=""/>
    <m/>
    <m/>
    <m/>
    <s v=""/>
    <s v=""/>
    <s v=" "/>
    <s v=""/>
    <n v="144"/>
    <s v="PCS"/>
    <n v="1"/>
    <m/>
    <s v=""/>
    <s v="CRAYON / OIL PASTEL PUTAR JOYKO TWCR-12MINI (PENDEK)"/>
    <n v="18600"/>
    <n v="0.125"/>
    <n v="0.05"/>
    <n v="2226420"/>
    <m/>
    <m/>
    <n v="48"/>
    <n v="5"/>
    <n v="2678400"/>
    <n v="334800"/>
    <n v="117180"/>
    <n v="451980"/>
    <n v="2226420"/>
    <s v=""/>
    <m/>
    <s v="CRAYON / OIL PASTEL PUTAR JOYKO TWCR-12MINI (PENDEK)PCS18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20014"/>
    <d v="2023-12-13T00:00:00"/>
    <n v="13"/>
    <s v="0584"/>
    <s v="rejoagung"/>
    <s v="AM 23120014"/>
    <s v="G"/>
    <s v="G 0584"/>
    <s v="LILY JULIAWATI (REJO AGUNG) JOMBANG"/>
    <n v="300"/>
    <s v="LSN"/>
    <n v="5"/>
    <s v="ISIKENBESAR"/>
    <s v="ISI CUTTER 18 MM KENKO L-150 (BESAR)"/>
    <s v="ISI CUTTER 18 MM KENKO L-150 (BESAR)"/>
    <n v="64800"/>
    <n v="0.125"/>
    <n v="0.05"/>
    <n v="16159500"/>
    <s v="NOVI / CONDRO"/>
    <m/>
    <n v="54"/>
    <n v="1"/>
    <n v="19440000"/>
    <n v="2430000"/>
    <n v="850500"/>
    <n v="3280500"/>
    <n v="16159500"/>
    <n v="16159500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20015"/>
    <d v="2023-12-15T00:00:00"/>
    <n v="15"/>
    <s v="4791"/>
    <s v="NIKISAE"/>
    <s v="AM 23120015"/>
    <s v="G"/>
    <s v="G 4791"/>
    <s v="GUNAWAN HARTONO KUSUMA ( NIKI SAE ) TULUNG AGUNG"/>
    <n v="432"/>
    <s v="PCS"/>
    <n v="3"/>
    <s v="OPJK12W"/>
    <s v="CRAYON / OIL PASTEL JOYKO OP-12S PP CASE SEA WORLD"/>
    <s v="CRAYON / OIL PASTEL JOYKO OP-12S PP CASE SEA WORLD"/>
    <n v="11900"/>
    <n v="0.125"/>
    <n v="0.05"/>
    <n v="4273290"/>
    <s v="RISMA / CONDRO"/>
    <m/>
    <n v="56"/>
    <n v="3"/>
    <n v="5140800"/>
    <n v="642600"/>
    <n v="224910"/>
    <n v="867510"/>
    <n v="4273290"/>
    <n v="10361032.5"/>
    <m/>
    <s v="CRAYON / OIL PASTEL JOYKO OP-12S PP CASE SEA WORLDPCS11900"/>
  </r>
  <r>
    <x v="0"/>
    <s v=""/>
    <s v=""/>
    <m/>
    <m/>
    <m/>
    <s v=""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n v="0.05"/>
    <n v="2362080"/>
    <m/>
    <m/>
    <n v="56"/>
    <n v="3"/>
    <n v="2841600"/>
    <n v="355200"/>
    <n v="124320"/>
    <n v="479520"/>
    <n v="2362080"/>
    <s v=""/>
    <m/>
    <s v="CRAYON / OIL PASTEL JOYKO OP-24S PP CASE SEA WORLDPCS29600"/>
  </r>
  <r>
    <x v="0"/>
    <s v=""/>
    <s v=""/>
    <m/>
    <m/>
    <m/>
    <s v=""/>
    <s v=""/>
    <s v=" "/>
    <s v=""/>
    <n v="108"/>
    <s v="PCS"/>
    <n v="3"/>
    <s v="OPJK36W"/>
    <s v="CRAYON / OIL PASTEL JOYKO OP-36S PP CASE SEA WORLD"/>
    <s v="CRAYON / OIL PASTEL JOYKO OP-36S PP CASE SEA WORLD"/>
    <n v="41500"/>
    <n v="0.125"/>
    <n v="0.05"/>
    <n v="3725662.5"/>
    <m/>
    <m/>
    <n v="56"/>
    <n v="3"/>
    <n v="4482000"/>
    <n v="560250"/>
    <n v="196087.5"/>
    <n v="756337.5"/>
    <n v="3725662.5"/>
    <s v=""/>
    <m/>
    <s v="CRAYON / OIL PASTEL JOYKO OP-36S PP CASE SEA WORLDPCS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20016"/>
    <d v="2023-12-15T00:00:00"/>
    <n v="15"/>
    <s v="4792"/>
    <s v="rejoagung"/>
    <s v="AM 23120016"/>
    <s v="G"/>
    <s v="G 4792"/>
    <s v="LILY JULIAWATI (REJO AGUNG) JOMB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61"/>
    <n v="5"/>
    <n v="8568000"/>
    <n v="1071000"/>
    <n v="374850"/>
    <n v="1445850"/>
    <n v="7122150"/>
    <n v="32112675"/>
    <m/>
    <s v="CRAYON / OIL PASTEL JOYKO OP-12S PP CASE SEA WORLDPCS11900"/>
  </r>
  <r>
    <x v="0"/>
    <s v=""/>
    <s v=""/>
    <m/>
    <m/>
    <m/>
    <s v=""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n v="0.05"/>
    <n v="2483775"/>
    <m/>
    <m/>
    <n v="61"/>
    <n v="5"/>
    <n v="2988000"/>
    <n v="373500"/>
    <n v="130725"/>
    <n v="504225"/>
    <n v="2483775"/>
    <s v=""/>
    <m/>
    <s v="CRAYON / OIL PASTEL JOYKO OP-36S PP CASE SEA WORLDPCS41500"/>
  </r>
  <r>
    <x v="0"/>
    <s v=""/>
    <s v=""/>
    <m/>
    <m/>
    <m/>
    <s v=""/>
    <s v=""/>
    <s v=" "/>
    <s v=""/>
    <n v="720"/>
    <s v="PCS"/>
    <n v="5"/>
    <s v="CRPJK12WPANJANG"/>
    <e v="#N/A"/>
    <s v="CRAYON / OIL PASTEL PUTAR JOYKO TWCR-12S (PANJANG)"/>
    <n v="23900"/>
    <n v="0.125"/>
    <n v="0.05"/>
    <n v="14304150"/>
    <m/>
    <m/>
    <n v="61"/>
    <n v="5"/>
    <n v="17208000"/>
    <n v="2151000"/>
    <n v="752850"/>
    <n v="2903850"/>
    <n v="14304150"/>
    <s v=""/>
    <m/>
    <s v="CRAYON / OIL PASTEL PUTAR JOYKO TWCR-12S (PANJANG)PCS23900"/>
  </r>
  <r>
    <x v="0"/>
    <s v=""/>
    <s v=""/>
    <m/>
    <m/>
    <m/>
    <s v=""/>
    <s v=""/>
    <s v=" "/>
    <s v=""/>
    <n v="864"/>
    <s v="PCS"/>
    <n v="3"/>
    <s v="GUNJKSC828"/>
    <s v="GUNTING JOYKO SC-828"/>
    <s v="GUNTING JOYKO SC-828"/>
    <n v="4350"/>
    <n v="0.125"/>
    <m/>
    <n v="3288600"/>
    <m/>
    <m/>
    <n v="61"/>
    <n v="5"/>
    <n v="3758400"/>
    <n v="469800"/>
    <n v="0"/>
    <n v="469800"/>
    <n v="3288600"/>
    <s v=""/>
    <m/>
    <s v="GUNTING JOYKO SC-828PCS4350"/>
  </r>
  <r>
    <x v="0"/>
    <s v=""/>
    <s v=""/>
    <m/>
    <m/>
    <m/>
    <s v=""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61"/>
    <n v="5"/>
    <n v="5616000"/>
    <n v="702000"/>
    <n v="0"/>
    <n v="702000"/>
    <n v="4914000"/>
    <s v=""/>
    <m/>
    <s v="GUNTING JOYKO SC-838PCS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20017"/>
    <d v="2023-12-13T00:00:00"/>
    <n v="13"/>
    <s v="4789"/>
    <s v="rejoagung"/>
    <s v="AM 23120017"/>
    <s v="G"/>
    <s v="G 4789"/>
    <s v="LILY JULIAWATI (REJO AGUNG) JOMBANG"/>
    <n v="720"/>
    <s v="SET"/>
    <n v="5"/>
    <m/>
    <s v=""/>
    <s v="CRAYON / OIL PASTEL JOYKO OP-12S PP CASE SEA WORLD"/>
    <n v="11900"/>
    <n v="0.125"/>
    <n v="0.05"/>
    <n v="7122150"/>
    <s v="NOVI / YO"/>
    <m/>
    <n v="69"/>
    <n v="2"/>
    <n v="8568000"/>
    <n v="1071000"/>
    <n v="374850"/>
    <n v="1445850"/>
    <n v="7122150"/>
    <n v="8364037.5"/>
    <m/>
    <s v="CRAYON / OIL PASTEL JOYKO OP-12S PP CASE SEA WORLDSET11900"/>
  </r>
  <r>
    <x v="0"/>
    <s v=""/>
    <s v=""/>
    <m/>
    <m/>
    <m/>
    <s v=""/>
    <s v=""/>
    <s v=" "/>
    <s v=""/>
    <n v="36"/>
    <s v="SET"/>
    <n v="1"/>
    <m/>
    <s v=""/>
    <s v="CRAYON / OIL PASTEL JOYKO OP-36S PP CASE SEA WORLD"/>
    <n v="41500"/>
    <n v="0.125"/>
    <n v="0.05"/>
    <n v="1241887.5"/>
    <m/>
    <m/>
    <n v="69"/>
    <n v="2"/>
    <n v="1494000"/>
    <n v="186750"/>
    <n v="65362.5"/>
    <n v="252112.5"/>
    <n v="1241887.5"/>
    <s v=""/>
    <m/>
    <s v="CRAYON / OIL PASTEL JOYKO OP-36S PP CASE SEA WORLDSET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20018"/>
    <d v="2023-12-13T00:00:00"/>
    <n v="13"/>
    <s v="4788"/>
    <s v="PRIMA"/>
    <s v="AM 23120018"/>
    <s v="KO"/>
    <s v="KO 4788"/>
    <s v="SETIAWAN BUDIONO ( PRIMA ) PEKALONGAN"/>
    <n v="720"/>
    <s v="PC"/>
    <n v="1"/>
    <m/>
    <s v=""/>
    <s v="HIGHLIGHTER / STABILLO JOYKO HL-1/2/3/4/5 (Kn/Hj/Br/Pink/Or)"/>
    <n v="3700"/>
    <n v="0.125"/>
    <m/>
    <n v="2331000"/>
    <s v="NOVI / YO"/>
    <m/>
    <n v="72"/>
    <n v="3"/>
    <n v="2664000"/>
    <n v="333000"/>
    <n v="0"/>
    <n v="333000"/>
    <n v="2331000"/>
    <n v="3521700"/>
    <m/>
    <s v="HIGHLIGHTER / STABILLO JOYKO HL-1/2/3/4/5 (Kn/Hj/Br/Pink/Or)PC3700"/>
  </r>
  <r>
    <x v="0"/>
    <s v=""/>
    <s v=""/>
    <m/>
    <m/>
    <m/>
    <s v=""/>
    <s v=""/>
    <s v=" "/>
    <s v=""/>
    <n v="96"/>
    <s v="PC"/>
    <n v="1"/>
    <m/>
    <s v=""/>
    <s v="NOTEBOOK JOYKO A6 NB-665"/>
    <n v="6300"/>
    <n v="0.125"/>
    <m/>
    <n v="529200"/>
    <m/>
    <m/>
    <n v="72"/>
    <n v="3"/>
    <n v="604800"/>
    <n v="75600"/>
    <n v="0"/>
    <n v="75600"/>
    <n v="529200"/>
    <s v=""/>
    <m/>
    <s v="NOTEBOOK JOYKO A6 NB-665PC6300"/>
  </r>
  <r>
    <x v="0"/>
    <s v=""/>
    <s v=""/>
    <m/>
    <m/>
    <m/>
    <s v=""/>
    <s v=""/>
    <s v=" "/>
    <s v=""/>
    <n v="60"/>
    <s v="LS"/>
    <m/>
    <m/>
    <s v=""/>
    <s v="BALLPEN JOYKO BP-338 VOCUS"/>
    <n v="12600"/>
    <n v="0.125"/>
    <m/>
    <n v="661500"/>
    <m/>
    <m/>
    <n v="72"/>
    <n v="3"/>
    <n v="756000"/>
    <n v="94500"/>
    <n v="0"/>
    <n v="94500"/>
    <n v="661500"/>
    <s v=""/>
    <m/>
    <s v="BALLPEN JOYKO BP-338 VOCUSLS12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120019"/>
    <d v="2023-12-15T00:00:00"/>
    <n v="15"/>
    <s v="3296"/>
    <s v="lancar"/>
    <s v="AM 23120019"/>
    <s v="KO"/>
    <s v="KO 3296"/>
    <s v="CV LANCAR JAYA SENTOSA MALANG"/>
    <n v="100"/>
    <s v="LSN"/>
    <n v="5"/>
    <s v="STAJKHD10CL"/>
    <s v="STAPLER JOYKO HD-10CL"/>
    <s v="STAPLER JOYKO HD-10CL"/>
    <n v="84000"/>
    <n v="0.125"/>
    <n v="0.05"/>
    <n v="6982500"/>
    <s v="NOVI / CONDRO"/>
    <m/>
    <n v="76"/>
    <n v="4"/>
    <n v="8400000"/>
    <n v="1050000"/>
    <n v="367500"/>
    <n v="1417500"/>
    <n v="6982500"/>
    <n v="13891500"/>
    <m/>
    <s v="STAPLER JOYKO HD-10CLLSN84000"/>
  </r>
  <r>
    <x v="0"/>
    <s v=""/>
    <s v=""/>
    <m/>
    <m/>
    <m/>
    <s v=""/>
    <s v=""/>
    <s v=" "/>
    <s v=""/>
    <n v="80"/>
    <s v="LSN"/>
    <n v="2"/>
    <s v="ISIJKBESAR"/>
    <s v="ISI CUTTER 18 MM JOYKO L-150 AM (BESAR)"/>
    <s v="ISI CUTTER 18 MM JOYKO L-150 AM (BESAR)"/>
    <n v="49200"/>
    <n v="0.125"/>
    <m/>
    <n v="3444000"/>
    <m/>
    <m/>
    <n v="76"/>
    <n v="4"/>
    <n v="3936000"/>
    <n v="492000"/>
    <n v="0"/>
    <n v="492000"/>
    <n v="3444000"/>
    <s v=""/>
    <m/>
    <s v="ISI CUTTER 18 MM JOYKO L-150 AM (BESAR)LSN49200"/>
  </r>
  <r>
    <x v="0"/>
    <s v=""/>
    <s v=""/>
    <m/>
    <m/>
    <m/>
    <s v=""/>
    <s v=""/>
    <s v=" "/>
    <s v=""/>
    <n v="24"/>
    <s v="LSN"/>
    <n v="1"/>
    <s v="CUTJKL500"/>
    <s v="CUTTER 18 MM JOYKO L-500 + ISI (BESAR)"/>
    <s v="CUTTER 18 MM JOYKO L-500 + ISI (BESAR)"/>
    <n v="162000"/>
    <n v="0.125"/>
    <n v="0.05"/>
    <n v="3231900"/>
    <m/>
    <m/>
    <n v="76"/>
    <n v="4"/>
    <n v="3888000"/>
    <n v="486000"/>
    <n v="170100"/>
    <n v="656100"/>
    <n v="3231900"/>
    <s v=""/>
    <m/>
    <s v="CUTTER 18 MM JOYKO L-500 + ISI (BESAR)LSN162000"/>
  </r>
  <r>
    <x v="0"/>
    <s v=""/>
    <s v=""/>
    <m/>
    <m/>
    <m/>
    <s v=""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76"/>
    <n v="4"/>
    <n v="266400"/>
    <n v="33300"/>
    <n v="0"/>
    <n v="33300"/>
    <n v="233100"/>
    <s v=""/>
    <m/>
    <s v="TAPE CUTTER JOYKO TD-102PCS11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20020"/>
    <d v="2023-12-16T00:00:00"/>
    <n v="16"/>
    <s v="0654"/>
    <s v="PRIMA"/>
    <s v="AM 23120020"/>
    <s v="KO"/>
    <s v="KO 0654"/>
    <s v="SETIAWAN BUDIONO ( PRIMA ) PEKALONGAN"/>
    <n v="12"/>
    <s v="PCS"/>
    <m/>
    <m/>
    <s v=""/>
    <s v="RAK SUSUN BESI 5 SUSUN"/>
    <n v="110000"/>
    <m/>
    <m/>
    <n v="1320000"/>
    <s v="NOVI / CONDRO"/>
    <m/>
    <n v="81"/>
    <n v="1"/>
    <n v="1320000"/>
    <n v="0"/>
    <n v="0"/>
    <n v="0"/>
    <n v="1320000"/>
    <n v="1320000"/>
    <m/>
    <s v="RAK SUSUN BESI 5 SUSUNPCS11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20021"/>
    <d v="2023-12-16T00:00:00"/>
    <n v="16"/>
    <s v="0705"/>
    <s v="rejoagung"/>
    <s v="AM 23120021"/>
    <s v="G"/>
    <s v="G 0705"/>
    <s v="LILY JULIAWATI (REJO AGUNG) JOMBANG"/>
    <n v="100"/>
    <s v="LSN"/>
    <n v="5"/>
    <s v="STAJKHD10CL"/>
    <s v="STAPLER JOYKO HD-10CL"/>
    <s v="STAPLER JOYKO HD-10CL"/>
    <n v="84000"/>
    <n v="0.125"/>
    <n v="0.05"/>
    <n v="6982500"/>
    <s v="NOVI / CONDRO"/>
    <m/>
    <n v="83"/>
    <n v="2"/>
    <n v="8400000"/>
    <n v="1050000"/>
    <n v="367500"/>
    <n v="1417500"/>
    <n v="6982500"/>
    <n v="10006500"/>
    <m/>
    <s v="STAPLER JOYKO HD-10CLLSN84000"/>
  </r>
  <r>
    <x v="0"/>
    <s v=""/>
    <s v=""/>
    <m/>
    <m/>
    <m/>
    <s v=""/>
    <s v=""/>
    <s v=" "/>
    <s v=""/>
    <n v="60"/>
    <s v="LSN"/>
    <n v="1"/>
    <s v="TIPJKCT522"/>
    <s v="CORRECTION TAPE JOYKO CT-522"/>
    <s v="CORRECTION TAPE JOYKO CT-522"/>
    <n v="57600"/>
    <n v="0.125"/>
    <m/>
    <n v="3024000"/>
    <m/>
    <m/>
    <n v="83"/>
    <n v="2"/>
    <n v="3456000"/>
    <n v="432000"/>
    <n v="0"/>
    <n v="432000"/>
    <n v="3024000"/>
    <s v="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20022"/>
    <d v="2023-12-16T00:00:00"/>
    <n v="16"/>
    <s v="0707"/>
    <s v="ANUGERAH"/>
    <s v="AM 23120022"/>
    <s v="KO"/>
    <s v="KO 0707"/>
    <s v="CV PELITA JAYA (ANUGERAH SEJAHTERA) PURWOKERTO"/>
    <n v="40"/>
    <s v="PAK"/>
    <n v="2"/>
    <s v="isiken1210"/>
    <s v="ISI STAPLER (STAPLES) KENKO 1210 PREMIUM (23/10)"/>
    <s v="ISI STAPLER (STAPLES) KENKO 1210 PREMIUM (23/10)"/>
    <n v="42000"/>
    <n v="0.13500000000000001"/>
    <m/>
    <n v="1453200"/>
    <s v="NOVI / CONDRO"/>
    <m/>
    <n v="86"/>
    <n v="1"/>
    <n v="1680000"/>
    <n v="226800.00000000003"/>
    <n v="0"/>
    <n v="226800.00000000003"/>
    <n v="1453200"/>
    <n v="1453200"/>
    <m/>
    <s v="ISI STAPLER (STAPLES) KENKO 1210 PREMIUM (23/10)PAK4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20023"/>
    <d v="2023-12-18T00:00:00"/>
    <n v="18"/>
    <s v="0660"/>
    <s v="NIKISAE"/>
    <s v="AM 23120023"/>
    <s v="G"/>
    <s v="G 0660"/>
    <s v="GUNAWAN HARTONO KUSUMA ( NIKI SAE ) TULUNG AGUNG"/>
    <n v="432"/>
    <s v="PCS"/>
    <n v="3"/>
    <s v="CRJK12WPUTAR"/>
    <s v="CRAYON / OIL PASTEL PUTAR JOYKO TWCR-12S (PANJANG)"/>
    <s v="CRAYON / OIL PASTEL PUTAR JOYKO TWCR-12S (PANJANG)"/>
    <n v="23900"/>
    <n v="0.125"/>
    <n v="0.05"/>
    <n v="8582490"/>
    <s v="NOVI / CONDRO"/>
    <m/>
    <n v="88"/>
    <n v="6"/>
    <n v="10324800"/>
    <n v="1290600"/>
    <n v="451710"/>
    <n v="1742310"/>
    <n v="8582490"/>
    <n v="30406792.5"/>
    <m/>
    <s v="CRAYON / OIL PASTEL PUTAR JOYKO TWCR-12S (PANJANG)PCS23900"/>
  </r>
  <r>
    <x v="0"/>
    <s v=""/>
    <s v=""/>
    <m/>
    <m/>
    <m/>
    <s v=""/>
    <s v=""/>
    <s v=" "/>
    <s v="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m/>
    <m/>
    <n v="88"/>
    <n v="6"/>
    <n v="8568000"/>
    <n v="1071000"/>
    <n v="374850"/>
    <n v="1445850"/>
    <n v="7122150"/>
    <s v=""/>
    <m/>
    <s v="CRAYON / OIL PASTEL JOYKO OP-12S PP CASE SEA WORLDPCS11900"/>
  </r>
  <r>
    <x v="0"/>
    <s v=""/>
    <s v=""/>
    <m/>
    <m/>
    <m/>
    <s v=""/>
    <s v=""/>
    <s v=" "/>
    <s v=""/>
    <n v="216"/>
    <s v="PCS"/>
    <n v="3"/>
    <s v="OPJK18W"/>
    <s v="CRAYON / OIL PASTEL JOYKO OP-18S PP CASE SEA WORLD"/>
    <s v="CRAYON / OIL PASTEL JOYKO OP-18S PP CASE SEA WORLD"/>
    <n v="23000"/>
    <n v="0.125"/>
    <n v="0.05"/>
    <n v="4129650"/>
    <m/>
    <m/>
    <n v="88"/>
    <n v="6"/>
    <n v="4968000"/>
    <n v="621000"/>
    <n v="217350"/>
    <n v="838350"/>
    <n v="4129650"/>
    <s v=""/>
    <m/>
    <s v="CRAYON / OIL PASTEL JOYKO OP-18S PP CASE SEA WORLDPCS23000"/>
  </r>
  <r>
    <x v="0"/>
    <s v=""/>
    <s v=""/>
    <m/>
    <m/>
    <m/>
    <s v=""/>
    <s v=""/>
    <s v=" "/>
    <s v=""/>
    <n v="144"/>
    <s v="PCS"/>
    <n v="3"/>
    <s v="OPJK24W"/>
    <s v="CRAYON / OIL PASTEL JOYKO OP-24S PP CASE SEA WORLD"/>
    <s v="CRAYON / OIL PASTEL JOYKO OP-24S PP CASE SEA WORLD"/>
    <n v="29600"/>
    <n v="0.125"/>
    <n v="0.05"/>
    <n v="3543120"/>
    <m/>
    <m/>
    <n v="88"/>
    <n v="6"/>
    <n v="4262400"/>
    <n v="532800"/>
    <n v="186480"/>
    <n v="719280"/>
    <n v="3543120"/>
    <s v=""/>
    <m/>
    <s v="CRAYON / OIL PASTEL JOYKO OP-24S PP CASE SEA WORLDPCS29600"/>
  </r>
  <r>
    <x v="0"/>
    <s v=""/>
    <s v=""/>
    <m/>
    <m/>
    <m/>
    <s v=""/>
    <s v=""/>
    <s v=" "/>
    <s v=""/>
    <n v="108"/>
    <s v="PCS"/>
    <n v="3"/>
    <s v="OPJK36W"/>
    <s v="CRAYON / OIL PASTEL JOYKO OP-36S PP CASE SEA WORLD"/>
    <s v="CRAYON / OIL PASTEL JOYKO OP-36S PP CASE SEA WORLD"/>
    <n v="41500"/>
    <n v="0.125"/>
    <n v="0.05"/>
    <n v="3725662.5"/>
    <m/>
    <m/>
    <n v="88"/>
    <n v="6"/>
    <n v="4482000"/>
    <n v="560250"/>
    <n v="196087.5"/>
    <n v="756337.5"/>
    <n v="3725662.5"/>
    <s v=""/>
    <m/>
    <s v="CRAYON / OIL PASTEL JOYKO OP-36S PP CASE SEA WORLDPCS41500"/>
  </r>
  <r>
    <x v="0"/>
    <s v=""/>
    <s v=""/>
    <m/>
    <m/>
    <m/>
    <s v=""/>
    <s v=""/>
    <s v=" "/>
    <s v=""/>
    <n v="144"/>
    <s v="LSN"/>
    <n v="1"/>
    <s v="PENJKGP266HT"/>
    <s v="GEL PEN JOYKO GP-266 ITECH HITAM"/>
    <s v="GEL PEN JOYKO GP-266 ITECH HITAM"/>
    <n v="27600"/>
    <n v="0.125"/>
    <n v="0.05"/>
    <n v="3303720"/>
    <m/>
    <m/>
    <n v="88"/>
    <n v="6"/>
    <n v="3974400"/>
    <n v="496800"/>
    <n v="173880"/>
    <n v="670680"/>
    <n v="3303720"/>
    <s v=""/>
    <m/>
    <s v="GEL PEN JOYKO GP-266 ITECH HITAMLSN2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20024"/>
    <d v="2023-12-19T00:00:00"/>
    <n v="19"/>
    <s v="0665"/>
    <s v="RENI"/>
    <s v="AM 23120024"/>
    <s v="A"/>
    <s v="A 0665"/>
    <s v="CV FM 90 KEBUMEN"/>
    <n v="144"/>
    <s v="LSN"/>
    <n v="1"/>
    <s v="PENTF1190HITAM"/>
    <s v="GEL PEN TRIFELLO HI-TECH TF-1190 HITAM"/>
    <s v="GEL PEN TRIFELLO HI-TECH TF-1190 HITAM"/>
    <n v="28500"/>
    <m/>
    <m/>
    <n v="4104000"/>
    <s v="NOVI / CONDRO"/>
    <m/>
    <n v="95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20025"/>
    <d v="2023-12-19T00:00:00"/>
    <n v="19"/>
    <s v="0666"/>
    <s v="nirmala"/>
    <s v="AM 23120025"/>
    <s v="KO"/>
    <s v="KO 0666"/>
    <s v="CV SINAR CAHAYA NIRMALA BREBES"/>
    <n v="1"/>
    <s v="LSN"/>
    <m/>
    <m/>
    <s v=""/>
    <s v="TAS KARUNG V (35 X 40)"/>
    <n v="180000"/>
    <m/>
    <m/>
    <n v="180000"/>
    <s v="NOVI / CONDRO"/>
    <m/>
    <n v="97"/>
    <n v="15"/>
    <n v="180000"/>
    <n v="0"/>
    <n v="0"/>
    <n v="0"/>
    <n v="180000"/>
    <n v="2408080"/>
    <m/>
    <s v="TAS KARUNG V (35 X 40)LSN180000"/>
  </r>
  <r>
    <x v="0"/>
    <s v=""/>
    <s v=""/>
    <m/>
    <m/>
    <m/>
    <s v=""/>
    <s v=""/>
    <s v=" "/>
    <s v=""/>
    <n v="3"/>
    <s v="LSN"/>
    <m/>
    <s v="PENKENFUNGELHITAM"/>
    <s v="GEL PEN KENKO FUN GEL HITAM"/>
    <s v="GEL PEN KENKO FUN GEL"/>
    <n v="25200"/>
    <n v="0.1"/>
    <m/>
    <n v="68040"/>
    <m/>
    <m/>
    <n v="97"/>
    <n v="15"/>
    <n v="75600"/>
    <n v="7560"/>
    <n v="0"/>
    <n v="7560"/>
    <n v="68040"/>
    <s v=""/>
    <m/>
    <s v="GEL PEN KENKO FUN GELLSN25200"/>
  </r>
  <r>
    <x v="0"/>
    <s v=""/>
    <s v=""/>
    <m/>
    <m/>
    <m/>
    <s v=""/>
    <s v=""/>
    <s v=" "/>
    <s v=""/>
    <n v="2"/>
    <s v="LSN"/>
    <m/>
    <s v="SPIKENPM100"/>
    <s v="SPIDOL PERMANEN KENKO PM-100 HITAM"/>
    <s v="SPIDOL PERMANEN KENKO PM-100 HITAM"/>
    <n v="36000"/>
    <n v="0.1"/>
    <m/>
    <n v="64800"/>
    <m/>
    <m/>
    <n v="97"/>
    <n v="15"/>
    <n v="72000"/>
    <n v="7200"/>
    <n v="0"/>
    <n v="7200"/>
    <n v="64800"/>
    <s v=""/>
    <m/>
    <s v="SPIDOL PERMANEN KENKO PM-100 HITAMLSN36000"/>
  </r>
  <r>
    <x v="0"/>
    <s v=""/>
    <s v=""/>
    <m/>
    <m/>
    <m/>
    <s v=""/>
    <s v=""/>
    <s v=" "/>
    <s v=""/>
    <n v="3"/>
    <s v="LSN"/>
    <m/>
    <s v="ODM010"/>
    <e v="#N/A"/>
    <s v="GEL PEN AODEMI MASTONA 010"/>
    <n v="18500"/>
    <m/>
    <m/>
    <n v="55500"/>
    <m/>
    <m/>
    <n v="97"/>
    <n v="15"/>
    <n v="55500"/>
    <n v="0"/>
    <n v="0"/>
    <n v="0"/>
    <n v="55500"/>
    <s v=""/>
    <m/>
    <s v="GEL PEN AODEMI MASTONA 010LSN18500"/>
  </r>
  <r>
    <x v="0"/>
    <s v=""/>
    <s v=""/>
    <m/>
    <m/>
    <m/>
    <s v=""/>
    <s v=""/>
    <s v=" "/>
    <s v=""/>
    <n v="3"/>
    <s v="PAK"/>
    <m/>
    <s v="KARBONSBBB"/>
    <e v="#N/A"/>
    <s v="KERTAS KARBON DOUBLE BIRU"/>
    <n v="37500"/>
    <m/>
    <m/>
    <n v="112500"/>
    <m/>
    <m/>
    <n v="97"/>
    <n v="15"/>
    <n v="112500"/>
    <n v="0"/>
    <n v="0"/>
    <n v="0"/>
    <n v="112500"/>
    <s v=""/>
    <m/>
    <s v="KERTAS KARBON DOUBLE BIRUPAK37500"/>
  </r>
  <r>
    <x v="0"/>
    <s v=""/>
    <s v=""/>
    <m/>
    <m/>
    <m/>
    <s v=""/>
    <s v=""/>
    <s v=" "/>
    <s v=""/>
    <n v="10"/>
    <s v="PCS"/>
    <m/>
    <s v="BKKASKWARTO"/>
    <s v="BUKU KAS KWARTO"/>
    <s v="BUKU KAS KWARTO"/>
    <n v="9500"/>
    <m/>
    <m/>
    <n v="95000"/>
    <m/>
    <m/>
    <n v="97"/>
    <n v="15"/>
    <n v="95000"/>
    <n v="0"/>
    <n v="0"/>
    <n v="0"/>
    <n v="95000"/>
    <s v=""/>
    <m/>
    <s v="BUKU KAS KWARTOPCS9500"/>
  </r>
  <r>
    <x v="0"/>
    <s v=""/>
    <s v=""/>
    <m/>
    <m/>
    <m/>
    <s v=""/>
    <s v=""/>
    <s v=" "/>
    <s v=""/>
    <n v="5"/>
    <s v="PCS"/>
    <m/>
    <s v="BKKASFOLIO"/>
    <s v="BUKU KAS (FOLIO)"/>
    <s v="BUKU KAS (FOLIO)"/>
    <n v="18500"/>
    <m/>
    <m/>
    <n v="92500"/>
    <m/>
    <m/>
    <n v="97"/>
    <n v="15"/>
    <n v="92500"/>
    <n v="0"/>
    <n v="0"/>
    <n v="0"/>
    <n v="92500"/>
    <s v=""/>
    <m/>
    <s v="BUKU KAS (FOLIO)PCS18500"/>
  </r>
  <r>
    <x v="0"/>
    <s v=""/>
    <s v=""/>
    <m/>
    <m/>
    <m/>
    <s v=""/>
    <s v=""/>
    <s v=" "/>
    <s v=""/>
    <n v="2"/>
    <s v="LSN"/>
    <m/>
    <s v="OPJK12W"/>
    <s v="CRAYON / OIL PASTEL JOYKO OP-12S PP CASE SEA WORLD"/>
    <s v="CRAYON / OIL PASTEL JOYKO OP-12S PP CASE SEA WORLD"/>
    <n v="142800"/>
    <n v="0.1"/>
    <m/>
    <n v="257040"/>
    <m/>
    <m/>
    <n v="97"/>
    <n v="15"/>
    <n v="285600"/>
    <n v="28560"/>
    <n v="0"/>
    <n v="28560"/>
    <n v="257040"/>
    <s v=""/>
    <m/>
    <s v="CRAYON / OIL PASTEL JOYKO OP-12S PP CASE SEA WORLDLSN142800"/>
  </r>
  <r>
    <x v="0"/>
    <s v=""/>
    <s v=""/>
    <m/>
    <m/>
    <m/>
    <s v=""/>
    <s v=""/>
    <s v=" "/>
    <s v=""/>
    <n v="2"/>
    <s v="LSN"/>
    <m/>
    <s v="OPJK18W"/>
    <s v="CRAYON / OIL PASTEL JOYKO OP-18S PP CASE SEA WORLD"/>
    <s v="CRAYON / OIL PASTEL JOYKO OP-18S PP CASE SEA WORLD"/>
    <n v="276000"/>
    <n v="0.1"/>
    <m/>
    <n v="496800"/>
    <m/>
    <m/>
    <n v="97"/>
    <n v="15"/>
    <n v="552000"/>
    <n v="55200"/>
    <n v="0"/>
    <n v="55200"/>
    <n v="496800"/>
    <s v=""/>
    <m/>
    <s v="CRAYON / OIL PASTEL JOYKO OP-18S PP CASE SEA WORLDLSN276000"/>
  </r>
  <r>
    <x v="0"/>
    <s v=""/>
    <s v=""/>
    <m/>
    <m/>
    <m/>
    <s v=""/>
    <s v=""/>
    <s v=" "/>
    <s v=""/>
    <n v="2"/>
    <s v="LSN"/>
    <m/>
    <s v="PINJKPP30"/>
    <s v="PUSH PIN JOYKO PP-30 WARNA"/>
    <s v="PUSH PIN JOYKO PP-30"/>
    <n v="31200"/>
    <n v="0.1"/>
    <m/>
    <n v="56160"/>
    <m/>
    <m/>
    <n v="97"/>
    <n v="15"/>
    <n v="62400"/>
    <n v="6240"/>
    <n v="0"/>
    <n v="6240"/>
    <n v="56160"/>
    <s v=""/>
    <m/>
    <s v="PUSH PIN JOYKO PP-30LSN31200"/>
  </r>
  <r>
    <x v="0"/>
    <s v=""/>
    <s v=""/>
    <m/>
    <m/>
    <m/>
    <s v=""/>
    <s v=""/>
    <s v=" "/>
    <s v=""/>
    <n v="2"/>
    <s v="BOX"/>
    <m/>
    <s v="STIJK20HITAM"/>
    <s v="STIP / PENGHAPUS JOYKO ER-B20BL HITAM"/>
    <s v="STIP / PENGHAPUS JOYKO ER-B20BL HITAM"/>
    <n v="34100"/>
    <n v="0.1"/>
    <m/>
    <n v="61380"/>
    <m/>
    <m/>
    <n v="97"/>
    <n v="15"/>
    <n v="68200"/>
    <n v="6820"/>
    <n v="0"/>
    <n v="6820"/>
    <n v="61380"/>
    <s v=""/>
    <m/>
    <s v="STIP / PENGHAPUS JOYKO ER-B20BL HITAMBOX34100"/>
  </r>
  <r>
    <x v="0"/>
    <s v=""/>
    <s v=""/>
    <m/>
    <m/>
    <m/>
    <s v=""/>
    <s v=""/>
    <s v=" "/>
    <s v=""/>
    <n v="1"/>
    <s v="LSN"/>
    <m/>
    <s v="PCAC1762"/>
    <s v="PENCIL CASE 22 x 7.5 MAGNET AC-1762"/>
    <s v="PENCIL CASE 22 x 7.5 MAGNET AC-1762"/>
    <n v="175000"/>
    <m/>
    <m/>
    <n v="175000"/>
    <m/>
    <m/>
    <n v="97"/>
    <n v="15"/>
    <n v="175000"/>
    <n v="0"/>
    <n v="0"/>
    <n v="0"/>
    <n v="175000"/>
    <s v=""/>
    <m/>
    <s v="PENCIL CASE 22 x 7.5 MAGNET AC-1762LSN175000"/>
  </r>
  <r>
    <x v="0"/>
    <s v=""/>
    <s v=""/>
    <m/>
    <m/>
    <m/>
    <s v=""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97"/>
    <n v="15"/>
    <n v="361800"/>
    <n v="36180"/>
    <n v="0"/>
    <n v="36180"/>
    <n v="325620"/>
    <s v=""/>
    <m/>
    <s v="CORRECTION FLUID KENKO KE-826MLSN60300"/>
  </r>
  <r>
    <x v="0"/>
    <s v=""/>
    <s v=""/>
    <m/>
    <m/>
    <m/>
    <s v=""/>
    <s v=""/>
    <s v=" "/>
    <s v=""/>
    <n v="6"/>
    <s v="LSN"/>
    <m/>
    <s v="TIPKENKE01"/>
    <s v="CORRECTION FLUID KENKO KE-01"/>
    <s v="CORRECTION FLUID KENKO KE-01"/>
    <n v="54300"/>
    <n v="0.1"/>
    <m/>
    <n v="293220"/>
    <m/>
    <m/>
    <n v="97"/>
    <n v="15"/>
    <n v="325800"/>
    <n v="32580"/>
    <n v="0"/>
    <n v="32580"/>
    <n v="293220"/>
    <s v=""/>
    <m/>
    <s v="CORRECTION FLUID KENKO KE-01LSN54300"/>
  </r>
  <r>
    <x v="0"/>
    <s v=""/>
    <s v=""/>
    <m/>
    <m/>
    <m/>
    <s v=""/>
    <s v=""/>
    <s v=" "/>
    <s v=""/>
    <n v="3"/>
    <s v="LSN"/>
    <m/>
    <s v="PENJKGP266HT"/>
    <s v="GEL PEN JOYKO GP-266 ITECH HITAM"/>
    <s v="GEL PEN JOYKO GP-266 ITECH HITAM"/>
    <n v="27600"/>
    <n v="0.1"/>
    <m/>
    <n v="74520"/>
    <m/>
    <m/>
    <n v="97"/>
    <n v="15"/>
    <n v="82800"/>
    <n v="8280"/>
    <n v="0"/>
    <n v="8280"/>
    <n v="74520"/>
    <s v=""/>
    <m/>
    <s v="GEL PEN JOYKO GP-266 ITECH HITAMLSN2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20026"/>
    <d v="2023-12-19T00:00:00"/>
    <n v="19"/>
    <s v="0667"/>
    <s v="nirmala"/>
    <s v="AM 23120026"/>
    <s v="KO"/>
    <s v="KO 0667"/>
    <s v="CV SINAR CAHAYA NIRMALA BREBES"/>
    <n v="1"/>
    <s v="LSN"/>
    <m/>
    <s v="TIPKENCT809"/>
    <s v="CORRECTION TAPE KENKO CT-809 (8M x 5MM)"/>
    <s v="CORRECTION TAPE KENKO CT-809 (8M x 5MM)"/>
    <n v="54000"/>
    <n v="0.1"/>
    <m/>
    <n v="48600"/>
    <s v="NOVI / CONDRO"/>
    <m/>
    <n v="113"/>
    <n v="6"/>
    <n v="54000"/>
    <n v="5400"/>
    <n v="0"/>
    <n v="5400"/>
    <n v="48600"/>
    <n v="621340"/>
    <m/>
    <s v="CORRECTION TAPE KENKO CT-809 (8M x 5MM)LSN54000"/>
  </r>
  <r>
    <x v="0"/>
    <s v=""/>
    <s v=""/>
    <m/>
    <m/>
    <m/>
    <s v=""/>
    <s v=""/>
    <s v=" "/>
    <s v=""/>
    <n v="1"/>
    <s v="LSN"/>
    <m/>
    <s v="STASDI1104"/>
    <s v="STAPLER SDI 1104"/>
    <s v="STAPLER SDI 1104"/>
    <n v="234000"/>
    <m/>
    <m/>
    <n v="234000"/>
    <m/>
    <m/>
    <n v="113"/>
    <n v="6"/>
    <n v="234000"/>
    <n v="0"/>
    <n v="0"/>
    <n v="0"/>
    <n v="234000"/>
    <s v=""/>
    <m/>
    <s v="STAPLER SDI 1104LSN234000"/>
  </r>
  <r>
    <x v="0"/>
    <s v=""/>
    <s v=""/>
    <m/>
    <m/>
    <m/>
    <s v=""/>
    <s v=""/>
    <s v=" "/>
    <s v=""/>
    <n v="1"/>
    <s v="LSN"/>
    <m/>
    <s v="GUNKEN838N"/>
    <e v="#N/A"/>
    <s v="GUNTING KENKO SC-838N"/>
    <n v="79800"/>
    <n v="0.1"/>
    <m/>
    <n v="71820"/>
    <m/>
    <m/>
    <n v="113"/>
    <n v="6"/>
    <n v="79800"/>
    <n v="7980"/>
    <n v="0"/>
    <n v="7980"/>
    <n v="71820"/>
    <s v=""/>
    <m/>
    <s v="GUNTING KENKO SC-838NLSN79800"/>
  </r>
  <r>
    <x v="0"/>
    <s v=""/>
    <s v=""/>
    <m/>
    <m/>
    <m/>
    <s v=""/>
    <s v=""/>
    <s v=" "/>
    <s v=""/>
    <n v="1"/>
    <s v="LSN"/>
    <m/>
    <s v="GUNKEN848N"/>
    <e v="#N/A"/>
    <s v="GUNTING KENKO SC-848N"/>
    <n v="118800"/>
    <n v="0.1"/>
    <m/>
    <n v="106920"/>
    <m/>
    <m/>
    <n v="113"/>
    <n v="6"/>
    <n v="118800"/>
    <n v="11880"/>
    <n v="0"/>
    <n v="11880"/>
    <n v="106920"/>
    <s v=""/>
    <m/>
    <s v="GUNTING KENKO SC-848NLSN118800"/>
  </r>
  <r>
    <x v="0"/>
    <s v=""/>
    <s v=""/>
    <m/>
    <m/>
    <m/>
    <s v=""/>
    <s v=""/>
    <s v=" "/>
    <s v=""/>
    <n v="1"/>
    <s v="LSN"/>
    <m/>
    <s v="MAP1935"/>
    <e v="#N/A"/>
    <s v="MAP DATA A4 1935"/>
    <n v="75000"/>
    <m/>
    <m/>
    <n v="75000"/>
    <m/>
    <m/>
    <n v="113"/>
    <n v="6"/>
    <n v="75000"/>
    <n v="0"/>
    <n v="0"/>
    <n v="0"/>
    <n v="75000"/>
    <s v=""/>
    <m/>
    <s v="MAP DATA A4 1935LSN75000"/>
  </r>
  <r>
    <x v="0"/>
    <s v=""/>
    <s v=""/>
    <m/>
    <m/>
    <m/>
    <s v=""/>
    <s v=""/>
    <s v=" "/>
    <s v=""/>
    <n v="1"/>
    <s v="LSN"/>
    <m/>
    <s v="MAP8517"/>
    <e v="#N/A"/>
    <s v="MAP A5 F 8517"/>
    <n v="85000"/>
    <m/>
    <m/>
    <n v="85000"/>
    <m/>
    <m/>
    <n v="113"/>
    <n v="6"/>
    <n v="85000"/>
    <n v="0"/>
    <n v="0"/>
    <n v="0"/>
    <n v="85000"/>
    <s v=""/>
    <m/>
    <s v="MAP A5 F 8517LSN8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20027"/>
    <d v="2023-12-20T00:00:00"/>
    <n v="20"/>
    <s v="0670"/>
    <s v="ANUGERAH"/>
    <s v="AM 23120027"/>
    <s v="KO"/>
    <s v="KO 0670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120"/>
    <n v="1"/>
    <n v="18600000"/>
    <n v="2511000"/>
    <n v="0"/>
    <n v="2511000"/>
    <n v="16089000"/>
    <n v="16089000"/>
    <m/>
    <s v="STAPLER KENKO HD-10LSN9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120028"/>
    <d v="2023-12-20T00:00:00"/>
    <n v="20"/>
    <s v="0671"/>
    <s v="bendan"/>
    <s v="AM 23120028"/>
    <s v="KO"/>
    <s v="KO 0671"/>
    <s v="HARNOYO (BENDAN) PEKALONGAN"/>
    <n v="500"/>
    <s v="BOX"/>
    <n v="1"/>
    <s v="CLIKEN1"/>
    <s v="PAPER TRIGONAL CLIP KENKO NO. 1"/>
    <s v="PAPER TRIGONAL CLIP KENKO NO. 1"/>
    <n v="1700"/>
    <n v="0.14000000000000001"/>
    <m/>
    <n v="731000"/>
    <s v="NOVI / CONDRO"/>
    <m/>
    <n v="122"/>
    <n v="3"/>
    <n v="850000"/>
    <n v="119000.00000000001"/>
    <n v="0"/>
    <n v="119000.00000000001"/>
    <n v="731000"/>
    <n v="2776700"/>
    <m/>
    <s v="PAPER TRIGONAL CLIP KENKO NO. 1BOX1700"/>
  </r>
  <r>
    <x v="0"/>
    <s v=""/>
    <s v=""/>
    <m/>
    <m/>
    <m/>
    <s v=""/>
    <s v=""/>
    <s v=" "/>
    <s v=""/>
    <n v="25"/>
    <s v="LSN"/>
    <n v="1"/>
    <s v="GUNKENSC838"/>
    <s v="GUNTING KENKO SC-838N"/>
    <s v="GUNTING KENKO SC-838N"/>
    <n v="79800"/>
    <n v="0.14000000000000001"/>
    <m/>
    <n v="1715700"/>
    <m/>
    <m/>
    <n v="122"/>
    <n v="3"/>
    <n v="1995000"/>
    <n v="279300"/>
    <n v="0"/>
    <n v="279300"/>
    <n v="1715700"/>
    <s v=""/>
    <m/>
    <s v="GUNTING KENKO SC-838NLSN79800"/>
  </r>
  <r>
    <x v="0"/>
    <s v=""/>
    <s v=""/>
    <m/>
    <m/>
    <m/>
    <s v=""/>
    <s v=""/>
    <s v=" "/>
    <s v=""/>
    <n v="3"/>
    <s v="PCS"/>
    <m/>
    <m/>
    <s v=""/>
    <s v="RAK SUSUN BESI 5 SUSUN"/>
    <n v="110000"/>
    <m/>
    <m/>
    <n v="330000"/>
    <m/>
    <m/>
    <n v="122"/>
    <n v="3"/>
    <n v="330000"/>
    <n v="0"/>
    <n v="0"/>
    <n v="0"/>
    <n v="330000"/>
    <s v=""/>
    <m/>
    <s v="RAK SUSUN BESI 5 SUSUNPCS11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120029"/>
    <d v="2023-12-20T00:00:00"/>
    <n v="20"/>
    <s v="0682"/>
    <s v="ANUGERAH"/>
    <s v="AM 23120029"/>
    <s v="KO"/>
    <s v="KO 0682"/>
    <s v="CV PELITA JAYA (ANUGERAH SEJAHTERA) PURWOKERTO"/>
    <n v="288"/>
    <s v="LSN"/>
    <n v="2"/>
    <s v="penkenhitech028hitam"/>
    <s v="GEL PEN KENKO HI-TECH-H 0.28 MM HITAM"/>
    <s v="GEL PEN KENKO HI-TECH-H 0.28 MM HITAM"/>
    <n v="39000"/>
    <n v="0.13500000000000001"/>
    <m/>
    <n v="9715680"/>
    <s v="NOVI / CONDRO"/>
    <m/>
    <n v="126"/>
    <n v="1"/>
    <n v="11232000"/>
    <n v="1516320"/>
    <n v="0"/>
    <n v="1516320"/>
    <n v="9715680"/>
    <n v="971568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120030"/>
    <d v="2023-12-22T00:00:00"/>
    <n v="22"/>
    <s v="0661"/>
    <s v="NIKISAE"/>
    <s v="AM 23120030"/>
    <s v="G"/>
    <s v="G 0661"/>
    <s v="GUNAWAN HARTONO KUSUMA ( NIKI SAE ) TULUNG AGUNG"/>
    <n v="108"/>
    <s v="LS"/>
    <m/>
    <m/>
    <s v=""/>
    <s v="CORRECTION FLUID JOYKO CF-S209"/>
    <n v="41400"/>
    <n v="0.125"/>
    <n v="0.05"/>
    <n v="3716685"/>
    <s v="NOVI / YO"/>
    <m/>
    <n v="128"/>
    <n v="2"/>
    <n v="4471200"/>
    <n v="558900"/>
    <n v="195615"/>
    <n v="754515"/>
    <n v="3716685"/>
    <n v="6194475"/>
    <m/>
    <s v="CORRECTION FLUID JOYKO CF-S209LS41400"/>
  </r>
  <r>
    <x v="0"/>
    <s v=""/>
    <s v=""/>
    <m/>
    <m/>
    <m/>
    <s v=""/>
    <s v=""/>
    <s v=" "/>
    <s v=""/>
    <n v="72"/>
    <s v="LS"/>
    <m/>
    <m/>
    <s v=""/>
    <s v="CORRECTION FLUID JOYKO CF-S209A"/>
    <n v="41400"/>
    <n v="0.125"/>
    <n v="0.05"/>
    <n v="2477790"/>
    <m/>
    <m/>
    <n v="128"/>
    <n v="2"/>
    <n v="2980800"/>
    <n v="372600"/>
    <n v="130410"/>
    <n v="503010"/>
    <n v="2477790"/>
    <s v=""/>
    <m/>
    <s v="CORRECTION FLUID JOYKO CF-S209ALS41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120031"/>
    <d v="2023-12-22T00:00:00"/>
    <n v="22"/>
    <s v="0631"/>
    <s v="sinarbhakti"/>
    <s v="AM 23120031"/>
    <s v="G"/>
    <s v="G 0631"/>
    <s v="MUHAMMAD AGUS MUNADI ( SINAR BHAKTI ) YOGYAKARTA"/>
    <n v="12"/>
    <s v="PC"/>
    <m/>
    <m/>
    <s v=""/>
    <s v="NOTEBOOK KANCING SZB-32K-1008-23"/>
    <n v="18000"/>
    <m/>
    <m/>
    <n v="216000"/>
    <s v="RISMA / YO"/>
    <m/>
    <n v="131"/>
    <n v="4"/>
    <n v="216000"/>
    <n v="0"/>
    <n v="0"/>
    <n v="0"/>
    <n v="216000"/>
    <n v="749000"/>
    <m/>
    <s v="NOTEBOOK KANCING SZB-32K-1008-23PC18000"/>
  </r>
  <r>
    <x v="0"/>
    <s v=""/>
    <s v=""/>
    <m/>
    <m/>
    <m/>
    <s v=""/>
    <s v=""/>
    <s v=" "/>
    <s v=""/>
    <n v="12"/>
    <s v="PC"/>
    <m/>
    <m/>
    <s v=""/>
    <s v="NOTEBOOK KANCING SZB-32K-1008-22"/>
    <n v="18000"/>
    <m/>
    <m/>
    <n v="216000"/>
    <m/>
    <m/>
    <n v="131"/>
    <n v="4"/>
    <n v="216000"/>
    <n v="0"/>
    <n v="0"/>
    <n v="0"/>
    <n v="216000"/>
    <s v=""/>
    <m/>
    <s v="NOTEBOOK KANCING SZB-32K-1008-22PC18000"/>
  </r>
  <r>
    <x v="0"/>
    <s v=""/>
    <s v=""/>
    <m/>
    <m/>
    <m/>
    <s v=""/>
    <s v=""/>
    <s v=" "/>
    <s v=""/>
    <n v="1"/>
    <s v="LS"/>
    <m/>
    <m/>
    <s v=""/>
    <s v="TAS KARUNG WIN/LS 35x40 CM"/>
    <n v="140000"/>
    <m/>
    <m/>
    <n v="140000"/>
    <m/>
    <m/>
    <n v="131"/>
    <n v="4"/>
    <n v="140000"/>
    <n v="0"/>
    <n v="0"/>
    <n v="0"/>
    <n v="140000"/>
    <s v=""/>
    <m/>
    <s v="TAS KARUNG WIN/LS 35x40 CMLS140000"/>
  </r>
  <r>
    <x v="0"/>
    <s v=""/>
    <s v=""/>
    <m/>
    <m/>
    <m/>
    <s v=""/>
    <s v=""/>
    <s v=" "/>
    <s v=""/>
    <n v="1"/>
    <s v="LS"/>
    <m/>
    <m/>
    <s v=""/>
    <s v="TAS KARUNG WIN/LS 45x50 CM"/>
    <n v="177000"/>
    <m/>
    <m/>
    <n v="177000"/>
    <m/>
    <m/>
    <n v="131"/>
    <n v="4"/>
    <n v="177000"/>
    <n v="0"/>
    <n v="0"/>
    <n v="0"/>
    <n v="177000"/>
    <s v=""/>
    <m/>
    <s v="TAS KARUNG WIN/LS 45x50 CMLS17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120032"/>
    <d v="2023-12-27T00:00:00"/>
    <n v="27"/>
    <s v="0639"/>
    <s v="utama"/>
    <s v="AM 23120032"/>
    <s v="G"/>
    <s v="G 0639"/>
    <s v="CV UTAMA PUTRA TULUNG AGUNG"/>
    <n v="144"/>
    <s v="LSN"/>
    <n v="1"/>
    <s v="PENTF1190BIRU"/>
    <e v="#N/A"/>
    <s v="GEL PEN TRIFELLO HI-TECH TF-1190 BIRU"/>
    <n v="28500"/>
    <m/>
    <m/>
    <n v="4104000"/>
    <s v="NOVI / CONDRO"/>
    <m/>
    <n v="136"/>
    <n v="2"/>
    <n v="4104000"/>
    <n v="0"/>
    <n v="0"/>
    <n v="0"/>
    <n v="4104000"/>
    <n v="12312000"/>
    <m/>
    <s v="GEL PEN TRIFELLO HI-TECH TF-1190 BIRU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136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120033"/>
    <d v="2023-12-27T00:00:00"/>
    <n v="27"/>
    <s v="0759"/>
    <s v="bendan"/>
    <s v="AM 23120033"/>
    <s v="KO"/>
    <s v="KO 0759"/>
    <s v="HARNOYO (BENDAN) PEKALONGAN"/>
    <n v="500"/>
    <s v="BOX"/>
    <n v="1"/>
    <s v="cliken1"/>
    <s v="PAPER TRIGONAL CLIP KENKO NO. 1"/>
    <s v="PAPER TRIGONAL CLIP KENKO NO. 1"/>
    <n v="1700"/>
    <n v="0.14000000000000001"/>
    <m/>
    <n v="731000"/>
    <s v="NOVI / CONDRO"/>
    <m/>
    <n v="139"/>
    <n v="3"/>
    <n v="850000"/>
    <n v="119000.00000000001"/>
    <n v="0"/>
    <n v="119000.00000000001"/>
    <n v="731000"/>
    <n v="4253560"/>
    <m/>
    <s v="PAPER TRIGONAL CLIP KENKO NO. 1BOX1700"/>
  </r>
  <r>
    <x v="0"/>
    <s v=""/>
    <s v=""/>
    <m/>
    <m/>
    <m/>
    <s v=""/>
    <s v=""/>
    <s v=" "/>
    <s v=""/>
    <n v="400"/>
    <s v="BOX"/>
    <n v="2"/>
    <s v="CLIKEN5"/>
    <s v="PAPER JUMBO CLIP KENKO NO. 5"/>
    <s v="PAPER JUMBO CLIP KENKO NO. 5"/>
    <n v="4300"/>
    <n v="0.14000000000000001"/>
    <m/>
    <n v="1479200"/>
    <m/>
    <m/>
    <n v="139"/>
    <n v="3"/>
    <n v="1720000"/>
    <n v="240800.00000000003"/>
    <n v="0"/>
    <n v="240800.00000000003"/>
    <n v="1479200"/>
    <s v=""/>
    <m/>
    <s v="PAPER JUMBO CLIP KENKO NO. 5BOX4300"/>
  </r>
  <r>
    <x v="0"/>
    <s v=""/>
    <s v=""/>
    <m/>
    <m/>
    <m/>
    <s v=""/>
    <s v=""/>
    <s v=" "/>
    <s v=""/>
    <n v="36"/>
    <s v="BOX"/>
    <n v="1"/>
    <s v="LEMKEN8GR"/>
    <s v="LEM STICK KENKO 8 GR (KECIL) isi 30 pc"/>
    <s v="LEM STICK KENKO 8 GR (KECIL) isi 30 pc"/>
    <n v="66000"/>
    <n v="0.14000000000000001"/>
    <m/>
    <n v="2043360"/>
    <m/>
    <m/>
    <n v="139"/>
    <n v="3"/>
    <n v="2376000"/>
    <n v="332640.00000000006"/>
    <n v="0"/>
    <n v="332640.00000000006"/>
    <n v="204336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120034"/>
    <d v="2023-12-28T00:00:00"/>
    <n v="28"/>
    <s v="0764"/>
    <s v="armada"/>
    <s v="AM 23120034"/>
    <s v="KO"/>
    <s v="KO 0764"/>
    <s v="SANTOSO BUDIONO (  ARMADA  ) PURWOKERTO"/>
    <n v="60"/>
    <s v="LSN"/>
    <n v="1"/>
    <s v="ISIKENBESAR"/>
    <s v="ISI CUTTER 18 MM KENKO L-150 (BESAR)"/>
    <s v="ISI CUTTER 18 MM KENKO L-150 (BESAR)"/>
    <n v="64800"/>
    <n v="0.13"/>
    <m/>
    <n v="3382560"/>
    <s v="NOVI / CONDRO"/>
    <m/>
    <n v="143"/>
    <n v="1"/>
    <n v="3888000"/>
    <n v="505440"/>
    <n v="0"/>
    <n v="505440"/>
    <n v="3382560"/>
    <n v="3382560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120035"/>
    <d v="2023-12-30T00:00:00"/>
    <n v="30"/>
    <s v="0641"/>
    <s v="ganesha"/>
    <s v="AM 23120035"/>
    <s v="KO"/>
    <s v="KO 0641"/>
    <s v="CV GANESHA WONOSOBO"/>
    <n v="10"/>
    <s v="LSN"/>
    <m/>
    <s v="TIPKENKE826"/>
    <s v="CORRECTION FLUID KENKO KE-826M"/>
    <s v="CORRECTION FLUID KENKO KE-826M"/>
    <n v="60300"/>
    <n v="0.1"/>
    <m/>
    <n v="542700"/>
    <s v="NOVI / CONDRO"/>
    <m/>
    <n v="145"/>
    <n v="3"/>
    <n v="603000"/>
    <n v="60300"/>
    <n v="0"/>
    <n v="60300"/>
    <n v="542700"/>
    <n v="934200"/>
    <m/>
    <s v="CORRECTION FLUID KENKO KE-826MLSN60300"/>
  </r>
  <r>
    <x v="0"/>
    <s v=""/>
    <s v=""/>
    <m/>
    <m/>
    <m/>
    <s v=""/>
    <s v=""/>
    <s v=" "/>
    <s v=""/>
    <n v="5"/>
    <s v="LSN"/>
    <m/>
    <s v="TIPKENCT902"/>
    <s v="CORRECTION TAPE KENKO CT-902 (12M x 5MM)"/>
    <s v="CORRECTION TAPE KENKO CT-902 (12M x 5MM)"/>
    <n v="60000"/>
    <n v="0.1"/>
    <m/>
    <n v="270000"/>
    <m/>
    <m/>
    <n v="145"/>
    <n v="3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n v="3"/>
    <s v="PCS"/>
    <m/>
    <s v="MESKENMX5500"/>
    <s v="MESIN LABEL HARGA KENKO MX-5500 (8 DIGITS, 1 LINE)"/>
    <s v="MESIN LABEL HARGA KENKO MX-5500 (8 DIGITS, 1 LINE)"/>
    <n v="45000"/>
    <n v="0.1"/>
    <m/>
    <n v="121500"/>
    <m/>
    <m/>
    <n v="145"/>
    <n v="3"/>
    <n v="135000"/>
    <n v="13500"/>
    <n v="0"/>
    <n v="13500"/>
    <n v="121500"/>
    <s v=""/>
    <m/>
    <s v="MESIN LABEL HARGA KENKO MX-5500 (8 DIGITS, 1 LINE)PCS4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3120036"/>
    <d v="2023-12-30T00:00:00"/>
    <n v="30"/>
    <s v="0519"/>
    <s v="hiDupbaru"/>
    <s v="AM 23120036"/>
    <s v="G"/>
    <s v="G 0519"/>
    <s v="ROBIN SUSANTO (HIDUP BARU) JOMBANG"/>
    <n v="96"/>
    <s v="LSN"/>
    <n v="1"/>
    <s v="PENTG340BIRU"/>
    <s v="GEL PEN TIZO 1.0 MM TG-340BI BIRU"/>
    <s v="GEL PEN TIZO 1.0 MM TG-340BI BIRU"/>
    <n v="33000"/>
    <m/>
    <m/>
    <n v="3168000"/>
    <s v="NOVI / CONDRO"/>
    <m/>
    <n v="149"/>
    <n v="1"/>
    <n v="3168000"/>
    <n v="0"/>
    <n v="0"/>
    <n v="0"/>
    <n v="3168000"/>
    <n v="3168000"/>
    <m/>
    <s v="GEL PEN TIZO 1.0 MM TG-340BI BIRU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3120037"/>
    <d v="2023-12-30T00:00:00"/>
    <n v="30"/>
    <s v="0683"/>
    <s v="rejoagung"/>
    <s v="AM 23120037"/>
    <s v="G"/>
    <s v="G 0683"/>
    <s v="LILY JULIAWATI (REJO AGUNG) JOMBANG"/>
    <n v="144"/>
    <s v="LSN"/>
    <n v="1"/>
    <s v="PENKENHITECH028HITAM"/>
    <s v="GEL PEN KENKO HI-TECH-H 0.28 MM HITAM"/>
    <s v="GEL PEN KENKO HI-TECH-H 0.28 MM HITAM"/>
    <n v="39000"/>
    <n v="0.125"/>
    <m/>
    <n v="4914000"/>
    <s v="NOVI / CONDRO"/>
    <m/>
    <n v="151"/>
    <n v="1"/>
    <n v="5616000"/>
    <n v="702000"/>
    <n v="0"/>
    <n v="702000"/>
    <n v="4914000"/>
    <n v="491400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3120038"/>
    <d v="2023-12-30T00:00:00"/>
    <n v="30"/>
    <s v="4967"/>
    <s v="RAINBOW"/>
    <s v="AM 23120038"/>
    <n v="0"/>
    <s v=""/>
    <s v="CV RAINBOW NUSANTARA SIDOARJO"/>
    <n v="23"/>
    <s v="PCS"/>
    <m/>
    <s v="COUKENHT302"/>
    <s v="HAND TALLY COUNTER KENKO HT-302"/>
    <s v="HAND TALLY COUNTER KENKO HT-302"/>
    <n v="19000"/>
    <n v="0.14499999999999999"/>
    <m/>
    <n v="373635"/>
    <s v="NOVI / CONDRO"/>
    <m/>
    <n v="153"/>
    <n v="10"/>
    <n v="437000"/>
    <n v="63364.999999999993"/>
    <n v="0"/>
    <n v="63364.999999999993"/>
    <n v="373635"/>
    <n v="3588093"/>
    <m/>
    <s v="HAND TALLY COUNTER KENKO HT-302PCS19000"/>
  </r>
  <r>
    <x v="0"/>
    <s v=""/>
    <s v=""/>
    <m/>
    <m/>
    <m/>
    <s v=""/>
    <s v=""/>
    <s v=" "/>
    <s v=""/>
    <n v="36"/>
    <s v="PCS"/>
    <m/>
    <s v="JANKENC168"/>
    <s v="JANGKA (COMPASS SET) KENKO C-168 / MS-75"/>
    <s v="JANGKA (COMPASS SET) KENKO C-168 / MS-75"/>
    <n v="7500"/>
    <n v="0.14499999999999999"/>
    <m/>
    <n v="230850"/>
    <m/>
    <m/>
    <n v="153"/>
    <n v="10"/>
    <n v="270000"/>
    <n v="39150"/>
    <n v="0"/>
    <n v="39150"/>
    <n v="230850"/>
    <s v=""/>
    <m/>
    <s v="JANGKA (COMPASS SET) KENKO C-168 / MS-75PCS7500"/>
  </r>
  <r>
    <x v="0"/>
    <s v=""/>
    <s v=""/>
    <m/>
    <m/>
    <m/>
    <s v=""/>
    <s v=""/>
    <s v=" "/>
    <s v=""/>
    <n v="72"/>
    <s v="PCS"/>
    <m/>
    <s v="JANKENC528"/>
    <s v="JANGKA (COMPASS SET) KENKO C-528 / MS-55"/>
    <s v="JANGKA (COMPASS SET) KENKO C-528 / MS-55"/>
    <n v="7500"/>
    <n v="0.14499999999999999"/>
    <m/>
    <n v="461700"/>
    <m/>
    <m/>
    <n v="153"/>
    <n v="10"/>
    <n v="540000"/>
    <n v="78300"/>
    <n v="0"/>
    <n v="78300"/>
    <n v="461700"/>
    <s v=""/>
    <m/>
    <s v="JANGKA (COMPASS SET) KENKO C-528 / MS-55PCS7500"/>
  </r>
  <r>
    <x v="0"/>
    <s v=""/>
    <s v=""/>
    <m/>
    <m/>
    <m/>
    <s v=""/>
    <s v=""/>
    <s v=" "/>
    <s v=""/>
    <n v="96"/>
    <s v="PCS"/>
    <m/>
    <s v="PWKEN12WPENDEK"/>
    <s v="PENSIL WARNA KENKO CP-12HALF CLASSIC (PENDEK)"/>
    <s v="PENSIL WARNA KENKO CP-12HALF CLASSIC (PENDEK)"/>
    <n v="6600"/>
    <n v="0.14499999999999999"/>
    <m/>
    <n v="541728"/>
    <m/>
    <m/>
    <n v="153"/>
    <n v="10"/>
    <n v="633600"/>
    <n v="91872"/>
    <n v="0"/>
    <n v="91872"/>
    <n v="541728"/>
    <s v=""/>
    <m/>
    <s v="PENSIL WARNA KENKO CP-12HALF CLASSIC (PENDEK)PCS6600"/>
  </r>
  <r>
    <x v="0"/>
    <s v=""/>
    <s v=""/>
    <m/>
    <m/>
    <m/>
    <s v=""/>
    <s v=""/>
    <s v=" "/>
    <s v=""/>
    <n v="12"/>
    <s v="PCS"/>
    <m/>
    <s v="GARKEN15CM"/>
    <s v="GARISAN BESI (STAINLESS STEEL) KENKO 15 CM"/>
    <s v="GARISAN BESI (STAINLESS STEEL) KENKO 15 CM"/>
    <n v="3150"/>
    <n v="0.14499999999999999"/>
    <m/>
    <n v="32319"/>
    <m/>
    <m/>
    <n v="153"/>
    <n v="10"/>
    <n v="37800"/>
    <n v="5481"/>
    <n v="0"/>
    <n v="5481"/>
    <n v="32319"/>
    <s v=""/>
    <m/>
    <s v="GARISAN BESI (STAINLESS STEEL) KENKO 15 CMPCS3150"/>
  </r>
  <r>
    <x v="0"/>
    <s v=""/>
    <s v=""/>
    <m/>
    <m/>
    <m/>
    <s v=""/>
    <s v=""/>
    <s v=" "/>
    <s v=""/>
    <n v="30"/>
    <s v="PCS"/>
    <m/>
    <s v="GARKEN40CM"/>
    <s v="GARISAN BESI (STAINLESS STEEL) KENKO 40 CM"/>
    <s v="GARISAN BESI (STAINLESS STEEL) KENKO 40 CM"/>
    <n v="13600"/>
    <n v="0.14499999999999999"/>
    <m/>
    <n v="348840"/>
    <m/>
    <m/>
    <n v="153"/>
    <n v="10"/>
    <n v="408000"/>
    <n v="59159.999999999993"/>
    <n v="0"/>
    <n v="59159.999999999993"/>
    <n v="348840"/>
    <s v=""/>
    <m/>
    <s v="GARISAN BESI (STAINLESS STEEL) KENKO 40 CMPCS13600"/>
  </r>
  <r>
    <x v="0"/>
    <s v=""/>
    <s v=""/>
    <m/>
    <m/>
    <m/>
    <s v=""/>
    <s v=""/>
    <s v=" "/>
    <s v=""/>
    <n v="36"/>
    <s v="PCS"/>
    <m/>
    <s v="GARKEN50CM"/>
    <s v="GARISAN BESI (STAINLESS STEEL) KENKO 50 CM"/>
    <s v="GARISAN BESI (STAINLESS STEEL) KENKO 50 CM"/>
    <n v="17950"/>
    <n v="0.14499999999999999"/>
    <m/>
    <n v="552501"/>
    <m/>
    <m/>
    <n v="153"/>
    <n v="10"/>
    <n v="646200"/>
    <n v="93699"/>
    <n v="0"/>
    <n v="93699"/>
    <n v="552501"/>
    <s v=""/>
    <m/>
    <s v="GARISAN BESI (STAINLESS STEEL) KENKO 50 CMPCS17950"/>
  </r>
  <r>
    <x v="0"/>
    <s v=""/>
    <s v=""/>
    <m/>
    <m/>
    <m/>
    <s v=""/>
    <s v=""/>
    <s v=" "/>
    <s v=""/>
    <n v="72"/>
    <s v="PCS"/>
    <m/>
    <s v="STAKENNO0"/>
    <s v="STAMP PAD KENKO NO. 0"/>
    <s v="STAMP PAD KENKO NO. 0"/>
    <n v="4950"/>
    <n v="0.14499999999999999"/>
    <m/>
    <n v="304722"/>
    <m/>
    <m/>
    <n v="153"/>
    <n v="10"/>
    <n v="356400"/>
    <n v="51678"/>
    <n v="0"/>
    <n v="51678"/>
    <n v="304722"/>
    <s v=""/>
    <m/>
    <s v="STAMP PAD KENKO NO. 0PCS4950"/>
  </r>
  <r>
    <x v="0"/>
    <s v=""/>
    <s v=""/>
    <m/>
    <m/>
    <m/>
    <s v=""/>
    <s v=""/>
    <s v=" "/>
    <s v=""/>
    <n v="84"/>
    <s v="PCS"/>
    <m/>
    <s v="STAKENNO1"/>
    <s v="STAMP PAD KENKO NO. 1"/>
    <s v="STAMP PAD KENKO NO. 1"/>
    <n v="5900"/>
    <n v="0.14499999999999999"/>
    <m/>
    <n v="423738"/>
    <m/>
    <m/>
    <n v="153"/>
    <n v="10"/>
    <n v="495600"/>
    <n v="71862"/>
    <n v="0"/>
    <n v="71862"/>
    <n v="423738"/>
    <s v=""/>
    <m/>
    <s v="STAMP PAD KENKO NO. 1PCS5900"/>
  </r>
  <r>
    <x v="0"/>
    <s v=""/>
    <s v=""/>
    <m/>
    <m/>
    <m/>
    <s v=""/>
    <s v=""/>
    <s v=" "/>
    <s v=""/>
    <n v="60"/>
    <s v="PCS"/>
    <m/>
    <s v="STAKEND4"/>
    <s v="DATE STAMP KENKO D-4 (Cap Tanggal 4 Mm)"/>
    <s v="DATE STAMP KENKO D-4 (Cap Tanggal 4 Mm)"/>
    <n v="6200"/>
    <n v="0.14499999999999999"/>
    <m/>
    <n v="318060"/>
    <m/>
    <m/>
    <n v="153"/>
    <n v="10"/>
    <n v="372000"/>
    <n v="53939.999999999993"/>
    <n v="0"/>
    <n v="53939.999999999993"/>
    <n v="318060"/>
    <s v=""/>
    <m/>
    <s v="DATE STAMP KENKO D-4 (Cap Tanggal 4 Mm)PCS6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4" firstHeaderRow="1" firstDataRow="1" firstDataCol="1"/>
  <pivotFields count="32">
    <pivotField axis="axisRow" showAll="0" sortType="ascending">
      <items count="4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40"/>
        <item m="1" x="41"/>
        <item x="16"/>
        <item m="1" x="39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formats count="5">
    <format dxfId="80">
      <pivotArea field="0" type="button" dataOnly="0" labelOnly="1" outline="0" axis="axisRow" fieldPosition="0"/>
    </format>
    <format dxfId="79">
      <pivotArea type="all" dataOnly="0" outline="0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8" totalsRowCount="1" headerRowDxfId="117" dataDxfId="116" totalsRowDxfId="115">
  <autoFilter ref="A2:AF297"/>
  <tableColumns count="32">
    <tableColumn id="16" name="//" dataDxfId="114" totalsRowDxfId="36">
      <calculatedColumnFormula>IF(Table1[[#This Row],[No. Invoice :]]="","",ROW())</calculatedColumnFormula>
    </tableColumn>
    <tableColumn id="18" name="h_No. Invoice :" dataDxfId="113" totalsRowDxfId="35">
      <calculatedColumnFormula>IF(Table1[Column3]="","",B$1+COUNT(INDIRECT("B$2:B"&amp;ROW()-1)))</calculatedColumnFormula>
    </tableColumn>
    <tableColumn id="2" name="Tgl Invoice :" dataDxfId="112" totalsRowDxfId="34">
      <calculatedColumnFormula>IF(Table1[[#This Row],[Column2]]="","",Table1[[#This Row],[Column2]]+C$1-1)</calculatedColumnFormula>
    </tableColumn>
    <tableColumn id="32" name="Column2" dataDxfId="111" totalsRowDxfId="33"/>
    <tableColumn id="19" name="Column4" dataDxfId="110" totalsRowDxfId="32"/>
    <tableColumn id="20" name="Column5" dataDxfId="109" totalsRowDxfId="31"/>
    <tableColumn id="1" name="No. Invoice :" dataDxfId="108" totalsRowDxfId="30">
      <calculatedColumnFormula>IF(Table1[[#This Row],[h_No. Invoice :]]="","",CONCATENATE("AM"," ",Table1[[#This Row],[h_No. Invoice :]]))</calculatedColumnFormula>
    </tableColumn>
    <tableColumn id="17" name="Column3" dataDxfId="107" totalsRowDxfId="29">
      <calculatedColumnFormula>IF(Table1[[#This Row],[Column5]]="","",INDEX(Table2[Column1],MATCH(Table1[[#This Row],[Column5]],Table2[a],0)))</calculatedColumnFormula>
    </tableColumn>
    <tableColumn id="3" name="Kode Sales :" dataDxfId="106" totalsRowDxfId="28">
      <calculatedColumnFormula>IF(Table1[[#This Row],[Column3]]=0,"",CONCATENATE(UPPER(Table1[[#This Row],[Column3]])," ",Table1[[#This Row],[Column4]]))</calculatedColumnFormula>
    </tableColumn>
    <tableColumn id="4" name="Toko" dataDxfId="105" totalsRowDxfId="27">
      <calculatedColumnFormula>IF(Table1[[#This Row],[Column5]]="","",INDEX(Table2[e],IF(Table1[[#This Row],[Column5]]="","",MATCH(Table1[[#This Row],[Column5]],Table2[a],0)),))</calculatedColumnFormula>
    </tableColumn>
    <tableColumn id="5" name="Qty" dataDxfId="104" totalsRowDxfId="26"/>
    <tableColumn id="6" name="Unit" dataDxfId="103" totalsRowDxfId="25"/>
    <tableColumn id="7" name="C" dataDxfId="102" totalsRowDxfId="24"/>
    <tableColumn id="8" name="h_Item Description" dataDxfId="101" totalsRowDxfId="23"/>
    <tableColumn id="10" name="Column1" dataDxfId="100" totalsRowDxfId="22">
      <calculatedColumnFormula>IF(Table1[[#This Row],[h_Item Description]]="","",INDEX([1]!db[NB PAJAK],MATCH(Table1[[#This Row],[h_Item Description]],[1]!db[kode],0)))</calculatedColumnFormula>
    </tableColumn>
    <tableColumn id="9" name="Item Description" dataDxfId="99" totalsRowDxfId="21"/>
    <tableColumn id="11" name="Unit Price" dataDxfId="98" totalsRowDxfId="20"/>
    <tableColumn id="12" name="Disc 1" dataDxfId="97" totalsRowDxfId="19"/>
    <tableColumn id="13" name="Disc 2" dataDxfId="96" totalsRowDxfId="18"/>
    <tableColumn id="23" name="Amount" dataDxfId="95" totalsRowDxfId="17">
      <calculatedColumnFormula>Table1[[#This Row],[h_hargasetelahdiskon]]</calculatedColumnFormula>
    </tableColumn>
    <tableColumn id="14" name="pembuat nota :" dataDxfId="94" totalsRowDxfId="16"/>
    <tableColumn id="15" name="edited :" dataDxfId="93" totalsRowDxfId="15"/>
    <tableColumn id="21" name="h_id" dataDxfId="92" totalsRowDxfId="1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91" totalsRowDxfId="13">
      <calculatedColumnFormula>IF(Table1[[#This Row],[h_id]]="","",COUNTIF(Table1[h_id],Table1[[#This Row],[h_id]]))</calculatedColumnFormula>
    </tableColumn>
    <tableColumn id="24" name="h_hargasebelumdiskon" dataDxfId="90" totalsRowDxfId="12">
      <calculatedColumnFormula>IF(Table1[Item Description]="","",Table1[[#This Row],[Qty]]*Table1[[#This Row],[Unit Price]])</calculatedColumnFormula>
    </tableColumn>
    <tableColumn id="31" name="h_disc 1" dataDxfId="89" totalsRowDxfId="11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8" totalsRowDxfId="10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7" totalsRowDxfId="9">
      <calculatedColumnFormula>IF(Table1[Item Description]="","",Table1[[#This Row],[h_disc 1]]+Table1[[#This Row],[h_disc 2]])</calculatedColumnFormula>
    </tableColumn>
    <tableColumn id="26" name="h_hargasetelahdiskon" dataDxfId="86" totalsRowDxfId="8">
      <calculatedColumnFormula>IF(Table1[Item Description]="","",Table1[[#This Row],[h_hargasebelumdiskon]]-Table1[[#This Row],[h_diskon]])</calculatedColumnFormula>
    </tableColumn>
    <tableColumn id="27" name="Total Invoice" dataDxfId="85" totalsRowDxfId="7">
      <calculatedColumnFormula>IF(Table1[//]="","",SUMIF(Table1[h_id],Table1[h_id],Table1[h_hargasetelahdiskon]))</calculatedColumnFormula>
    </tableColumn>
    <tableColumn id="28" name="KETERANGAN" dataDxfId="84" totalsRowDxfId="6"/>
    <tableColumn id="29" name="H_A1" dataDxfId="83" totalsRowDxfId="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75" dataDxfId="74" totalsRowDxfId="73">
  <autoFilter ref="D4:P57"/>
  <tableColumns count="13">
    <tableColumn id="1" name="//" totalsRowLabel="Total" dataDxfId="72" totalsRowDxfId="71">
      <calculatedColumnFormula>IF(ROW()-(COUNTBLANK($D$1:$D$3)+1)&lt;=jNota,A5,"")</calculatedColumnFormula>
    </tableColumn>
    <tableColumn id="2" name="No. Invoice :" dataDxfId="70" totalsRowDxfId="69">
      <calculatedColumnFormula>IF(pajak[[#This Row],[//]]="","",INDEX(Table1[No. Invoice :],pajak[//]-offset))</calculatedColumnFormula>
    </tableColumn>
    <tableColumn id="3" name="Tgl Invoice :" dataDxfId="68" totalsRowDxfId="67">
      <calculatedColumnFormula>IF(pajak[[#This Row],[//]]="","",INDEX(Table1[Tgl Invoice :],pajak[//]-offset))</calculatedColumnFormula>
    </tableColumn>
    <tableColumn id="4" name="Kode Sales :" dataDxfId="66" totalsRowDxfId="65">
      <calculatedColumnFormula>IF(pajak[[#This Row],[//]]="","",INDEX(Table1[Kode Sales :],pajak[//]-offset))</calculatedColumnFormula>
    </tableColumn>
    <tableColumn id="5" name="Toko" dataDxfId="64" totalsRowDxfId="63">
      <calculatedColumnFormula>IF(pajak[[#This Row],[//]]="","",INDEX(Table1[Toko],pajak[//]-offset))</calculatedColumnFormula>
    </tableColumn>
    <tableColumn id="6" name="Total" totalsRowFunction="sum" dataDxfId="62" totalsRowDxfId="61">
      <calculatedColumnFormula>IF(pajak[[#This Row],[//]]="","",SUMIF(Table1[h_id],pajak[[#This Row],[//]],Table1[h_hargasebelumdiskon]))</calculatedColumnFormula>
    </tableColumn>
    <tableColumn id="7" name="Diskon" totalsRowFunction="sum" dataDxfId="60" totalsRowDxfId="59">
      <calculatedColumnFormula>IF(pajak[[#This Row],[//]]="","",SUMIF(Table1[h_id],pajak[[#This Row],[//]],Table1[h_diskon]))</calculatedColumnFormula>
    </tableColumn>
    <tableColumn id="8" name="Sub Total" totalsRowFunction="sum" dataDxfId="58" totalsRowDxfId="57">
      <calculatedColumnFormula>IF(pajak[[#This Row],[//]]="","",SUMIF(Table1[h_id],pajak[[#This Row],[//]],Table1[h_hargasetelahdiskon]))</calculatedColumnFormula>
    </tableColumn>
    <tableColumn id="9" name="PPN 11%" totalsRowFunction="sum" dataDxfId="56" totalsRowDxfId="55">
      <calculatedColumnFormula>IF(pajak[//]="","",pajak[[#This Row],[Sub Total]]/1.11*11%)</calculatedColumnFormula>
    </tableColumn>
    <tableColumn id="10" name="Total Invoice" totalsRowFunction="sum" dataDxfId="54" totalsRowDxfId="53">
      <calculatedColumnFormula>pajak[[#This Row],[Sub Total]]</calculatedColumnFormula>
    </tableColumn>
    <tableColumn id="14" name="pembuat nota" dataDxfId="52" totalsRowDxfId="51">
      <calculatedColumnFormula>IF(pajak[[#This Row],[//]]="","",INDEX(Table1[pembuat nota :],pajak[//]-offset))</calculatedColumnFormula>
    </tableColumn>
    <tableColumn id="15" name="edited" dataDxfId="50" totalsRowDxfId="49">
      <calculatedColumnFormula>IF(pajak[[#This Row],[//]]="","",IF(INDEX(Table1[edited :],pajak[//]-offset)="","",INDEX(Table1[edited :],pajak[//]-offset)))</calculatedColumnFormula>
    </tableColumn>
    <tableColumn id="12" name="4" dataDxfId="48" totalsRowDxfId="4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6" dataDxfId="45">
  <autoFilter ref="R4:X57"/>
  <tableColumns count="7">
    <tableColumn id="8" name="AM" dataDxfId="44">
      <calculatedColumnFormula>Table4[[#Headers],[AM]]</calculatedColumnFormula>
    </tableColumn>
    <tableColumn id="2" name="---" dataDxfId="43">
      <calculatedColumnFormula>S$3+ROW()-5</calculatedColumnFormula>
    </tableColumn>
    <tableColumn id="7" name="No. Invoice :" dataDxfId="42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1">
      <calculatedColumnFormula>IF((INDEX(INDIRECT($3:$3),Table4[[#This Row],[No. Invoice :]]+$2:$2))=INDIRECT("pajak[@["&amp;Table4[#Headers]&amp;"]]"),1)</calculatedColumnFormula>
    </tableColumn>
    <tableColumn id="6" name="Tgl Invoice :" dataDxfId="40">
      <calculatedColumnFormula>IF((INDEX(INDIRECT($3:$3),Table4[[#This Row],[No. Invoice :]]+$2:$2))=INDIRECT("pajak[@["&amp;Table4[#Headers]&amp;"]]"),1)</calculatedColumnFormula>
    </tableColumn>
    <tableColumn id="4" name="Total Invoice" dataDxfId="39">
      <calculatedColumnFormula>IF((INDEX(INDIRECT($3:$3),Table4[[#This Row],[No. Invoice :]]+$2:$2))=INDIRECT("pajak[@["&amp;Table4[#Headers]&amp;"]]"),1)</calculatedColumnFormula>
    </tableColumn>
    <tableColumn id="3" name="pembuat nota" dataDxfId="38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8" totalsRowShown="0">
  <autoFilter ref="A2:F28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7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8"/>
  <sheetViews>
    <sheetView topLeftCell="L124" zoomScale="85" zoomScaleNormal="85" workbookViewId="0">
      <selection activeCell="P156" sqref="P156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23120001</v>
      </c>
      <c r="C1" s="272">
        <v>45261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23120001</v>
      </c>
      <c r="C4" s="272">
        <f>IF(Table1[[#This Row],[Column2]]="","",Table1[[#This Row],[Column2]]+C$1-1)</f>
        <v>45264</v>
      </c>
      <c r="D4" s="271">
        <v>4</v>
      </c>
      <c r="E4" s="273" t="s">
        <v>154</v>
      </c>
      <c r="F4" s="271" t="s">
        <v>148</v>
      </c>
      <c r="G4" s="278" t="str">
        <f ca="1">IF(Table1[[#This Row],[h_No. Invoice :]]="","",CONCATENATE("AM"," ",Table1[[#This Row],[h_No. Invoice :]]))</f>
        <v>AM 23120001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0536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100</v>
      </c>
      <c r="L4" s="271" t="s">
        <v>137</v>
      </c>
      <c r="M4" s="271">
        <v>5</v>
      </c>
      <c r="N4" s="271" t="s">
        <v>143</v>
      </c>
      <c r="O4" s="278" t="str">
        <f>IF(Table1[[#This Row],[h_Item Description]]="","",INDEX([1]!db[NB PAJAK],MATCH(Table1[[#This Row],[h_Item Description]],[1]!db[kode],0)))</f>
        <v>CUTTER 18 MM KENKO L-500 (BESAR)</v>
      </c>
      <c r="P4" s="278" t="s">
        <v>144</v>
      </c>
      <c r="Q4" s="274">
        <v>147600</v>
      </c>
      <c r="R4" s="275">
        <v>0.125</v>
      </c>
      <c r="S4" s="275"/>
      <c r="T4" s="274">
        <f>Table1[[#This Row],[h_hargasetelahdiskon]]</f>
        <v>12915000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2</v>
      </c>
      <c r="Y4" s="274">
        <f>IF(Table1[Item Description]="","",Table1[[#This Row],[Qty]]*Table1[[#This Row],[Unit Price]])</f>
        <v>14760000</v>
      </c>
      <c r="Z4" s="274">
        <f>IF(Table1[[#This Row],[h_hargasebelumdiskon]]="","",IF(Table1[[#This Row],[Disc 1]]="",0,Table1[[#This Row],[h_hargasebelumdiskon]]*Table1[[#This Row],[Disc 1]]))</f>
        <v>1845000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1845000</v>
      </c>
      <c r="AC4" s="274">
        <f>IF(Table1[Item Description]="","",Table1[[#This Row],[h_hargasebelumdiskon]]-Table1[[#This Row],[h_diskon]])</f>
        <v>12915000</v>
      </c>
      <c r="AD4" s="274">
        <f ca="1">IF(Table1[//]="","",SUMIF(Table1[h_id],Table1[h_id],Table1[h_hargasetelahdiskon]))</f>
        <v>15907500</v>
      </c>
      <c r="AF4" s="274" t="str">
        <f>Table1[[#This Row],[Item Description]]&amp;Table1[[#This Row],[Unit]]&amp;Table1[[#This Row],[Unit Price]]</f>
        <v>CUTTER 18 MM KENKO L-500 (BESAR)LSN147600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60</v>
      </c>
      <c r="L5" s="271" t="s">
        <v>137</v>
      </c>
      <c r="M5" s="271">
        <v>2</v>
      </c>
      <c r="N5" s="271" t="s">
        <v>152</v>
      </c>
      <c r="O5" s="278" t="str">
        <f>IF(Table1[[#This Row],[h_Item Description]]="","",INDEX([1]!db[NB PAJAK],MATCH(Table1[[#This Row],[h_Item Description]],[1]!db[kode],0)))</f>
        <v>CUTTER 9 MM KENKO A-300 (KECIL)</v>
      </c>
      <c r="P5" s="278" t="s">
        <v>153</v>
      </c>
      <c r="Q5" s="274">
        <v>57000</v>
      </c>
      <c r="R5" s="275">
        <v>0.125</v>
      </c>
      <c r="S5" s="275"/>
      <c r="T5" s="274">
        <f>Table1[[#This Row],[h_hargasetelahdiskon]]</f>
        <v>2992500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2</v>
      </c>
      <c r="Y5" s="274">
        <f>IF(Table1[Item Description]="","",Table1[[#This Row],[Qty]]*Table1[[#This Row],[Unit Price]])</f>
        <v>3420000</v>
      </c>
      <c r="Z5" s="274">
        <f>IF(Table1[[#This Row],[h_hargasebelumdiskon]]="","",IF(Table1[[#This Row],[Disc 1]]="",0,Table1[[#This Row],[h_hargasebelumdiskon]]*Table1[[#This Row],[Disc 1]]))</f>
        <v>427500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427500</v>
      </c>
      <c r="AC5" s="274">
        <f>IF(Table1[Item Description]="","",Table1[[#This Row],[h_hargasebelumdiskon]]-Table1[[#This Row],[h_diskon]])</f>
        <v>2992500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CUTTER 9 MM KENKO A-300 (KECIL)LSN57000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/>
      <c r="L6" s="271"/>
      <c r="O6" s="278" t="str">
        <f>IF(Table1[[#This Row],[h_Item Description]]="","",INDEX([1]!db[NB PAJAK],MATCH(Table1[[#This Row],[h_Item Description]],[1]!db[kode],0)))</f>
        <v/>
      </c>
      <c r="P6" s="278"/>
      <c r="Q6" s="274"/>
      <c r="R6" s="275"/>
      <c r="S6" s="275"/>
      <c r="T6" s="274" t="str">
        <f>Table1[[#This Row],[h_hargasetelahdiskon]]</f>
        <v/>
      </c>
      <c r="V6" s="271"/>
      <c r="W6" s="278" t="str">
        <f ca="1">IF(Table1[[#This Row],[Item Description]]="","",IF(Table1[[#This Row],[//]]="",INDIRECT(ADDRESS(ROW()-1,COLUMN())),Table1[[#This Row],[//]]))</f>
        <v/>
      </c>
      <c r="X6" s="278" t="str">
        <f ca="1">IF(Table1[[#This Row],[h_id]]="","",COUNTIF(Table1[h_id],Table1[[#This Row],[h_id]]))</f>
        <v/>
      </c>
      <c r="Y6" s="274" t="str">
        <f>IF(Table1[Item Description]="","",Table1[[#This Row],[Qty]]*Table1[[#This Row],[Unit Price]])</f>
        <v/>
      </c>
      <c r="Z6" s="274" t="str">
        <f>IF(Table1[[#This Row],[h_hargasebelumdiskon]]="","",IF(Table1[[#This Row],[Disc 1]]="",0,Table1[[#This Row],[h_hargasebelumdiskon]]*Table1[[#This Row],[Disc 1]]))</f>
        <v/>
      </c>
      <c r="AA6" s="274" t="str">
        <f>IF(Table1[[#This Row],[h_hargasebelumdiskon]]="","",IF(Table1[[#This Row],[Disc 2]]="",0,(Table1[[#This Row],[h_hargasebelumdiskon]]-Table1[[#This Row],[h_disc 1]])*Table1[[#This Row],[Disc 2]]))</f>
        <v/>
      </c>
      <c r="AB6" s="274" t="str">
        <f>IF(Table1[Item Description]="","",Table1[[#This Row],[h_disc 1]]+Table1[[#This Row],[h_disc 2]])</f>
        <v/>
      </c>
      <c r="AC6" s="274" t="str">
        <f>IF(Table1[Item Description]="","",Table1[[#This Row],[h_hargasebelumdiskon]]-Table1[[#This Row],[h_diskon]])</f>
        <v/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/>
      </c>
      <c r="AG6"/>
      <c r="AH6"/>
      <c r="AI6"/>
    </row>
    <row r="7" spans="1:35" x14ac:dyDescent="0.25">
      <c r="A7" s="278">
        <f ca="1">IF(Table1[[#This Row],[No. Invoice :]]="","",ROW())</f>
        <v>7</v>
      </c>
      <c r="B7" s="278">
        <f ca="1">IF(Table1[Column3]="","",B$1+COUNT(INDIRECT("B$2:B"&amp;ROW()-1)))</f>
        <v>23120002</v>
      </c>
      <c r="C7" s="272">
        <f>IF(Table1[[#This Row],[Column2]]="","",Table1[[#This Row],[Column2]]+C$1-1)</f>
        <v>45265</v>
      </c>
      <c r="D7" s="282">
        <v>5</v>
      </c>
      <c r="E7" s="273" t="s">
        <v>156</v>
      </c>
      <c r="F7" s="271" t="s">
        <v>98</v>
      </c>
      <c r="G7" s="278" t="str">
        <f ca="1">IF(Table1[[#This Row],[h_No. Invoice :]]="","",CONCATENATE("AM"," ",Table1[[#This Row],[h_No. Invoice :]]))</f>
        <v>AM 23120002</v>
      </c>
      <c r="H7" s="271" t="str">
        <f>IF(Table1[[#This Row],[Column5]]="","",INDEX(Table2[Column1],MATCH(Table1[[#This Row],[Column5]],Table2[a],0)))</f>
        <v>A</v>
      </c>
      <c r="I7" s="279" t="str">
        <f>IF(Table1[[#This Row],[Column3]]=0,"",CONCATENATE(UPPER(Table1[[#This Row],[Column3]])," ",Table1[[#This Row],[Column4]]))</f>
        <v>A 0539</v>
      </c>
      <c r="J7" s="278" t="str">
        <f>IF(Table1[[#This Row],[Column5]]="","",INDEX(Table2[e],IF(Table1[[#This Row],[Column5]]="","",MATCH(Table1[[#This Row],[Column5]],Table2[a],0)),))</f>
        <v>CV FM 90 KEBUMEN</v>
      </c>
      <c r="K7" s="271">
        <v>144</v>
      </c>
      <c r="L7" s="271" t="s">
        <v>137</v>
      </c>
      <c r="M7" s="271">
        <v>1</v>
      </c>
      <c r="N7" s="271" t="s">
        <v>157</v>
      </c>
      <c r="O7" s="278" t="str">
        <f>IF(Table1[[#This Row],[h_Item Description]]="","",INDEX([1]!db[NB PAJAK],MATCH(Table1[[#This Row],[h_Item Description]],[1]!db[kode],0)))</f>
        <v>GEL PEN TRIFELLO HI-TECH TF-1191 WARNA</v>
      </c>
      <c r="P7" s="271" t="s">
        <v>159</v>
      </c>
      <c r="Q7" s="274">
        <v>28500</v>
      </c>
      <c r="R7" s="275"/>
      <c r="S7" s="275"/>
      <c r="T7" s="274">
        <f>Table1[[#This Row],[h_hargasetelahdiskon]]</f>
        <v>4104000</v>
      </c>
      <c r="U7" s="274" t="s">
        <v>130</v>
      </c>
      <c r="V7" s="271"/>
      <c r="W7" s="278">
        <f ca="1">IF(Table1[[#This Row],[Item Description]]="","",IF(Table1[[#This Row],[//]]="",INDIRECT(ADDRESS(ROW()-1,COLUMN())),Table1[[#This Row],[//]]))</f>
        <v>7</v>
      </c>
      <c r="X7" s="278">
        <f ca="1">IF(Table1[[#This Row],[h_id]]="","",COUNTIF(Table1[h_id],Table1[[#This Row],[h_id]]))</f>
        <v>2</v>
      </c>
      <c r="Y7" s="274">
        <f>IF(Table1[Item Description]="","",Table1[[#This Row],[Qty]]*Table1[[#This Row],[Unit Price]])</f>
        <v>4104000</v>
      </c>
      <c r="Z7" s="274">
        <f>IF(Table1[[#This Row],[h_hargasebelumdiskon]]="","",IF(Table1[[#This Row],[Disc 1]]="",0,Table1[[#This Row],[h_hargasebelumdiskon]]*Table1[[#This Row],[Disc 1]]))</f>
        <v>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0</v>
      </c>
      <c r="AC7" s="274">
        <f>IF(Table1[Item Description]="","",Table1[[#This Row],[h_hargasebelumdiskon]]-Table1[[#This Row],[h_diskon]])</f>
        <v>4104000</v>
      </c>
      <c r="AD7" s="274">
        <f ca="1">IF(Table1[//]="","",SUMIF(Table1[h_id],Table1[h_id],Table1[h_hargasetelahdiskon]))</f>
        <v>12312000</v>
      </c>
      <c r="AF7" s="274" t="str">
        <f>Table1[[#This Row],[Item Description]]&amp;Table1[[#This Row],[Unit]]&amp;Table1[[#This Row],[Unit Price]]</f>
        <v>GEL PEN TRIFELLO HI-TECH TF-1191 WARNALSN28500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288</v>
      </c>
      <c r="L8" s="271" t="s">
        <v>137</v>
      </c>
      <c r="M8" s="271">
        <v>2</v>
      </c>
      <c r="N8" s="271" t="s">
        <v>158</v>
      </c>
      <c r="O8" s="278" t="str">
        <f>IF(Table1[[#This Row],[h_Item Description]]="","",INDEX([1]!db[NB PAJAK],MATCH(Table1[[#This Row],[h_Item Description]],[1]!db[kode],0)))</f>
        <v>GEL PEN TRIFELLO HI-TECH TF-1190 HITAM</v>
      </c>
      <c r="P8" s="271" t="s">
        <v>160</v>
      </c>
      <c r="Q8" s="274">
        <v>28500</v>
      </c>
      <c r="R8" s="275"/>
      <c r="S8" s="275"/>
      <c r="T8" s="274">
        <f>Table1[[#This Row],[h_hargasetelahdiskon]]</f>
        <v>8208000</v>
      </c>
      <c r="V8" s="271"/>
      <c r="W8" s="278">
        <f ca="1">IF(Table1[[#This Row],[Item Description]]="","",IF(Table1[[#This Row],[//]]="",INDIRECT(ADDRESS(ROW()-1,COLUMN())),Table1[[#This Row],[//]]))</f>
        <v>7</v>
      </c>
      <c r="X8" s="278">
        <f ca="1">IF(Table1[[#This Row],[h_id]]="","",COUNTIF(Table1[h_id],Table1[[#This Row],[h_id]]))</f>
        <v>2</v>
      </c>
      <c r="Y8" s="274">
        <f>IF(Table1[Item Description]="","",Table1[[#This Row],[Qty]]*Table1[[#This Row],[Unit Price]])</f>
        <v>8208000</v>
      </c>
      <c r="Z8" s="274">
        <f>IF(Table1[[#This Row],[h_hargasebelumdiskon]]="","",IF(Table1[[#This Row],[Disc 1]]="",0,Table1[[#This Row],[h_hargasebelumdiskon]]*Table1[[#This Row],[Disc 1]]))</f>
        <v>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0</v>
      </c>
      <c r="AC8" s="274">
        <f>IF(Table1[Item Description]="","",Table1[[#This Row],[h_hargasebelumdiskon]]-Table1[[#This Row],[h_diskon]])</f>
        <v>8208000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TRIFELLO HI-TECH TF-1190 HITAMLSN28500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23120003</v>
      </c>
      <c r="C10" s="272">
        <f>IF(Table1[[#This Row],[Column2]]="","",Table1[[#This Row],[Column2]]+C$1-1)</f>
        <v>45266</v>
      </c>
      <c r="D10" s="282">
        <v>6</v>
      </c>
      <c r="E10" s="273" t="s">
        <v>161</v>
      </c>
      <c r="F10" s="271" t="s">
        <v>81</v>
      </c>
      <c r="G10" s="278" t="str">
        <f ca="1">IF(Table1[[#This Row],[h_No. Invoice :]]="","",CONCATENATE("AM"," ",Table1[[#This Row],[h_No. Invoice :]]))</f>
        <v>AM 23120003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0551</v>
      </c>
      <c r="J10" s="278" t="str">
        <f>IF(Table1[[#This Row],[Column5]]="","",INDEX(Table2[e],IF(Table1[[#This Row],[Column5]]="","",MATCH(Table1[[#This Row],[Column5]],Table2[a],0)),))</f>
        <v>CV PELITA JAYA (ANUGERAH SEJAHTERA) PURWOKERTO</v>
      </c>
      <c r="K10" s="271">
        <v>288</v>
      </c>
      <c r="L10" s="271" t="s">
        <v>162</v>
      </c>
      <c r="M10" s="271">
        <v>2</v>
      </c>
      <c r="N10" s="271" t="s">
        <v>163</v>
      </c>
      <c r="O10" s="278" t="str">
        <f>IF(Table1[[#This Row],[h_Item Description]]="","",INDEX([1]!db[NB PAJAK],MATCH(Table1[[#This Row],[h_Item Description]],[1]!db[kode],0)))</f>
        <v>PENSIL WARNA JOYKO CP-12PB (PANJANG)</v>
      </c>
      <c r="P10" s="271" t="s">
        <v>172</v>
      </c>
      <c r="Q10" s="274">
        <v>10600</v>
      </c>
      <c r="R10" s="275">
        <v>0.13500000000000001</v>
      </c>
      <c r="S10" s="275"/>
      <c r="T10" s="274">
        <f>Table1[[#This Row],[h_hargasetelahdiskon]]</f>
        <v>2640672</v>
      </c>
      <c r="U10" s="274" t="s">
        <v>130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7</v>
      </c>
      <c r="Y10" s="274">
        <f>IF(Table1[Item Description]="","",Table1[[#This Row],[Qty]]*Table1[[#This Row],[Unit Price]])</f>
        <v>3052800</v>
      </c>
      <c r="Z10" s="274">
        <f>IF(Table1[[#This Row],[h_hargasebelumdiskon]]="","",IF(Table1[[#This Row],[Disc 1]]="",0,Table1[[#This Row],[h_hargasebelumdiskon]]*Table1[[#This Row],[Disc 1]]))</f>
        <v>412128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412128</v>
      </c>
      <c r="AC10" s="274">
        <f>IF(Table1[Item Description]="","",Table1[[#This Row],[h_hargasebelumdiskon]]-Table1[[#This Row],[h_diskon]])</f>
        <v>2640672</v>
      </c>
      <c r="AD10" s="274">
        <f ca="1">IF(Table1[//]="","",SUMIF(Table1[h_id],Table1[h_id],Table1[h_hargasetelahdiskon]))</f>
        <v>17798067</v>
      </c>
      <c r="AF10" s="274" t="str">
        <f>Table1[[#This Row],[Item Description]]&amp;Table1[[#This Row],[Unit]]&amp;Table1[[#This Row],[Unit Price]]</f>
        <v>PENSIL WARNA JOYKO CP-12PB (PANJANG)PCS10600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30</v>
      </c>
      <c r="L11" s="271" t="s">
        <v>137</v>
      </c>
      <c r="M11" s="271">
        <v>3</v>
      </c>
      <c r="N11" s="271" t="s">
        <v>164</v>
      </c>
      <c r="O11" s="278" t="str">
        <f>IF(Table1[[#This Row],[h_Item Description]]="","",INDEX([1]!db[NB PAJAK],MATCH(Table1[[#This Row],[h_Item Description]],[1]!db[kode],0)))</f>
        <v>STAPLER KENKO HD-50</v>
      </c>
      <c r="P11" s="271" t="s">
        <v>173</v>
      </c>
      <c r="Q11" s="274">
        <v>228000</v>
      </c>
      <c r="R11" s="275">
        <v>0.13500000000000001</v>
      </c>
      <c r="S11" s="275"/>
      <c r="T11" s="274">
        <f>Table1[[#This Row],[h_hargasetelahdiskon]]</f>
        <v>5916600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7</v>
      </c>
      <c r="Y11" s="274">
        <f>IF(Table1[Item Description]="","",Table1[[#This Row],[Qty]]*Table1[[#This Row],[Unit Price]])</f>
        <v>6840000</v>
      </c>
      <c r="Z11" s="274">
        <f>IF(Table1[[#This Row],[h_hargasebelumdiskon]]="","",IF(Table1[[#This Row],[Disc 1]]="",0,Table1[[#This Row],[h_hargasebelumdiskon]]*Table1[[#This Row],[Disc 1]]))</f>
        <v>923400.00000000012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923400.00000000012</v>
      </c>
      <c r="AC11" s="274">
        <f>IF(Table1[Item Description]="","",Table1[[#This Row],[h_hargasebelumdiskon]]-Table1[[#This Row],[h_diskon]])</f>
        <v>5916600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STAPLER KENKO HD-50LSN228000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>
        <v>20</v>
      </c>
      <c r="L12" s="271" t="s">
        <v>165</v>
      </c>
      <c r="M12" s="271">
        <v>1</v>
      </c>
      <c r="N12" s="271" t="s">
        <v>166</v>
      </c>
      <c r="O12" s="278" t="str">
        <f>IF(Table1[[#This Row],[h_Item Description]]="","",INDEX([1]!db[NB PAJAK],MATCH(Table1[[#This Row],[h_Item Description]],[1]!db[kode],0)))</f>
        <v>PENSIL KENKO 2B-6191 HIJAU CAP HITAM</v>
      </c>
      <c r="P12" s="271" t="s">
        <v>174</v>
      </c>
      <c r="Q12" s="274">
        <v>110400</v>
      </c>
      <c r="R12" s="275">
        <v>0.13500000000000001</v>
      </c>
      <c r="S12" s="275"/>
      <c r="T12" s="274">
        <f>Table1[[#This Row],[h_hargasetelahdiskon]]</f>
        <v>1909920</v>
      </c>
      <c r="V12" s="271"/>
      <c r="W12" s="278">
        <f ca="1">IF(Table1[[#This Row],[Item Description]]="","",IF(Table1[[#This Row],[//]]="",INDIRECT(ADDRESS(ROW()-1,COLUMN())),Table1[[#This Row],[//]]))</f>
        <v>10</v>
      </c>
      <c r="X12" s="278">
        <f ca="1">IF(Table1[[#This Row],[h_id]]="","",COUNTIF(Table1[h_id],Table1[[#This Row],[h_id]]))</f>
        <v>7</v>
      </c>
      <c r="Y12" s="274">
        <f>IF(Table1[Item Description]="","",Table1[[#This Row],[Qty]]*Table1[[#This Row],[Unit Price]])</f>
        <v>2208000</v>
      </c>
      <c r="Z12" s="274">
        <f>IF(Table1[[#This Row],[h_hargasebelumdiskon]]="","",IF(Table1[[#This Row],[Disc 1]]="",0,Table1[[#This Row],[h_hargasebelumdiskon]]*Table1[[#This Row],[Disc 1]]))</f>
        <v>298080</v>
      </c>
      <c r="AA12" s="274">
        <f>IF(Table1[[#This Row],[h_hargasebelumdiskon]]="","",IF(Table1[[#This Row],[Disc 2]]="",0,(Table1[[#This Row],[h_hargasebelumdiskon]]-Table1[[#This Row],[h_disc 1]])*Table1[[#This Row],[Disc 2]]))</f>
        <v>0</v>
      </c>
      <c r="AB12" s="274">
        <f>IF(Table1[Item Description]="","",Table1[[#This Row],[h_disc 1]]+Table1[[#This Row],[h_disc 2]])</f>
        <v>298080</v>
      </c>
      <c r="AC12" s="274">
        <f>IF(Table1[Item Description]="","",Table1[[#This Row],[h_hargasebelumdiskon]]-Table1[[#This Row],[h_diskon]])</f>
        <v>1909920</v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>PENSIL KENKO 2B-6191 HIJAU CAP HITAMGRS110400</v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>
        <v>96</v>
      </c>
      <c r="L13" s="271" t="s">
        <v>162</v>
      </c>
      <c r="M13" s="271">
        <v>1</v>
      </c>
      <c r="N13" s="271" t="s">
        <v>167</v>
      </c>
      <c r="O13" s="278" t="str">
        <f>IF(Table1[[#This Row],[h_Item Description]]="","",INDEX([1]!db[NB PAJAK],MATCH(Table1[[#This Row],[h_Item Description]],[1]!db[kode],0)))</f>
        <v>PUNCH KENKO NO. 30XL</v>
      </c>
      <c r="P13" s="271" t="s">
        <v>175</v>
      </c>
      <c r="Q13" s="274">
        <v>15000</v>
      </c>
      <c r="R13" s="275">
        <v>0.13500000000000001</v>
      </c>
      <c r="S13" s="275"/>
      <c r="T13" s="274">
        <f>Table1[[#This Row],[h_hargasetelahdiskon]]</f>
        <v>1245600</v>
      </c>
      <c r="V13" s="271"/>
      <c r="W13" s="278">
        <f ca="1">IF(Table1[[#This Row],[Item Description]]="","",IF(Table1[[#This Row],[//]]="",INDIRECT(ADDRESS(ROW()-1,COLUMN())),Table1[[#This Row],[//]]))</f>
        <v>10</v>
      </c>
      <c r="X13" s="278">
        <f ca="1">IF(Table1[[#This Row],[h_id]]="","",COUNTIF(Table1[h_id],Table1[[#This Row],[h_id]]))</f>
        <v>7</v>
      </c>
      <c r="Y13" s="274">
        <f>IF(Table1[Item Description]="","",Table1[[#This Row],[Qty]]*Table1[[#This Row],[Unit Price]])</f>
        <v>1440000</v>
      </c>
      <c r="Z13" s="274">
        <f>IF(Table1[[#This Row],[h_hargasebelumdiskon]]="","",IF(Table1[[#This Row],[Disc 1]]="",0,Table1[[#This Row],[h_hargasebelumdiskon]]*Table1[[#This Row],[Disc 1]]))</f>
        <v>194400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194400</v>
      </c>
      <c r="AC13" s="274">
        <f>IF(Table1[Item Description]="","",Table1[[#This Row],[h_hargasebelumdiskon]]-Table1[[#This Row],[h_diskon]])</f>
        <v>1245600</v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>PUNCH KENKO NO. 30XLPCS15000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100</v>
      </c>
      <c r="L14" s="271" t="s">
        <v>168</v>
      </c>
      <c r="M14" s="271">
        <v>2</v>
      </c>
      <c r="N14" s="271" t="s">
        <v>169</v>
      </c>
      <c r="O14" s="278" t="str">
        <f>IF(Table1[[#This Row],[h_Item Description]]="","",INDEX([1]!db[NB PAJAK],MATCH(Table1[[#This Row],[h_Item Description]],[1]!db[kode],0)))</f>
        <v>STIP / PENGHAPUS JOYKO 526-B40BL HITAM</v>
      </c>
      <c r="P14" s="271" t="s">
        <v>176</v>
      </c>
      <c r="Q14" s="274">
        <v>28300</v>
      </c>
      <c r="R14" s="275">
        <v>0.13500000000000001</v>
      </c>
      <c r="S14" s="275"/>
      <c r="T14" s="274">
        <f>Table1[[#This Row],[h_hargasetelahdiskon]]</f>
        <v>2447950</v>
      </c>
      <c r="V14" s="271"/>
      <c r="W14" s="278">
        <f ca="1">IF(Table1[[#This Row],[Item Description]]="","",IF(Table1[[#This Row],[//]]="",INDIRECT(ADDRESS(ROW()-1,COLUMN())),Table1[[#This Row],[//]]))</f>
        <v>10</v>
      </c>
      <c r="X14" s="278">
        <f ca="1">IF(Table1[[#This Row],[h_id]]="","",COUNTIF(Table1[h_id],Table1[[#This Row],[h_id]]))</f>
        <v>7</v>
      </c>
      <c r="Y14" s="274">
        <f>IF(Table1[Item Description]="","",Table1[[#This Row],[Qty]]*Table1[[#This Row],[Unit Price]])</f>
        <v>2830000</v>
      </c>
      <c r="Z14" s="274">
        <f>IF(Table1[[#This Row],[h_hargasebelumdiskon]]="","",IF(Table1[[#This Row],[Disc 1]]="",0,Table1[[#This Row],[h_hargasebelumdiskon]]*Table1[[#This Row],[Disc 1]]))</f>
        <v>382050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382050</v>
      </c>
      <c r="AC14" s="274">
        <f>IF(Table1[Item Description]="","",Table1[[#This Row],[h_hargasebelumdiskon]]-Table1[[#This Row],[h_diskon]])</f>
        <v>2447950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STIP / PENGHAPUS JOYKO 526-B40BL HITAMBOX28300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100</v>
      </c>
      <c r="L15" s="271" t="s">
        <v>168</v>
      </c>
      <c r="M15" s="271">
        <v>2</v>
      </c>
      <c r="N15" s="271" t="s">
        <v>170</v>
      </c>
      <c r="O15" s="278" t="str">
        <f>IF(Table1[[#This Row],[h_Item Description]]="","",INDEX([1]!db[NB PAJAK],MATCH(Table1[[#This Row],[h_Item Description]],[1]!db[kode],0)))</f>
        <v>STIP / PENGHAPUS JOYKO 526-B40P PUTIH</v>
      </c>
      <c r="P15" s="271" t="s">
        <v>177</v>
      </c>
      <c r="Q15" s="274">
        <v>28300</v>
      </c>
      <c r="R15" s="275">
        <v>0.13500000000000001</v>
      </c>
      <c r="S15" s="275"/>
      <c r="T15" s="274">
        <f>Table1[[#This Row],[h_hargasetelahdiskon]]</f>
        <v>2447950</v>
      </c>
      <c r="V15" s="271"/>
      <c r="W15" s="278">
        <f ca="1">IF(Table1[[#This Row],[Item Description]]="","",IF(Table1[[#This Row],[//]]="",INDIRECT(ADDRESS(ROW()-1,COLUMN())),Table1[[#This Row],[//]]))</f>
        <v>10</v>
      </c>
      <c r="X15" s="278">
        <f ca="1">IF(Table1[[#This Row],[h_id]]="","",COUNTIF(Table1[h_id],Table1[[#This Row],[h_id]]))</f>
        <v>7</v>
      </c>
      <c r="Y15" s="274">
        <f>IF(Table1[Item Description]="","",Table1[[#This Row],[Qty]]*Table1[[#This Row],[Unit Price]])</f>
        <v>2830000</v>
      </c>
      <c r="Z15" s="274">
        <f>IF(Table1[[#This Row],[h_hargasebelumdiskon]]="","",IF(Table1[[#This Row],[Disc 1]]="",0,Table1[[#This Row],[h_hargasebelumdiskon]]*Table1[[#This Row],[Disc 1]]))</f>
        <v>382050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382050</v>
      </c>
      <c r="AC15" s="274">
        <f>IF(Table1[Item Description]="","",Table1[[#This Row],[h_hargasebelumdiskon]]-Table1[[#This Row],[h_diskon]])</f>
        <v>2447950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STIP / PENGHAPUS JOYKO 526-B40P PUTIHBOX28300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50</v>
      </c>
      <c r="L16" s="271" t="s">
        <v>168</v>
      </c>
      <c r="M16" s="271">
        <v>1</v>
      </c>
      <c r="N16" s="271" t="s">
        <v>171</v>
      </c>
      <c r="O16" s="278" t="str">
        <f>IF(Table1[[#This Row],[h_Item Description]]="","",INDEX([1]!db[NB PAJAK],MATCH(Table1[[#This Row],[h_Item Description]],[1]!db[kode],0)))</f>
        <v>STIP / PENGHAPUS KENKO ERB-40SQ HITAM</v>
      </c>
      <c r="P16" s="271" t="s">
        <v>178</v>
      </c>
      <c r="Q16" s="274">
        <v>27500</v>
      </c>
      <c r="R16" s="275">
        <v>0.13500000000000001</v>
      </c>
      <c r="S16" s="275"/>
      <c r="T16" s="274">
        <f>Table1[[#This Row],[h_hargasetelahdiskon]]</f>
        <v>1189375</v>
      </c>
      <c r="V16" s="271"/>
      <c r="W16" s="278">
        <f ca="1">IF(Table1[[#This Row],[Item Description]]="","",IF(Table1[[#This Row],[//]]="",INDIRECT(ADDRESS(ROW()-1,COLUMN())),Table1[[#This Row],[//]]))</f>
        <v>10</v>
      </c>
      <c r="X16" s="278">
        <f ca="1">IF(Table1[[#This Row],[h_id]]="","",COUNTIF(Table1[h_id],Table1[[#This Row],[h_id]]))</f>
        <v>7</v>
      </c>
      <c r="Y16" s="274">
        <f>IF(Table1[Item Description]="","",Table1[[#This Row],[Qty]]*Table1[[#This Row],[Unit Price]])</f>
        <v>1375000</v>
      </c>
      <c r="Z16" s="274">
        <f>IF(Table1[[#This Row],[h_hargasebelumdiskon]]="","",IF(Table1[[#This Row],[Disc 1]]="",0,Table1[[#This Row],[h_hargasebelumdiskon]]*Table1[[#This Row],[Disc 1]]))</f>
        <v>185625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185625</v>
      </c>
      <c r="AC16" s="274">
        <f>IF(Table1[Item Description]="","",Table1[[#This Row],[h_hargasebelumdiskon]]-Table1[[#This Row],[h_diskon]])</f>
        <v>1189375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STIP / PENGHAPUS KENKO ERB-40SQ HITAMBOX27500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/>
      <c r="L17" s="271"/>
      <c r="O17" s="278" t="str">
        <f>IF(Table1[[#This Row],[h_Item Description]]="","",INDEX([1]!db[NB PAJAK],MATCH(Table1[[#This Row],[h_Item Description]],[1]!db[kode],0)))</f>
        <v/>
      </c>
      <c r="Q17" s="274"/>
      <c r="R17" s="275"/>
      <c r="S17" s="275"/>
      <c r="T17" s="274" t="str">
        <f>Table1[[#This Row],[h_hargasetelahdiskon]]</f>
        <v/>
      </c>
      <c r="V17" s="271"/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/>
      </c>
      <c r="AG17"/>
      <c r="AH17"/>
      <c r="AI17"/>
    </row>
    <row r="18" spans="1:35" x14ac:dyDescent="0.25">
      <c r="A18" s="278">
        <f ca="1">IF(Table1[[#This Row],[No. Invoice :]]="","",ROW())</f>
        <v>18</v>
      </c>
      <c r="B18" s="278">
        <f ca="1">IF(Table1[Column3]="","",B$1+COUNT(INDIRECT("B$2:B"&amp;ROW()-1)))</f>
        <v>23120004</v>
      </c>
      <c r="C18" s="272">
        <f>IF(Table1[[#This Row],[Column2]]="","",Table1[[#This Row],[Column2]]+C$1-1)</f>
        <v>45266</v>
      </c>
      <c r="D18" s="282">
        <v>6</v>
      </c>
      <c r="E18" s="273" t="s">
        <v>179</v>
      </c>
      <c r="F18" s="271" t="s">
        <v>180</v>
      </c>
      <c r="G18" s="278" t="str">
        <f ca="1">IF(Table1[[#This Row],[h_No. Invoice :]]="","",CONCATENATE("AM"," ",Table1[[#This Row],[h_No. Invoice :]]))</f>
        <v>AM 23120004</v>
      </c>
      <c r="H18" s="271" t="str">
        <f>IF(Table1[[#This Row],[Column5]]="","",INDEX(Table2[Column1],MATCH(Table1[[#This Row],[Column5]],Table2[a],0)))</f>
        <v>A</v>
      </c>
      <c r="I18" s="279" t="str">
        <f>IF(Table1[[#This Row],[Column3]]=0,"",CONCATENATE(UPPER(Table1[[#This Row],[Column3]])," ",Table1[[#This Row],[Column4]]))</f>
        <v>A 0553</v>
      </c>
      <c r="J18" s="278" t="str">
        <f>IF(Table1[[#This Row],[Column5]]="","",INDEX(Table2[e],IF(Table1[[#This Row],[Column5]]="","",MATCH(Table1[[#This Row],[Column5]],Table2[a],0)),))</f>
        <v>CV TIARA SOLO</v>
      </c>
      <c r="K18" s="271">
        <v>144</v>
      </c>
      <c r="L18" s="271" t="s">
        <v>137</v>
      </c>
      <c r="M18" s="271">
        <v>1</v>
      </c>
      <c r="N18" s="271" t="s">
        <v>182</v>
      </c>
      <c r="O18" s="278" t="e">
        <f>IF(Table1[[#This Row],[h_Item Description]]="","",INDEX([1]!db[NB PAJAK],MATCH(Table1[[#This Row],[h_Item Description]],[1]!db[kode],0)))</f>
        <v>#N/A</v>
      </c>
      <c r="P18" s="271" t="s">
        <v>181</v>
      </c>
      <c r="Q18" s="274">
        <v>28000</v>
      </c>
      <c r="R18" s="275"/>
      <c r="S18" s="275"/>
      <c r="T18" s="274">
        <f>Table1[[#This Row],[h_hargasetelahdiskon]]</f>
        <v>4032000</v>
      </c>
      <c r="U18" s="274" t="s">
        <v>130</v>
      </c>
      <c r="V18" s="271"/>
      <c r="W18" s="278">
        <f ca="1">IF(Table1[[#This Row],[Item Description]]="","",IF(Table1[[#This Row],[//]]="",INDIRECT(ADDRESS(ROW()-1,COLUMN())),Table1[[#This Row],[//]]))</f>
        <v>18</v>
      </c>
      <c r="X18" s="278">
        <f ca="1">IF(Table1[[#This Row],[h_id]]="","",COUNTIF(Table1[h_id],Table1[[#This Row],[h_id]]))</f>
        <v>1</v>
      </c>
      <c r="Y18" s="274">
        <f>IF(Table1[Item Description]="","",Table1[[#This Row],[Qty]]*Table1[[#This Row],[Unit Price]])</f>
        <v>4032000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4032000</v>
      </c>
      <c r="AD18" s="274">
        <f ca="1">IF(Table1[//]="","",SUMIF(Table1[h_id],Table1[h_id],Table1[h_hargasetelahdiskon]))</f>
        <v>4032000</v>
      </c>
      <c r="AF18" s="274" t="str">
        <f>Table1[[#This Row],[Item Description]]&amp;Table1[[#This Row],[Unit]]&amp;Table1[[#This Row],[Unit Price]]</f>
        <v>GEL PEN TRIFELLO HI-TECH TF-1191 HITAMLSN28000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/>
      <c r="AH19"/>
      <c r="AI19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23120005</v>
      </c>
      <c r="C20" s="272">
        <f>IF(Table1[[#This Row],[Column2]]="","",Table1[[#This Row],[Column2]]+C$1-1)</f>
        <v>45266</v>
      </c>
      <c r="D20" s="282">
        <v>6</v>
      </c>
      <c r="E20" s="273" t="s">
        <v>183</v>
      </c>
      <c r="F20" s="271" t="s">
        <v>184</v>
      </c>
      <c r="G20" s="278" t="str">
        <f ca="1">IF(Table1[[#This Row],[h_No. Invoice :]]="","",CONCATENATE("AM"," ",Table1[[#This Row],[h_No. Invoice :]]))</f>
        <v>AM 23120005</v>
      </c>
      <c r="H20" s="271" t="str">
        <f>IF(Table1[[#This Row],[Column5]]="","",INDEX(Table2[Column1],MATCH(Table1[[#This Row],[Column5]],Table2[a],0)))</f>
        <v>KO</v>
      </c>
      <c r="I20" s="279" t="str">
        <f>IF(Table1[[#This Row],[Column3]]=0,"",CONCATENATE(UPPER(Table1[[#This Row],[Column3]])," ",Table1[[#This Row],[Column4]]))</f>
        <v>KO 0554</v>
      </c>
      <c r="J20" s="278" t="str">
        <f>IF(Table1[[#This Row],[Column5]]="","",INDEX(Table2[e],IF(Table1[[#This Row],[Column5]]="","",MATCH(Table1[[#This Row],[Column5]],Table2[a],0)),))</f>
        <v>CV GANESHA WONOSOBO</v>
      </c>
      <c r="K20" s="271">
        <v>3</v>
      </c>
      <c r="L20" s="271" t="s">
        <v>165</v>
      </c>
      <c r="N20" s="271" t="s">
        <v>185</v>
      </c>
      <c r="O20" s="278" t="str">
        <f>IF(Table1[[#This Row],[h_Item Description]]="","",INDEX([1]!db[NB PAJAK],MATCH(Table1[[#This Row],[h_Item Description]],[1]!db[kode],0)))</f>
        <v>BINDER CLIP KENKO NO. 200</v>
      </c>
      <c r="P20" s="271" t="s">
        <v>187</v>
      </c>
      <c r="Q20" s="274">
        <v>120000</v>
      </c>
      <c r="R20" s="275">
        <v>0.1</v>
      </c>
      <c r="S20" s="275"/>
      <c r="T20" s="274">
        <f>Table1[[#This Row],[h_hargasetelahdiskon]]</f>
        <v>324000</v>
      </c>
      <c r="U20" s="274" t="s">
        <v>130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3</v>
      </c>
      <c r="Y20" s="274">
        <f>IF(Table1[Item Description]="","",Table1[[#This Row],[Qty]]*Table1[[#This Row],[Unit Price]])</f>
        <v>360000</v>
      </c>
      <c r="Z20" s="274">
        <f>IF(Table1[[#This Row],[h_hargasebelumdiskon]]="","",IF(Table1[[#This Row],[Disc 1]]="",0,Table1[[#This Row],[h_hargasebelumdiskon]]*Table1[[#This Row],[Disc 1]]))</f>
        <v>36000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36000</v>
      </c>
      <c r="AC20" s="274">
        <f>IF(Table1[Item Description]="","",Table1[[#This Row],[h_hargasebelumdiskon]]-Table1[[#This Row],[h_diskon]])</f>
        <v>324000</v>
      </c>
      <c r="AD20" s="274">
        <f ca="1">IF(Table1[//]="","",SUMIF(Table1[h_id],Table1[h_id],Table1[h_hargasetelahdiskon]))</f>
        <v>853200</v>
      </c>
      <c r="AF20" s="274" t="str">
        <f>Table1[[#This Row],[Item Description]]&amp;Table1[[#This Row],[Unit]]&amp;Table1[[#This Row],[Unit Price]]</f>
        <v>BINDER CLIP KENKO NO. 200GRS120000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5</v>
      </c>
      <c r="L21" s="271" t="s">
        <v>168</v>
      </c>
      <c r="N21" s="271" t="s">
        <v>186</v>
      </c>
      <c r="O21" s="278" t="str">
        <f>IF(Table1[[#This Row],[h_Item Description]]="","",INDEX([1]!db[NB PAJAK],MATCH(Table1[[#This Row],[h_Item Description]],[1]!db[kode],0)))</f>
        <v>LEM STICK KENKO 15 GR (TANGGUNG) isi 20 pc</v>
      </c>
      <c r="P21" s="271" t="s">
        <v>188</v>
      </c>
      <c r="Q21" s="274">
        <v>72000</v>
      </c>
      <c r="R21" s="275">
        <v>0.1</v>
      </c>
      <c r="S21" s="275"/>
      <c r="T21" s="274">
        <f>Table1[[#This Row],[h_hargasetelahdiskon]]</f>
        <v>324000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360000</v>
      </c>
      <c r="Z21" s="274">
        <f>IF(Table1[[#This Row],[h_hargasebelumdiskon]]="","",IF(Table1[[#This Row],[Disc 1]]="",0,Table1[[#This Row],[h_hargasebelumdiskon]]*Table1[[#This Row],[Disc 1]]))</f>
        <v>36000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36000</v>
      </c>
      <c r="AC21" s="274">
        <f>IF(Table1[Item Description]="","",Table1[[#This Row],[h_hargasebelumdiskon]]-Table1[[#This Row],[h_diskon]])</f>
        <v>324000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LEM STICK KENKO 15 GR (TANGGUNG) isi 20 pcBOX72000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4</v>
      </c>
      <c r="L22" s="271" t="s">
        <v>137</v>
      </c>
      <c r="N22" s="271" t="s">
        <v>152</v>
      </c>
      <c r="O22" s="278" t="str">
        <f>IF(Table1[[#This Row],[h_Item Description]]="","",INDEX([1]!db[NB PAJAK],MATCH(Table1[[#This Row],[h_Item Description]],[1]!db[kode],0)))</f>
        <v>CUTTER 9 MM KENKO A-300 (KECIL)</v>
      </c>
      <c r="P22" s="271" t="s">
        <v>153</v>
      </c>
      <c r="Q22" s="274">
        <v>57000</v>
      </c>
      <c r="R22" s="275">
        <v>0.1</v>
      </c>
      <c r="S22" s="275"/>
      <c r="T22" s="274">
        <f>Table1[[#This Row],[h_hargasetelahdiskon]]</f>
        <v>205200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228000</v>
      </c>
      <c r="Z22" s="274">
        <f>IF(Table1[[#This Row],[h_hargasebelumdiskon]]="","",IF(Table1[[#This Row],[Disc 1]]="",0,Table1[[#This Row],[h_hargasebelumdiskon]]*Table1[[#This Row],[Disc 1]]))</f>
        <v>22800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22800</v>
      </c>
      <c r="AC22" s="274">
        <f>IF(Table1[Item Description]="","",Table1[[#This Row],[h_hargasebelumdiskon]]-Table1[[#This Row],[h_diskon]])</f>
        <v>205200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CUTTER 9 MM KENKO A-300 (KECIL)LSN57000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/>
      <c r="L23" s="271"/>
      <c r="O23" s="278" t="str">
        <f>IF(Table1[[#This Row],[h_Item Description]]="","",INDEX([1]!db[NB PAJAK],MATCH(Table1[[#This Row],[h_Item Description]],[1]!db[kode],0)))</f>
        <v/>
      </c>
      <c r="Q23" s="274"/>
      <c r="R23" s="275"/>
      <c r="S23" s="275"/>
      <c r="T23" s="274" t="str">
        <f>Table1[[#This Row],[h_hargasetelahdiskon]]</f>
        <v/>
      </c>
      <c r="V23" s="271"/>
      <c r="W23" s="278" t="str">
        <f ca="1">IF(Table1[[#This Row],[Item Description]]="","",IF(Table1[[#This Row],[//]]="",INDIRECT(ADDRESS(ROW()-1,COLUMN())),Table1[[#This Row],[//]]))</f>
        <v/>
      </c>
      <c r="X23" s="278" t="str">
        <f ca="1">IF(Table1[[#This Row],[h_id]]="","",COUNTIF(Table1[h_id],Table1[[#This Row],[h_id]]))</f>
        <v/>
      </c>
      <c r="Y23" s="274" t="str">
        <f>IF(Table1[Item Description]="","",Table1[[#This Row],[Qty]]*Table1[[#This Row],[Unit Price]])</f>
        <v/>
      </c>
      <c r="Z23" s="274" t="str">
        <f>IF(Table1[[#This Row],[h_hargasebelumdiskon]]="","",IF(Table1[[#This Row],[Disc 1]]="",0,Table1[[#This Row],[h_hargasebelumdiskon]]*Table1[[#This Row],[Disc 1]]))</f>
        <v/>
      </c>
      <c r="AA23" s="274" t="str">
        <f>IF(Table1[[#This Row],[h_hargasebelumdiskon]]="","",IF(Table1[[#This Row],[Disc 2]]="",0,(Table1[[#This Row],[h_hargasebelumdiskon]]-Table1[[#This Row],[h_disc 1]])*Table1[[#This Row],[Disc 2]]))</f>
        <v/>
      </c>
      <c r="AB23" s="274" t="str">
        <f>IF(Table1[Item Description]="","",Table1[[#This Row],[h_disc 1]]+Table1[[#This Row],[h_disc 2]])</f>
        <v/>
      </c>
      <c r="AC23" s="274" t="str">
        <f>IF(Table1[Item Description]="","",Table1[[#This Row],[h_hargasebelumdiskon]]-Table1[[#This Row],[h_diskon]])</f>
        <v/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/>
      </c>
      <c r="AG23"/>
      <c r="AH23"/>
      <c r="AI23"/>
    </row>
    <row r="24" spans="1:35" x14ac:dyDescent="0.25">
      <c r="A24" s="278">
        <f ca="1">IF(Table1[[#This Row],[No. Invoice :]]="","",ROW())</f>
        <v>24</v>
      </c>
      <c r="B24" s="278">
        <f ca="1">IF(Table1[Column3]="","",B$1+COUNT(INDIRECT("B$2:B"&amp;ROW()-1)))</f>
        <v>23120006</v>
      </c>
      <c r="C24" s="272">
        <f>IF(Table1[[#This Row],[Column2]]="","",Table1[[#This Row],[Column2]]+C$1-1)</f>
        <v>45267</v>
      </c>
      <c r="D24" s="282">
        <v>7</v>
      </c>
      <c r="E24" s="273" t="s">
        <v>189</v>
      </c>
      <c r="F24" s="271" t="s">
        <v>190</v>
      </c>
      <c r="G24" s="278" t="str">
        <f ca="1">IF(Table1[[#This Row],[h_No. Invoice :]]="","",CONCATENATE("AM"," ",Table1[[#This Row],[h_No. Invoice :]]))</f>
        <v>AM 23120006</v>
      </c>
      <c r="H24" s="271" t="str">
        <f>IF(Table1[[#This Row],[Column5]]="","",INDEX(Table2[Column1],MATCH(Table1[[#This Row],[Column5]],Table2[a],0)))</f>
        <v>KO</v>
      </c>
      <c r="I24" s="279" t="str">
        <f>IF(Table1[[#This Row],[Column3]]=0,"",CONCATENATE(UPPER(Table1[[#This Row],[Column3]])," ",Table1[[#This Row],[Column4]]))</f>
        <v>KO 4960</v>
      </c>
      <c r="J24" s="278" t="str">
        <f>IF(Table1[[#This Row],[Column5]]="","",INDEX(Table2[e],IF(Table1[[#This Row],[Column5]]="","",MATCH(Table1[[#This Row],[Column5]],Table2[a],0)),))</f>
        <v>CV LANCAR JAYA SENTOSA MALANG</v>
      </c>
      <c r="K24" s="271">
        <v>48</v>
      </c>
      <c r="L24" s="271" t="s">
        <v>162</v>
      </c>
      <c r="M24" s="271">
        <v>1</v>
      </c>
      <c r="N24" s="271" t="s">
        <v>191</v>
      </c>
      <c r="O24" s="278" t="str">
        <f>IF(Table1[[#This Row],[h_Item Description]]="","",INDEX([1]!db[NB PAJAK],MATCH(Table1[[#This Row],[h_Item Description]],[1]!db[kode],0)))</f>
        <v>TAPE DISPENSER KENKO TD-323 (1" &amp; 3" CORE)</v>
      </c>
      <c r="P24" s="271" t="s">
        <v>192</v>
      </c>
      <c r="Q24" s="274">
        <v>19250</v>
      </c>
      <c r="R24" s="275">
        <v>0.125</v>
      </c>
      <c r="S24" s="275"/>
      <c r="T24" s="274">
        <f>Table1[[#This Row],[h_hargasetelahdiskon]]</f>
        <v>808500</v>
      </c>
      <c r="U24" s="274" t="s">
        <v>130</v>
      </c>
      <c r="V24" s="271"/>
      <c r="W24" s="278">
        <f ca="1">IF(Table1[[#This Row],[Item Description]]="","",IF(Table1[[#This Row],[//]]="",INDIRECT(ADDRESS(ROW()-1,COLUMN())),Table1[[#This Row],[//]]))</f>
        <v>24</v>
      </c>
      <c r="X24" s="278">
        <f ca="1">IF(Table1[[#This Row],[h_id]]="","",COUNTIF(Table1[h_id],Table1[[#This Row],[h_id]]))</f>
        <v>1</v>
      </c>
      <c r="Y24" s="274">
        <f>IF(Table1[Item Description]="","",Table1[[#This Row],[Qty]]*Table1[[#This Row],[Unit Price]])</f>
        <v>924000</v>
      </c>
      <c r="Z24" s="274">
        <f>IF(Table1[[#This Row],[h_hargasebelumdiskon]]="","",IF(Table1[[#This Row],[Disc 1]]="",0,Table1[[#This Row],[h_hargasebelumdiskon]]*Table1[[#This Row],[Disc 1]]))</f>
        <v>115500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115500</v>
      </c>
      <c r="AC24" s="274">
        <f>IF(Table1[Item Description]="","",Table1[[#This Row],[h_hargasebelumdiskon]]-Table1[[#This Row],[h_diskon]])</f>
        <v>808500</v>
      </c>
      <c r="AD24" s="274">
        <f ca="1">IF(Table1[//]="","",SUMIF(Table1[h_id],Table1[h_id],Table1[h_hargasetelahdiskon]))</f>
        <v>808500</v>
      </c>
      <c r="AF24" s="274" t="str">
        <f>Table1[[#This Row],[Item Description]]&amp;Table1[[#This Row],[Unit]]&amp;Table1[[#This Row],[Unit Price]]</f>
        <v>TAPE DISPENSER KENKO TD-323 (1" &amp; 3" CORE)PCS19250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23120007</v>
      </c>
      <c r="C26" s="272">
        <f>IF(Table1[[#This Row],[Column2]]="","",Table1[[#This Row],[Column2]]+C$1-1)</f>
        <v>45269</v>
      </c>
      <c r="D26" s="282">
        <v>9</v>
      </c>
      <c r="E26" s="273" t="s">
        <v>193</v>
      </c>
      <c r="F26" s="271" t="s">
        <v>81</v>
      </c>
      <c r="G26" s="278" t="str">
        <f ca="1">IF(Table1[[#This Row],[h_No. Invoice :]]="","",CONCATENATE("AM"," ",Table1[[#This Row],[h_No. Invoice :]]))</f>
        <v>AM 23120007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0570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72</v>
      </c>
      <c r="L26" s="271" t="s">
        <v>137</v>
      </c>
      <c r="M26" s="271">
        <v>1</v>
      </c>
      <c r="N26" s="271" t="s">
        <v>194</v>
      </c>
      <c r="O26" s="278" t="str">
        <f>IF(Table1[[#This Row],[h_Item Description]]="","",INDEX([1]!db[NB PAJAK],MATCH(Table1[[#This Row],[h_Item Description]],[1]!db[kode],0)))</f>
        <v>CORRECTION FLUID KENKO KE-01</v>
      </c>
      <c r="P26" s="271" t="s">
        <v>195</v>
      </c>
      <c r="Q26" s="274">
        <v>54300</v>
      </c>
      <c r="R26" s="275">
        <v>0.13500000000000001</v>
      </c>
      <c r="S26" s="275"/>
      <c r="T26" s="274">
        <f>Table1[[#This Row],[h_hargasetelahdiskon]]</f>
        <v>3381804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1</v>
      </c>
      <c r="Y26" s="274">
        <f>IF(Table1[Item Description]="","",Table1[[#This Row],[Qty]]*Table1[[#This Row],[Unit Price]])</f>
        <v>3909600</v>
      </c>
      <c r="Z26" s="274">
        <f>IF(Table1[[#This Row],[h_hargasebelumdiskon]]="","",IF(Table1[[#This Row],[Disc 1]]="",0,Table1[[#This Row],[h_hargasebelumdiskon]]*Table1[[#This Row],[Disc 1]]))</f>
        <v>527796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527796</v>
      </c>
      <c r="AC26" s="274">
        <f>IF(Table1[Item Description]="","",Table1[[#This Row],[h_hargasebelumdiskon]]-Table1[[#This Row],[h_diskon]])</f>
        <v>3381804</v>
      </c>
      <c r="AD26" s="274">
        <f ca="1">IF(Table1[//]="","",SUMIF(Table1[h_id],Table1[h_id],Table1[h_hargasetelahdiskon]))</f>
        <v>3381804</v>
      </c>
      <c r="AF26" s="274" t="str">
        <f>Table1[[#This Row],[Item Description]]&amp;Table1[[#This Row],[Unit]]&amp;Table1[[#This Row],[Unit Price]]</f>
        <v>CORRECTION FLUID KENKO KE-01LSN54300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23120008</v>
      </c>
      <c r="C28" s="272">
        <f>IF(Table1[[#This Row],[Column2]]="","",Table1[[#This Row],[Column2]]+C$1-1)</f>
        <v>45269</v>
      </c>
      <c r="D28" s="282">
        <v>9</v>
      </c>
      <c r="E28" s="273" t="s">
        <v>196</v>
      </c>
      <c r="F28" s="271" t="s">
        <v>148</v>
      </c>
      <c r="G28" s="278" t="str">
        <f ca="1">IF(Table1[[#This Row],[h_No. Invoice :]]="","",CONCATENATE("AM"," ",Table1[[#This Row],[h_No. Invoice :]]))</f>
        <v>AM 23120008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0568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60</v>
      </c>
      <c r="L28" s="271" t="s">
        <v>165</v>
      </c>
      <c r="M28" s="271">
        <v>2</v>
      </c>
      <c r="N28" s="271" t="s">
        <v>197</v>
      </c>
      <c r="O28" s="278" t="str">
        <f>IF(Table1[[#This Row],[h_Item Description]]="","",INDEX([1]!db[NB PAJAK],MATCH(Table1[[#This Row],[h_Item Description]],[1]!db[kode],0)))</f>
        <v>PENSIL JOYKO 2B P-88</v>
      </c>
      <c r="P28" s="271" t="s">
        <v>198</v>
      </c>
      <c r="Q28" s="274">
        <v>104400</v>
      </c>
      <c r="R28" s="275">
        <v>0.125</v>
      </c>
      <c r="S28" s="275"/>
      <c r="T28" s="274">
        <f>Table1[[#This Row],[h_hargasetelahdiskon]]</f>
        <v>5481000</v>
      </c>
      <c r="U28" s="274" t="s">
        <v>130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6264000</v>
      </c>
      <c r="Z28" s="274">
        <f>IF(Table1[[#This Row],[h_hargasebelumdiskon]]="","",IF(Table1[[#This Row],[Disc 1]]="",0,Table1[[#This Row],[h_hargasebelumdiskon]]*Table1[[#This Row],[Disc 1]]))</f>
        <v>783000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783000</v>
      </c>
      <c r="AC28" s="274">
        <f>IF(Table1[Item Description]="","",Table1[[#This Row],[h_hargasebelumdiskon]]-Table1[[#This Row],[h_diskon]])</f>
        <v>5481000</v>
      </c>
      <c r="AD28" s="274">
        <f ca="1">IF(Table1[//]="","",SUMIF(Table1[h_id],Table1[h_id],Table1[h_hargasetelahdiskon]))</f>
        <v>5481000</v>
      </c>
      <c r="AF28" s="274" t="str">
        <f>Table1[[#This Row],[Item Description]]&amp;Table1[[#This Row],[Unit]]&amp;Table1[[#This Row],[Unit Price]]</f>
        <v>PENSIL JOYKO 2B P-88GRS104400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23120009</v>
      </c>
      <c r="C30" s="272">
        <f>IF(Table1[[#This Row],[Column2]]="","",Table1[[#This Row],[Column2]]+C$1-1)</f>
        <v>45271</v>
      </c>
      <c r="D30" s="282">
        <v>11</v>
      </c>
      <c r="E30" s="273" t="s">
        <v>199</v>
      </c>
      <c r="F30" s="271" t="s">
        <v>190</v>
      </c>
      <c r="G30" s="278" t="str">
        <f ca="1">IF(Table1[[#This Row],[h_No. Invoice :]]="","",CONCATENATE("AM"," ",Table1[[#This Row],[h_No. Invoice :]]))</f>
        <v>AM 23120009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3287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720</v>
      </c>
      <c r="L30" s="271" t="s">
        <v>162</v>
      </c>
      <c r="M30" s="271">
        <v>5</v>
      </c>
      <c r="N30" s="271" t="s">
        <v>200</v>
      </c>
      <c r="O30" s="278" t="str">
        <f>IF(Table1[[#This Row],[h_Item Description]]="","",INDEX([1]!db[NB PAJAK],MATCH(Table1[[#This Row],[h_Item Description]],[1]!db[kode],0)))</f>
        <v>CRAYON / OIL PASTEL JOYKO OP-12S PP CASE SEA WORLD</v>
      </c>
      <c r="P30" s="271" t="s">
        <v>201</v>
      </c>
      <c r="Q30" s="274">
        <v>11900</v>
      </c>
      <c r="R30" s="275">
        <v>0.125</v>
      </c>
      <c r="S30" s="275">
        <v>0.05</v>
      </c>
      <c r="T30" s="274">
        <f>Table1[[#This Row],[h_hargasetelahdiskon]]</f>
        <v>7122150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8568000</v>
      </c>
      <c r="Z30" s="274">
        <f>IF(Table1[[#This Row],[h_hargasebelumdiskon]]="","",IF(Table1[[#This Row],[Disc 1]]="",0,Table1[[#This Row],[h_hargasebelumdiskon]]*Table1[[#This Row],[Disc 1]]))</f>
        <v>1071000</v>
      </c>
      <c r="AA30" s="274">
        <f>IF(Table1[[#This Row],[h_hargasebelumdiskon]]="","",IF(Table1[[#This Row],[Disc 2]]="",0,(Table1[[#This Row],[h_hargasebelumdiskon]]-Table1[[#This Row],[h_disc 1]])*Table1[[#This Row],[Disc 2]]))</f>
        <v>374850</v>
      </c>
      <c r="AB30" s="274">
        <f>IF(Table1[Item Description]="","",Table1[[#This Row],[h_disc 1]]+Table1[[#This Row],[h_disc 2]])</f>
        <v>1445850</v>
      </c>
      <c r="AC30" s="274">
        <f>IF(Table1[Item Description]="","",Table1[[#This Row],[h_hargasebelumdiskon]]-Table1[[#This Row],[h_diskon]])</f>
        <v>7122150</v>
      </c>
      <c r="AD30" s="274">
        <f ca="1">IF(Table1[//]="","",SUMIF(Table1[h_id],Table1[h_id],Table1[h_hargasetelahdiskon]))</f>
        <v>7122150</v>
      </c>
      <c r="AE30" s="274"/>
      <c r="AF30" s="274" t="str">
        <f>Table1[[#This Row],[Item Description]]&amp;Table1[[#This Row],[Unit]]&amp;Table1[[#This Row],[Unit Price]]</f>
        <v>CRAYON / OIL PASTEL JOYKO OP-12S PP CASE SEA WORLDPCS11900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23120010</v>
      </c>
      <c r="C32" s="272">
        <f>IF(Table1[[#This Row],[Column2]]="","",Table1[[#This Row],[Column2]]+C$1-1)</f>
        <v>45271</v>
      </c>
      <c r="D32" s="282">
        <v>11</v>
      </c>
      <c r="E32" s="273" t="s">
        <v>202</v>
      </c>
      <c r="F32" s="271" t="s">
        <v>203</v>
      </c>
      <c r="G32" s="278" t="str">
        <f ca="1">IF(Table1[[#This Row],[h_No. Invoice :]]="","",CONCATENATE("AM"," ",Table1[[#This Row],[h_No. Invoice :]]))</f>
        <v>AM 23120010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0604</v>
      </c>
      <c r="J32" s="278" t="str">
        <f>IF(Table1[[#This Row],[Column5]]="","",INDEX(Table2[e],IF(Table1[[#This Row],[Column5]]="","",MATCH(Table1[[#This Row],[Column5]],Table2[a],0)),))</f>
        <v>PT.HASTA KENCANA SAKTI ( TRIO PLAZA ) MAGELANG</v>
      </c>
      <c r="K32" s="271">
        <v>72</v>
      </c>
      <c r="L32" s="271" t="s">
        <v>204</v>
      </c>
      <c r="N32" s="271" t="s">
        <v>205</v>
      </c>
      <c r="O32" s="278" t="str">
        <f>IF(Table1[[#This Row],[h_Item Description]]="","",INDEX([1]!db[NB PAJAK],MATCH(Table1[[#This Row],[h_Item Description]],[1]!db[kode],0)))</f>
        <v>GEL PEN KENKO KE-303 T-GEL TRIANGULAR</v>
      </c>
      <c r="P32" s="271" t="s">
        <v>206</v>
      </c>
      <c r="Q32" s="274">
        <v>1800</v>
      </c>
      <c r="R32" s="275"/>
      <c r="S32" s="275"/>
      <c r="T32" s="274">
        <f>Table1[[#This Row],[h_hargasetelahdiskon]]</f>
        <v>129600</v>
      </c>
      <c r="U32" s="274" t="s">
        <v>207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7</v>
      </c>
      <c r="Y32" s="274">
        <f>IF(Table1[Item Description]="","",Table1[[#This Row],[Qty]]*Table1[[#This Row],[Unit Price]])</f>
        <v>129600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129600</v>
      </c>
      <c r="AD32" s="274">
        <f ca="1">IF(Table1[//]="","",SUMIF(Table1[h_id],Table1[h_id],Table1[h_hargasetelahdiskon]))</f>
        <v>329300.95999999996</v>
      </c>
      <c r="AF32" s="274" t="str">
        <f>Table1[[#This Row],[Item Description]]&amp;Table1[[#This Row],[Unit]]&amp;Table1[[#This Row],[Unit Price]]</f>
        <v>GEL PEN KENKO KE-303 T-GEL TRIANGULARpcs1800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12</v>
      </c>
      <c r="L33" s="271" t="s">
        <v>162</v>
      </c>
      <c r="N33" s="271" t="s">
        <v>208</v>
      </c>
      <c r="O33" s="278" t="str">
        <f>IF(Table1[[#This Row],[h_Item Description]]="","",INDEX([1]!db[NB PAJAK],MATCH(Table1[[#This Row],[h_Item Description]],[1]!db[kode],0)))</f>
        <v>CUTTER 9 MM KENKO K-200 (KECIL)</v>
      </c>
      <c r="P33" s="271" t="s">
        <v>209</v>
      </c>
      <c r="Q33" s="274">
        <v>4375</v>
      </c>
      <c r="R33" s="275"/>
      <c r="S33" s="275"/>
      <c r="T33" s="274">
        <f>Table1[[#This Row],[h_hargasetelahdiskon]]</f>
        <v>52500</v>
      </c>
      <c r="V33" s="271"/>
      <c r="W33" s="278">
        <f ca="1">IF(Table1[[#This Row],[Item Description]]="","",IF(Table1[[#This Row],[//]]="",INDIRECT(ADDRESS(ROW()-1,COLUMN())),Table1[[#This Row],[//]]))</f>
        <v>32</v>
      </c>
      <c r="X33" s="278">
        <f ca="1">IF(Table1[[#This Row],[h_id]]="","",COUNTIF(Table1[h_id],Table1[[#This Row],[h_id]]))</f>
        <v>7</v>
      </c>
      <c r="Y33" s="274">
        <f>IF(Table1[Item Description]="","",Table1[[#This Row],[Qty]]*Table1[[#This Row],[Unit Price]])</f>
        <v>52500</v>
      </c>
      <c r="Z33" s="274">
        <f>IF(Table1[[#This Row],[h_hargasebelumdiskon]]="","",IF(Table1[[#This Row],[Disc 1]]="",0,Table1[[#This Row],[h_hargasebelumdiskon]]*Table1[[#This Row],[Disc 1]]))</f>
        <v>0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0</v>
      </c>
      <c r="AC33" s="274">
        <f>IF(Table1[Item Description]="","",Table1[[#This Row],[h_hargasebelumdiskon]]-Table1[[#This Row],[h_diskon]])</f>
        <v>52500</v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>CUTTER 9 MM KENKO K-200 (KECIL)PCS4375</v>
      </c>
      <c r="AG33"/>
      <c r="AH33"/>
      <c r="AI33"/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>
        <v>12</v>
      </c>
      <c r="L34" s="271" t="s">
        <v>162</v>
      </c>
      <c r="N34" s="271" t="s">
        <v>152</v>
      </c>
      <c r="O34" s="278" t="str">
        <f>IF(Table1[[#This Row],[h_Item Description]]="","",INDEX([1]!db[NB PAJAK],MATCH(Table1[[#This Row],[h_Item Description]],[1]!db[kode],0)))</f>
        <v>CUTTER 9 MM KENKO A-300 (KECIL)</v>
      </c>
      <c r="P34" s="271" t="s">
        <v>153</v>
      </c>
      <c r="Q34" s="274">
        <v>4750</v>
      </c>
      <c r="R34" s="275"/>
      <c r="S34" s="275"/>
      <c r="T34" s="274">
        <f>Table1[[#This Row],[h_hargasetelahdiskon]]</f>
        <v>57000</v>
      </c>
      <c r="V34" s="271"/>
      <c r="W34" s="278">
        <f ca="1">IF(Table1[[#This Row],[Item Description]]="","",IF(Table1[[#This Row],[//]]="",INDIRECT(ADDRESS(ROW()-1,COLUMN())),Table1[[#This Row],[//]]))</f>
        <v>32</v>
      </c>
      <c r="X34" s="278">
        <f ca="1">IF(Table1[[#This Row],[h_id]]="","",COUNTIF(Table1[h_id],Table1[[#This Row],[h_id]]))</f>
        <v>7</v>
      </c>
      <c r="Y34" s="274">
        <f>IF(Table1[Item Description]="","",Table1[[#This Row],[Qty]]*Table1[[#This Row],[Unit Price]])</f>
        <v>57000</v>
      </c>
      <c r="Z34" s="274">
        <f>IF(Table1[[#This Row],[h_hargasebelumdiskon]]="","",IF(Table1[[#This Row],[Disc 1]]="",0,Table1[[#This Row],[h_hargasebelumdiskon]]*Table1[[#This Row],[Disc 1]]))</f>
        <v>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0</v>
      </c>
      <c r="AC34" s="274">
        <f>IF(Table1[Item Description]="","",Table1[[#This Row],[h_hargasebelumdiskon]]-Table1[[#This Row],[h_diskon]])</f>
        <v>57000</v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>CUTTER 9 MM KENKO A-300 (KECIL)PCS4750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24</v>
      </c>
      <c r="L35" s="271" t="s">
        <v>162</v>
      </c>
      <c r="N35" s="271" t="s">
        <v>210</v>
      </c>
      <c r="O35" s="278" t="str">
        <f>IF(Table1[[#This Row],[h_Item Description]]="","",INDEX([1]!db[NB PAJAK],MATCH(Table1[[#This Row],[h_Item Description]],[1]!db[kode],0)))</f>
        <v>BINDER CLIP KENKO NO. 111</v>
      </c>
      <c r="P35" s="271" t="s">
        <v>211</v>
      </c>
      <c r="Q35" s="274">
        <v>341.7</v>
      </c>
      <c r="R35" s="275"/>
      <c r="S35" s="275"/>
      <c r="T35" s="274">
        <f>Table1[[#This Row],[h_hargasetelahdiskon]]</f>
        <v>8200.7999999999993</v>
      </c>
      <c r="V35" s="271"/>
      <c r="W35" s="278">
        <f ca="1">IF(Table1[[#This Row],[Item Description]]="","",IF(Table1[[#This Row],[//]]="",INDIRECT(ADDRESS(ROW()-1,COLUMN())),Table1[[#This Row],[//]]))</f>
        <v>32</v>
      </c>
      <c r="X35" s="278">
        <f ca="1">IF(Table1[[#This Row],[h_id]]="","",COUNTIF(Table1[h_id],Table1[[#This Row],[h_id]]))</f>
        <v>7</v>
      </c>
      <c r="Y35" s="274">
        <f>IF(Table1[Item Description]="","",Table1[[#This Row],[Qty]]*Table1[[#This Row],[Unit Price]])</f>
        <v>8200.7999999999993</v>
      </c>
      <c r="Z35" s="274">
        <f>IF(Table1[[#This Row],[h_hargasebelumdiskon]]="","",IF(Table1[[#This Row],[Disc 1]]="",0,Table1[[#This Row],[h_hargasebelumdiskon]]*Table1[[#This Row],[Disc 1]]))</f>
        <v>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0</v>
      </c>
      <c r="AC35" s="274">
        <f>IF(Table1[Item Description]="","",Table1[[#This Row],[h_hargasebelumdiskon]]-Table1[[#This Row],[h_diskon]])</f>
        <v>8200.7999999999993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111PCS341.7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24</v>
      </c>
      <c r="L36" s="271" t="s">
        <v>162</v>
      </c>
      <c r="N36" s="271" t="s">
        <v>212</v>
      </c>
      <c r="O36" s="278" t="str">
        <f>IF(Table1[[#This Row],[h_Item Description]]="","",INDEX([1]!db[NB PAJAK],MATCH(Table1[[#This Row],[h_Item Description]],[1]!db[kode],0)))</f>
        <v>BINDER CLIP KENKO NO. 155</v>
      </c>
      <c r="P36" s="271" t="s">
        <v>213</v>
      </c>
      <c r="Q36" s="274">
        <v>541.66999999999996</v>
      </c>
      <c r="R36" s="275"/>
      <c r="S36" s="275"/>
      <c r="T36" s="274">
        <f>Table1[[#This Row],[h_hargasetelahdiskon]]</f>
        <v>13000.079999999998</v>
      </c>
      <c r="V36" s="271"/>
      <c r="W36" s="278">
        <f ca="1">IF(Table1[[#This Row],[Item Description]]="","",IF(Table1[[#This Row],[//]]="",INDIRECT(ADDRESS(ROW()-1,COLUMN())),Table1[[#This Row],[//]]))</f>
        <v>32</v>
      </c>
      <c r="X36" s="278">
        <f ca="1">IF(Table1[[#This Row],[h_id]]="","",COUNTIF(Table1[h_id],Table1[[#This Row],[h_id]]))</f>
        <v>7</v>
      </c>
      <c r="Y36" s="274">
        <f>IF(Table1[Item Description]="","",Table1[[#This Row],[Qty]]*Table1[[#This Row],[Unit Price]])</f>
        <v>13000.079999999998</v>
      </c>
      <c r="Z36" s="274">
        <f>IF(Table1[[#This Row],[h_hargasebelumdiskon]]="","",IF(Table1[[#This Row],[Disc 1]]="",0,Table1[[#This Row],[h_hargasebelumdiskon]]*Table1[[#This Row],[Disc 1]]))</f>
        <v>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0</v>
      </c>
      <c r="AC36" s="274">
        <f>IF(Table1[Item Description]="","",Table1[[#This Row],[h_hargasebelumdiskon]]-Table1[[#This Row],[h_diskon]])</f>
        <v>13000.079999999998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BINDER CLIP KENKO NO. 155PCS541.67</v>
      </c>
      <c r="AG36"/>
      <c r="AH36"/>
      <c r="AI36"/>
    </row>
    <row r="37" spans="1:35" ht="16.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24</v>
      </c>
      <c r="L37" s="271" t="s">
        <v>162</v>
      </c>
      <c r="N37" s="271" t="s">
        <v>185</v>
      </c>
      <c r="O37" s="278" t="str">
        <f>IF(Table1[[#This Row],[h_Item Description]]="","",INDEX([1]!db[NB PAJAK],MATCH(Table1[[#This Row],[h_Item Description]],[1]!db[kode],0)))</f>
        <v>BINDER CLIP KENKO NO. 200</v>
      </c>
      <c r="P37" s="481" t="s">
        <v>187</v>
      </c>
      <c r="Q37" s="274">
        <v>916.67</v>
      </c>
      <c r="R37" s="275"/>
      <c r="S37" s="275"/>
      <c r="T37" s="274">
        <f>Table1[[#This Row],[h_hargasetelahdiskon]]</f>
        <v>22000.079999999998</v>
      </c>
      <c r="V37" s="271"/>
      <c r="W37" s="278">
        <f ca="1">IF(Table1[[#This Row],[Item Description]]="","",IF(Table1[[#This Row],[//]]="",INDIRECT(ADDRESS(ROW()-1,COLUMN())),Table1[[#This Row],[//]]))</f>
        <v>32</v>
      </c>
      <c r="X37" s="278">
        <f ca="1">IF(Table1[[#This Row],[h_id]]="","",COUNTIF(Table1[h_id],Table1[[#This Row],[h_id]]))</f>
        <v>7</v>
      </c>
      <c r="Y37" s="274">
        <f>IF(Table1[Item Description]="","",Table1[[#This Row],[Qty]]*Table1[[#This Row],[Unit Price]])</f>
        <v>22000.079999999998</v>
      </c>
      <c r="Z37" s="274">
        <f>IF(Table1[[#This Row],[h_hargasebelumdiskon]]="","",IF(Table1[[#This Row],[Disc 1]]="",0,Table1[[#This Row],[h_hargasebelumdiskon]]*Table1[[#This Row],[Disc 1]]))</f>
        <v>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0</v>
      </c>
      <c r="AC37" s="274">
        <f>IF(Table1[Item Description]="","",Table1[[#This Row],[h_hargasebelumdiskon]]-Table1[[#This Row],[h_diskon]])</f>
        <v>22000.079999999998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BINDER CLIP KENKO NO. 200PCS916.67</v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5</v>
      </c>
      <c r="L38" s="271" t="s">
        <v>162</v>
      </c>
      <c r="N38" s="271" t="s">
        <v>214</v>
      </c>
      <c r="O38" s="278" t="str">
        <f>IF(Table1[[#This Row],[h_Item Description]]="","",INDEX([1]!db[NB PAJAK],MATCH(Table1[[#This Row],[h_Item Description]],[1]!db[kode],0)))</f>
        <v>BUKU KAS KWARTO</v>
      </c>
      <c r="P38" s="271" t="s">
        <v>215</v>
      </c>
      <c r="Q38" s="274">
        <v>9400</v>
      </c>
      <c r="R38" s="275"/>
      <c r="S38" s="275"/>
      <c r="T38" s="274">
        <f>Table1[[#This Row],[h_hargasetelahdiskon]]</f>
        <v>47000</v>
      </c>
      <c r="V38" s="271"/>
      <c r="W38" s="278">
        <f ca="1">IF(Table1[[#This Row],[Item Description]]="","",IF(Table1[[#This Row],[//]]="",INDIRECT(ADDRESS(ROW()-1,COLUMN())),Table1[[#This Row],[//]]))</f>
        <v>32</v>
      </c>
      <c r="X38" s="278">
        <f ca="1">IF(Table1[[#This Row],[h_id]]="","",COUNTIF(Table1[h_id],Table1[[#This Row],[h_id]]))</f>
        <v>7</v>
      </c>
      <c r="Y38" s="274">
        <f>IF(Table1[Item Description]="","",Table1[[#This Row],[Qty]]*Table1[[#This Row],[Unit Price]])</f>
        <v>47000</v>
      </c>
      <c r="Z38" s="274">
        <f>IF(Table1[[#This Row],[h_hargasebelumdiskon]]="","",IF(Table1[[#This Row],[Disc 1]]="",0,Table1[[#This Row],[h_hargasebelumdiskon]]*Table1[[#This Row],[Disc 1]]))</f>
        <v>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0</v>
      </c>
      <c r="AC38" s="274">
        <f>IF(Table1[Item Description]="","",Table1[[#This Row],[h_hargasebelumdiskon]]-Table1[[#This Row],[h_diskon]])</f>
        <v>47000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BUKU KAS KWARTOPCS9400</v>
      </c>
      <c r="AG38"/>
      <c r="AH38"/>
      <c r="AI38"/>
    </row>
    <row r="39" spans="1:3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/>
      <c r="L39" s="271"/>
      <c r="O39" s="278" t="str">
        <f>IF(Table1[[#This Row],[h_Item Description]]="","",INDEX([1]!db[NB PAJAK],MATCH(Table1[[#This Row],[h_Item Description]],[1]!db[kode],0)))</f>
        <v/>
      </c>
      <c r="Q39" s="274"/>
      <c r="R39" s="275"/>
      <c r="S39" s="275"/>
      <c r="T39" s="274" t="str">
        <f>Table1[[#This Row],[h_hargasetelahdiskon]]</f>
        <v/>
      </c>
      <c r="V39" s="271"/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/>
      </c>
      <c r="AG39"/>
      <c r="AH39"/>
      <c r="AI39"/>
    </row>
    <row r="40" spans="1:35" x14ac:dyDescent="0.25">
      <c r="A40" s="278">
        <f ca="1">IF(Table1[[#This Row],[No. Invoice :]]="","",ROW())</f>
        <v>40</v>
      </c>
      <c r="B40" s="278">
        <f ca="1">IF(Table1[Column3]="","",B$1+COUNT(INDIRECT("B$2:B"&amp;ROW()-1)))</f>
        <v>23120011</v>
      </c>
      <c r="C40" s="272">
        <f>IF(Table1[[#This Row],[Column2]]="","",Table1[[#This Row],[Column2]]+C$1-1)</f>
        <v>45271</v>
      </c>
      <c r="D40" s="282">
        <v>11</v>
      </c>
      <c r="E40" s="273" t="s">
        <v>216</v>
      </c>
      <c r="F40" s="271" t="s">
        <v>81</v>
      </c>
      <c r="G40" s="278" t="str">
        <f ca="1">IF(Table1[[#This Row],[h_No. Invoice :]]="","",CONCATENATE("AM"," ",Table1[[#This Row],[h_No. Invoice :]]))</f>
        <v>AM 23120011</v>
      </c>
      <c r="H40" s="271" t="str">
        <f>IF(Table1[[#This Row],[Column5]]="","",INDEX(Table2[Column1],MATCH(Table1[[#This Row],[Column5]],Table2[a],0)))</f>
        <v>KO</v>
      </c>
      <c r="I40" s="279" t="str">
        <f>IF(Table1[[#This Row],[Column3]]=0,"",CONCATENATE(UPPER(Table1[[#This Row],[Column3]])," ",Table1[[#This Row],[Column4]]))</f>
        <v>KO 4778</v>
      </c>
      <c r="J40" s="278" t="str">
        <f>IF(Table1[[#This Row],[Column5]]="","",INDEX(Table2[e],IF(Table1[[#This Row],[Column5]]="","",MATCH(Table1[[#This Row],[Column5]],Table2[a],0)),))</f>
        <v>CV PELITA JAYA (ANUGERAH SEJAHTERA) PURWOKERTO</v>
      </c>
      <c r="K40" s="271">
        <v>50</v>
      </c>
      <c r="L40" s="271" t="s">
        <v>168</v>
      </c>
      <c r="M40" s="271">
        <v>1</v>
      </c>
      <c r="N40" s="271" t="s">
        <v>171</v>
      </c>
      <c r="O40" s="278" t="str">
        <f>IF(Table1[[#This Row],[h_Item Description]]="","",INDEX([1]!db[NB PAJAK],MATCH(Table1[[#This Row],[h_Item Description]],[1]!db[kode],0)))</f>
        <v>STIP / PENGHAPUS KENKO ERB-40SQ HITAM</v>
      </c>
      <c r="P40" s="271" t="s">
        <v>178</v>
      </c>
      <c r="Q40" s="274">
        <v>27500</v>
      </c>
      <c r="R40" s="275">
        <v>0.13500000000000001</v>
      </c>
      <c r="S40" s="275"/>
      <c r="T40" s="274">
        <f>Table1[[#This Row],[h_hargasetelahdiskon]]</f>
        <v>1189375</v>
      </c>
      <c r="U40" s="274" t="s">
        <v>130</v>
      </c>
      <c r="V40" s="271"/>
      <c r="W40" s="278">
        <f ca="1">IF(Table1[[#This Row],[Item Description]]="","",IF(Table1[[#This Row],[//]]="",INDIRECT(ADDRESS(ROW()-1,COLUMN())),Table1[[#This Row],[//]]))</f>
        <v>40</v>
      </c>
      <c r="X40" s="278">
        <f ca="1">IF(Table1[[#This Row],[h_id]]="","",COUNTIF(Table1[h_id],Table1[[#This Row],[h_id]]))</f>
        <v>2</v>
      </c>
      <c r="Y40" s="274">
        <f>IF(Table1[Item Description]="","",Table1[[#This Row],[Qty]]*Table1[[#This Row],[Unit Price]])</f>
        <v>1375000</v>
      </c>
      <c r="Z40" s="274">
        <f>IF(Table1[[#This Row],[h_hargasebelumdiskon]]="","",IF(Table1[[#This Row],[Disc 1]]="",0,Table1[[#This Row],[h_hargasebelumdiskon]]*Table1[[#This Row],[Disc 1]]))</f>
        <v>185625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185625</v>
      </c>
      <c r="AC40" s="274">
        <f>IF(Table1[Item Description]="","",Table1[[#This Row],[h_hargasebelumdiskon]]-Table1[[#This Row],[h_diskon]])</f>
        <v>1189375</v>
      </c>
      <c r="AD40" s="274">
        <f ca="1">IF(Table1[//]="","",SUMIF(Table1[h_id],Table1[h_id],Table1[h_hargasetelahdiskon]))</f>
        <v>5299855</v>
      </c>
      <c r="AF40" s="274" t="str">
        <f>Table1[[#This Row],[Item Description]]&amp;Table1[[#This Row],[Unit]]&amp;Table1[[#This Row],[Unit Price]]</f>
        <v>STIP / PENGHAPUS KENKO ERB-40SQ HITAMBOX27500</v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72</v>
      </c>
      <c r="L41" s="271" t="s">
        <v>168</v>
      </c>
      <c r="M41" s="271">
        <v>2</v>
      </c>
      <c r="N41" s="271" t="s">
        <v>217</v>
      </c>
      <c r="O41" s="278" t="str">
        <f>IF(Table1[[#This Row],[h_Item Description]]="","",INDEX([1]!db[NB PAJAK],MATCH(Table1[[#This Row],[h_Item Description]],[1]!db[kode],0)))</f>
        <v>LEM STICK KENKO 8 GR (KECIL) isi 30 pc</v>
      </c>
      <c r="P41" s="271" t="s">
        <v>218</v>
      </c>
      <c r="Q41" s="274">
        <v>66000</v>
      </c>
      <c r="R41" s="275">
        <v>0.13500000000000001</v>
      </c>
      <c r="S41" s="275"/>
      <c r="T41" s="274">
        <f>Table1[[#This Row],[h_hargasetelahdiskon]]</f>
        <v>4110480</v>
      </c>
      <c r="V41" s="271"/>
      <c r="W41" s="278">
        <f ca="1">IF(Table1[[#This Row],[Item Description]]="","",IF(Table1[[#This Row],[//]]="",INDIRECT(ADDRESS(ROW()-1,COLUMN())),Table1[[#This Row],[//]]))</f>
        <v>40</v>
      </c>
      <c r="X41" s="278">
        <f ca="1">IF(Table1[[#This Row],[h_id]]="","",COUNTIF(Table1[h_id],Table1[[#This Row],[h_id]]))</f>
        <v>2</v>
      </c>
      <c r="Y41" s="274">
        <f>IF(Table1[Item Description]="","",Table1[[#This Row],[Qty]]*Table1[[#This Row],[Unit Price]])</f>
        <v>4752000</v>
      </c>
      <c r="Z41" s="274">
        <f>IF(Table1[[#This Row],[h_hargasebelumdiskon]]="","",IF(Table1[[#This Row],[Disc 1]]="",0,Table1[[#This Row],[h_hargasebelumdiskon]]*Table1[[#This Row],[Disc 1]]))</f>
        <v>641520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641520</v>
      </c>
      <c r="AC41" s="274">
        <f>IF(Table1[Item Description]="","",Table1[[#This Row],[h_hargasebelumdiskon]]-Table1[[#This Row],[h_diskon]])</f>
        <v>4110480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LEM STICK KENKO 8 GR (KECIL) isi 30 pcBOX66000</v>
      </c>
      <c r="AG41"/>
      <c r="AH41"/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/>
      <c r="L42" s="271"/>
      <c r="O42" s="278" t="str">
        <f>IF(Table1[[#This Row],[h_Item Description]]="","",INDEX([1]!db[NB PAJAK],MATCH(Table1[[#This Row],[h_Item Description]],[1]!db[kode],0)))</f>
        <v/>
      </c>
      <c r="Q42" s="274"/>
      <c r="R42" s="275"/>
      <c r="S42" s="275"/>
      <c r="T42" s="274" t="str">
        <f>Table1[[#This Row],[h_hargasetelahdiskon]]</f>
        <v/>
      </c>
      <c r="V42" s="271"/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/>
      </c>
      <c r="AG42"/>
      <c r="AH42"/>
      <c r="AI42"/>
    </row>
    <row r="43" spans="1:35" x14ac:dyDescent="0.25">
      <c r="A43" s="278">
        <f ca="1">IF(Table1[[#This Row],[No. Invoice :]]="","",ROW())</f>
        <v>43</v>
      </c>
      <c r="B43" s="278">
        <f ca="1">IF(Table1[Column3]="","",B$1+COUNT(INDIRECT("B$2:B"&amp;ROW()-1)))</f>
        <v>23120012</v>
      </c>
      <c r="C43" s="272">
        <f>IF(Table1[[#This Row],[Column2]]="","",Table1[[#This Row],[Column2]]+C$1-1)</f>
        <v>45271</v>
      </c>
      <c r="D43" s="282">
        <v>11</v>
      </c>
      <c r="E43" s="273" t="s">
        <v>219</v>
      </c>
      <c r="F43" s="271" t="s">
        <v>148</v>
      </c>
      <c r="G43" s="278" t="str">
        <f ca="1">IF(Table1[[#This Row],[h_No. Invoice :]]="","",CONCATENATE("AM"," ",Table1[[#This Row],[h_No. Invoice :]]))</f>
        <v>AM 23120012</v>
      </c>
      <c r="H43" s="271" t="str">
        <f>IF(Table1[[#This Row],[Column5]]="","",INDEX(Table2[Column1],MATCH(Table1[[#This Row],[Column5]],Table2[a],0)))</f>
        <v>G</v>
      </c>
      <c r="I43" s="279" t="str">
        <f>IF(Table1[[#This Row],[Column3]]=0,"",CONCATENATE(UPPER(Table1[[#This Row],[Column3]])," ",Table1[[#This Row],[Column4]]))</f>
        <v>G 4780</v>
      </c>
      <c r="J43" s="278" t="str">
        <f>IF(Table1[[#This Row],[Column5]]="","",INDEX(Table2[e],IF(Table1[[#This Row],[Column5]]="","",MATCH(Table1[[#This Row],[Column5]],Table2[a],0)),))</f>
        <v>LILY JULIAWATI (REJO AGUNG) JOMBANG</v>
      </c>
      <c r="K43" s="271">
        <v>360</v>
      </c>
      <c r="L43" s="271" t="s">
        <v>162</v>
      </c>
      <c r="M43" s="271">
        <v>5</v>
      </c>
      <c r="N43" s="271" t="s">
        <v>220</v>
      </c>
      <c r="O43" s="278" t="str">
        <f>IF(Table1[[#This Row],[h_Item Description]]="","",INDEX([1]!db[NB PAJAK],MATCH(Table1[[#This Row],[h_Item Description]],[1]!db[kode],0)))</f>
        <v>CRAYON / OIL PASTEL JOYKO OP-18S PP CASE SEA WORLD</v>
      </c>
      <c r="P43" s="271" t="s">
        <v>221</v>
      </c>
      <c r="Q43" s="274">
        <v>23000</v>
      </c>
      <c r="R43" s="275">
        <v>0.125</v>
      </c>
      <c r="S43" s="275">
        <v>0.05</v>
      </c>
      <c r="T43" s="274">
        <f>Table1[[#This Row],[h_hargasetelahdiskon]]</f>
        <v>6882750</v>
      </c>
      <c r="U43" s="274" t="s">
        <v>130</v>
      </c>
      <c r="V43" s="271"/>
      <c r="W43" s="278">
        <f ca="1">IF(Table1[[#This Row],[Item Description]]="","",IF(Table1[[#This Row],[//]]="",INDIRECT(ADDRESS(ROW()-1,COLUMN())),Table1[[#This Row],[//]]))</f>
        <v>43</v>
      </c>
      <c r="X43" s="278">
        <f ca="1">IF(Table1[[#This Row],[h_id]]="","",COUNTIF(Table1[h_id],Table1[[#This Row],[h_id]]))</f>
        <v>4</v>
      </c>
      <c r="Y43" s="274">
        <f>IF(Table1[Item Description]="","",Table1[[#This Row],[Qty]]*Table1[[#This Row],[Unit Price]])</f>
        <v>8280000</v>
      </c>
      <c r="Z43" s="274">
        <f>IF(Table1[[#This Row],[h_hargasebelumdiskon]]="","",IF(Table1[[#This Row],[Disc 1]]="",0,Table1[[#This Row],[h_hargasebelumdiskon]]*Table1[[#This Row],[Disc 1]]))</f>
        <v>1035000</v>
      </c>
      <c r="AA43" s="274">
        <f>IF(Table1[[#This Row],[h_hargasebelumdiskon]]="","",IF(Table1[[#This Row],[Disc 2]]="",0,(Table1[[#This Row],[h_hargasebelumdiskon]]-Table1[[#This Row],[h_disc 1]])*Table1[[#This Row],[Disc 2]]))</f>
        <v>362250</v>
      </c>
      <c r="AB43" s="274">
        <f>IF(Table1[Item Description]="","",Table1[[#This Row],[h_disc 1]]+Table1[[#This Row],[h_disc 2]])</f>
        <v>1397250</v>
      </c>
      <c r="AC43" s="274">
        <f>IF(Table1[Item Description]="","",Table1[[#This Row],[h_hargasebelumdiskon]]-Table1[[#This Row],[h_diskon]])</f>
        <v>6882750</v>
      </c>
      <c r="AD43" s="274">
        <f ca="1">IF(Table1[//]="","",SUMIF(Table1[h_id],Table1[h_id],Table1[h_hargasetelahdiskon]))</f>
        <v>17807370</v>
      </c>
      <c r="AF43" s="274" t="str">
        <f>Table1[[#This Row],[Item Description]]&amp;Table1[[#This Row],[Unit]]&amp;Table1[[#This Row],[Unit Price]]</f>
        <v>CRAYON / OIL PASTEL JOYKO OP-18S PP CASE SEA WORLDPCS23000</v>
      </c>
      <c r="AG43"/>
      <c r="AH43"/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162</v>
      </c>
      <c r="M44" s="271">
        <v>5</v>
      </c>
      <c r="N44" s="271" t="s">
        <v>222</v>
      </c>
      <c r="O44" s="278" t="str">
        <f>IF(Table1[[#This Row],[h_Item Description]]="","",INDEX([1]!db[NB PAJAK],MATCH(Table1[[#This Row],[h_Item Description]],[1]!db[kode],0)))</f>
        <v>CRAYON / OIL PASTEL JOYKO OP-24S PP CASE SEA WORLD</v>
      </c>
      <c r="P44" s="271" t="s">
        <v>223</v>
      </c>
      <c r="Q44" s="274">
        <v>29600</v>
      </c>
      <c r="R44" s="275">
        <v>0.125</v>
      </c>
      <c r="S44" s="275">
        <v>0.05</v>
      </c>
      <c r="T44" s="274">
        <f>Table1[[#This Row],[h_hargasetelahdiskon]]</f>
        <v>5905200</v>
      </c>
      <c r="V44" s="271"/>
      <c r="W44" s="278">
        <f ca="1">IF(Table1[[#This Row],[Item Description]]="","",IF(Table1[[#This Row],[//]]="",INDIRECT(ADDRESS(ROW()-1,COLUMN())),Table1[[#This Row],[//]]))</f>
        <v>43</v>
      </c>
      <c r="X44" s="278">
        <f ca="1">IF(Table1[[#This Row],[h_id]]="","",COUNTIF(Table1[h_id],Table1[[#This Row],[h_id]]))</f>
        <v>4</v>
      </c>
      <c r="Y44" s="274">
        <f>IF(Table1[Item Description]="","",Table1[[#This Row],[Qty]]*Table1[[#This Row],[Unit Price]])</f>
        <v>7104000</v>
      </c>
      <c r="Z44" s="274">
        <f>IF(Table1[[#This Row],[h_hargasebelumdiskon]]="","",IF(Table1[[#This Row],[Disc 1]]="",0,Table1[[#This Row],[h_hargasebelumdiskon]]*Table1[[#This Row],[Disc 1]]))</f>
        <v>888000</v>
      </c>
      <c r="AA44" s="274">
        <f>IF(Table1[[#This Row],[h_hargasebelumdiskon]]="","",IF(Table1[[#This Row],[Disc 2]]="",0,(Table1[[#This Row],[h_hargasebelumdiskon]]-Table1[[#This Row],[h_disc 1]])*Table1[[#This Row],[Disc 2]]))</f>
        <v>310800</v>
      </c>
      <c r="AB44" s="274">
        <f>IF(Table1[Item Description]="","",Table1[[#This Row],[h_disc 1]]+Table1[[#This Row],[h_disc 2]])</f>
        <v>1198800</v>
      </c>
      <c r="AC44" s="274">
        <f>IF(Table1[Item Description]="","",Table1[[#This Row],[h_hargasebelumdiskon]]-Table1[[#This Row],[h_diskon]])</f>
        <v>5905200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CRAYON / OIL PASTEL JOYKO OP-24S PP CASE SEA WORLDPCS29600</v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48</v>
      </c>
      <c r="L45" s="271" t="s">
        <v>162</v>
      </c>
      <c r="M45" s="271">
        <v>2</v>
      </c>
      <c r="N45" s="271" t="s">
        <v>224</v>
      </c>
      <c r="O45" s="278" t="str">
        <f>IF(Table1[[#This Row],[h_Item Description]]="","",INDEX([1]!db[NB PAJAK],MATCH(Table1[[#This Row],[h_Item Description]],[1]!db[kode],0)))</f>
        <v>CRAYON / OIL PASTEL JOYKO OP-48S PP CASE SEA WORLD</v>
      </c>
      <c r="P45" s="271" t="s">
        <v>225</v>
      </c>
      <c r="Q45" s="274">
        <v>58900</v>
      </c>
      <c r="R45" s="275">
        <v>0.125</v>
      </c>
      <c r="S45" s="275">
        <v>0.05</v>
      </c>
      <c r="T45" s="274">
        <f>Table1[[#This Row],[h_hargasetelahdiskon]]</f>
        <v>2350110</v>
      </c>
      <c r="V45" s="271"/>
      <c r="W45" s="278">
        <f ca="1">IF(Table1[[#This Row],[Item Description]]="","",IF(Table1[[#This Row],[//]]="",INDIRECT(ADDRESS(ROW()-1,COLUMN())),Table1[[#This Row],[//]]))</f>
        <v>43</v>
      </c>
      <c r="X45" s="278">
        <f ca="1">IF(Table1[[#This Row],[h_id]]="","",COUNTIF(Table1[h_id],Table1[[#This Row],[h_id]]))</f>
        <v>4</v>
      </c>
      <c r="Y45" s="274">
        <f>IF(Table1[Item Description]="","",Table1[[#This Row],[Qty]]*Table1[[#This Row],[Unit Price]])</f>
        <v>2827200</v>
      </c>
      <c r="Z45" s="274">
        <f>IF(Table1[[#This Row],[h_hargasebelumdiskon]]="","",IF(Table1[[#This Row],[Disc 1]]="",0,Table1[[#This Row],[h_hargasebelumdiskon]]*Table1[[#This Row],[Disc 1]]))</f>
        <v>353400</v>
      </c>
      <c r="AA45" s="274">
        <f>IF(Table1[[#This Row],[h_hargasebelumdiskon]]="","",IF(Table1[[#This Row],[Disc 2]]="",0,(Table1[[#This Row],[h_hargasebelumdiskon]]-Table1[[#This Row],[h_disc 1]])*Table1[[#This Row],[Disc 2]]))</f>
        <v>123690</v>
      </c>
      <c r="AB45" s="274">
        <f>IF(Table1[Item Description]="","",Table1[[#This Row],[h_disc 1]]+Table1[[#This Row],[h_disc 2]])</f>
        <v>477090</v>
      </c>
      <c r="AC45" s="274">
        <f>IF(Table1[Item Description]="","",Table1[[#This Row],[h_hargasebelumdiskon]]-Table1[[#This Row],[h_diskon]])</f>
        <v>2350110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CRAYON / OIL PASTEL JOYKO OP-48S PP CASE SEA WORLDPCS58900</v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48</v>
      </c>
      <c r="L46" s="271" t="s">
        <v>162</v>
      </c>
      <c r="M46" s="271">
        <v>2</v>
      </c>
      <c r="N46" s="271" t="s">
        <v>226</v>
      </c>
      <c r="O46" s="278" t="str">
        <f>IF(Table1[[#This Row],[h_Item Description]]="","",INDEX([1]!db[NB PAJAK],MATCH(Table1[[#This Row],[h_Item Description]],[1]!db[kode],0)))</f>
        <v>CRAYON / OIL PASTEL JOYKO OP-55S PP CASE SEA WORLD</v>
      </c>
      <c r="P46" s="271" t="s">
        <v>227</v>
      </c>
      <c r="Q46" s="274">
        <v>66900</v>
      </c>
      <c r="R46" s="275">
        <v>0.125</v>
      </c>
      <c r="S46" s="275">
        <v>0.05</v>
      </c>
      <c r="T46" s="274">
        <f>Table1[[#This Row],[h_hargasetelahdiskon]]</f>
        <v>2669310</v>
      </c>
      <c r="V46" s="271"/>
      <c r="W46" s="278">
        <f ca="1">IF(Table1[[#This Row],[Item Description]]="","",IF(Table1[[#This Row],[//]]="",INDIRECT(ADDRESS(ROW()-1,COLUMN())),Table1[[#This Row],[//]]))</f>
        <v>43</v>
      </c>
      <c r="X46" s="278">
        <f ca="1">IF(Table1[[#This Row],[h_id]]="","",COUNTIF(Table1[h_id],Table1[[#This Row],[h_id]]))</f>
        <v>4</v>
      </c>
      <c r="Y46" s="274">
        <f>IF(Table1[Item Description]="","",Table1[[#This Row],[Qty]]*Table1[[#This Row],[Unit Price]])</f>
        <v>3211200</v>
      </c>
      <c r="Z46" s="274">
        <f>IF(Table1[[#This Row],[h_hargasebelumdiskon]]="","",IF(Table1[[#This Row],[Disc 1]]="",0,Table1[[#This Row],[h_hargasebelumdiskon]]*Table1[[#This Row],[Disc 1]]))</f>
        <v>401400</v>
      </c>
      <c r="AA46" s="274">
        <f>IF(Table1[[#This Row],[h_hargasebelumdiskon]]="","",IF(Table1[[#This Row],[Disc 2]]="",0,(Table1[[#This Row],[h_hargasebelumdiskon]]-Table1[[#This Row],[h_disc 1]])*Table1[[#This Row],[Disc 2]]))</f>
        <v>140490</v>
      </c>
      <c r="AB46" s="274">
        <f>IF(Table1[Item Description]="","",Table1[[#This Row],[h_disc 1]]+Table1[[#This Row],[h_disc 2]])</f>
        <v>541890</v>
      </c>
      <c r="AC46" s="274">
        <f>IF(Table1[Item Description]="","",Table1[[#This Row],[h_hargasebelumdiskon]]-Table1[[#This Row],[h_diskon]])</f>
        <v>2669310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CRAYON / OIL PASTEL JOYKO OP-55S PP CASE SEA WORLDPCS66900</v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/>
      <c r="L47" s="271"/>
      <c r="O47" s="278" t="str">
        <f>IF(Table1[[#This Row],[h_Item Description]]="","",INDEX([1]!db[NB PAJAK],MATCH(Table1[[#This Row],[h_Item Description]],[1]!db[kode],0)))</f>
        <v/>
      </c>
      <c r="Q47" s="274"/>
      <c r="R47" s="275"/>
      <c r="S47" s="275"/>
      <c r="T47" s="274" t="str">
        <f>Table1[[#This Row],[h_hargasetelahdiskon]]</f>
        <v/>
      </c>
      <c r="V47" s="271"/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/>
      </c>
      <c r="AG47"/>
      <c r="AH47"/>
      <c r="AI47"/>
    </row>
    <row r="48" spans="1:35" x14ac:dyDescent="0.25">
      <c r="A48" s="278">
        <f ca="1">IF(Table1[[#This Row],[No. Invoice :]]="","",ROW())</f>
        <v>48</v>
      </c>
      <c r="B48" s="278">
        <f ca="1">IF(Table1[Column3]="","",B$1+COUNT(INDIRECT("B$2:B"&amp;ROW()-1)))</f>
        <v>23120013</v>
      </c>
      <c r="C48" s="272">
        <f>IF(Table1[[#This Row],[Column2]]="","",Table1[[#This Row],[Column2]]+C$1-1)</f>
        <v>45271</v>
      </c>
      <c r="D48" s="282">
        <v>11</v>
      </c>
      <c r="E48" s="273" t="s">
        <v>228</v>
      </c>
      <c r="F48" s="271" t="s">
        <v>229</v>
      </c>
      <c r="G48" s="278" t="str">
        <f ca="1">IF(Table1[[#This Row],[h_No. Invoice :]]="","",CONCATENATE("AM"," ",Table1[[#This Row],[h_No. Invoice :]]))</f>
        <v>AM 23120013</v>
      </c>
      <c r="H48" s="271" t="str">
        <f>IF(Table1[[#This Row],[Column5]]="","",INDEX(Table2[Column1],MATCH(Table1[[#This Row],[Column5]],Table2[a],0)))</f>
        <v>G</v>
      </c>
      <c r="I48" s="279" t="str">
        <f>IF(Table1[[#This Row],[Column3]]=0,"",CONCATENATE(UPPER(Table1[[#This Row],[Column3]])," ",Table1[[#This Row],[Column4]]))</f>
        <v>G 4783</v>
      </c>
      <c r="J48" s="278" t="str">
        <f>IF(Table1[[#This Row],[Column5]]="","",INDEX(Table2[e],IF(Table1[[#This Row],[Column5]]="","",MATCH(Table1[[#This Row],[Column5]],Table2[a],0)),))</f>
        <v>GUNAWAN HARTONO KUSUMA ( NIKI SAE ) TULUNG AGUNG</v>
      </c>
      <c r="K48" s="271">
        <v>216</v>
      </c>
      <c r="L48" s="271" t="s">
        <v>162</v>
      </c>
      <c r="M48" s="271">
        <v>3</v>
      </c>
      <c r="N48" s="271" t="s">
        <v>220</v>
      </c>
      <c r="O48" s="278" t="str">
        <f>IF(Table1[[#This Row],[h_Item Description]]="","",INDEX([1]!db[NB PAJAK],MATCH(Table1[[#This Row],[h_Item Description]],[1]!db[kode],0)))</f>
        <v>CRAYON / OIL PASTEL JOYKO OP-18S PP CASE SEA WORLD</v>
      </c>
      <c r="P48" s="271" t="s">
        <v>221</v>
      </c>
      <c r="Q48" s="274">
        <v>23000</v>
      </c>
      <c r="R48" s="275">
        <v>0.125</v>
      </c>
      <c r="S48" s="275">
        <v>0.05</v>
      </c>
      <c r="T48" s="274">
        <f>Table1[[#This Row],[h_hargasetelahdiskon]]</f>
        <v>4129650</v>
      </c>
      <c r="U48" s="274" t="s">
        <v>130</v>
      </c>
      <c r="V48" s="271"/>
      <c r="W48" s="278">
        <f ca="1">IF(Table1[[#This Row],[Item Description]]="","",IF(Table1[[#This Row],[//]]="",INDIRECT(ADDRESS(ROW()-1,COLUMN())),Table1[[#This Row],[//]]))</f>
        <v>48</v>
      </c>
      <c r="X48" s="278">
        <f ca="1">IF(Table1[[#This Row],[h_id]]="","",COUNTIF(Table1[h_id],Table1[[#This Row],[h_id]]))</f>
        <v>5</v>
      </c>
      <c r="Y48" s="274">
        <f>IF(Table1[Item Description]="","",Table1[[#This Row],[Qty]]*Table1[[#This Row],[Unit Price]])</f>
        <v>4968000</v>
      </c>
      <c r="Z48" s="274">
        <f>IF(Table1[[#This Row],[h_hargasebelumdiskon]]="","",IF(Table1[[#This Row],[Disc 1]]="",0,Table1[[#This Row],[h_hargasebelumdiskon]]*Table1[[#This Row],[Disc 1]]))</f>
        <v>621000</v>
      </c>
      <c r="AA48" s="274">
        <f>IF(Table1[[#This Row],[h_hargasebelumdiskon]]="","",IF(Table1[[#This Row],[Disc 2]]="",0,(Table1[[#This Row],[h_hargasebelumdiskon]]-Table1[[#This Row],[h_disc 1]])*Table1[[#This Row],[Disc 2]]))</f>
        <v>217350</v>
      </c>
      <c r="AB48" s="274">
        <f>IF(Table1[Item Description]="","",Table1[[#This Row],[h_disc 1]]+Table1[[#This Row],[h_disc 2]])</f>
        <v>838350</v>
      </c>
      <c r="AC48" s="274">
        <f>IF(Table1[Item Description]="","",Table1[[#This Row],[h_hargasebelumdiskon]]-Table1[[#This Row],[h_diskon]])</f>
        <v>4129650</v>
      </c>
      <c r="AD48" s="274">
        <f ca="1">IF(Table1[//]="","",SUMIF(Table1[h_id],Table1[h_id],Table1[h_hargasetelahdiskon]))</f>
        <v>17454255</v>
      </c>
      <c r="AF48" s="274" t="str">
        <f>Table1[[#This Row],[Item Description]]&amp;Table1[[#This Row],[Unit]]&amp;Table1[[#This Row],[Unit Price]]</f>
        <v>CRAYON / OIL PASTEL JOYKO OP-18S PP CASE SEA WORLDPCS23000</v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48</v>
      </c>
      <c r="L49" s="271" t="s">
        <v>162</v>
      </c>
      <c r="M49" s="271">
        <v>1</v>
      </c>
      <c r="N49" s="271" t="s">
        <v>222</v>
      </c>
      <c r="O49" s="278" t="str">
        <f>IF(Table1[[#This Row],[h_Item Description]]="","",INDEX([1]!db[NB PAJAK],MATCH(Table1[[#This Row],[h_Item Description]],[1]!db[kode],0)))</f>
        <v>CRAYON / OIL PASTEL JOYKO OP-24S PP CASE SEA WORLD</v>
      </c>
      <c r="P49" s="271" t="s">
        <v>223</v>
      </c>
      <c r="Q49" s="274">
        <v>29600</v>
      </c>
      <c r="R49" s="275">
        <v>0.125</v>
      </c>
      <c r="S49" s="275">
        <v>0.05</v>
      </c>
      <c r="T49" s="274">
        <f>Table1[[#This Row],[h_hargasetelahdiskon]]</f>
        <v>1181040</v>
      </c>
      <c r="V49" s="271"/>
      <c r="W49" s="278">
        <f ca="1">IF(Table1[[#This Row],[Item Description]]="","",IF(Table1[[#This Row],[//]]="",INDIRECT(ADDRESS(ROW()-1,COLUMN())),Table1[[#This Row],[//]]))</f>
        <v>48</v>
      </c>
      <c r="X49" s="278">
        <f ca="1">IF(Table1[[#This Row],[h_id]]="","",COUNTIF(Table1[h_id],Table1[[#This Row],[h_id]]))</f>
        <v>5</v>
      </c>
      <c r="Y49" s="274">
        <f>IF(Table1[Item Description]="","",Table1[[#This Row],[Qty]]*Table1[[#This Row],[Unit Price]])</f>
        <v>1420800</v>
      </c>
      <c r="Z49" s="274">
        <f>IF(Table1[[#This Row],[h_hargasebelumdiskon]]="","",IF(Table1[[#This Row],[Disc 1]]="",0,Table1[[#This Row],[h_hargasebelumdiskon]]*Table1[[#This Row],[Disc 1]]))</f>
        <v>177600</v>
      </c>
      <c r="AA49" s="274">
        <f>IF(Table1[[#This Row],[h_hargasebelumdiskon]]="","",IF(Table1[[#This Row],[Disc 2]]="",0,(Table1[[#This Row],[h_hargasebelumdiskon]]-Table1[[#This Row],[h_disc 1]])*Table1[[#This Row],[Disc 2]]))</f>
        <v>62160</v>
      </c>
      <c r="AB49" s="274">
        <f>IF(Table1[Item Description]="","",Table1[[#This Row],[h_disc 1]]+Table1[[#This Row],[h_disc 2]])</f>
        <v>239760</v>
      </c>
      <c r="AC49" s="274">
        <f>IF(Table1[Item Description]="","",Table1[[#This Row],[h_hargasebelumdiskon]]-Table1[[#This Row],[h_diskon]])</f>
        <v>1181040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CRAYON / OIL PASTEL JOYKO OP-24S PP CASE SEA WORLDPCS29600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24</v>
      </c>
      <c r="L50" s="271" t="s">
        <v>162</v>
      </c>
      <c r="M50" s="271">
        <v>1</v>
      </c>
      <c r="N50" s="271" t="s">
        <v>226</v>
      </c>
      <c r="O50" s="278" t="str">
        <f>IF(Table1[[#This Row],[h_Item Description]]="","",INDEX([1]!db[NB PAJAK],MATCH(Table1[[#This Row],[h_Item Description]],[1]!db[kode],0)))</f>
        <v>CRAYON / OIL PASTEL JOYKO OP-55S PP CASE SEA WORLD</v>
      </c>
      <c r="P50" s="271" t="s">
        <v>227</v>
      </c>
      <c r="Q50" s="274">
        <v>66900</v>
      </c>
      <c r="R50" s="275">
        <v>0.125</v>
      </c>
      <c r="S50" s="275">
        <v>0.05</v>
      </c>
      <c r="T50" s="274">
        <f>Table1[[#This Row],[h_hargasetelahdiskon]]</f>
        <v>1334655</v>
      </c>
      <c r="V50" s="271"/>
      <c r="W50" s="278">
        <f ca="1">IF(Table1[[#This Row],[Item Description]]="","",IF(Table1[[#This Row],[//]]="",INDIRECT(ADDRESS(ROW()-1,COLUMN())),Table1[[#This Row],[//]]))</f>
        <v>48</v>
      </c>
      <c r="X50" s="278">
        <f ca="1">IF(Table1[[#This Row],[h_id]]="","",COUNTIF(Table1[h_id],Table1[[#This Row],[h_id]]))</f>
        <v>5</v>
      </c>
      <c r="Y50" s="274">
        <f>IF(Table1[Item Description]="","",Table1[[#This Row],[Qty]]*Table1[[#This Row],[Unit Price]])</f>
        <v>1605600</v>
      </c>
      <c r="Z50" s="274">
        <f>IF(Table1[[#This Row],[h_hargasebelumdiskon]]="","",IF(Table1[[#This Row],[Disc 1]]="",0,Table1[[#This Row],[h_hargasebelumdiskon]]*Table1[[#This Row],[Disc 1]]))</f>
        <v>200700</v>
      </c>
      <c r="AA50" s="274">
        <f>IF(Table1[[#This Row],[h_hargasebelumdiskon]]="","",IF(Table1[[#This Row],[Disc 2]]="",0,(Table1[[#This Row],[h_hargasebelumdiskon]]-Table1[[#This Row],[h_disc 1]])*Table1[[#This Row],[Disc 2]]))</f>
        <v>70245</v>
      </c>
      <c r="AB50" s="274">
        <f>IF(Table1[Item Description]="","",Table1[[#This Row],[h_disc 1]]+Table1[[#This Row],[h_disc 2]])</f>
        <v>270945</v>
      </c>
      <c r="AC50" s="274">
        <f>IF(Table1[Item Description]="","",Table1[[#This Row],[h_hargasebelumdiskon]]-Table1[[#This Row],[h_diskon]])</f>
        <v>1334655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CRAYON / OIL PASTEL JOYKO OP-55S PP CASE SEA WORLDPCS66900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432</v>
      </c>
      <c r="L51" s="271" t="s">
        <v>162</v>
      </c>
      <c r="M51" s="271">
        <v>3</v>
      </c>
      <c r="N51" s="271" t="s">
        <v>230</v>
      </c>
      <c r="O51" s="278" t="e">
        <f>IF(Table1[[#This Row],[h_Item Description]]="","",INDEX([1]!db[NB PAJAK],MATCH(Table1[[#This Row],[h_Item Description]],[1]!db[kode],0)))</f>
        <v>#N/A</v>
      </c>
      <c r="P51" s="271" t="s">
        <v>232</v>
      </c>
      <c r="Q51" s="274">
        <v>23900</v>
      </c>
      <c r="R51" s="275">
        <v>0.125</v>
      </c>
      <c r="S51" s="275">
        <v>0.05</v>
      </c>
      <c r="T51" s="274">
        <f>Table1[[#This Row],[h_hargasetelahdiskon]]</f>
        <v>8582490</v>
      </c>
      <c r="V51" s="271"/>
      <c r="W51" s="278">
        <f ca="1">IF(Table1[[#This Row],[Item Description]]="","",IF(Table1[[#This Row],[//]]="",INDIRECT(ADDRESS(ROW()-1,COLUMN())),Table1[[#This Row],[//]]))</f>
        <v>48</v>
      </c>
      <c r="X51" s="278">
        <f ca="1">IF(Table1[[#This Row],[h_id]]="","",COUNTIF(Table1[h_id],Table1[[#This Row],[h_id]]))</f>
        <v>5</v>
      </c>
      <c r="Y51" s="274">
        <f>IF(Table1[Item Description]="","",Table1[[#This Row],[Qty]]*Table1[[#This Row],[Unit Price]])</f>
        <v>10324800</v>
      </c>
      <c r="Z51" s="274">
        <f>IF(Table1[[#This Row],[h_hargasebelumdiskon]]="","",IF(Table1[[#This Row],[Disc 1]]="",0,Table1[[#This Row],[h_hargasebelumdiskon]]*Table1[[#This Row],[Disc 1]]))</f>
        <v>1290600</v>
      </c>
      <c r="AA51" s="274">
        <f>IF(Table1[[#This Row],[h_hargasebelumdiskon]]="","",IF(Table1[[#This Row],[Disc 2]]="",0,(Table1[[#This Row],[h_hargasebelumdiskon]]-Table1[[#This Row],[h_disc 1]])*Table1[[#This Row],[Disc 2]]))</f>
        <v>451710</v>
      </c>
      <c r="AB51" s="274">
        <f>IF(Table1[Item Description]="","",Table1[[#This Row],[h_disc 1]]+Table1[[#This Row],[h_disc 2]])</f>
        <v>1742310</v>
      </c>
      <c r="AC51" s="274">
        <f>IF(Table1[Item Description]="","",Table1[[#This Row],[h_hargasebelumdiskon]]-Table1[[#This Row],[h_diskon]])</f>
        <v>8582490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CRAYON / OIL PASTEL PUTAR JOYKO TWCR-12S (PANJANG)PCS23900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144</v>
      </c>
      <c r="L52" s="271" t="s">
        <v>162</v>
      </c>
      <c r="M52" s="271">
        <v>1</v>
      </c>
      <c r="O52" s="278" t="str">
        <f>IF(Table1[[#This Row],[h_Item Description]]="","",INDEX([1]!db[NB PAJAK],MATCH(Table1[[#This Row],[h_Item Description]],[1]!db[kode],0)))</f>
        <v/>
      </c>
      <c r="P52" s="271" t="s">
        <v>231</v>
      </c>
      <c r="Q52" s="274">
        <v>18600</v>
      </c>
      <c r="R52" s="275">
        <v>0.125</v>
      </c>
      <c r="S52" s="275">
        <v>0.05</v>
      </c>
      <c r="T52" s="274">
        <f>Table1[[#This Row],[h_hargasetelahdiskon]]</f>
        <v>2226420</v>
      </c>
      <c r="V52" s="271"/>
      <c r="W52" s="278">
        <f ca="1">IF(Table1[[#This Row],[Item Description]]="","",IF(Table1[[#This Row],[//]]="",INDIRECT(ADDRESS(ROW()-1,COLUMN())),Table1[[#This Row],[//]]))</f>
        <v>48</v>
      </c>
      <c r="X52" s="278">
        <f ca="1">IF(Table1[[#This Row],[h_id]]="","",COUNTIF(Table1[h_id],Table1[[#This Row],[h_id]]))</f>
        <v>5</v>
      </c>
      <c r="Y52" s="274">
        <f>IF(Table1[Item Description]="","",Table1[[#This Row],[Qty]]*Table1[[#This Row],[Unit Price]])</f>
        <v>2678400</v>
      </c>
      <c r="Z52" s="274">
        <f>IF(Table1[[#This Row],[h_hargasebelumdiskon]]="","",IF(Table1[[#This Row],[Disc 1]]="",0,Table1[[#This Row],[h_hargasebelumdiskon]]*Table1[[#This Row],[Disc 1]]))</f>
        <v>334800</v>
      </c>
      <c r="AA52" s="274">
        <f>IF(Table1[[#This Row],[h_hargasebelumdiskon]]="","",IF(Table1[[#This Row],[Disc 2]]="",0,(Table1[[#This Row],[h_hargasebelumdiskon]]-Table1[[#This Row],[h_disc 1]])*Table1[[#This Row],[Disc 2]]))</f>
        <v>117180</v>
      </c>
      <c r="AB52" s="274">
        <f>IF(Table1[Item Description]="","",Table1[[#This Row],[h_disc 1]]+Table1[[#This Row],[h_disc 2]])</f>
        <v>451980</v>
      </c>
      <c r="AC52" s="274">
        <f>IF(Table1[Item Description]="","",Table1[[#This Row],[h_hargasebelumdiskon]]-Table1[[#This Row],[h_diskon]])</f>
        <v>2226420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CRAYON / OIL PASTEL PUTAR JOYKO TWCR-12MINI (PENDEK)PCS18600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/>
      <c r="L53" s="271"/>
      <c r="O53" s="278" t="str">
        <f>IF(Table1[[#This Row],[h_Item Description]]="","",INDEX([1]!db[NB PAJAK],MATCH(Table1[[#This Row],[h_Item Description]],[1]!db[kode],0)))</f>
        <v/>
      </c>
      <c r="Q53" s="274"/>
      <c r="R53" s="275"/>
      <c r="S53" s="275"/>
      <c r="T53" s="274" t="str">
        <f>Table1[[#This Row],[h_hargasetelahdiskon]]</f>
        <v/>
      </c>
      <c r="V53" s="271"/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/>
      </c>
      <c r="AG53"/>
      <c r="AH53"/>
      <c r="AI53"/>
    </row>
    <row r="54" spans="1:35" x14ac:dyDescent="0.25">
      <c r="A54" s="278">
        <f ca="1">IF(Table1[[#This Row],[No. Invoice :]]="","",ROW())</f>
        <v>54</v>
      </c>
      <c r="B54" s="278">
        <f ca="1">IF(Table1[Column3]="","",B$1+COUNT(INDIRECT("B$2:B"&amp;ROW()-1)))</f>
        <v>23120014</v>
      </c>
      <c r="C54" s="272">
        <f>IF(Table1[[#This Row],[Column2]]="","",Table1[[#This Row],[Column2]]+C$1-1)</f>
        <v>45273</v>
      </c>
      <c r="D54" s="282">
        <v>13</v>
      </c>
      <c r="E54" s="273" t="s">
        <v>233</v>
      </c>
      <c r="F54" s="271" t="s">
        <v>148</v>
      </c>
      <c r="G54" s="278" t="str">
        <f ca="1">IF(Table1[[#This Row],[h_No. Invoice :]]="","",CONCATENATE("AM"," ",Table1[[#This Row],[h_No. Invoice :]]))</f>
        <v>AM 23120014</v>
      </c>
      <c r="H54" s="271" t="str">
        <f>IF(Table1[[#This Row],[Column5]]="","",INDEX(Table2[Column1],MATCH(Table1[[#This Row],[Column5]],Table2[a],0)))</f>
        <v>G</v>
      </c>
      <c r="I54" s="279" t="str">
        <f>IF(Table1[[#This Row],[Column3]]=0,"",CONCATENATE(UPPER(Table1[[#This Row],[Column3]])," ",Table1[[#This Row],[Column4]]))</f>
        <v>G 0584</v>
      </c>
      <c r="J54" s="278" t="str">
        <f>IF(Table1[[#This Row],[Column5]]="","",INDEX(Table2[e],IF(Table1[[#This Row],[Column5]]="","",MATCH(Table1[[#This Row],[Column5]],Table2[a],0)),))</f>
        <v>LILY JULIAWATI (REJO AGUNG) JOMBANG</v>
      </c>
      <c r="K54" s="271">
        <v>300</v>
      </c>
      <c r="L54" s="271" t="s">
        <v>137</v>
      </c>
      <c r="M54" s="271">
        <v>5</v>
      </c>
      <c r="N54" s="271" t="s">
        <v>234</v>
      </c>
      <c r="O54" s="278" t="str">
        <f>IF(Table1[[#This Row],[h_Item Description]]="","",INDEX([1]!db[NB PAJAK],MATCH(Table1[[#This Row],[h_Item Description]],[1]!db[kode],0)))</f>
        <v>ISI CUTTER 18 MM KENKO L-150 (BESAR)</v>
      </c>
      <c r="P54" s="271" t="s">
        <v>235</v>
      </c>
      <c r="Q54" s="274">
        <v>64800</v>
      </c>
      <c r="R54" s="275">
        <v>0.125</v>
      </c>
      <c r="S54" s="275">
        <v>0.05</v>
      </c>
      <c r="T54" s="274">
        <f>Table1[[#This Row],[h_hargasetelahdiskon]]</f>
        <v>16159500</v>
      </c>
      <c r="U54" s="274" t="s">
        <v>130</v>
      </c>
      <c r="V54" s="271"/>
      <c r="W54" s="278">
        <f ca="1">IF(Table1[[#This Row],[Item Description]]="","",IF(Table1[[#This Row],[//]]="",INDIRECT(ADDRESS(ROW()-1,COLUMN())),Table1[[#This Row],[//]]))</f>
        <v>54</v>
      </c>
      <c r="X54" s="278">
        <f ca="1">IF(Table1[[#This Row],[h_id]]="","",COUNTIF(Table1[h_id],Table1[[#This Row],[h_id]]))</f>
        <v>1</v>
      </c>
      <c r="Y54" s="274">
        <f>IF(Table1[Item Description]="","",Table1[[#This Row],[Qty]]*Table1[[#This Row],[Unit Price]])</f>
        <v>19440000</v>
      </c>
      <c r="Z54" s="274">
        <f>IF(Table1[[#This Row],[h_hargasebelumdiskon]]="","",IF(Table1[[#This Row],[Disc 1]]="",0,Table1[[#This Row],[h_hargasebelumdiskon]]*Table1[[#This Row],[Disc 1]]))</f>
        <v>2430000</v>
      </c>
      <c r="AA54" s="274">
        <f>IF(Table1[[#This Row],[h_hargasebelumdiskon]]="","",IF(Table1[[#This Row],[Disc 2]]="",0,(Table1[[#This Row],[h_hargasebelumdiskon]]-Table1[[#This Row],[h_disc 1]])*Table1[[#This Row],[Disc 2]]))</f>
        <v>850500</v>
      </c>
      <c r="AB54" s="274">
        <f>IF(Table1[Item Description]="","",Table1[[#This Row],[h_disc 1]]+Table1[[#This Row],[h_disc 2]])</f>
        <v>3280500</v>
      </c>
      <c r="AC54" s="274">
        <f>IF(Table1[Item Description]="","",Table1[[#This Row],[h_hargasebelumdiskon]]-Table1[[#This Row],[h_diskon]])</f>
        <v>16159500</v>
      </c>
      <c r="AD54" s="274">
        <f ca="1">IF(Table1[//]="","",SUMIF(Table1[h_id],Table1[h_id],Table1[h_hargasetelahdiskon]))</f>
        <v>16159500</v>
      </c>
      <c r="AF54" s="274" t="str">
        <f>Table1[[#This Row],[Item Description]]&amp;Table1[[#This Row],[Unit]]&amp;Table1[[#This Row],[Unit Price]]</f>
        <v>ISI CUTTER 18 MM KENKO L-150 (BESAR)LSN64800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>
        <f ca="1">IF(Table1[[#This Row],[No. Invoice :]]="","",ROW())</f>
        <v>56</v>
      </c>
      <c r="B56" s="278">
        <f ca="1">IF(Table1[Column3]="","",B$1+COUNT(INDIRECT("B$2:B"&amp;ROW()-1)))</f>
        <v>23120015</v>
      </c>
      <c r="C56" s="272">
        <f>IF(Table1[[#This Row],[Column2]]="","",Table1[[#This Row],[Column2]]+C$1-1)</f>
        <v>45275</v>
      </c>
      <c r="D56" s="282">
        <v>15</v>
      </c>
      <c r="E56" s="273" t="s">
        <v>250</v>
      </c>
      <c r="F56" s="271" t="s">
        <v>229</v>
      </c>
      <c r="G56" s="278" t="str">
        <f ca="1">IF(Table1[[#This Row],[h_No. Invoice :]]="","",CONCATENATE("AM"," ",Table1[[#This Row],[h_No. Invoice :]]))</f>
        <v>AM 23120015</v>
      </c>
      <c r="H56" s="271" t="str">
        <f>IF(Table1[[#This Row],[Column5]]="","",INDEX(Table2[Column1],MATCH(Table1[[#This Row],[Column5]],Table2[a],0)))</f>
        <v>G</v>
      </c>
      <c r="I56" s="279" t="str">
        <f>IF(Table1[[#This Row],[Column3]]=0,"",CONCATENATE(UPPER(Table1[[#This Row],[Column3]])," ",Table1[[#This Row],[Column4]]))</f>
        <v>G 4791</v>
      </c>
      <c r="J56" s="278" t="str">
        <f>IF(Table1[[#This Row],[Column5]]="","",INDEX(Table2[e],IF(Table1[[#This Row],[Column5]]="","",MATCH(Table1[[#This Row],[Column5]],Table2[a],0)),))</f>
        <v>GUNAWAN HARTONO KUSUMA ( NIKI SAE ) TULUNG AGUNG</v>
      </c>
      <c r="K56" s="271">
        <v>432</v>
      </c>
      <c r="L56" s="271" t="s">
        <v>162</v>
      </c>
      <c r="M56" s="271">
        <v>3</v>
      </c>
      <c r="N56" s="271" t="s">
        <v>200</v>
      </c>
      <c r="O56" s="278" t="str">
        <f>IF(Table1[[#This Row],[h_Item Description]]="","",INDEX([1]!db[NB PAJAK],MATCH(Table1[[#This Row],[h_Item Description]],[1]!db[kode],0)))</f>
        <v>CRAYON / OIL PASTEL JOYKO OP-12S PP CASE SEA WORLD</v>
      </c>
      <c r="P56" s="271" t="s">
        <v>201</v>
      </c>
      <c r="Q56" s="274">
        <v>11900</v>
      </c>
      <c r="R56" s="275">
        <v>0.125</v>
      </c>
      <c r="S56" s="275">
        <v>0.05</v>
      </c>
      <c r="T56" s="274">
        <f>Table1[[#This Row],[h_hargasetelahdiskon]]</f>
        <v>4273290</v>
      </c>
      <c r="U56" s="274" t="s">
        <v>207</v>
      </c>
      <c r="V56" s="271"/>
      <c r="W56" s="278">
        <f ca="1">IF(Table1[[#This Row],[Item Description]]="","",IF(Table1[[#This Row],[//]]="",INDIRECT(ADDRESS(ROW()-1,COLUMN())),Table1[[#This Row],[//]]))</f>
        <v>56</v>
      </c>
      <c r="X56" s="278">
        <f ca="1">IF(Table1[[#This Row],[h_id]]="","",COUNTIF(Table1[h_id],Table1[[#This Row],[h_id]]))</f>
        <v>3</v>
      </c>
      <c r="Y56" s="274">
        <f>IF(Table1[Item Description]="","",Table1[[#This Row],[Qty]]*Table1[[#This Row],[Unit Price]])</f>
        <v>5140800</v>
      </c>
      <c r="Z56" s="274">
        <f>IF(Table1[[#This Row],[h_hargasebelumdiskon]]="","",IF(Table1[[#This Row],[Disc 1]]="",0,Table1[[#This Row],[h_hargasebelumdiskon]]*Table1[[#This Row],[Disc 1]]))</f>
        <v>642600</v>
      </c>
      <c r="AA56" s="274">
        <f>IF(Table1[[#This Row],[h_hargasebelumdiskon]]="","",IF(Table1[[#This Row],[Disc 2]]="",0,(Table1[[#This Row],[h_hargasebelumdiskon]]-Table1[[#This Row],[h_disc 1]])*Table1[[#This Row],[Disc 2]]))</f>
        <v>224910</v>
      </c>
      <c r="AB56" s="274">
        <f>IF(Table1[Item Description]="","",Table1[[#This Row],[h_disc 1]]+Table1[[#This Row],[h_disc 2]])</f>
        <v>867510</v>
      </c>
      <c r="AC56" s="274">
        <f>IF(Table1[Item Description]="","",Table1[[#This Row],[h_hargasebelumdiskon]]-Table1[[#This Row],[h_diskon]])</f>
        <v>4273290</v>
      </c>
      <c r="AD56" s="274">
        <f ca="1">IF(Table1[//]="","",SUMIF(Table1[h_id],Table1[h_id],Table1[h_hargasetelahdiskon]))</f>
        <v>10361032.5</v>
      </c>
      <c r="AF56" s="274" t="str">
        <f>Table1[[#This Row],[Item Description]]&amp;Table1[[#This Row],[Unit]]&amp;Table1[[#This Row],[Unit Price]]</f>
        <v>CRAYON / OIL PASTEL JOYKO OP-12S PP CASE SEA WORLDPCS11900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96</v>
      </c>
      <c r="L57" s="271" t="s">
        <v>162</v>
      </c>
      <c r="M57" s="271">
        <v>2</v>
      </c>
      <c r="N57" s="271" t="s">
        <v>222</v>
      </c>
      <c r="O57" s="278" t="str">
        <f>IF(Table1[[#This Row],[h_Item Description]]="","",INDEX([1]!db[NB PAJAK],MATCH(Table1[[#This Row],[h_Item Description]],[1]!db[kode],0)))</f>
        <v>CRAYON / OIL PASTEL JOYKO OP-24S PP CASE SEA WORLD</v>
      </c>
      <c r="P57" s="271" t="s">
        <v>223</v>
      </c>
      <c r="Q57" s="274">
        <v>29600</v>
      </c>
      <c r="R57" s="275">
        <v>0.125</v>
      </c>
      <c r="S57" s="275">
        <v>0.05</v>
      </c>
      <c r="T57" s="274">
        <f>Table1[[#This Row],[h_hargasetelahdiskon]]</f>
        <v>2362080</v>
      </c>
      <c r="V57" s="271"/>
      <c r="W57" s="278">
        <f ca="1">IF(Table1[[#This Row],[Item Description]]="","",IF(Table1[[#This Row],[//]]="",INDIRECT(ADDRESS(ROW()-1,COLUMN())),Table1[[#This Row],[//]]))</f>
        <v>56</v>
      </c>
      <c r="X57" s="278">
        <f ca="1">IF(Table1[[#This Row],[h_id]]="","",COUNTIF(Table1[h_id],Table1[[#This Row],[h_id]]))</f>
        <v>3</v>
      </c>
      <c r="Y57" s="274">
        <f>IF(Table1[Item Description]="","",Table1[[#This Row],[Qty]]*Table1[[#This Row],[Unit Price]])</f>
        <v>2841600</v>
      </c>
      <c r="Z57" s="274">
        <f>IF(Table1[[#This Row],[h_hargasebelumdiskon]]="","",IF(Table1[[#This Row],[Disc 1]]="",0,Table1[[#This Row],[h_hargasebelumdiskon]]*Table1[[#This Row],[Disc 1]]))</f>
        <v>355200</v>
      </c>
      <c r="AA57" s="274">
        <f>IF(Table1[[#This Row],[h_hargasebelumdiskon]]="","",IF(Table1[[#This Row],[Disc 2]]="",0,(Table1[[#This Row],[h_hargasebelumdiskon]]-Table1[[#This Row],[h_disc 1]])*Table1[[#This Row],[Disc 2]]))</f>
        <v>124320</v>
      </c>
      <c r="AB57" s="274">
        <f>IF(Table1[Item Description]="","",Table1[[#This Row],[h_disc 1]]+Table1[[#This Row],[h_disc 2]])</f>
        <v>479520</v>
      </c>
      <c r="AC57" s="274">
        <f>IF(Table1[Item Description]="","",Table1[[#This Row],[h_hargasebelumdiskon]]-Table1[[#This Row],[h_diskon]])</f>
        <v>2362080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CRAYON / OIL PASTEL JOYKO OP-24S PP CASE SEA WORLDPCS29600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108</v>
      </c>
      <c r="L58" s="271" t="s">
        <v>162</v>
      </c>
      <c r="M58" s="271">
        <v>3</v>
      </c>
      <c r="N58" s="271" t="s">
        <v>251</v>
      </c>
      <c r="O58" s="278" t="str">
        <f>IF(Table1[[#This Row],[h_Item Description]]="","",INDEX([1]!db[NB PAJAK],MATCH(Table1[[#This Row],[h_Item Description]],[1]!db[kode],0)))</f>
        <v>CRAYON / OIL PASTEL JOYKO OP-36S PP CASE SEA WORLD</v>
      </c>
      <c r="P58" s="271" t="s">
        <v>242</v>
      </c>
      <c r="Q58" s="274">
        <v>41500</v>
      </c>
      <c r="R58" s="275">
        <v>0.125</v>
      </c>
      <c r="S58" s="275">
        <v>0.05</v>
      </c>
      <c r="T58" s="274">
        <f>Table1[[#This Row],[h_hargasetelahdiskon]]</f>
        <v>3725662.5</v>
      </c>
      <c r="V58" s="271"/>
      <c r="W58" s="278">
        <f ca="1">IF(Table1[[#This Row],[Item Description]]="","",IF(Table1[[#This Row],[//]]="",INDIRECT(ADDRESS(ROW()-1,COLUMN())),Table1[[#This Row],[//]]))</f>
        <v>56</v>
      </c>
      <c r="X58" s="278">
        <f ca="1">IF(Table1[[#This Row],[h_id]]="","",COUNTIF(Table1[h_id],Table1[[#This Row],[h_id]]))</f>
        <v>3</v>
      </c>
      <c r="Y58" s="274">
        <f>IF(Table1[Item Description]="","",Table1[[#This Row],[Qty]]*Table1[[#This Row],[Unit Price]])</f>
        <v>4482000</v>
      </c>
      <c r="Z58" s="274">
        <f>IF(Table1[[#This Row],[h_hargasebelumdiskon]]="","",IF(Table1[[#This Row],[Disc 1]]="",0,Table1[[#This Row],[h_hargasebelumdiskon]]*Table1[[#This Row],[Disc 1]]))</f>
        <v>560250</v>
      </c>
      <c r="AA58" s="274">
        <f>IF(Table1[[#This Row],[h_hargasebelumdiskon]]="","",IF(Table1[[#This Row],[Disc 2]]="",0,(Table1[[#This Row],[h_hargasebelumdiskon]]-Table1[[#This Row],[h_disc 1]])*Table1[[#This Row],[Disc 2]]))</f>
        <v>196087.5</v>
      </c>
      <c r="AB58" s="274">
        <f>IF(Table1[Item Description]="","",Table1[[#This Row],[h_disc 1]]+Table1[[#This Row],[h_disc 2]])</f>
        <v>756337.5</v>
      </c>
      <c r="AC58" s="274">
        <f>IF(Table1[Item Description]="","",Table1[[#This Row],[h_hargasebelumdiskon]]-Table1[[#This Row],[h_diskon]])</f>
        <v>3725662.5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CRAYON / OIL PASTEL JOYKO OP-36S PP CASE SEA WORLDPCS41500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>
        <f ca="1">IF(Table1[[#This Row],[No. Invoice :]]="","",ROW())</f>
        <v>61</v>
      </c>
      <c r="B61" s="278">
        <f ca="1">IF(Table1[Column3]="","",B$1+COUNT(INDIRECT("B$2:B"&amp;ROW()-1)))</f>
        <v>23120016</v>
      </c>
      <c r="C61" s="272">
        <f>IF(Table1[[#This Row],[Column2]]="","",Table1[[#This Row],[Column2]]+C$1-1)</f>
        <v>45275</v>
      </c>
      <c r="D61" s="282">
        <v>15</v>
      </c>
      <c r="E61" s="273" t="s">
        <v>252</v>
      </c>
      <c r="F61" s="271" t="s">
        <v>148</v>
      </c>
      <c r="G61" s="278" t="str">
        <f ca="1">IF(Table1[[#This Row],[h_No. Invoice :]]="","",CONCATENATE("AM"," ",Table1[[#This Row],[h_No. Invoice :]]))</f>
        <v>AM 23120016</v>
      </c>
      <c r="H61" s="271" t="str">
        <f>IF(Table1[[#This Row],[Column5]]="","",INDEX(Table2[Column1],MATCH(Table1[[#This Row],[Column5]],Table2[a],0)))</f>
        <v>G</v>
      </c>
      <c r="I61" s="279" t="str">
        <f>IF(Table1[[#This Row],[Column3]]=0,"",CONCATENATE(UPPER(Table1[[#This Row],[Column3]])," ",Table1[[#This Row],[Column4]]))</f>
        <v>G 4792</v>
      </c>
      <c r="J61" s="278" t="str">
        <f>IF(Table1[[#This Row],[Column5]]="","",INDEX(Table2[e],IF(Table1[[#This Row],[Column5]]="","",MATCH(Table1[[#This Row],[Column5]],Table2[a],0)),))</f>
        <v>LILY JULIAWATI (REJO AGUNG) JOMBANG</v>
      </c>
      <c r="K61" s="271">
        <v>720</v>
      </c>
      <c r="L61" s="271" t="s">
        <v>162</v>
      </c>
      <c r="M61" s="271">
        <v>5</v>
      </c>
      <c r="N61" s="271" t="s">
        <v>200</v>
      </c>
      <c r="O61" s="278" t="str">
        <f>IF(Table1[[#This Row],[h_Item Description]]="","",INDEX([1]!db[NB PAJAK],MATCH(Table1[[#This Row],[h_Item Description]],[1]!db[kode],0)))</f>
        <v>CRAYON / OIL PASTEL JOYKO OP-12S PP CASE SEA WORLD</v>
      </c>
      <c r="P61" s="271" t="s">
        <v>201</v>
      </c>
      <c r="Q61" s="274">
        <v>11900</v>
      </c>
      <c r="R61" s="275">
        <v>0.125</v>
      </c>
      <c r="S61" s="275">
        <v>0.05</v>
      </c>
      <c r="T61" s="274">
        <f>Table1[[#This Row],[h_hargasetelahdiskon]]</f>
        <v>7122150</v>
      </c>
      <c r="U61" s="274" t="s">
        <v>130</v>
      </c>
      <c r="V61" s="271"/>
      <c r="W61" s="278">
        <f ca="1">IF(Table1[[#This Row],[Item Description]]="","",IF(Table1[[#This Row],[//]]="",INDIRECT(ADDRESS(ROW()-1,COLUMN())),Table1[[#This Row],[//]]))</f>
        <v>61</v>
      </c>
      <c r="X61" s="278">
        <f ca="1">IF(Table1[[#This Row],[h_id]]="","",COUNTIF(Table1[h_id],Table1[[#This Row],[h_id]]))</f>
        <v>5</v>
      </c>
      <c r="Y61" s="274">
        <f>IF(Table1[Item Description]="","",Table1[[#This Row],[Qty]]*Table1[[#This Row],[Unit Price]])</f>
        <v>8568000</v>
      </c>
      <c r="Z61" s="274">
        <f>IF(Table1[[#This Row],[h_hargasebelumdiskon]]="","",IF(Table1[[#This Row],[Disc 1]]="",0,Table1[[#This Row],[h_hargasebelumdiskon]]*Table1[[#This Row],[Disc 1]]))</f>
        <v>1071000</v>
      </c>
      <c r="AA61" s="274">
        <f>IF(Table1[[#This Row],[h_hargasebelumdiskon]]="","",IF(Table1[[#This Row],[Disc 2]]="",0,(Table1[[#This Row],[h_hargasebelumdiskon]]-Table1[[#This Row],[h_disc 1]])*Table1[[#This Row],[Disc 2]]))</f>
        <v>374850</v>
      </c>
      <c r="AB61" s="274">
        <f>IF(Table1[Item Description]="","",Table1[[#This Row],[h_disc 1]]+Table1[[#This Row],[h_disc 2]])</f>
        <v>1445850</v>
      </c>
      <c r="AC61" s="274">
        <f>IF(Table1[Item Description]="","",Table1[[#This Row],[h_hargasebelumdiskon]]-Table1[[#This Row],[h_diskon]])</f>
        <v>7122150</v>
      </c>
      <c r="AD61" s="274">
        <f ca="1">IF(Table1[//]="","",SUMIF(Table1[h_id],Table1[h_id],Table1[h_hargasetelahdiskon]))</f>
        <v>32112675</v>
      </c>
      <c r="AF61" s="274" t="str">
        <f>Table1[[#This Row],[Item Description]]&amp;Table1[[#This Row],[Unit]]&amp;Table1[[#This Row],[Unit Price]]</f>
        <v>CRAYON / OIL PASTEL JOYKO OP-12S PP CASE SEA WORLDPCS11900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>
        <v>72</v>
      </c>
      <c r="L62" s="271" t="s">
        <v>162</v>
      </c>
      <c r="M62" s="271">
        <v>2</v>
      </c>
      <c r="N62" s="271" t="s">
        <v>251</v>
      </c>
      <c r="O62" s="278" t="str">
        <f>IF(Table1[[#This Row],[h_Item Description]]="","",INDEX([1]!db[NB PAJAK],MATCH(Table1[[#This Row],[h_Item Description]],[1]!db[kode],0)))</f>
        <v>CRAYON / OIL PASTEL JOYKO OP-36S PP CASE SEA WORLD</v>
      </c>
      <c r="P62" s="271" t="s">
        <v>242</v>
      </c>
      <c r="Q62" s="274">
        <v>41500</v>
      </c>
      <c r="R62" s="275">
        <v>0.125</v>
      </c>
      <c r="S62" s="275">
        <v>0.05</v>
      </c>
      <c r="T62" s="274">
        <f>Table1[[#This Row],[h_hargasetelahdiskon]]</f>
        <v>2483775</v>
      </c>
      <c r="V62" s="271"/>
      <c r="W62" s="278">
        <f ca="1">IF(Table1[[#This Row],[Item Description]]="","",IF(Table1[[#This Row],[//]]="",INDIRECT(ADDRESS(ROW()-1,COLUMN())),Table1[[#This Row],[//]]))</f>
        <v>61</v>
      </c>
      <c r="X62" s="278">
        <f ca="1">IF(Table1[[#This Row],[h_id]]="","",COUNTIF(Table1[h_id],Table1[[#This Row],[h_id]]))</f>
        <v>5</v>
      </c>
      <c r="Y62" s="274">
        <f>IF(Table1[Item Description]="","",Table1[[#This Row],[Qty]]*Table1[[#This Row],[Unit Price]])</f>
        <v>2988000</v>
      </c>
      <c r="Z62" s="274">
        <f>IF(Table1[[#This Row],[h_hargasebelumdiskon]]="","",IF(Table1[[#This Row],[Disc 1]]="",0,Table1[[#This Row],[h_hargasebelumdiskon]]*Table1[[#This Row],[Disc 1]]))</f>
        <v>373500</v>
      </c>
      <c r="AA62" s="274">
        <f>IF(Table1[[#This Row],[h_hargasebelumdiskon]]="","",IF(Table1[[#This Row],[Disc 2]]="",0,(Table1[[#This Row],[h_hargasebelumdiskon]]-Table1[[#This Row],[h_disc 1]])*Table1[[#This Row],[Disc 2]]))</f>
        <v>130725</v>
      </c>
      <c r="AB62" s="274">
        <f>IF(Table1[Item Description]="","",Table1[[#This Row],[h_disc 1]]+Table1[[#This Row],[h_disc 2]])</f>
        <v>504225</v>
      </c>
      <c r="AC62" s="274">
        <f>IF(Table1[Item Description]="","",Table1[[#This Row],[h_hargasebelumdiskon]]-Table1[[#This Row],[h_diskon]])</f>
        <v>2483775</v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>CRAYON / OIL PASTEL JOYKO OP-36S PP CASE SEA WORLDPCS41500</v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720</v>
      </c>
      <c r="L63" s="271" t="s">
        <v>162</v>
      </c>
      <c r="M63" s="271">
        <v>5</v>
      </c>
      <c r="N63" s="271" t="s">
        <v>255</v>
      </c>
      <c r="O63" s="278" t="e">
        <f>IF(Table1[[#This Row],[h_Item Description]]="","",INDEX([1]!db[NB PAJAK],MATCH(Table1[[#This Row],[h_Item Description]],[1]!db[kode],0)))</f>
        <v>#N/A</v>
      </c>
      <c r="P63" s="271" t="s">
        <v>232</v>
      </c>
      <c r="Q63" s="274">
        <v>23900</v>
      </c>
      <c r="R63" s="275">
        <v>0.125</v>
      </c>
      <c r="S63" s="275">
        <v>0.05</v>
      </c>
      <c r="T63" s="274">
        <f>Table1[[#This Row],[h_hargasetelahdiskon]]</f>
        <v>14304150</v>
      </c>
      <c r="V63" s="271"/>
      <c r="W63" s="278">
        <f ca="1">IF(Table1[[#This Row],[Item Description]]="","",IF(Table1[[#This Row],[//]]="",INDIRECT(ADDRESS(ROW()-1,COLUMN())),Table1[[#This Row],[//]]))</f>
        <v>61</v>
      </c>
      <c r="X63" s="278">
        <f ca="1">IF(Table1[[#This Row],[h_id]]="","",COUNTIF(Table1[h_id],Table1[[#This Row],[h_id]]))</f>
        <v>5</v>
      </c>
      <c r="Y63" s="274">
        <f>IF(Table1[Item Description]="","",Table1[[#This Row],[Qty]]*Table1[[#This Row],[Unit Price]])</f>
        <v>17208000</v>
      </c>
      <c r="Z63" s="274">
        <f>IF(Table1[[#This Row],[h_hargasebelumdiskon]]="","",IF(Table1[[#This Row],[Disc 1]]="",0,Table1[[#This Row],[h_hargasebelumdiskon]]*Table1[[#This Row],[Disc 1]]))</f>
        <v>2151000</v>
      </c>
      <c r="AA63" s="274">
        <f>IF(Table1[[#This Row],[h_hargasebelumdiskon]]="","",IF(Table1[[#This Row],[Disc 2]]="",0,(Table1[[#This Row],[h_hargasebelumdiskon]]-Table1[[#This Row],[h_disc 1]])*Table1[[#This Row],[Disc 2]]))</f>
        <v>752850</v>
      </c>
      <c r="AB63" s="274">
        <f>IF(Table1[Item Description]="","",Table1[[#This Row],[h_disc 1]]+Table1[[#This Row],[h_disc 2]])</f>
        <v>2903850</v>
      </c>
      <c r="AC63" s="274">
        <f>IF(Table1[Item Description]="","",Table1[[#This Row],[h_hargasebelumdiskon]]-Table1[[#This Row],[h_diskon]])</f>
        <v>14304150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CRAYON / OIL PASTEL PUTAR JOYKO TWCR-12S (PANJANG)PCS23900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864</v>
      </c>
      <c r="L64" s="271" t="s">
        <v>162</v>
      </c>
      <c r="M64" s="271">
        <v>3</v>
      </c>
      <c r="N64" s="271" t="s">
        <v>253</v>
      </c>
      <c r="O64" s="278" t="str">
        <f>IF(Table1[[#This Row],[h_Item Description]]="","",INDEX([1]!db[NB PAJAK],MATCH(Table1[[#This Row],[h_Item Description]],[1]!db[kode],0)))</f>
        <v>GUNTING JOYKO SC-828</v>
      </c>
      <c r="P64" s="271" t="s">
        <v>256</v>
      </c>
      <c r="Q64" s="274">
        <v>4350</v>
      </c>
      <c r="R64" s="275">
        <v>0.125</v>
      </c>
      <c r="S64" s="275"/>
      <c r="T64" s="274">
        <f>Table1[[#This Row],[h_hargasetelahdiskon]]</f>
        <v>3288600</v>
      </c>
      <c r="V64" s="271"/>
      <c r="W64" s="278">
        <f ca="1">IF(Table1[[#This Row],[Item Description]]="","",IF(Table1[[#This Row],[//]]="",INDIRECT(ADDRESS(ROW()-1,COLUMN())),Table1[[#This Row],[//]]))</f>
        <v>61</v>
      </c>
      <c r="X64" s="278">
        <f ca="1">IF(Table1[[#This Row],[h_id]]="","",COUNTIF(Table1[h_id],Table1[[#This Row],[h_id]]))</f>
        <v>5</v>
      </c>
      <c r="Y64" s="274">
        <f>IF(Table1[Item Description]="","",Table1[[#This Row],[Qty]]*Table1[[#This Row],[Unit Price]])</f>
        <v>3758400</v>
      </c>
      <c r="Z64" s="274">
        <f>IF(Table1[[#This Row],[h_hargasebelumdiskon]]="","",IF(Table1[[#This Row],[Disc 1]]="",0,Table1[[#This Row],[h_hargasebelumdiskon]]*Table1[[#This Row],[Disc 1]]))</f>
        <v>469800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469800</v>
      </c>
      <c r="AC64" s="274">
        <f>IF(Table1[Item Description]="","",Table1[[#This Row],[h_hargasebelumdiskon]]-Table1[[#This Row],[h_diskon]])</f>
        <v>3288600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GUNTING JOYKO SC-828PCS4350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864</v>
      </c>
      <c r="L65" s="271" t="s">
        <v>162</v>
      </c>
      <c r="M65" s="271">
        <v>3</v>
      </c>
      <c r="N65" s="271" t="s">
        <v>254</v>
      </c>
      <c r="O65" s="278" t="str">
        <f>IF(Table1[[#This Row],[h_Item Description]]="","",INDEX([1]!db[NB PAJAK],MATCH(Table1[[#This Row],[h_Item Description]],[1]!db[kode],0)))</f>
        <v>GUNTING JOYKO SC-838</v>
      </c>
      <c r="P65" s="271" t="s">
        <v>257</v>
      </c>
      <c r="Q65" s="274">
        <v>6500</v>
      </c>
      <c r="R65" s="275">
        <v>0.125</v>
      </c>
      <c r="S65" s="275"/>
      <c r="T65" s="274">
        <f>Table1[[#This Row],[h_hargasetelahdiskon]]</f>
        <v>4914000</v>
      </c>
      <c r="V65" s="271"/>
      <c r="W65" s="278">
        <f ca="1">IF(Table1[[#This Row],[Item Description]]="","",IF(Table1[[#This Row],[//]]="",INDIRECT(ADDRESS(ROW()-1,COLUMN())),Table1[[#This Row],[//]]))</f>
        <v>61</v>
      </c>
      <c r="X65" s="278">
        <f ca="1">IF(Table1[[#This Row],[h_id]]="","",COUNTIF(Table1[h_id],Table1[[#This Row],[h_id]]))</f>
        <v>5</v>
      </c>
      <c r="Y65" s="274">
        <f>IF(Table1[Item Description]="","",Table1[[#This Row],[Qty]]*Table1[[#This Row],[Unit Price]])</f>
        <v>5616000</v>
      </c>
      <c r="Z65" s="274">
        <f>IF(Table1[[#This Row],[h_hargasebelumdiskon]]="","",IF(Table1[[#This Row],[Disc 1]]="",0,Table1[[#This Row],[h_hargasebelumdiskon]]*Table1[[#This Row],[Disc 1]]))</f>
        <v>702000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702000</v>
      </c>
      <c r="AC65" s="274">
        <f>IF(Table1[Item Description]="","",Table1[[#This Row],[h_hargasebelumdiskon]]-Table1[[#This Row],[h_diskon]])</f>
        <v>4914000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GUNTING JOYKO SC-838PCS6500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/>
      <c r="L66" s="271"/>
      <c r="O66" s="278" t="str">
        <f>IF(Table1[[#This Row],[h_Item Description]]="","",INDEX([1]!db[NB PAJAK],MATCH(Table1[[#This Row],[h_Item Description]],[1]!db[kode],0)))</f>
        <v/>
      </c>
      <c r="Q66" s="274"/>
      <c r="R66" s="275"/>
      <c r="S66" s="275"/>
      <c r="T66" s="274" t="str">
        <f>Table1[[#This Row],[h_hargasetelahdiskon]]</f>
        <v/>
      </c>
      <c r="V66" s="271"/>
      <c r="W66" s="278" t="str">
        <f ca="1">IF(Table1[[#This Row],[Item Description]]="","",IF(Table1[[#This Row],[//]]="",INDIRECT(ADDRESS(ROW()-1,COLUMN())),Table1[[#This Row],[//]]))</f>
        <v/>
      </c>
      <c r="X66" s="278" t="str">
        <f ca="1">IF(Table1[[#This Row],[h_id]]="","",COUNTIF(Table1[h_id],Table1[[#This Row],[h_id]]))</f>
        <v/>
      </c>
      <c r="Y66" s="274" t="str">
        <f>IF(Table1[Item Description]="","",Table1[[#This Row],[Qty]]*Table1[[#This Row],[Unit Price]])</f>
        <v/>
      </c>
      <c r="Z66" s="274" t="str">
        <f>IF(Table1[[#This Row],[h_hargasebelumdiskon]]="","",IF(Table1[[#This Row],[Disc 1]]="",0,Table1[[#This Row],[h_hargasebelumdiskon]]*Table1[[#This Row],[Disc 1]]))</f>
        <v/>
      </c>
      <c r="AA66" s="274" t="str">
        <f>IF(Table1[[#This Row],[h_hargasebelumdiskon]]="","",IF(Table1[[#This Row],[Disc 2]]="",0,(Table1[[#This Row],[h_hargasebelumdiskon]]-Table1[[#This Row],[h_disc 1]])*Table1[[#This Row],[Disc 2]]))</f>
        <v/>
      </c>
      <c r="AB66" s="274" t="str">
        <f>IF(Table1[Item Description]="","",Table1[[#This Row],[h_disc 1]]+Table1[[#This Row],[h_disc 2]])</f>
        <v/>
      </c>
      <c r="AC66" s="274" t="str">
        <f>IF(Table1[Item Description]="","",Table1[[#This Row],[h_hargasebelumdiskon]]-Table1[[#This Row],[h_diskon]])</f>
        <v/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/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>
        <f ca="1">IF(Table1[[#This Row],[No. Invoice :]]="","",ROW())</f>
        <v>69</v>
      </c>
      <c r="B69" s="278">
        <f ca="1">IF(Table1[Column3]="","",B$1+COUNT(INDIRECT("B$2:B"&amp;ROW()-1)))</f>
        <v>23120017</v>
      </c>
      <c r="C69" s="272">
        <f>IF(Table1[[#This Row],[Column2]]="","",Table1[[#This Row],[Column2]]+C$1-1)</f>
        <v>45273</v>
      </c>
      <c r="D69" s="282">
        <v>13</v>
      </c>
      <c r="E69" s="273" t="s">
        <v>240</v>
      </c>
      <c r="F69" s="271" t="s">
        <v>148</v>
      </c>
      <c r="G69" s="278" t="str">
        <f ca="1">IF(Table1[[#This Row],[h_No. Invoice :]]="","",CONCATENATE("AM"," ",Table1[[#This Row],[h_No. Invoice :]]))</f>
        <v>AM 23120017</v>
      </c>
      <c r="H69" s="271" t="str">
        <f>IF(Table1[[#This Row],[Column5]]="","",INDEX(Table2[Column1],MATCH(Table1[[#This Row],[Column5]],Table2[a],0)))</f>
        <v>G</v>
      </c>
      <c r="I69" s="279" t="str">
        <f>IF(Table1[[#This Row],[Column3]]=0,"",CONCATENATE(UPPER(Table1[[#This Row],[Column3]])," ",Table1[[#This Row],[Column4]]))</f>
        <v>G 4789</v>
      </c>
      <c r="J69" s="278" t="str">
        <f>IF(Table1[[#This Row],[Column5]]="","",INDEX(Table2[e],IF(Table1[[#This Row],[Column5]]="","",MATCH(Table1[[#This Row],[Column5]],Table2[a],0)),))</f>
        <v>LILY JULIAWATI (REJO AGUNG) JOMBANG</v>
      </c>
      <c r="K69" s="271">
        <v>720</v>
      </c>
      <c r="L69" s="271" t="s">
        <v>241</v>
      </c>
      <c r="M69" s="271">
        <v>5</v>
      </c>
      <c r="O69" s="278" t="str">
        <f>IF(Table1[[#This Row],[h_Item Description]]="","",INDEX([1]!db[NB PAJAK],MATCH(Table1[[#This Row],[h_Item Description]],[1]!db[kode],0)))</f>
        <v/>
      </c>
      <c r="P69" s="271" t="s">
        <v>201</v>
      </c>
      <c r="Q69" s="274">
        <v>11900</v>
      </c>
      <c r="R69" s="275">
        <v>0.125</v>
      </c>
      <c r="S69" s="275">
        <v>0.05</v>
      </c>
      <c r="T69" s="274">
        <f>Table1[[#This Row],[h_hargasetelahdiskon]]</f>
        <v>7122150</v>
      </c>
      <c r="U69" s="274" t="s">
        <v>243</v>
      </c>
      <c r="V69" s="271"/>
      <c r="W69" s="278">
        <f ca="1">IF(Table1[[#This Row],[Item Description]]="","",IF(Table1[[#This Row],[//]]="",INDIRECT(ADDRESS(ROW()-1,COLUMN())),Table1[[#This Row],[//]]))</f>
        <v>69</v>
      </c>
      <c r="X69" s="278">
        <f ca="1">IF(Table1[[#This Row],[h_id]]="","",COUNTIF(Table1[h_id],Table1[[#This Row],[h_id]]))</f>
        <v>2</v>
      </c>
      <c r="Y69" s="274">
        <f>IF(Table1[Item Description]="","",Table1[[#This Row],[Qty]]*Table1[[#This Row],[Unit Price]])</f>
        <v>8568000</v>
      </c>
      <c r="Z69" s="274">
        <f>IF(Table1[[#This Row],[h_hargasebelumdiskon]]="","",IF(Table1[[#This Row],[Disc 1]]="",0,Table1[[#This Row],[h_hargasebelumdiskon]]*Table1[[#This Row],[Disc 1]]))</f>
        <v>1071000</v>
      </c>
      <c r="AA69" s="274">
        <f>IF(Table1[[#This Row],[h_hargasebelumdiskon]]="","",IF(Table1[[#This Row],[Disc 2]]="",0,(Table1[[#This Row],[h_hargasebelumdiskon]]-Table1[[#This Row],[h_disc 1]])*Table1[[#This Row],[Disc 2]]))</f>
        <v>374850</v>
      </c>
      <c r="AB69" s="274">
        <f>IF(Table1[Item Description]="","",Table1[[#This Row],[h_disc 1]]+Table1[[#This Row],[h_disc 2]])</f>
        <v>1445850</v>
      </c>
      <c r="AC69" s="274">
        <f>IF(Table1[Item Description]="","",Table1[[#This Row],[h_hargasebelumdiskon]]-Table1[[#This Row],[h_diskon]])</f>
        <v>7122150</v>
      </c>
      <c r="AD69" s="274">
        <f ca="1">IF(Table1[//]="","",SUMIF(Table1[h_id],Table1[h_id],Table1[h_hargasetelahdiskon]))</f>
        <v>8364037.5</v>
      </c>
      <c r="AF69" s="274" t="str">
        <f>Table1[[#This Row],[Item Description]]&amp;Table1[[#This Row],[Unit]]&amp;Table1[[#This Row],[Unit Price]]</f>
        <v>CRAYON / OIL PASTEL JOYKO OP-12S PP CASE SEA WORLDSET11900</v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>
        <v>36</v>
      </c>
      <c r="L70" s="271" t="s">
        <v>241</v>
      </c>
      <c r="M70" s="271">
        <v>1</v>
      </c>
      <c r="O70" s="278" t="str">
        <f>IF(Table1[[#This Row],[h_Item Description]]="","",INDEX([1]!db[NB PAJAK],MATCH(Table1[[#This Row],[h_Item Description]],[1]!db[kode],0)))</f>
        <v/>
      </c>
      <c r="P70" s="271" t="s">
        <v>242</v>
      </c>
      <c r="Q70" s="274">
        <v>41500</v>
      </c>
      <c r="R70" s="275">
        <v>0.125</v>
      </c>
      <c r="S70" s="275">
        <v>0.05</v>
      </c>
      <c r="T70" s="274">
        <f>Table1[[#This Row],[h_hargasetelahdiskon]]</f>
        <v>1241887.5</v>
      </c>
      <c r="V70" s="271"/>
      <c r="W70" s="278">
        <f ca="1">IF(Table1[[#This Row],[Item Description]]="","",IF(Table1[[#This Row],[//]]="",INDIRECT(ADDRESS(ROW()-1,COLUMN())),Table1[[#This Row],[//]]))</f>
        <v>69</v>
      </c>
      <c r="X70" s="278">
        <f ca="1">IF(Table1[[#This Row],[h_id]]="","",COUNTIF(Table1[h_id],Table1[[#This Row],[h_id]]))</f>
        <v>2</v>
      </c>
      <c r="Y70" s="274">
        <f>IF(Table1[Item Description]="","",Table1[[#This Row],[Qty]]*Table1[[#This Row],[Unit Price]])</f>
        <v>1494000</v>
      </c>
      <c r="Z70" s="274">
        <f>IF(Table1[[#This Row],[h_hargasebelumdiskon]]="","",IF(Table1[[#This Row],[Disc 1]]="",0,Table1[[#This Row],[h_hargasebelumdiskon]]*Table1[[#This Row],[Disc 1]]))</f>
        <v>186750</v>
      </c>
      <c r="AA70" s="274">
        <f>IF(Table1[[#This Row],[h_hargasebelumdiskon]]="","",IF(Table1[[#This Row],[Disc 2]]="",0,(Table1[[#This Row],[h_hargasebelumdiskon]]-Table1[[#This Row],[h_disc 1]])*Table1[[#This Row],[Disc 2]]))</f>
        <v>65362.5</v>
      </c>
      <c r="AB70" s="274">
        <f>IF(Table1[Item Description]="","",Table1[[#This Row],[h_disc 1]]+Table1[[#This Row],[h_disc 2]])</f>
        <v>252112.5</v>
      </c>
      <c r="AC70" s="274">
        <f>IF(Table1[Item Description]="","",Table1[[#This Row],[h_hargasebelumdiskon]]-Table1[[#This Row],[h_diskon]])</f>
        <v>1241887.5</v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>CRAYON / OIL PASTEL JOYKO OP-36S PP CASE SEA WORLDSET41500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ht="16.5" x14ac:dyDescent="0.25">
      <c r="A72" s="278">
        <f ca="1">IF(Table1[[#This Row],[No. Invoice :]]="","",ROW())</f>
        <v>72</v>
      </c>
      <c r="B72" s="278">
        <f ca="1">IF(Table1[Column3]="","",B$1+COUNT(INDIRECT("B$2:B"&amp;ROW()-1)))</f>
        <v>23120018</v>
      </c>
      <c r="C72" s="272">
        <f>IF(Table1[[#This Row],[Column2]]="","",Table1[[#This Row],[Column2]]+C$1-1)</f>
        <v>45273</v>
      </c>
      <c r="D72" s="282">
        <v>13</v>
      </c>
      <c r="E72" s="273" t="s">
        <v>244</v>
      </c>
      <c r="F72" s="271" t="s">
        <v>108</v>
      </c>
      <c r="G72" s="278" t="str">
        <f ca="1">IF(Table1[[#This Row],[h_No. Invoice :]]="","",CONCATENATE("AM"," ",Table1[[#This Row],[h_No. Invoice :]]))</f>
        <v>AM 23120018</v>
      </c>
      <c r="H72" s="271" t="str">
        <f>IF(Table1[[#This Row],[Column5]]="","",INDEX(Table2[Column1],MATCH(Table1[[#This Row],[Column5]],Table2[a],0)))</f>
        <v>KO</v>
      </c>
      <c r="I72" s="279" t="str">
        <f>IF(Table1[[#This Row],[Column3]]=0,"",CONCATENATE(UPPER(Table1[[#This Row],[Column3]])," ",Table1[[#This Row],[Column4]]))</f>
        <v>KO 4788</v>
      </c>
      <c r="J72" s="278" t="str">
        <f>IF(Table1[[#This Row],[Column5]]="","",INDEX(Table2[e],IF(Table1[[#This Row],[Column5]]="","",MATCH(Table1[[#This Row],[Column5]],Table2[a],0)),))</f>
        <v>SETIAWAN BUDIONO ( PRIMA ) PEKALONGAN</v>
      </c>
      <c r="K72" s="271">
        <v>720</v>
      </c>
      <c r="L72" s="271" t="s">
        <v>245</v>
      </c>
      <c r="M72" s="271">
        <v>1</v>
      </c>
      <c r="O72" s="278" t="str">
        <f>IF(Table1[[#This Row],[h_Item Description]]="","",INDEX([1]!db[NB PAJAK],MATCH(Table1[[#This Row],[h_Item Description]],[1]!db[kode],0)))</f>
        <v/>
      </c>
      <c r="P72" s="281" t="s">
        <v>247</v>
      </c>
      <c r="Q72" s="274">
        <v>3700</v>
      </c>
      <c r="R72" s="275">
        <v>0.125</v>
      </c>
      <c r="S72" s="275"/>
      <c r="T72" s="274">
        <f>Table1[[#This Row],[h_hargasetelahdiskon]]</f>
        <v>2331000</v>
      </c>
      <c r="U72" s="274" t="s">
        <v>243</v>
      </c>
      <c r="V72" s="271"/>
      <c r="W72" s="278">
        <f ca="1">IF(Table1[[#This Row],[Item Description]]="","",IF(Table1[[#This Row],[//]]="",INDIRECT(ADDRESS(ROW()-1,COLUMN())),Table1[[#This Row],[//]]))</f>
        <v>72</v>
      </c>
      <c r="X72" s="278">
        <f ca="1">IF(Table1[[#This Row],[h_id]]="","",COUNTIF(Table1[h_id],Table1[[#This Row],[h_id]]))</f>
        <v>3</v>
      </c>
      <c r="Y72" s="274">
        <f>IF(Table1[Item Description]="","",Table1[[#This Row],[Qty]]*Table1[[#This Row],[Unit Price]])</f>
        <v>2664000</v>
      </c>
      <c r="Z72" s="274">
        <f>IF(Table1[[#This Row],[h_hargasebelumdiskon]]="","",IF(Table1[[#This Row],[Disc 1]]="",0,Table1[[#This Row],[h_hargasebelumdiskon]]*Table1[[#This Row],[Disc 1]]))</f>
        <v>333000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333000</v>
      </c>
      <c r="AC72" s="274">
        <f>IF(Table1[Item Description]="","",Table1[[#This Row],[h_hargasebelumdiskon]]-Table1[[#This Row],[h_diskon]])</f>
        <v>2331000</v>
      </c>
      <c r="AD72" s="274">
        <f ca="1">IF(Table1[//]="","",SUMIF(Table1[h_id],Table1[h_id],Table1[h_hargasetelahdiskon]))</f>
        <v>3521700</v>
      </c>
      <c r="AF72" s="274" t="str">
        <f>Table1[[#This Row],[Item Description]]&amp;Table1[[#This Row],[Unit]]&amp;Table1[[#This Row],[Unit Price]]</f>
        <v>HIGHLIGHTER / STABILLO JOYKO HL-1/2/3/4/5 (Kn/Hj/Br/Pink/Or)PC3700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96</v>
      </c>
      <c r="L73" s="271" t="s">
        <v>245</v>
      </c>
      <c r="M73" s="271">
        <v>1</v>
      </c>
      <c r="O73" s="278" t="str">
        <f>IF(Table1[[#This Row],[h_Item Description]]="","",INDEX([1]!db[NB PAJAK],MATCH(Table1[[#This Row],[h_Item Description]],[1]!db[kode],0)))</f>
        <v/>
      </c>
      <c r="P73" s="271" t="s">
        <v>248</v>
      </c>
      <c r="Q73" s="274">
        <v>6300</v>
      </c>
      <c r="R73" s="275">
        <v>0.125</v>
      </c>
      <c r="S73" s="275"/>
      <c r="T73" s="274">
        <f>Table1[[#This Row],[h_hargasetelahdiskon]]</f>
        <v>529200</v>
      </c>
      <c r="V73" s="271"/>
      <c r="W73" s="278">
        <f ca="1">IF(Table1[[#This Row],[Item Description]]="","",IF(Table1[[#This Row],[//]]="",INDIRECT(ADDRESS(ROW()-1,COLUMN())),Table1[[#This Row],[//]]))</f>
        <v>72</v>
      </c>
      <c r="X73" s="278">
        <f ca="1">IF(Table1[[#This Row],[h_id]]="","",COUNTIF(Table1[h_id],Table1[[#This Row],[h_id]]))</f>
        <v>3</v>
      </c>
      <c r="Y73" s="274">
        <f>IF(Table1[Item Description]="","",Table1[[#This Row],[Qty]]*Table1[[#This Row],[Unit Price]])</f>
        <v>604800</v>
      </c>
      <c r="Z73" s="274">
        <f>IF(Table1[[#This Row],[h_hargasebelumdiskon]]="","",IF(Table1[[#This Row],[Disc 1]]="",0,Table1[[#This Row],[h_hargasebelumdiskon]]*Table1[[#This Row],[Disc 1]]))</f>
        <v>75600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75600</v>
      </c>
      <c r="AC73" s="274">
        <f>IF(Table1[Item Description]="","",Table1[[#This Row],[h_hargasebelumdiskon]]-Table1[[#This Row],[h_diskon]])</f>
        <v>529200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NOTEBOOK JOYKO A6 NB-665PC6300</v>
      </c>
      <c r="AG73"/>
      <c r="AH73"/>
      <c r="AI73"/>
    </row>
    <row r="74" spans="1:35" s="490" customFormat="1" x14ac:dyDescent="0.25">
      <c r="A74" s="482" t="str">
        <f ca="1">IF(Table1[[#This Row],[No. Invoice :]]="","",ROW())</f>
        <v/>
      </c>
      <c r="B74" s="482" t="str">
        <f ca="1">IF(Table1[Column3]="","",B$1+COUNT(INDIRECT("B$2:B"&amp;ROW()-1)))</f>
        <v/>
      </c>
      <c r="C74" s="483" t="str">
        <f>IF(Table1[[#This Row],[Column2]]="","",Table1[[#This Row],[Column2]]+C$1-1)</f>
        <v/>
      </c>
      <c r="D74" s="484"/>
      <c r="E74" s="485"/>
      <c r="F74" s="486"/>
      <c r="G74" s="482" t="str">
        <f ca="1">IF(Table1[[#This Row],[h_No. Invoice :]]="","",CONCATENATE("AM"," ",Table1[[#This Row],[h_No. Invoice :]]))</f>
        <v/>
      </c>
      <c r="H74" s="486" t="str">
        <f>IF(Table1[[#This Row],[Column5]]="","",INDEX(Table2[Column1],MATCH(Table1[[#This Row],[Column5]],Table2[a],0)))</f>
        <v/>
      </c>
      <c r="I74" s="487" t="str">
        <f>IF(Table1[[#This Row],[Column3]]=0,"",CONCATENATE(UPPER(Table1[[#This Row],[Column3]])," ",Table1[[#This Row],[Column4]]))</f>
        <v xml:space="preserve"> </v>
      </c>
      <c r="J74" s="482" t="str">
        <f>IF(Table1[[#This Row],[Column5]]="","",INDEX(Table2[e],IF(Table1[[#This Row],[Column5]]="","",MATCH(Table1[[#This Row],[Column5]],Table2[a],0)),))</f>
        <v/>
      </c>
      <c r="K74" s="486">
        <v>60</v>
      </c>
      <c r="L74" s="486" t="s">
        <v>246</v>
      </c>
      <c r="M74" s="486"/>
      <c r="N74" s="486"/>
      <c r="O74" s="482" t="str">
        <f>IF(Table1[[#This Row],[h_Item Description]]="","",INDEX([1]!db[NB PAJAK],MATCH(Table1[[#This Row],[h_Item Description]],[1]!db[kode],0)))</f>
        <v/>
      </c>
      <c r="P74" s="486" t="s">
        <v>249</v>
      </c>
      <c r="Q74" s="488">
        <v>12600</v>
      </c>
      <c r="R74" s="489">
        <v>0.125</v>
      </c>
      <c r="S74" s="489"/>
      <c r="T74" s="488">
        <f>Table1[[#This Row],[h_hargasetelahdiskon]]</f>
        <v>661500</v>
      </c>
      <c r="U74" s="488"/>
      <c r="V74" s="486"/>
      <c r="W74" s="482">
        <f ca="1">IF(Table1[[#This Row],[Item Description]]="","",IF(Table1[[#This Row],[//]]="",INDIRECT(ADDRESS(ROW()-1,COLUMN())),Table1[[#This Row],[//]]))</f>
        <v>72</v>
      </c>
      <c r="X74" s="482">
        <f ca="1">IF(Table1[[#This Row],[h_id]]="","",COUNTIF(Table1[h_id],Table1[[#This Row],[h_id]]))</f>
        <v>3</v>
      </c>
      <c r="Y74" s="488">
        <f>IF(Table1[Item Description]="","",Table1[[#This Row],[Qty]]*Table1[[#This Row],[Unit Price]])</f>
        <v>756000</v>
      </c>
      <c r="Z74" s="488">
        <f>IF(Table1[[#This Row],[h_hargasebelumdiskon]]="","",IF(Table1[[#This Row],[Disc 1]]="",0,Table1[[#This Row],[h_hargasebelumdiskon]]*Table1[[#This Row],[Disc 1]]))</f>
        <v>94500</v>
      </c>
      <c r="AA74" s="488">
        <f>IF(Table1[[#This Row],[h_hargasebelumdiskon]]="","",IF(Table1[[#This Row],[Disc 2]]="",0,(Table1[[#This Row],[h_hargasebelumdiskon]]-Table1[[#This Row],[h_disc 1]])*Table1[[#This Row],[Disc 2]]))</f>
        <v>0</v>
      </c>
      <c r="AB74" s="488">
        <f>IF(Table1[Item Description]="","",Table1[[#This Row],[h_disc 1]]+Table1[[#This Row],[h_disc 2]])</f>
        <v>94500</v>
      </c>
      <c r="AC74" s="488">
        <f>IF(Table1[Item Description]="","",Table1[[#This Row],[h_hargasebelumdiskon]]-Table1[[#This Row],[h_diskon]])</f>
        <v>661500</v>
      </c>
      <c r="AD74" s="488" t="str">
        <f ca="1">IF(Table1[//]="","",SUMIF(Table1[h_id],Table1[h_id],Table1[h_hargasetelahdiskon]))</f>
        <v/>
      </c>
      <c r="AE74" s="488"/>
      <c r="AF74" s="488" t="str">
        <f>Table1[[#This Row],[Item Description]]&amp;Table1[[#This Row],[Unit]]&amp;Table1[[#This Row],[Unit Price]]</f>
        <v>BALLPEN JOYKO BP-338 VOCUSLS12600</v>
      </c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tr">
        <f>IF(Table1[[#This Row],[h_Item Description]]="","",INDEX([1]!db[NB PAJAK],MATCH(Table1[[#This Row],[h_Item Description]],[1]!db[kode],0)))</f>
        <v/>
      </c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x14ac:dyDescent="0.25">
      <c r="A76" s="278">
        <f ca="1">IF(Table1[[#This Row],[No. Invoice :]]="","",ROW())</f>
        <v>76</v>
      </c>
      <c r="B76" s="278">
        <f ca="1">IF(Table1[Column3]="","",B$1+COUNT(INDIRECT("B$2:B"&amp;ROW()-1)))</f>
        <v>23120019</v>
      </c>
      <c r="C76" s="272">
        <f>IF(Table1[[#This Row],[Column2]]="","",Table1[[#This Row],[Column2]]+C$1-1)</f>
        <v>45275</v>
      </c>
      <c r="D76" s="282">
        <v>15</v>
      </c>
      <c r="E76" s="273" t="s">
        <v>258</v>
      </c>
      <c r="F76" s="271" t="s">
        <v>190</v>
      </c>
      <c r="G76" s="278" t="str">
        <f ca="1">IF(Table1[[#This Row],[h_No. Invoice :]]="","",CONCATENATE("AM"," ",Table1[[#This Row],[h_No. Invoice :]]))</f>
        <v>AM 23120019</v>
      </c>
      <c r="H76" s="271" t="str">
        <f>IF(Table1[[#This Row],[Column5]]="","",INDEX(Table2[Column1],MATCH(Table1[[#This Row],[Column5]],Table2[a],0)))</f>
        <v>KO</v>
      </c>
      <c r="I76" s="279" t="str">
        <f>IF(Table1[[#This Row],[Column3]]=0,"",CONCATENATE(UPPER(Table1[[#This Row],[Column3]])," ",Table1[[#This Row],[Column4]]))</f>
        <v>KO 3296</v>
      </c>
      <c r="J76" s="278" t="str">
        <f>IF(Table1[[#This Row],[Column5]]="","",INDEX(Table2[e],IF(Table1[[#This Row],[Column5]]="","",MATCH(Table1[[#This Row],[Column5]],Table2[a],0)),))</f>
        <v>CV LANCAR JAYA SENTOSA MALANG</v>
      </c>
      <c r="K76" s="271">
        <v>100</v>
      </c>
      <c r="L76" s="271" t="s">
        <v>137</v>
      </c>
      <c r="M76" s="271">
        <v>5</v>
      </c>
      <c r="N76" s="271" t="s">
        <v>259</v>
      </c>
      <c r="O76" s="278" t="str">
        <f>IF(Table1[[#This Row],[h_Item Description]]="","",INDEX([1]!db[NB PAJAK],MATCH(Table1[[#This Row],[h_Item Description]],[1]!db[kode],0)))</f>
        <v>STAPLER JOYKO HD-10CL</v>
      </c>
      <c r="P76" s="271" t="s">
        <v>263</v>
      </c>
      <c r="Q76" s="274">
        <v>84000</v>
      </c>
      <c r="R76" s="275">
        <v>0.125</v>
      </c>
      <c r="S76" s="275">
        <v>0.05</v>
      </c>
      <c r="T76" s="274">
        <f>Table1[[#This Row],[h_hargasetelahdiskon]]</f>
        <v>6982500</v>
      </c>
      <c r="U76" s="274" t="s">
        <v>130</v>
      </c>
      <c r="V76" s="271"/>
      <c r="W76" s="278">
        <f ca="1">IF(Table1[[#This Row],[Item Description]]="","",IF(Table1[[#This Row],[//]]="",INDIRECT(ADDRESS(ROW()-1,COLUMN())),Table1[[#This Row],[//]]))</f>
        <v>76</v>
      </c>
      <c r="X76" s="278">
        <f ca="1">IF(Table1[[#This Row],[h_id]]="","",COUNTIF(Table1[h_id],Table1[[#This Row],[h_id]]))</f>
        <v>4</v>
      </c>
      <c r="Y76" s="274">
        <f>IF(Table1[Item Description]="","",Table1[[#This Row],[Qty]]*Table1[[#This Row],[Unit Price]])</f>
        <v>8400000</v>
      </c>
      <c r="Z76" s="274">
        <f>IF(Table1[[#This Row],[h_hargasebelumdiskon]]="","",IF(Table1[[#This Row],[Disc 1]]="",0,Table1[[#This Row],[h_hargasebelumdiskon]]*Table1[[#This Row],[Disc 1]]))</f>
        <v>1050000</v>
      </c>
      <c r="AA76" s="274">
        <f>IF(Table1[[#This Row],[h_hargasebelumdiskon]]="","",IF(Table1[[#This Row],[Disc 2]]="",0,(Table1[[#This Row],[h_hargasebelumdiskon]]-Table1[[#This Row],[h_disc 1]])*Table1[[#This Row],[Disc 2]]))</f>
        <v>367500</v>
      </c>
      <c r="AB76" s="274">
        <f>IF(Table1[Item Description]="","",Table1[[#This Row],[h_disc 1]]+Table1[[#This Row],[h_disc 2]])</f>
        <v>1417500</v>
      </c>
      <c r="AC76" s="274">
        <f>IF(Table1[Item Description]="","",Table1[[#This Row],[h_hargasebelumdiskon]]-Table1[[#This Row],[h_diskon]])</f>
        <v>6982500</v>
      </c>
      <c r="AD76" s="274">
        <f ca="1">IF(Table1[//]="","",SUMIF(Table1[h_id],Table1[h_id],Table1[h_hargasetelahdiskon]))</f>
        <v>13891500</v>
      </c>
      <c r="AF76" s="274" t="str">
        <f>Table1[[#This Row],[Item Description]]&amp;Table1[[#This Row],[Unit]]&amp;Table1[[#This Row],[Unit Price]]</f>
        <v>STAPLER JOYKO HD-10CLLSN84000</v>
      </c>
      <c r="AG76"/>
      <c r="AH76"/>
      <c r="AI76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80</v>
      </c>
      <c r="L77" s="271" t="s">
        <v>137</v>
      </c>
      <c r="M77" s="271">
        <v>2</v>
      </c>
      <c r="N77" s="271" t="s">
        <v>262</v>
      </c>
      <c r="O77" s="278" t="str">
        <f>IF(Table1[[#This Row],[h_Item Description]]="","",INDEX([1]!db[NB PAJAK],MATCH(Table1[[#This Row],[h_Item Description]],[1]!db[kode],0)))</f>
        <v>ISI CUTTER 18 MM JOYKO L-150 AM (BESAR)</v>
      </c>
      <c r="P77" s="271" t="s">
        <v>264</v>
      </c>
      <c r="Q77" s="274">
        <v>49200</v>
      </c>
      <c r="R77" s="275">
        <v>0.125</v>
      </c>
      <c r="S77" s="275"/>
      <c r="T77" s="274">
        <f>Table1[[#This Row],[h_hargasetelahdiskon]]</f>
        <v>3444000</v>
      </c>
      <c r="V77" s="271"/>
      <c r="W77" s="278">
        <f ca="1">IF(Table1[[#This Row],[Item Description]]="","",IF(Table1[[#This Row],[//]]="",INDIRECT(ADDRESS(ROW()-1,COLUMN())),Table1[[#This Row],[//]]))</f>
        <v>76</v>
      </c>
      <c r="X77" s="278">
        <f ca="1">IF(Table1[[#This Row],[h_id]]="","",COUNTIF(Table1[h_id],Table1[[#This Row],[h_id]]))</f>
        <v>4</v>
      </c>
      <c r="Y77" s="274">
        <f>IF(Table1[Item Description]="","",Table1[[#This Row],[Qty]]*Table1[[#This Row],[Unit Price]])</f>
        <v>3936000</v>
      </c>
      <c r="Z77" s="274">
        <f>IF(Table1[[#This Row],[h_hargasebelumdiskon]]="","",IF(Table1[[#This Row],[Disc 1]]="",0,Table1[[#This Row],[h_hargasebelumdiskon]]*Table1[[#This Row],[Disc 1]]))</f>
        <v>492000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492000</v>
      </c>
      <c r="AC77" s="274">
        <f>IF(Table1[Item Description]="","",Table1[[#This Row],[h_hargasebelumdiskon]]-Table1[[#This Row],[h_diskon]])</f>
        <v>3444000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ISI CUTTER 18 MM JOYKO L-150 AM (BESAR)LSN49200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24</v>
      </c>
      <c r="L78" s="271" t="s">
        <v>137</v>
      </c>
      <c r="M78" s="271">
        <v>1</v>
      </c>
      <c r="N78" s="271" t="s">
        <v>260</v>
      </c>
      <c r="O78" s="278" t="str">
        <f>IF(Table1[[#This Row],[h_Item Description]]="","",INDEX([1]!db[NB PAJAK],MATCH(Table1[[#This Row],[h_Item Description]],[1]!db[kode],0)))</f>
        <v>CUTTER 18 MM JOYKO L-500 + ISI (BESAR)</v>
      </c>
      <c r="P78" s="271" t="s">
        <v>265</v>
      </c>
      <c r="Q78" s="274">
        <v>162000</v>
      </c>
      <c r="R78" s="275">
        <v>0.125</v>
      </c>
      <c r="S78" s="275">
        <v>0.05</v>
      </c>
      <c r="T78" s="274">
        <f>Table1[[#This Row],[h_hargasetelahdiskon]]</f>
        <v>3231900</v>
      </c>
      <c r="V78" s="271"/>
      <c r="W78" s="278">
        <f ca="1">IF(Table1[[#This Row],[Item Description]]="","",IF(Table1[[#This Row],[//]]="",INDIRECT(ADDRESS(ROW()-1,COLUMN())),Table1[[#This Row],[//]]))</f>
        <v>76</v>
      </c>
      <c r="X78" s="278">
        <f ca="1">IF(Table1[[#This Row],[h_id]]="","",COUNTIF(Table1[h_id],Table1[[#This Row],[h_id]]))</f>
        <v>4</v>
      </c>
      <c r="Y78" s="274">
        <f>IF(Table1[Item Description]="","",Table1[[#This Row],[Qty]]*Table1[[#This Row],[Unit Price]])</f>
        <v>3888000</v>
      </c>
      <c r="Z78" s="274">
        <f>IF(Table1[[#This Row],[h_hargasebelumdiskon]]="","",IF(Table1[[#This Row],[Disc 1]]="",0,Table1[[#This Row],[h_hargasebelumdiskon]]*Table1[[#This Row],[Disc 1]]))</f>
        <v>486000</v>
      </c>
      <c r="AA78" s="274">
        <f>IF(Table1[[#This Row],[h_hargasebelumdiskon]]="","",IF(Table1[[#This Row],[Disc 2]]="",0,(Table1[[#This Row],[h_hargasebelumdiskon]]-Table1[[#This Row],[h_disc 1]])*Table1[[#This Row],[Disc 2]]))</f>
        <v>170100</v>
      </c>
      <c r="AB78" s="274">
        <f>IF(Table1[Item Description]="","",Table1[[#This Row],[h_disc 1]]+Table1[[#This Row],[h_disc 2]])</f>
        <v>656100</v>
      </c>
      <c r="AC78" s="274">
        <f>IF(Table1[Item Description]="","",Table1[[#This Row],[h_hargasebelumdiskon]]-Table1[[#This Row],[h_diskon]])</f>
        <v>3231900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CUTTER 18 MM JOYKO L-500 + ISI (BESAR)LSN162000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24</v>
      </c>
      <c r="L79" s="271" t="s">
        <v>162</v>
      </c>
      <c r="M79" s="271">
        <v>1</v>
      </c>
      <c r="N79" s="271" t="s">
        <v>261</v>
      </c>
      <c r="O79" s="278" t="str">
        <f>IF(Table1[[#This Row],[h_Item Description]]="","",INDEX([1]!db[NB PAJAK],MATCH(Table1[[#This Row],[h_Item Description]],[1]!db[kode],0)))</f>
        <v>TAPE CUTTER JOYKO TD-102</v>
      </c>
      <c r="P79" s="271" t="s">
        <v>266</v>
      </c>
      <c r="Q79" s="274">
        <v>11100</v>
      </c>
      <c r="R79" s="275">
        <v>0.125</v>
      </c>
      <c r="S79" s="275"/>
      <c r="T79" s="274">
        <f>Table1[[#This Row],[h_hargasetelahdiskon]]</f>
        <v>233100</v>
      </c>
      <c r="V79" s="271"/>
      <c r="W79" s="278">
        <f ca="1">IF(Table1[[#This Row],[Item Description]]="","",IF(Table1[[#This Row],[//]]="",INDIRECT(ADDRESS(ROW()-1,COLUMN())),Table1[[#This Row],[//]]))</f>
        <v>76</v>
      </c>
      <c r="X79" s="278">
        <f ca="1">IF(Table1[[#This Row],[h_id]]="","",COUNTIF(Table1[h_id],Table1[[#This Row],[h_id]]))</f>
        <v>4</v>
      </c>
      <c r="Y79" s="274">
        <f>IF(Table1[Item Description]="","",Table1[[#This Row],[Qty]]*Table1[[#This Row],[Unit Price]])</f>
        <v>266400</v>
      </c>
      <c r="Z79" s="274">
        <f>IF(Table1[[#This Row],[h_hargasebelumdiskon]]="","",IF(Table1[[#This Row],[Disc 1]]="",0,Table1[[#This Row],[h_hargasebelumdiskon]]*Table1[[#This Row],[Disc 1]]))</f>
        <v>33300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33300</v>
      </c>
      <c r="AC79" s="274">
        <f>IF(Table1[Item Description]="","",Table1[[#This Row],[h_hargasebelumdiskon]]-Table1[[#This Row],[h_diskon]])</f>
        <v>233100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TAPE CUTTER JOYKO TD-102PCS11100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>
        <f ca="1">IF(Table1[[#This Row],[No. Invoice :]]="","",ROW())</f>
        <v>81</v>
      </c>
      <c r="B81" s="278">
        <f ca="1">IF(Table1[Column3]="","",B$1+COUNT(INDIRECT("B$2:B"&amp;ROW()-1)))</f>
        <v>23120020</v>
      </c>
      <c r="C81" s="272">
        <f>IF(Table1[[#This Row],[Column2]]="","",Table1[[#This Row],[Column2]]+C$1-1)</f>
        <v>45276</v>
      </c>
      <c r="D81" s="282">
        <v>16</v>
      </c>
      <c r="E81" s="273" t="s">
        <v>267</v>
      </c>
      <c r="F81" s="271" t="s">
        <v>108</v>
      </c>
      <c r="G81" s="278" t="str">
        <f ca="1">IF(Table1[[#This Row],[h_No. Invoice :]]="","",CONCATENATE("AM"," ",Table1[[#This Row],[h_No. Invoice :]]))</f>
        <v>AM 23120020</v>
      </c>
      <c r="H81" s="271" t="str">
        <f>IF(Table1[[#This Row],[Column5]]="","",INDEX(Table2[Column1],MATCH(Table1[[#This Row],[Column5]],Table2[a],0)))</f>
        <v>KO</v>
      </c>
      <c r="I81" s="279" t="str">
        <f>IF(Table1[[#This Row],[Column3]]=0,"",CONCATENATE(UPPER(Table1[[#This Row],[Column3]])," ",Table1[[#This Row],[Column4]]))</f>
        <v>KO 0654</v>
      </c>
      <c r="J81" s="278" t="str">
        <f>IF(Table1[[#This Row],[Column5]]="","",INDEX(Table2[e],IF(Table1[[#This Row],[Column5]]="","",MATCH(Table1[[#This Row],[Column5]],Table2[a],0)),))</f>
        <v>SETIAWAN BUDIONO ( PRIMA ) PEKALONGAN</v>
      </c>
      <c r="K81" s="271">
        <v>12</v>
      </c>
      <c r="L81" s="271" t="s">
        <v>162</v>
      </c>
      <c r="O81" s="278" t="str">
        <f>IF(Table1[[#This Row],[h_Item Description]]="","",INDEX([1]!db[NB PAJAK],MATCH(Table1[[#This Row],[h_Item Description]],[1]!db[kode],0)))</f>
        <v/>
      </c>
      <c r="P81" s="271" t="s">
        <v>268</v>
      </c>
      <c r="Q81" s="274">
        <v>110000</v>
      </c>
      <c r="R81" s="275"/>
      <c r="S81" s="275"/>
      <c r="T81" s="274">
        <f>Table1[[#This Row],[h_hargasetelahdiskon]]</f>
        <v>1320000</v>
      </c>
      <c r="U81" s="274" t="s">
        <v>130</v>
      </c>
      <c r="V81" s="271"/>
      <c r="W81" s="278">
        <f ca="1">IF(Table1[[#This Row],[Item Description]]="","",IF(Table1[[#This Row],[//]]="",INDIRECT(ADDRESS(ROW()-1,COLUMN())),Table1[[#This Row],[//]]))</f>
        <v>81</v>
      </c>
      <c r="X81" s="278">
        <f ca="1">IF(Table1[[#This Row],[h_id]]="","",COUNTIF(Table1[h_id],Table1[[#This Row],[h_id]]))</f>
        <v>1</v>
      </c>
      <c r="Y81" s="274">
        <f>IF(Table1[Item Description]="","",Table1[[#This Row],[Qty]]*Table1[[#This Row],[Unit Price]])</f>
        <v>1320000</v>
      </c>
      <c r="Z81" s="274">
        <f>IF(Table1[[#This Row],[h_hargasebelumdiskon]]="","",IF(Table1[[#This Row],[Disc 1]]="",0,Table1[[#This Row],[h_hargasebelumdiskon]]*Table1[[#This Row],[Disc 1]]))</f>
        <v>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0</v>
      </c>
      <c r="AC81" s="274">
        <f>IF(Table1[Item Description]="","",Table1[[#This Row],[h_hargasebelumdiskon]]-Table1[[#This Row],[h_diskon]])</f>
        <v>1320000</v>
      </c>
      <c r="AD81" s="274">
        <f ca="1">IF(Table1[//]="","",SUMIF(Table1[h_id],Table1[h_id],Table1[h_hargasetelahdiskon]))</f>
        <v>1320000</v>
      </c>
      <c r="AF81" s="274" t="str">
        <f>Table1[[#This Row],[Item Description]]&amp;Table1[[#This Row],[Unit]]&amp;Table1[[#This Row],[Unit Price]]</f>
        <v>RAK SUSUN BESI 5 SUSUNPCS110000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23120021</v>
      </c>
      <c r="C83" s="272">
        <f>IF(Table1[[#This Row],[Column2]]="","",Table1[[#This Row],[Column2]]+C$1-1)</f>
        <v>45276</v>
      </c>
      <c r="D83" s="282">
        <v>16</v>
      </c>
      <c r="E83" s="273" t="s">
        <v>269</v>
      </c>
      <c r="F83" s="271" t="s">
        <v>148</v>
      </c>
      <c r="G83" s="278" t="str">
        <f ca="1">IF(Table1[[#This Row],[h_No. Invoice :]]="","",CONCATENATE("AM"," ",Table1[[#This Row],[h_No. Invoice :]]))</f>
        <v>AM 23120021</v>
      </c>
      <c r="H83" s="271" t="str">
        <f>IF(Table1[[#This Row],[Column5]]="","",INDEX(Table2[Column1],MATCH(Table1[[#This Row],[Column5]],Table2[a],0)))</f>
        <v>G</v>
      </c>
      <c r="I83" s="279" t="str">
        <f>IF(Table1[[#This Row],[Column3]]=0,"",CONCATENATE(UPPER(Table1[[#This Row],[Column3]])," ",Table1[[#This Row],[Column4]]))</f>
        <v>G 0705</v>
      </c>
      <c r="J83" s="278" t="str">
        <f>IF(Table1[[#This Row],[Column5]]="","",INDEX(Table2[e],IF(Table1[[#This Row],[Column5]]="","",MATCH(Table1[[#This Row],[Column5]],Table2[a],0)),))</f>
        <v>LILY JULIAWATI (REJO AGUNG) JOMBANG</v>
      </c>
      <c r="K83" s="271">
        <v>100</v>
      </c>
      <c r="L83" s="271" t="s">
        <v>137</v>
      </c>
      <c r="M83" s="271">
        <v>5</v>
      </c>
      <c r="N83" s="271" t="s">
        <v>259</v>
      </c>
      <c r="O83" s="278" t="str">
        <f>IF(Table1[[#This Row],[h_Item Description]]="","",INDEX([1]!db[NB PAJAK],MATCH(Table1[[#This Row],[h_Item Description]],[1]!db[kode],0)))</f>
        <v>STAPLER JOYKO HD-10CL</v>
      </c>
      <c r="P83" s="271" t="s">
        <v>263</v>
      </c>
      <c r="Q83" s="274">
        <v>84000</v>
      </c>
      <c r="R83" s="275">
        <v>0.125</v>
      </c>
      <c r="S83" s="275">
        <v>0.05</v>
      </c>
      <c r="T83" s="274">
        <f>Table1[[#This Row],[h_hargasetelahdiskon]]</f>
        <v>6982500</v>
      </c>
      <c r="U83" s="274" t="s">
        <v>130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2</v>
      </c>
      <c r="Y83" s="274">
        <f>IF(Table1[Item Description]="","",Table1[[#This Row],[Qty]]*Table1[[#This Row],[Unit Price]])</f>
        <v>8400000</v>
      </c>
      <c r="Z83" s="274">
        <f>IF(Table1[[#This Row],[h_hargasebelumdiskon]]="","",IF(Table1[[#This Row],[Disc 1]]="",0,Table1[[#This Row],[h_hargasebelumdiskon]]*Table1[[#This Row],[Disc 1]]))</f>
        <v>1050000</v>
      </c>
      <c r="AA83" s="274">
        <f>IF(Table1[[#This Row],[h_hargasebelumdiskon]]="","",IF(Table1[[#This Row],[Disc 2]]="",0,(Table1[[#This Row],[h_hargasebelumdiskon]]-Table1[[#This Row],[h_disc 1]])*Table1[[#This Row],[Disc 2]]))</f>
        <v>367500</v>
      </c>
      <c r="AB83" s="274">
        <f>IF(Table1[Item Description]="","",Table1[[#This Row],[h_disc 1]]+Table1[[#This Row],[h_disc 2]])</f>
        <v>1417500</v>
      </c>
      <c r="AC83" s="274">
        <f>IF(Table1[Item Description]="","",Table1[[#This Row],[h_hargasebelumdiskon]]-Table1[[#This Row],[h_diskon]])</f>
        <v>6982500</v>
      </c>
      <c r="AD83" s="274">
        <f ca="1">IF(Table1[//]="","",SUMIF(Table1[h_id],Table1[h_id],Table1[h_hargasetelahdiskon]))</f>
        <v>10006500</v>
      </c>
      <c r="AF83" s="274" t="str">
        <f>Table1[[#This Row],[Item Description]]&amp;Table1[[#This Row],[Unit]]&amp;Table1[[#This Row],[Unit Price]]</f>
        <v>STAPLER JOYKO HD-10CLLSN84000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60</v>
      </c>
      <c r="L84" s="271" t="s">
        <v>137</v>
      </c>
      <c r="M84" s="271">
        <v>1</v>
      </c>
      <c r="N84" s="271" t="s">
        <v>270</v>
      </c>
      <c r="O84" s="278" t="str">
        <f>IF(Table1[[#This Row],[h_Item Description]]="","",INDEX([1]!db[NB PAJAK],MATCH(Table1[[#This Row],[h_Item Description]],[1]!db[kode],0)))</f>
        <v>CORRECTION TAPE JOYKO CT-522</v>
      </c>
      <c r="P84" s="271" t="s">
        <v>271</v>
      </c>
      <c r="Q84" s="274">
        <v>57600</v>
      </c>
      <c r="R84" s="275">
        <v>0.125</v>
      </c>
      <c r="S84" s="275"/>
      <c r="T84" s="274">
        <f>Table1[[#This Row],[h_hargasetelahdiskon]]</f>
        <v>3024000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2</v>
      </c>
      <c r="Y84" s="274">
        <f>IF(Table1[Item Description]="","",Table1[[#This Row],[Qty]]*Table1[[#This Row],[Unit Price]])</f>
        <v>3456000</v>
      </c>
      <c r="Z84" s="274">
        <f>IF(Table1[[#This Row],[h_hargasebelumdiskon]]="","",IF(Table1[[#This Row],[Disc 1]]="",0,Table1[[#This Row],[h_hargasebelumdiskon]]*Table1[[#This Row],[Disc 1]]))</f>
        <v>432000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432000</v>
      </c>
      <c r="AC84" s="274">
        <f>IF(Table1[Item Description]="","",Table1[[#This Row],[h_hargasebelumdiskon]]-Table1[[#This Row],[h_diskon]])</f>
        <v>3024000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CORRECTION TAPE JOYKO CT-522LSN57600</v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>
        <f ca="1">IF(Table1[[#This Row],[No. Invoice :]]="","",ROW())</f>
        <v>86</v>
      </c>
      <c r="B86" s="278">
        <f ca="1">IF(Table1[Column3]="","",B$1+COUNT(INDIRECT("B$2:B"&amp;ROW()-1)))</f>
        <v>23120022</v>
      </c>
      <c r="C86" s="272">
        <f>IF(Table1[[#This Row],[Column2]]="","",Table1[[#This Row],[Column2]]+C$1-1)</f>
        <v>45276</v>
      </c>
      <c r="D86" s="282">
        <v>16</v>
      </c>
      <c r="E86" s="273" t="s">
        <v>272</v>
      </c>
      <c r="F86" s="271" t="s">
        <v>81</v>
      </c>
      <c r="G86" s="278" t="str">
        <f ca="1">IF(Table1[[#This Row],[h_No. Invoice :]]="","",CONCATENATE("AM"," ",Table1[[#This Row],[h_No. Invoice :]]))</f>
        <v>AM 23120022</v>
      </c>
      <c r="H86" s="271" t="str">
        <f>IF(Table1[[#This Row],[Column5]]="","",INDEX(Table2[Column1],MATCH(Table1[[#This Row],[Column5]],Table2[a],0)))</f>
        <v>KO</v>
      </c>
      <c r="I86" s="279" t="str">
        <f>IF(Table1[[#This Row],[Column3]]=0,"",CONCATENATE(UPPER(Table1[[#This Row],[Column3]])," ",Table1[[#This Row],[Column4]]))</f>
        <v>KO 0707</v>
      </c>
      <c r="J86" s="278" t="str">
        <f>IF(Table1[[#This Row],[Column5]]="","",INDEX(Table2[e],IF(Table1[[#This Row],[Column5]]="","",MATCH(Table1[[#This Row],[Column5]],Table2[a],0)),))</f>
        <v>CV PELITA JAYA (ANUGERAH SEJAHTERA) PURWOKERTO</v>
      </c>
      <c r="K86" s="271">
        <v>40</v>
      </c>
      <c r="L86" s="271" t="s">
        <v>136</v>
      </c>
      <c r="M86" s="271">
        <v>2</v>
      </c>
      <c r="N86" s="271" t="s">
        <v>273</v>
      </c>
      <c r="O86" s="278" t="str">
        <f>IF(Table1[[#This Row],[h_Item Description]]="","",INDEX([1]!db[NB PAJAK],MATCH(Table1[[#This Row],[h_Item Description]],[1]!db[kode],0)))</f>
        <v>ISI STAPLER (STAPLES) KENKO 1210 PREMIUM (23/10)</v>
      </c>
      <c r="P86" s="271" t="s">
        <v>274</v>
      </c>
      <c r="Q86" s="274">
        <v>42000</v>
      </c>
      <c r="R86" s="275">
        <v>0.13500000000000001</v>
      </c>
      <c r="S86" s="275"/>
      <c r="T86" s="274">
        <f>Table1[[#This Row],[h_hargasetelahdiskon]]</f>
        <v>1453200</v>
      </c>
      <c r="U86" s="274" t="s">
        <v>130</v>
      </c>
      <c r="V86" s="271"/>
      <c r="W86" s="278">
        <f ca="1">IF(Table1[[#This Row],[Item Description]]="","",IF(Table1[[#This Row],[//]]="",INDIRECT(ADDRESS(ROW()-1,COLUMN())),Table1[[#This Row],[//]]))</f>
        <v>86</v>
      </c>
      <c r="X86" s="278">
        <f ca="1">IF(Table1[[#This Row],[h_id]]="","",COUNTIF(Table1[h_id],Table1[[#This Row],[h_id]]))</f>
        <v>1</v>
      </c>
      <c r="Y86" s="274">
        <f>IF(Table1[Item Description]="","",Table1[[#This Row],[Qty]]*Table1[[#This Row],[Unit Price]])</f>
        <v>1680000</v>
      </c>
      <c r="Z86" s="274">
        <f>IF(Table1[[#This Row],[h_hargasebelumdiskon]]="","",IF(Table1[[#This Row],[Disc 1]]="",0,Table1[[#This Row],[h_hargasebelumdiskon]]*Table1[[#This Row],[Disc 1]]))</f>
        <v>226800.00000000003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226800.00000000003</v>
      </c>
      <c r="AC86" s="274">
        <f>IF(Table1[Item Description]="","",Table1[[#This Row],[h_hargasebelumdiskon]]-Table1[[#This Row],[h_diskon]])</f>
        <v>1453200</v>
      </c>
      <c r="AD86" s="274">
        <f ca="1">IF(Table1[//]="","",SUMIF(Table1[h_id],Table1[h_id],Table1[h_hargasetelahdiskon]))</f>
        <v>1453200</v>
      </c>
      <c r="AF86" s="274" t="str">
        <f>Table1[[#This Row],[Item Description]]&amp;Table1[[#This Row],[Unit]]&amp;Table1[[#This Row],[Unit Price]]</f>
        <v>ISI STAPLER (STAPLES) KENKO 1210 PREMIUM (23/10)PAK42000</v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>
        <f ca="1">IF(Table1[[#This Row],[No. Invoice :]]="","",ROW())</f>
        <v>88</v>
      </c>
      <c r="B88" s="278">
        <f ca="1">IF(Table1[Column3]="","",B$1+COUNT(INDIRECT("B$2:B"&amp;ROW()-1)))</f>
        <v>23120023</v>
      </c>
      <c r="C88" s="272">
        <f>IF(Table1[[#This Row],[Column2]]="","",Table1[[#This Row],[Column2]]+C$1-1)</f>
        <v>45278</v>
      </c>
      <c r="D88" s="282">
        <v>18</v>
      </c>
      <c r="E88" s="273" t="s">
        <v>275</v>
      </c>
      <c r="F88" s="271" t="s">
        <v>229</v>
      </c>
      <c r="G88" s="278" t="str">
        <f ca="1">IF(Table1[[#This Row],[h_No. Invoice :]]="","",CONCATENATE("AM"," ",Table1[[#This Row],[h_No. Invoice :]]))</f>
        <v>AM 23120023</v>
      </c>
      <c r="H88" s="271" t="str">
        <f>IF(Table1[[#This Row],[Column5]]="","",INDEX(Table2[Column1],MATCH(Table1[[#This Row],[Column5]],Table2[a],0)))</f>
        <v>G</v>
      </c>
      <c r="I88" s="279" t="str">
        <f>IF(Table1[[#This Row],[Column3]]=0,"",CONCATENATE(UPPER(Table1[[#This Row],[Column3]])," ",Table1[[#This Row],[Column4]]))</f>
        <v>G 0660</v>
      </c>
      <c r="J88" s="278" t="str">
        <f>IF(Table1[[#This Row],[Column5]]="","",INDEX(Table2[e],IF(Table1[[#This Row],[Column5]]="","",MATCH(Table1[[#This Row],[Column5]],Table2[a],0)),))</f>
        <v>GUNAWAN HARTONO KUSUMA ( NIKI SAE ) TULUNG AGUNG</v>
      </c>
      <c r="K88" s="271">
        <v>432</v>
      </c>
      <c r="L88" s="271" t="s">
        <v>162</v>
      </c>
      <c r="M88" s="271">
        <v>3</v>
      </c>
      <c r="N88" s="271" t="s">
        <v>276</v>
      </c>
      <c r="O88" s="278" t="str">
        <f>IF(Table1[[#This Row],[h_Item Description]]="","",INDEX([1]!db[NB PAJAK],MATCH(Table1[[#This Row],[h_Item Description]],[1]!db[kode],0)))</f>
        <v>CRAYON / OIL PASTEL PUTAR JOYKO TWCR-12S (PANJANG)</v>
      </c>
      <c r="P88" s="271" t="s">
        <v>232</v>
      </c>
      <c r="Q88" s="274">
        <v>23900</v>
      </c>
      <c r="R88" s="275">
        <v>0.125</v>
      </c>
      <c r="S88" s="275">
        <v>0.05</v>
      </c>
      <c r="T88" s="274">
        <f>Table1[[#This Row],[h_hargasetelahdiskon]]</f>
        <v>8582490</v>
      </c>
      <c r="U88" s="274" t="s">
        <v>130</v>
      </c>
      <c r="V88" s="271"/>
      <c r="W88" s="278">
        <f ca="1">IF(Table1[[#This Row],[Item Description]]="","",IF(Table1[[#This Row],[//]]="",INDIRECT(ADDRESS(ROW()-1,COLUMN())),Table1[[#This Row],[//]]))</f>
        <v>88</v>
      </c>
      <c r="X88" s="278">
        <f ca="1">IF(Table1[[#This Row],[h_id]]="","",COUNTIF(Table1[h_id],Table1[[#This Row],[h_id]]))</f>
        <v>6</v>
      </c>
      <c r="Y88" s="274">
        <f>IF(Table1[Item Description]="","",Table1[[#This Row],[Qty]]*Table1[[#This Row],[Unit Price]])</f>
        <v>10324800</v>
      </c>
      <c r="Z88" s="274">
        <f>IF(Table1[[#This Row],[h_hargasebelumdiskon]]="","",IF(Table1[[#This Row],[Disc 1]]="",0,Table1[[#This Row],[h_hargasebelumdiskon]]*Table1[[#This Row],[Disc 1]]))</f>
        <v>1290600</v>
      </c>
      <c r="AA88" s="274">
        <f>IF(Table1[[#This Row],[h_hargasebelumdiskon]]="","",IF(Table1[[#This Row],[Disc 2]]="",0,(Table1[[#This Row],[h_hargasebelumdiskon]]-Table1[[#This Row],[h_disc 1]])*Table1[[#This Row],[Disc 2]]))</f>
        <v>451710</v>
      </c>
      <c r="AB88" s="274">
        <f>IF(Table1[Item Description]="","",Table1[[#This Row],[h_disc 1]]+Table1[[#This Row],[h_disc 2]])</f>
        <v>1742310</v>
      </c>
      <c r="AC88" s="274">
        <f>IF(Table1[Item Description]="","",Table1[[#This Row],[h_hargasebelumdiskon]]-Table1[[#This Row],[h_diskon]])</f>
        <v>8582490</v>
      </c>
      <c r="AD88" s="274">
        <f ca="1">IF(Table1[//]="","",SUMIF(Table1[h_id],Table1[h_id],Table1[h_hargasetelahdiskon]))</f>
        <v>30406792.5</v>
      </c>
      <c r="AF88" s="274" t="str">
        <f>Table1[[#This Row],[Item Description]]&amp;Table1[[#This Row],[Unit]]&amp;Table1[[#This Row],[Unit Price]]</f>
        <v>CRAYON / OIL PASTEL PUTAR JOYKO TWCR-12S (PANJANG)PCS23900</v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>
        <v>720</v>
      </c>
      <c r="L89" s="271" t="s">
        <v>162</v>
      </c>
      <c r="M89" s="271">
        <v>5</v>
      </c>
      <c r="N89" s="271" t="s">
        <v>200</v>
      </c>
      <c r="O89" s="278" t="str">
        <f>IF(Table1[[#This Row],[h_Item Description]]="","",INDEX([1]!db[NB PAJAK],MATCH(Table1[[#This Row],[h_Item Description]],[1]!db[kode],0)))</f>
        <v>CRAYON / OIL PASTEL JOYKO OP-12S PP CASE SEA WORLD</v>
      </c>
      <c r="P89" s="271" t="s">
        <v>201</v>
      </c>
      <c r="Q89" s="274">
        <v>11900</v>
      </c>
      <c r="R89" s="275">
        <v>0.125</v>
      </c>
      <c r="S89" s="275">
        <v>0.05</v>
      </c>
      <c r="T89" s="274">
        <f>Table1[[#This Row],[h_hargasetelahdiskon]]</f>
        <v>7122150</v>
      </c>
      <c r="V89" s="271"/>
      <c r="W89" s="278">
        <f ca="1">IF(Table1[[#This Row],[Item Description]]="","",IF(Table1[[#This Row],[//]]="",INDIRECT(ADDRESS(ROW()-1,COLUMN())),Table1[[#This Row],[//]]))</f>
        <v>88</v>
      </c>
      <c r="X89" s="278">
        <f ca="1">IF(Table1[[#This Row],[h_id]]="","",COUNTIF(Table1[h_id],Table1[[#This Row],[h_id]]))</f>
        <v>6</v>
      </c>
      <c r="Y89" s="274">
        <f>IF(Table1[Item Description]="","",Table1[[#This Row],[Qty]]*Table1[[#This Row],[Unit Price]])</f>
        <v>8568000</v>
      </c>
      <c r="Z89" s="274">
        <f>IF(Table1[[#This Row],[h_hargasebelumdiskon]]="","",IF(Table1[[#This Row],[Disc 1]]="",0,Table1[[#This Row],[h_hargasebelumdiskon]]*Table1[[#This Row],[Disc 1]]))</f>
        <v>1071000</v>
      </c>
      <c r="AA89" s="274">
        <f>IF(Table1[[#This Row],[h_hargasebelumdiskon]]="","",IF(Table1[[#This Row],[Disc 2]]="",0,(Table1[[#This Row],[h_hargasebelumdiskon]]-Table1[[#This Row],[h_disc 1]])*Table1[[#This Row],[Disc 2]]))</f>
        <v>374850</v>
      </c>
      <c r="AB89" s="274">
        <f>IF(Table1[Item Description]="","",Table1[[#This Row],[h_disc 1]]+Table1[[#This Row],[h_disc 2]])</f>
        <v>1445850</v>
      </c>
      <c r="AC89" s="274">
        <f>IF(Table1[Item Description]="","",Table1[[#This Row],[h_hargasebelumdiskon]]-Table1[[#This Row],[h_diskon]])</f>
        <v>7122150</v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>CRAYON / OIL PASTEL JOYKO OP-12S PP CASE SEA WORLDPCS11900</v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216</v>
      </c>
      <c r="L90" s="271" t="s">
        <v>162</v>
      </c>
      <c r="M90" s="271">
        <v>3</v>
      </c>
      <c r="N90" s="271" t="s">
        <v>220</v>
      </c>
      <c r="O90" s="278" t="str">
        <f>IF(Table1[[#This Row],[h_Item Description]]="","",INDEX([1]!db[NB PAJAK],MATCH(Table1[[#This Row],[h_Item Description]],[1]!db[kode],0)))</f>
        <v>CRAYON / OIL PASTEL JOYKO OP-18S PP CASE SEA WORLD</v>
      </c>
      <c r="P90" s="271" t="s">
        <v>221</v>
      </c>
      <c r="Q90" s="274">
        <v>23000</v>
      </c>
      <c r="R90" s="275">
        <v>0.125</v>
      </c>
      <c r="S90" s="275">
        <v>0.05</v>
      </c>
      <c r="T90" s="274">
        <f>Table1[[#This Row],[h_hargasetelahdiskon]]</f>
        <v>4129650</v>
      </c>
      <c r="V90" s="271"/>
      <c r="W90" s="278">
        <f ca="1">IF(Table1[[#This Row],[Item Description]]="","",IF(Table1[[#This Row],[//]]="",INDIRECT(ADDRESS(ROW()-1,COLUMN())),Table1[[#This Row],[//]]))</f>
        <v>88</v>
      </c>
      <c r="X90" s="278">
        <f ca="1">IF(Table1[[#This Row],[h_id]]="","",COUNTIF(Table1[h_id],Table1[[#This Row],[h_id]]))</f>
        <v>6</v>
      </c>
      <c r="Y90" s="274">
        <f>IF(Table1[Item Description]="","",Table1[[#This Row],[Qty]]*Table1[[#This Row],[Unit Price]])</f>
        <v>4968000</v>
      </c>
      <c r="Z90" s="274">
        <f>IF(Table1[[#This Row],[h_hargasebelumdiskon]]="","",IF(Table1[[#This Row],[Disc 1]]="",0,Table1[[#This Row],[h_hargasebelumdiskon]]*Table1[[#This Row],[Disc 1]]))</f>
        <v>621000</v>
      </c>
      <c r="AA90" s="274">
        <f>IF(Table1[[#This Row],[h_hargasebelumdiskon]]="","",IF(Table1[[#This Row],[Disc 2]]="",0,(Table1[[#This Row],[h_hargasebelumdiskon]]-Table1[[#This Row],[h_disc 1]])*Table1[[#This Row],[Disc 2]]))</f>
        <v>217350</v>
      </c>
      <c r="AB90" s="274">
        <f>IF(Table1[Item Description]="","",Table1[[#This Row],[h_disc 1]]+Table1[[#This Row],[h_disc 2]])</f>
        <v>838350</v>
      </c>
      <c r="AC90" s="274">
        <f>IF(Table1[Item Description]="","",Table1[[#This Row],[h_hargasebelumdiskon]]-Table1[[#This Row],[h_diskon]])</f>
        <v>4129650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CRAYON / OIL PASTEL JOYKO OP-18S PP CASE SEA WORLDPCS23000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144</v>
      </c>
      <c r="L91" s="271" t="s">
        <v>162</v>
      </c>
      <c r="M91" s="271">
        <v>3</v>
      </c>
      <c r="N91" s="271" t="s">
        <v>222</v>
      </c>
      <c r="O91" s="278" t="str">
        <f>IF(Table1[[#This Row],[h_Item Description]]="","",INDEX([1]!db[NB PAJAK],MATCH(Table1[[#This Row],[h_Item Description]],[1]!db[kode],0)))</f>
        <v>CRAYON / OIL PASTEL JOYKO OP-24S PP CASE SEA WORLD</v>
      </c>
      <c r="P91" s="271" t="s">
        <v>223</v>
      </c>
      <c r="Q91" s="274">
        <v>29600</v>
      </c>
      <c r="R91" s="275">
        <v>0.125</v>
      </c>
      <c r="S91" s="275">
        <v>0.05</v>
      </c>
      <c r="T91" s="274">
        <f>Table1[[#This Row],[h_hargasetelahdiskon]]</f>
        <v>3543120</v>
      </c>
      <c r="V91" s="271"/>
      <c r="W91" s="278">
        <f ca="1">IF(Table1[[#This Row],[Item Description]]="","",IF(Table1[[#This Row],[//]]="",INDIRECT(ADDRESS(ROW()-1,COLUMN())),Table1[[#This Row],[//]]))</f>
        <v>88</v>
      </c>
      <c r="X91" s="278">
        <f ca="1">IF(Table1[[#This Row],[h_id]]="","",COUNTIF(Table1[h_id],Table1[[#This Row],[h_id]]))</f>
        <v>6</v>
      </c>
      <c r="Y91" s="274">
        <f>IF(Table1[Item Description]="","",Table1[[#This Row],[Qty]]*Table1[[#This Row],[Unit Price]])</f>
        <v>4262400</v>
      </c>
      <c r="Z91" s="274">
        <f>IF(Table1[[#This Row],[h_hargasebelumdiskon]]="","",IF(Table1[[#This Row],[Disc 1]]="",0,Table1[[#This Row],[h_hargasebelumdiskon]]*Table1[[#This Row],[Disc 1]]))</f>
        <v>532800</v>
      </c>
      <c r="AA91" s="274">
        <f>IF(Table1[[#This Row],[h_hargasebelumdiskon]]="","",IF(Table1[[#This Row],[Disc 2]]="",0,(Table1[[#This Row],[h_hargasebelumdiskon]]-Table1[[#This Row],[h_disc 1]])*Table1[[#This Row],[Disc 2]]))</f>
        <v>186480</v>
      </c>
      <c r="AB91" s="274">
        <f>IF(Table1[Item Description]="","",Table1[[#This Row],[h_disc 1]]+Table1[[#This Row],[h_disc 2]])</f>
        <v>719280</v>
      </c>
      <c r="AC91" s="274">
        <f>IF(Table1[Item Description]="","",Table1[[#This Row],[h_hargasebelumdiskon]]-Table1[[#This Row],[h_diskon]])</f>
        <v>3543120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CRAYON / OIL PASTEL JOYKO OP-24S PP CASE SEA WORLDPCS29600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108</v>
      </c>
      <c r="L92" s="271" t="s">
        <v>162</v>
      </c>
      <c r="M92" s="271">
        <v>3</v>
      </c>
      <c r="N92" s="271" t="s">
        <v>251</v>
      </c>
      <c r="O92" s="278" t="str">
        <f>IF(Table1[[#This Row],[h_Item Description]]="","",INDEX([1]!db[NB PAJAK],MATCH(Table1[[#This Row],[h_Item Description]],[1]!db[kode],0)))</f>
        <v>CRAYON / OIL PASTEL JOYKO OP-36S PP CASE SEA WORLD</v>
      </c>
      <c r="P92" s="271" t="s">
        <v>242</v>
      </c>
      <c r="Q92" s="274">
        <v>41500</v>
      </c>
      <c r="R92" s="275">
        <v>0.125</v>
      </c>
      <c r="S92" s="275">
        <v>0.05</v>
      </c>
      <c r="T92" s="274">
        <f>Table1[[#This Row],[h_hargasetelahdiskon]]</f>
        <v>3725662.5</v>
      </c>
      <c r="V92" s="271"/>
      <c r="W92" s="278">
        <f ca="1">IF(Table1[[#This Row],[Item Description]]="","",IF(Table1[[#This Row],[//]]="",INDIRECT(ADDRESS(ROW()-1,COLUMN())),Table1[[#This Row],[//]]))</f>
        <v>88</v>
      </c>
      <c r="X92" s="278">
        <f ca="1">IF(Table1[[#This Row],[h_id]]="","",COUNTIF(Table1[h_id],Table1[[#This Row],[h_id]]))</f>
        <v>6</v>
      </c>
      <c r="Y92" s="274">
        <f>IF(Table1[Item Description]="","",Table1[[#This Row],[Qty]]*Table1[[#This Row],[Unit Price]])</f>
        <v>4482000</v>
      </c>
      <c r="Z92" s="274">
        <f>IF(Table1[[#This Row],[h_hargasebelumdiskon]]="","",IF(Table1[[#This Row],[Disc 1]]="",0,Table1[[#This Row],[h_hargasebelumdiskon]]*Table1[[#This Row],[Disc 1]]))</f>
        <v>560250</v>
      </c>
      <c r="AA92" s="274">
        <f>IF(Table1[[#This Row],[h_hargasebelumdiskon]]="","",IF(Table1[[#This Row],[Disc 2]]="",0,(Table1[[#This Row],[h_hargasebelumdiskon]]-Table1[[#This Row],[h_disc 1]])*Table1[[#This Row],[Disc 2]]))</f>
        <v>196087.5</v>
      </c>
      <c r="AB92" s="274">
        <f>IF(Table1[Item Description]="","",Table1[[#This Row],[h_disc 1]]+Table1[[#This Row],[h_disc 2]])</f>
        <v>756337.5</v>
      </c>
      <c r="AC92" s="274">
        <f>IF(Table1[Item Description]="","",Table1[[#This Row],[h_hargasebelumdiskon]]-Table1[[#This Row],[h_diskon]])</f>
        <v>3725662.5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CRAYON / OIL PASTEL JOYKO OP-36S PP CASE SEA WORLDPCS41500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137</v>
      </c>
      <c r="M93" s="271">
        <v>1</v>
      </c>
      <c r="N93" s="271" t="s">
        <v>277</v>
      </c>
      <c r="O93" s="278" t="str">
        <f>IF(Table1[[#This Row],[h_Item Description]]="","",INDEX([1]!db[NB PAJAK],MATCH(Table1[[#This Row],[h_Item Description]],[1]!db[kode],0)))</f>
        <v>GEL PEN JOYKO GP-266 ITECH HITAM</v>
      </c>
      <c r="P93" s="271" t="s">
        <v>278</v>
      </c>
      <c r="Q93" s="274">
        <v>27600</v>
      </c>
      <c r="R93" s="275">
        <v>0.125</v>
      </c>
      <c r="S93" s="275">
        <v>0.05</v>
      </c>
      <c r="T93" s="274">
        <f>Table1[[#This Row],[h_hargasetelahdiskon]]</f>
        <v>3303720</v>
      </c>
      <c r="V93" s="271"/>
      <c r="W93" s="278">
        <f ca="1">IF(Table1[[#This Row],[Item Description]]="","",IF(Table1[[#This Row],[//]]="",INDIRECT(ADDRESS(ROW()-1,COLUMN())),Table1[[#This Row],[//]]))</f>
        <v>88</v>
      </c>
      <c r="X93" s="278">
        <f ca="1">IF(Table1[[#This Row],[h_id]]="","",COUNTIF(Table1[h_id],Table1[[#This Row],[h_id]]))</f>
        <v>6</v>
      </c>
      <c r="Y93" s="274">
        <f>IF(Table1[Item Description]="","",Table1[[#This Row],[Qty]]*Table1[[#This Row],[Unit Price]])</f>
        <v>3974400</v>
      </c>
      <c r="Z93" s="274">
        <f>IF(Table1[[#This Row],[h_hargasebelumdiskon]]="","",IF(Table1[[#This Row],[Disc 1]]="",0,Table1[[#This Row],[h_hargasebelumdiskon]]*Table1[[#This Row],[Disc 1]]))</f>
        <v>496800</v>
      </c>
      <c r="AA93" s="274">
        <f>IF(Table1[[#This Row],[h_hargasebelumdiskon]]="","",IF(Table1[[#This Row],[Disc 2]]="",0,(Table1[[#This Row],[h_hargasebelumdiskon]]-Table1[[#This Row],[h_disc 1]])*Table1[[#This Row],[Disc 2]]))</f>
        <v>173880</v>
      </c>
      <c r="AB93" s="274">
        <f>IF(Table1[Item Description]="","",Table1[[#This Row],[h_disc 1]]+Table1[[#This Row],[h_disc 2]])</f>
        <v>670680</v>
      </c>
      <c r="AC93" s="274">
        <f>IF(Table1[Item Description]="","",Table1[[#This Row],[h_hargasebelumdiskon]]-Table1[[#This Row],[h_diskon]])</f>
        <v>3303720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GEL PEN JOYKO GP-266 ITECH HITAMLSN27600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>
        <f ca="1">IF(Table1[[#This Row],[No. Invoice :]]="","",ROW())</f>
        <v>95</v>
      </c>
      <c r="B95" s="278">
        <f ca="1">IF(Table1[Column3]="","",B$1+COUNT(INDIRECT("B$2:B"&amp;ROW()-1)))</f>
        <v>23120024</v>
      </c>
      <c r="C95" s="272">
        <f>IF(Table1[[#This Row],[Column2]]="","",Table1[[#This Row],[Column2]]+C$1-1)</f>
        <v>45279</v>
      </c>
      <c r="D95" s="282">
        <v>19</v>
      </c>
      <c r="E95" s="273" t="s">
        <v>279</v>
      </c>
      <c r="F95" s="271" t="s">
        <v>280</v>
      </c>
      <c r="G95" s="278" t="str">
        <f ca="1">IF(Table1[[#This Row],[h_No. Invoice :]]="","",CONCATENATE("AM"," ",Table1[[#This Row],[h_No. Invoice :]]))</f>
        <v>AM 23120024</v>
      </c>
      <c r="H95" s="271" t="str">
        <f>IF(Table1[[#This Row],[Column5]]="","",INDEX(Table2[Column1],MATCH(Table1[[#This Row],[Column5]],Table2[a],0)))</f>
        <v>A</v>
      </c>
      <c r="I95" s="279" t="str">
        <f>IF(Table1[[#This Row],[Column3]]=0,"",CONCATENATE(UPPER(Table1[[#This Row],[Column3]])," ",Table1[[#This Row],[Column4]]))</f>
        <v>A 0665</v>
      </c>
      <c r="J95" s="278" t="str">
        <f>IF(Table1[[#This Row],[Column5]]="","",INDEX(Table2[e],IF(Table1[[#This Row],[Column5]]="","",MATCH(Table1[[#This Row],[Column5]],Table2[a],0)),))</f>
        <v>CV FM 90 KEBUMEN</v>
      </c>
      <c r="K95" s="271">
        <v>144</v>
      </c>
      <c r="L95" s="271" t="s">
        <v>137</v>
      </c>
      <c r="M95" s="271">
        <v>1</v>
      </c>
      <c r="N95" s="271" t="s">
        <v>158</v>
      </c>
      <c r="O95" s="278" t="str">
        <f>IF(Table1[[#This Row],[h_Item Description]]="","",INDEX([1]!db[NB PAJAK],MATCH(Table1[[#This Row],[h_Item Description]],[1]!db[kode],0)))</f>
        <v>GEL PEN TRIFELLO HI-TECH TF-1190 HITAM</v>
      </c>
      <c r="P95" s="271" t="s">
        <v>160</v>
      </c>
      <c r="Q95" s="274">
        <v>28500</v>
      </c>
      <c r="R95" s="275"/>
      <c r="S95" s="275"/>
      <c r="T95" s="274">
        <f>Table1[[#This Row],[h_hargasetelahdiskon]]</f>
        <v>4104000</v>
      </c>
      <c r="U95" s="274" t="s">
        <v>130</v>
      </c>
      <c r="V95" s="271"/>
      <c r="W95" s="278">
        <f ca="1">IF(Table1[[#This Row],[Item Description]]="","",IF(Table1[[#This Row],[//]]="",INDIRECT(ADDRESS(ROW()-1,COLUMN())),Table1[[#This Row],[//]]))</f>
        <v>95</v>
      </c>
      <c r="X95" s="278">
        <f ca="1">IF(Table1[[#This Row],[h_id]]="","",COUNTIF(Table1[h_id],Table1[[#This Row],[h_id]]))</f>
        <v>1</v>
      </c>
      <c r="Y95" s="274">
        <f>IF(Table1[Item Description]="","",Table1[[#This Row],[Qty]]*Table1[[#This Row],[Unit Price]])</f>
        <v>4104000</v>
      </c>
      <c r="Z95" s="274">
        <f>IF(Table1[[#This Row],[h_hargasebelumdiskon]]="","",IF(Table1[[#This Row],[Disc 1]]="",0,Table1[[#This Row],[h_hargasebelumdiskon]]*Table1[[#This Row],[Disc 1]]))</f>
        <v>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0</v>
      </c>
      <c r="AC95" s="274">
        <f>IF(Table1[Item Description]="","",Table1[[#This Row],[h_hargasebelumdiskon]]-Table1[[#This Row],[h_diskon]])</f>
        <v>4104000</v>
      </c>
      <c r="AD95" s="274">
        <f ca="1">IF(Table1[//]="","",SUMIF(Table1[h_id],Table1[h_id],Table1[h_hargasetelahdiskon]))</f>
        <v>4104000</v>
      </c>
      <c r="AF95" s="274" t="str">
        <f>Table1[[#This Row],[Item Description]]&amp;Table1[[#This Row],[Unit]]&amp;Table1[[#This Row],[Unit Price]]</f>
        <v>GEL PEN TRIFELLO HI-TECH TF-1190 HITAMLSN28500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>
        <f ca="1">IF(Table1[[#This Row],[No. Invoice :]]="","",ROW())</f>
        <v>97</v>
      </c>
      <c r="B97" s="278">
        <f ca="1">IF(Table1[Column3]="","",B$1+COUNT(INDIRECT("B$2:B"&amp;ROW()-1)))</f>
        <v>23120025</v>
      </c>
      <c r="C97" s="272">
        <f>IF(Table1[[#This Row],[Column2]]="","",Table1[[#This Row],[Column2]]+C$1-1)</f>
        <v>45279</v>
      </c>
      <c r="D97" s="282">
        <v>19</v>
      </c>
      <c r="E97" s="273" t="s">
        <v>281</v>
      </c>
      <c r="F97" s="271" t="s">
        <v>282</v>
      </c>
      <c r="G97" s="278" t="str">
        <f ca="1">IF(Table1[[#This Row],[h_No. Invoice :]]="","",CONCATENATE("AM"," ",Table1[[#This Row],[h_No. Invoice :]]))</f>
        <v>AM 23120025</v>
      </c>
      <c r="H97" s="271" t="str">
        <f>IF(Table1[[#This Row],[Column5]]="","",INDEX(Table2[Column1],MATCH(Table1[[#This Row],[Column5]],Table2[a],0)))</f>
        <v>KO</v>
      </c>
      <c r="I97" s="279" t="str">
        <f>IF(Table1[[#This Row],[Column3]]=0,"",CONCATENATE(UPPER(Table1[[#This Row],[Column3]])," ",Table1[[#This Row],[Column4]]))</f>
        <v>KO 0666</v>
      </c>
      <c r="J97" s="278" t="str">
        <f>IF(Table1[[#This Row],[Column5]]="","",INDEX(Table2[e],IF(Table1[[#This Row],[Column5]]="","",MATCH(Table1[[#This Row],[Column5]],Table2[a],0)),))</f>
        <v>CV SINAR CAHAYA NIRMALA BREBES</v>
      </c>
      <c r="K97" s="271">
        <v>1</v>
      </c>
      <c r="L97" s="271" t="s">
        <v>137</v>
      </c>
      <c r="O97" s="278" t="str">
        <f>IF(Table1[[#This Row],[h_Item Description]]="","",INDEX([1]!db[NB PAJAK],MATCH(Table1[[#This Row],[h_Item Description]],[1]!db[kode],0)))</f>
        <v/>
      </c>
      <c r="P97" s="271" t="s">
        <v>283</v>
      </c>
      <c r="Q97" s="274">
        <v>180000</v>
      </c>
      <c r="R97" s="275"/>
      <c r="S97" s="275"/>
      <c r="T97" s="274">
        <f>Table1[[#This Row],[h_hargasetelahdiskon]]</f>
        <v>180000</v>
      </c>
      <c r="U97" s="274" t="s">
        <v>130</v>
      </c>
      <c r="V97" s="271"/>
      <c r="W97" s="278">
        <f ca="1">IF(Table1[[#This Row],[Item Description]]="","",IF(Table1[[#This Row],[//]]="",INDIRECT(ADDRESS(ROW()-1,COLUMN())),Table1[[#This Row],[//]]))</f>
        <v>97</v>
      </c>
      <c r="X97" s="278">
        <f ca="1">IF(Table1[[#This Row],[h_id]]="","",COUNTIF(Table1[h_id],Table1[[#This Row],[h_id]]))</f>
        <v>15</v>
      </c>
      <c r="Y97" s="274">
        <f>IF(Table1[Item Description]="","",Table1[[#This Row],[Qty]]*Table1[[#This Row],[Unit Price]])</f>
        <v>180000</v>
      </c>
      <c r="Z97" s="274">
        <f>IF(Table1[[#This Row],[h_hargasebelumdiskon]]="","",IF(Table1[[#This Row],[Disc 1]]="",0,Table1[[#This Row],[h_hargasebelumdiskon]]*Table1[[#This Row],[Disc 1]]))</f>
        <v>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0</v>
      </c>
      <c r="AC97" s="274">
        <f>IF(Table1[Item Description]="","",Table1[[#This Row],[h_hargasebelumdiskon]]-Table1[[#This Row],[h_diskon]])</f>
        <v>180000</v>
      </c>
      <c r="AD97" s="274">
        <f ca="1">IF(Table1[//]="","",SUMIF(Table1[h_id],Table1[h_id],Table1[h_hargasetelahdiskon]))</f>
        <v>2408080</v>
      </c>
      <c r="AF97" s="274" t="str">
        <f>Table1[[#This Row],[Item Description]]&amp;Table1[[#This Row],[Unit]]&amp;Table1[[#This Row],[Unit Price]]</f>
        <v>TAS KARUNG V (35 X 40)LSN180000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3</v>
      </c>
      <c r="L98" s="271" t="s">
        <v>137</v>
      </c>
      <c r="N98" s="271" t="s">
        <v>284</v>
      </c>
      <c r="O98" s="278" t="str">
        <f>IF(Table1[[#This Row],[h_Item Description]]="","",INDEX([1]!db[NB PAJAK],MATCH(Table1[[#This Row],[h_Item Description]],[1]!db[kode],0)))</f>
        <v>GEL PEN KENKO FUN GEL HITAM</v>
      </c>
      <c r="P98" s="271" t="s">
        <v>294</v>
      </c>
      <c r="Q98" s="274">
        <v>25200</v>
      </c>
      <c r="R98" s="275">
        <v>0.1</v>
      </c>
      <c r="S98" s="275"/>
      <c r="T98" s="274">
        <f>Table1[[#This Row],[h_hargasetelahdiskon]]</f>
        <v>68040</v>
      </c>
      <c r="V98" s="271"/>
      <c r="W98" s="278">
        <f ca="1">IF(Table1[[#This Row],[Item Description]]="","",IF(Table1[[#This Row],[//]]="",INDIRECT(ADDRESS(ROW()-1,COLUMN())),Table1[[#This Row],[//]]))</f>
        <v>97</v>
      </c>
      <c r="X98" s="278">
        <f ca="1">IF(Table1[[#This Row],[h_id]]="","",COUNTIF(Table1[h_id],Table1[[#This Row],[h_id]]))</f>
        <v>15</v>
      </c>
      <c r="Y98" s="274">
        <f>IF(Table1[Item Description]="","",Table1[[#This Row],[Qty]]*Table1[[#This Row],[Unit Price]])</f>
        <v>75600</v>
      </c>
      <c r="Z98" s="274">
        <f>IF(Table1[[#This Row],[h_hargasebelumdiskon]]="","",IF(Table1[[#This Row],[Disc 1]]="",0,Table1[[#This Row],[h_hargasebelumdiskon]]*Table1[[#This Row],[Disc 1]]))</f>
        <v>7560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7560</v>
      </c>
      <c r="AC98" s="274">
        <f>IF(Table1[Item Description]="","",Table1[[#This Row],[h_hargasebelumdiskon]]-Table1[[#This Row],[h_diskon]])</f>
        <v>68040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GEL PEN KENKO FUN GELLSN25200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2</v>
      </c>
      <c r="L99" s="271" t="s">
        <v>137</v>
      </c>
      <c r="N99" s="271" t="s">
        <v>291</v>
      </c>
      <c r="O99" s="278" t="str">
        <f>IF(Table1[[#This Row],[h_Item Description]]="","",INDEX([1]!db[NB PAJAK],MATCH(Table1[[#This Row],[h_Item Description]],[1]!db[kode],0)))</f>
        <v>SPIDOL PERMANEN KENKO PM-100 HITAM</v>
      </c>
      <c r="P99" s="271" t="s">
        <v>293</v>
      </c>
      <c r="Q99" s="274">
        <v>36000</v>
      </c>
      <c r="R99" s="275">
        <v>0.1</v>
      </c>
      <c r="S99" s="275"/>
      <c r="T99" s="274">
        <f>Table1[[#This Row],[h_hargasetelahdiskon]]</f>
        <v>64800</v>
      </c>
      <c r="V99" s="271"/>
      <c r="W99" s="278">
        <f ca="1">IF(Table1[[#This Row],[Item Description]]="","",IF(Table1[[#This Row],[//]]="",INDIRECT(ADDRESS(ROW()-1,COLUMN())),Table1[[#This Row],[//]]))</f>
        <v>97</v>
      </c>
      <c r="X99" s="278">
        <f ca="1">IF(Table1[[#This Row],[h_id]]="","",COUNTIF(Table1[h_id],Table1[[#This Row],[h_id]]))</f>
        <v>15</v>
      </c>
      <c r="Y99" s="274">
        <f>IF(Table1[Item Description]="","",Table1[[#This Row],[Qty]]*Table1[[#This Row],[Unit Price]])</f>
        <v>72000</v>
      </c>
      <c r="Z99" s="274">
        <f>IF(Table1[[#This Row],[h_hargasebelumdiskon]]="","",IF(Table1[[#This Row],[Disc 1]]="",0,Table1[[#This Row],[h_hargasebelumdiskon]]*Table1[[#This Row],[Disc 1]]))</f>
        <v>7200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7200</v>
      </c>
      <c r="AC99" s="274">
        <f>IF(Table1[Item Description]="","",Table1[[#This Row],[h_hargasebelumdiskon]]-Table1[[#This Row],[h_diskon]])</f>
        <v>64800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SPIDOL PERMANEN KENKO PM-100 HITAMLSN36000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3</v>
      </c>
      <c r="L100" s="271" t="s">
        <v>137</v>
      </c>
      <c r="N100" s="271" t="s">
        <v>285</v>
      </c>
      <c r="O100" s="278" t="e">
        <f>IF(Table1[[#This Row],[h_Item Description]]="","",INDEX([1]!db[NB PAJAK],MATCH(Table1[[#This Row],[h_Item Description]],[1]!db[kode],0)))</f>
        <v>#N/A</v>
      </c>
      <c r="P100" s="271" t="s">
        <v>295</v>
      </c>
      <c r="Q100" s="274">
        <v>18500</v>
      </c>
      <c r="R100" s="275"/>
      <c r="S100" s="275"/>
      <c r="T100" s="274">
        <f>Table1[[#This Row],[h_hargasetelahdiskon]]</f>
        <v>55500</v>
      </c>
      <c r="V100" s="271"/>
      <c r="W100" s="278">
        <f ca="1">IF(Table1[[#This Row],[Item Description]]="","",IF(Table1[[#This Row],[//]]="",INDIRECT(ADDRESS(ROW()-1,COLUMN())),Table1[[#This Row],[//]]))</f>
        <v>97</v>
      </c>
      <c r="X100" s="278">
        <f ca="1">IF(Table1[[#This Row],[h_id]]="","",COUNTIF(Table1[h_id],Table1[[#This Row],[h_id]]))</f>
        <v>15</v>
      </c>
      <c r="Y100" s="274">
        <f>IF(Table1[Item Description]="","",Table1[[#This Row],[Qty]]*Table1[[#This Row],[Unit Price]])</f>
        <v>55500</v>
      </c>
      <c r="Z100" s="274">
        <f>IF(Table1[[#This Row],[h_hargasebelumdiskon]]="","",IF(Table1[[#This Row],[Disc 1]]="",0,Table1[[#This Row],[h_hargasebelumdiskon]]*Table1[[#This Row],[Disc 1]]))</f>
        <v>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0</v>
      </c>
      <c r="AC100" s="274">
        <f>IF(Table1[Item Description]="","",Table1[[#This Row],[h_hargasebelumdiskon]]-Table1[[#This Row],[h_diskon]])</f>
        <v>55500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GEL PEN AODEMI MASTONA 010LSN18500</v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>
        <v>3</v>
      </c>
      <c r="L101" s="271" t="s">
        <v>136</v>
      </c>
      <c r="N101" s="271" t="s">
        <v>286</v>
      </c>
      <c r="O101" s="278" t="e">
        <f>IF(Table1[[#This Row],[h_Item Description]]="","",INDEX([1]!db[NB PAJAK],MATCH(Table1[[#This Row],[h_Item Description]],[1]!db[kode],0)))</f>
        <v>#N/A</v>
      </c>
      <c r="P101" s="271" t="s">
        <v>292</v>
      </c>
      <c r="Q101" s="274">
        <v>37500</v>
      </c>
      <c r="R101" s="275"/>
      <c r="S101" s="275"/>
      <c r="T101" s="274">
        <f>Table1[[#This Row],[h_hargasetelahdiskon]]</f>
        <v>112500</v>
      </c>
      <c r="V101" s="271"/>
      <c r="W101" s="278">
        <f ca="1">IF(Table1[[#This Row],[Item Description]]="","",IF(Table1[[#This Row],[//]]="",INDIRECT(ADDRESS(ROW()-1,COLUMN())),Table1[[#This Row],[//]]))</f>
        <v>97</v>
      </c>
      <c r="X101" s="278">
        <f ca="1">IF(Table1[[#This Row],[h_id]]="","",COUNTIF(Table1[h_id],Table1[[#This Row],[h_id]]))</f>
        <v>15</v>
      </c>
      <c r="Y101" s="274">
        <f>IF(Table1[Item Description]="","",Table1[[#This Row],[Qty]]*Table1[[#This Row],[Unit Price]])</f>
        <v>112500</v>
      </c>
      <c r="Z101" s="274">
        <f>IF(Table1[[#This Row],[h_hargasebelumdiskon]]="","",IF(Table1[[#This Row],[Disc 1]]="",0,Table1[[#This Row],[h_hargasebelumdiskon]]*Table1[[#This Row],[Disc 1]]))</f>
        <v>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0</v>
      </c>
      <c r="AC101" s="274">
        <f>IF(Table1[Item Description]="","",Table1[[#This Row],[h_hargasebelumdiskon]]-Table1[[#This Row],[h_diskon]])</f>
        <v>112500</v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>KERTAS KARBON DOUBLE BIRUPAK37500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10</v>
      </c>
      <c r="L102" s="271" t="s">
        <v>162</v>
      </c>
      <c r="N102" s="271" t="s">
        <v>214</v>
      </c>
      <c r="O102" s="278" t="str">
        <f>IF(Table1[[#This Row],[h_Item Description]]="","",INDEX([1]!db[NB PAJAK],MATCH(Table1[[#This Row],[h_Item Description]],[1]!db[kode],0)))</f>
        <v>BUKU KAS KWARTO</v>
      </c>
      <c r="P102" s="271" t="s">
        <v>215</v>
      </c>
      <c r="Q102" s="274">
        <v>9500</v>
      </c>
      <c r="R102" s="275"/>
      <c r="S102" s="275"/>
      <c r="T102" s="274">
        <f>Table1[[#This Row],[h_hargasetelahdiskon]]</f>
        <v>95000</v>
      </c>
      <c r="V102" s="271"/>
      <c r="W102" s="278">
        <f ca="1">IF(Table1[[#This Row],[Item Description]]="","",IF(Table1[[#This Row],[//]]="",INDIRECT(ADDRESS(ROW()-1,COLUMN())),Table1[[#This Row],[//]]))</f>
        <v>97</v>
      </c>
      <c r="X102" s="278">
        <f ca="1">IF(Table1[[#This Row],[h_id]]="","",COUNTIF(Table1[h_id],Table1[[#This Row],[h_id]]))</f>
        <v>15</v>
      </c>
      <c r="Y102" s="274">
        <f>IF(Table1[Item Description]="","",Table1[[#This Row],[Qty]]*Table1[[#This Row],[Unit Price]])</f>
        <v>95000</v>
      </c>
      <c r="Z102" s="274">
        <f>IF(Table1[[#This Row],[h_hargasebelumdiskon]]="","",IF(Table1[[#This Row],[Disc 1]]="",0,Table1[[#This Row],[h_hargasebelumdiskon]]*Table1[[#This Row],[Disc 1]]))</f>
        <v>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0</v>
      </c>
      <c r="AC102" s="274">
        <f>IF(Table1[Item Description]="","",Table1[[#This Row],[h_hargasebelumdiskon]]-Table1[[#This Row],[h_diskon]])</f>
        <v>95000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BUKU KAS KWARTOPCS9500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5</v>
      </c>
      <c r="L103" s="271" t="s">
        <v>162</v>
      </c>
      <c r="N103" s="271" t="s">
        <v>287</v>
      </c>
      <c r="O103" s="278" t="str">
        <f>IF(Table1[[#This Row],[h_Item Description]]="","",INDEX([1]!db[NB PAJAK],MATCH(Table1[[#This Row],[h_Item Description]],[1]!db[kode],0)))</f>
        <v>BUKU KAS (FOLIO)</v>
      </c>
      <c r="P103" s="271" t="s">
        <v>296</v>
      </c>
      <c r="Q103" s="274">
        <v>18500</v>
      </c>
      <c r="R103" s="275"/>
      <c r="S103" s="275"/>
      <c r="T103" s="274">
        <f>Table1[[#This Row],[h_hargasetelahdiskon]]</f>
        <v>92500</v>
      </c>
      <c r="V103" s="271"/>
      <c r="W103" s="278">
        <f ca="1">IF(Table1[[#This Row],[Item Description]]="","",IF(Table1[[#This Row],[//]]="",INDIRECT(ADDRESS(ROW()-1,COLUMN())),Table1[[#This Row],[//]]))</f>
        <v>97</v>
      </c>
      <c r="X103" s="278">
        <f ca="1">IF(Table1[[#This Row],[h_id]]="","",COUNTIF(Table1[h_id],Table1[[#This Row],[h_id]]))</f>
        <v>15</v>
      </c>
      <c r="Y103" s="274">
        <f>IF(Table1[Item Description]="","",Table1[[#This Row],[Qty]]*Table1[[#This Row],[Unit Price]])</f>
        <v>92500</v>
      </c>
      <c r="Z103" s="274">
        <f>IF(Table1[[#This Row],[h_hargasebelumdiskon]]="","",IF(Table1[[#This Row],[Disc 1]]="",0,Table1[[#This Row],[h_hargasebelumdiskon]]*Table1[[#This Row],[Disc 1]]))</f>
        <v>0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0</v>
      </c>
      <c r="AC103" s="274">
        <f>IF(Table1[Item Description]="","",Table1[[#This Row],[h_hargasebelumdiskon]]-Table1[[#This Row],[h_diskon]])</f>
        <v>92500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BUKU KAS (FOLIO)PCS18500</v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2</v>
      </c>
      <c r="L104" s="271" t="s">
        <v>137</v>
      </c>
      <c r="N104" s="271" t="s">
        <v>200</v>
      </c>
      <c r="O104" s="278" t="str">
        <f>IF(Table1[[#This Row],[h_Item Description]]="","",INDEX([1]!db[NB PAJAK],MATCH(Table1[[#This Row],[h_Item Description]],[1]!db[kode],0)))</f>
        <v>CRAYON / OIL PASTEL JOYKO OP-12S PP CASE SEA WORLD</v>
      </c>
      <c r="P104" s="271" t="s">
        <v>201</v>
      </c>
      <c r="Q104" s="274">
        <v>142800</v>
      </c>
      <c r="R104" s="275">
        <v>0.1</v>
      </c>
      <c r="S104" s="275"/>
      <c r="T104" s="274">
        <f>Table1[[#This Row],[h_hargasetelahdiskon]]</f>
        <v>257040</v>
      </c>
      <c r="V104" s="271"/>
      <c r="W104" s="278">
        <f ca="1">IF(Table1[[#This Row],[Item Description]]="","",IF(Table1[[#This Row],[//]]="",INDIRECT(ADDRESS(ROW()-1,COLUMN())),Table1[[#This Row],[//]]))</f>
        <v>97</v>
      </c>
      <c r="X104" s="278">
        <f ca="1">IF(Table1[[#This Row],[h_id]]="","",COUNTIF(Table1[h_id],Table1[[#This Row],[h_id]]))</f>
        <v>15</v>
      </c>
      <c r="Y104" s="274">
        <f>IF(Table1[Item Description]="","",Table1[[#This Row],[Qty]]*Table1[[#This Row],[Unit Price]])</f>
        <v>285600</v>
      </c>
      <c r="Z104" s="274">
        <f>IF(Table1[[#This Row],[h_hargasebelumdiskon]]="","",IF(Table1[[#This Row],[Disc 1]]="",0,Table1[[#This Row],[h_hargasebelumdiskon]]*Table1[[#This Row],[Disc 1]]))</f>
        <v>28560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28560</v>
      </c>
      <c r="AC104" s="274">
        <f>IF(Table1[Item Description]="","",Table1[[#This Row],[h_hargasebelumdiskon]]-Table1[[#This Row],[h_diskon]])</f>
        <v>257040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CRAYON / OIL PASTEL JOYKO OP-12S PP CASE SEA WORLDLSN142800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2</v>
      </c>
      <c r="L105" s="271" t="s">
        <v>137</v>
      </c>
      <c r="N105" s="271" t="s">
        <v>220</v>
      </c>
      <c r="O105" s="278" t="str">
        <f>IF(Table1[[#This Row],[h_Item Description]]="","",INDEX([1]!db[NB PAJAK],MATCH(Table1[[#This Row],[h_Item Description]],[1]!db[kode],0)))</f>
        <v>CRAYON / OIL PASTEL JOYKO OP-18S PP CASE SEA WORLD</v>
      </c>
      <c r="P105" s="271" t="s">
        <v>221</v>
      </c>
      <c r="Q105" s="274">
        <v>276000</v>
      </c>
      <c r="R105" s="275">
        <v>0.1</v>
      </c>
      <c r="S105" s="275"/>
      <c r="T105" s="274">
        <f>Table1[[#This Row],[h_hargasetelahdiskon]]</f>
        <v>496800</v>
      </c>
      <c r="V105" s="271"/>
      <c r="W105" s="278">
        <f ca="1">IF(Table1[[#This Row],[Item Description]]="","",IF(Table1[[#This Row],[//]]="",INDIRECT(ADDRESS(ROW()-1,COLUMN())),Table1[[#This Row],[//]]))</f>
        <v>97</v>
      </c>
      <c r="X105" s="278">
        <f ca="1">IF(Table1[[#This Row],[h_id]]="","",COUNTIF(Table1[h_id],Table1[[#This Row],[h_id]]))</f>
        <v>15</v>
      </c>
      <c r="Y105" s="274">
        <f>IF(Table1[Item Description]="","",Table1[[#This Row],[Qty]]*Table1[[#This Row],[Unit Price]])</f>
        <v>552000</v>
      </c>
      <c r="Z105" s="274">
        <f>IF(Table1[[#This Row],[h_hargasebelumdiskon]]="","",IF(Table1[[#This Row],[Disc 1]]="",0,Table1[[#This Row],[h_hargasebelumdiskon]]*Table1[[#This Row],[Disc 1]]))</f>
        <v>55200</v>
      </c>
      <c r="AA105" s="274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55200</v>
      </c>
      <c r="AC105" s="274">
        <f>IF(Table1[Item Description]="","",Table1[[#This Row],[h_hargasebelumdiskon]]-Table1[[#This Row],[h_diskon]])</f>
        <v>496800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CRAYON / OIL PASTEL JOYKO OP-18S PP CASE SEA WORLDLSN276000</v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>
        <v>2</v>
      </c>
      <c r="L106" s="271" t="s">
        <v>137</v>
      </c>
      <c r="N106" s="271" t="s">
        <v>297</v>
      </c>
      <c r="O106" s="278" t="str">
        <f>IF(Table1[[#This Row],[h_Item Description]]="","",INDEX([1]!db[NB PAJAK],MATCH(Table1[[#This Row],[h_Item Description]],[1]!db[kode],0)))</f>
        <v>PUSH PIN JOYKO PP-30 WARNA</v>
      </c>
      <c r="P106" s="271" t="s">
        <v>301</v>
      </c>
      <c r="Q106" s="274">
        <v>31200</v>
      </c>
      <c r="R106" s="275">
        <v>0.1</v>
      </c>
      <c r="S106" s="275"/>
      <c r="T106" s="274">
        <f>Table1[[#This Row],[h_hargasetelahdiskon]]</f>
        <v>56160</v>
      </c>
      <c r="V106" s="271"/>
      <c r="W106" s="278">
        <f ca="1">IF(Table1[[#This Row],[Item Description]]="","",IF(Table1[[#This Row],[//]]="",INDIRECT(ADDRESS(ROW()-1,COLUMN())),Table1[[#This Row],[//]]))</f>
        <v>97</v>
      </c>
      <c r="X106" s="278">
        <f ca="1">IF(Table1[[#This Row],[h_id]]="","",COUNTIF(Table1[h_id],Table1[[#This Row],[h_id]]))</f>
        <v>15</v>
      </c>
      <c r="Y106" s="274">
        <f>IF(Table1[Item Description]="","",Table1[[#This Row],[Qty]]*Table1[[#This Row],[Unit Price]])</f>
        <v>62400</v>
      </c>
      <c r="Z106" s="274">
        <f>IF(Table1[[#This Row],[h_hargasebelumdiskon]]="","",IF(Table1[[#This Row],[Disc 1]]="",0,Table1[[#This Row],[h_hargasebelumdiskon]]*Table1[[#This Row],[Disc 1]]))</f>
        <v>6240</v>
      </c>
      <c r="AA106" s="274">
        <f>IF(Table1[[#This Row],[h_hargasebelumdiskon]]="","",IF(Table1[[#This Row],[Disc 2]]="",0,(Table1[[#This Row],[h_hargasebelumdiskon]]-Table1[[#This Row],[h_disc 1]])*Table1[[#This Row],[Disc 2]]))</f>
        <v>0</v>
      </c>
      <c r="AB106" s="274">
        <f>IF(Table1[Item Description]="","",Table1[[#This Row],[h_disc 1]]+Table1[[#This Row],[h_disc 2]])</f>
        <v>6240</v>
      </c>
      <c r="AC106" s="274">
        <f>IF(Table1[Item Description]="","",Table1[[#This Row],[h_hargasebelumdiskon]]-Table1[[#This Row],[h_diskon]])</f>
        <v>56160</v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>PUSH PIN JOYKO PP-30LSN31200</v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>
        <v>2</v>
      </c>
      <c r="L107" s="271" t="s">
        <v>168</v>
      </c>
      <c r="N107" s="271" t="s">
        <v>288</v>
      </c>
      <c r="O107" s="278" t="str">
        <f>IF(Table1[[#This Row],[h_Item Description]]="","",INDEX([1]!db[NB PAJAK],MATCH(Table1[[#This Row],[h_Item Description]],[1]!db[kode],0)))</f>
        <v>STIP / PENGHAPUS JOYKO ER-B20BL HITAM</v>
      </c>
      <c r="P107" s="271" t="s">
        <v>298</v>
      </c>
      <c r="Q107" s="274">
        <v>34100</v>
      </c>
      <c r="R107" s="275">
        <v>0.1</v>
      </c>
      <c r="S107" s="275"/>
      <c r="T107" s="274">
        <f>Table1[[#This Row],[h_hargasetelahdiskon]]</f>
        <v>61380</v>
      </c>
      <c r="V107" s="271"/>
      <c r="W107" s="278">
        <f ca="1">IF(Table1[[#This Row],[Item Description]]="","",IF(Table1[[#This Row],[//]]="",INDIRECT(ADDRESS(ROW()-1,COLUMN())),Table1[[#This Row],[//]]))</f>
        <v>97</v>
      </c>
      <c r="X107" s="278">
        <f ca="1">IF(Table1[[#This Row],[h_id]]="","",COUNTIF(Table1[h_id],Table1[[#This Row],[h_id]]))</f>
        <v>15</v>
      </c>
      <c r="Y107" s="274">
        <f>IF(Table1[Item Description]="","",Table1[[#This Row],[Qty]]*Table1[[#This Row],[Unit Price]])</f>
        <v>68200</v>
      </c>
      <c r="Z107" s="274">
        <f>IF(Table1[[#This Row],[h_hargasebelumdiskon]]="","",IF(Table1[[#This Row],[Disc 1]]="",0,Table1[[#This Row],[h_hargasebelumdiskon]]*Table1[[#This Row],[Disc 1]]))</f>
        <v>6820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6820</v>
      </c>
      <c r="AC107" s="274">
        <f>IF(Table1[Item Description]="","",Table1[[#This Row],[h_hargasebelumdiskon]]-Table1[[#This Row],[h_diskon]])</f>
        <v>61380</v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>STIP / PENGHAPUS JOYKO ER-B20BL HITAMBOX34100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1</v>
      </c>
      <c r="L108" s="271" t="s">
        <v>137</v>
      </c>
      <c r="N108" s="271" t="s">
        <v>289</v>
      </c>
      <c r="O108" s="278" t="str">
        <f>IF(Table1[[#This Row],[h_Item Description]]="","",INDEX([1]!db[NB PAJAK],MATCH(Table1[[#This Row],[h_Item Description]],[1]!db[kode],0)))</f>
        <v>PENCIL CASE 22 x 7.5 MAGNET AC-1762</v>
      </c>
      <c r="P108" s="271" t="s">
        <v>299</v>
      </c>
      <c r="Q108" s="274">
        <v>175000</v>
      </c>
      <c r="R108" s="275"/>
      <c r="S108" s="275"/>
      <c r="T108" s="274">
        <f>Table1[[#This Row],[h_hargasetelahdiskon]]</f>
        <v>175000</v>
      </c>
      <c r="V108" s="271"/>
      <c r="W108" s="278">
        <f ca="1">IF(Table1[[#This Row],[Item Description]]="","",IF(Table1[[#This Row],[//]]="",INDIRECT(ADDRESS(ROW()-1,COLUMN())),Table1[[#This Row],[//]]))</f>
        <v>97</v>
      </c>
      <c r="X108" s="278">
        <f ca="1">IF(Table1[[#This Row],[h_id]]="","",COUNTIF(Table1[h_id],Table1[[#This Row],[h_id]]))</f>
        <v>15</v>
      </c>
      <c r="Y108" s="274">
        <f>IF(Table1[Item Description]="","",Table1[[#This Row],[Qty]]*Table1[[#This Row],[Unit Price]])</f>
        <v>175000</v>
      </c>
      <c r="Z108" s="274">
        <f>IF(Table1[[#This Row],[h_hargasebelumdiskon]]="","",IF(Table1[[#This Row],[Disc 1]]="",0,Table1[[#This Row],[h_hargasebelumdiskon]]*Table1[[#This Row],[Disc 1]]))</f>
        <v>0</v>
      </c>
      <c r="AA108" s="274">
        <f>IF(Table1[[#This Row],[h_hargasebelumdiskon]]="","",IF(Table1[[#This Row],[Disc 2]]="",0,(Table1[[#This Row],[h_hargasebelumdiskon]]-Table1[[#This Row],[h_disc 1]])*Table1[[#This Row],[Disc 2]]))</f>
        <v>0</v>
      </c>
      <c r="AB108" s="274">
        <f>IF(Table1[Item Description]="","",Table1[[#This Row],[h_disc 1]]+Table1[[#This Row],[h_disc 2]])</f>
        <v>0</v>
      </c>
      <c r="AC108" s="274">
        <f>IF(Table1[Item Description]="","",Table1[[#This Row],[h_hargasebelumdiskon]]-Table1[[#This Row],[h_diskon]])</f>
        <v>175000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PENCIL CASE 22 x 7.5 MAGNET AC-1762LSN175000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6</v>
      </c>
      <c r="L109" s="271" t="s">
        <v>137</v>
      </c>
      <c r="N109" s="271" t="s">
        <v>290</v>
      </c>
      <c r="O109" s="278" t="str">
        <f>IF(Table1[[#This Row],[h_Item Description]]="","",INDEX([1]!db[NB PAJAK],MATCH(Table1[[#This Row],[h_Item Description]],[1]!db[kode],0)))</f>
        <v>CORRECTION FLUID KENKO KE-826M</v>
      </c>
      <c r="P109" s="271" t="s">
        <v>300</v>
      </c>
      <c r="Q109" s="274">
        <v>60300</v>
      </c>
      <c r="R109" s="275">
        <v>0.1</v>
      </c>
      <c r="S109" s="275"/>
      <c r="T109" s="274">
        <f>Table1[[#This Row],[h_hargasetelahdiskon]]</f>
        <v>325620</v>
      </c>
      <c r="V109" s="271"/>
      <c r="W109" s="278">
        <f ca="1">IF(Table1[[#This Row],[Item Description]]="","",IF(Table1[[#This Row],[//]]="",INDIRECT(ADDRESS(ROW()-1,COLUMN())),Table1[[#This Row],[//]]))</f>
        <v>97</v>
      </c>
      <c r="X109" s="278">
        <f ca="1">IF(Table1[[#This Row],[h_id]]="","",COUNTIF(Table1[h_id],Table1[[#This Row],[h_id]]))</f>
        <v>15</v>
      </c>
      <c r="Y109" s="274">
        <f>IF(Table1[Item Description]="","",Table1[[#This Row],[Qty]]*Table1[[#This Row],[Unit Price]])</f>
        <v>361800</v>
      </c>
      <c r="Z109" s="274">
        <f>IF(Table1[[#This Row],[h_hargasebelumdiskon]]="","",IF(Table1[[#This Row],[Disc 1]]="",0,Table1[[#This Row],[h_hargasebelumdiskon]]*Table1[[#This Row],[Disc 1]]))</f>
        <v>36180</v>
      </c>
      <c r="AA109" s="274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36180</v>
      </c>
      <c r="AC109" s="274">
        <f>IF(Table1[Item Description]="","",Table1[[#This Row],[h_hargasebelumdiskon]]-Table1[[#This Row],[h_diskon]])</f>
        <v>325620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CORRECTION FLUID KENKO KE-826MLSN60300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>
        <v>6</v>
      </c>
      <c r="L110" s="271" t="s">
        <v>137</v>
      </c>
      <c r="N110" s="271" t="s">
        <v>194</v>
      </c>
      <c r="O110" s="278" t="str">
        <f>IF(Table1[[#This Row],[h_Item Description]]="","",INDEX([1]!db[NB PAJAK],MATCH(Table1[[#This Row],[h_Item Description]],[1]!db[kode],0)))</f>
        <v>CORRECTION FLUID KENKO KE-01</v>
      </c>
      <c r="P110" s="271" t="s">
        <v>195</v>
      </c>
      <c r="Q110" s="274">
        <v>54300</v>
      </c>
      <c r="R110" s="275">
        <v>0.1</v>
      </c>
      <c r="S110" s="275"/>
      <c r="T110" s="274">
        <f>Table1[[#This Row],[h_hargasetelahdiskon]]</f>
        <v>293220</v>
      </c>
      <c r="V110" s="271"/>
      <c r="W110" s="278">
        <f ca="1">IF(Table1[[#This Row],[Item Description]]="","",IF(Table1[[#This Row],[//]]="",INDIRECT(ADDRESS(ROW()-1,COLUMN())),Table1[[#This Row],[//]]))</f>
        <v>97</v>
      </c>
      <c r="X110" s="278">
        <f ca="1">IF(Table1[[#This Row],[h_id]]="","",COUNTIF(Table1[h_id],Table1[[#This Row],[h_id]]))</f>
        <v>15</v>
      </c>
      <c r="Y110" s="274">
        <f>IF(Table1[Item Description]="","",Table1[[#This Row],[Qty]]*Table1[[#This Row],[Unit Price]])</f>
        <v>325800</v>
      </c>
      <c r="Z110" s="274">
        <f>IF(Table1[[#This Row],[h_hargasebelumdiskon]]="","",IF(Table1[[#This Row],[Disc 1]]="",0,Table1[[#This Row],[h_hargasebelumdiskon]]*Table1[[#This Row],[Disc 1]]))</f>
        <v>32580</v>
      </c>
      <c r="AA110" s="274">
        <f>IF(Table1[[#This Row],[h_hargasebelumdiskon]]="","",IF(Table1[[#This Row],[Disc 2]]="",0,(Table1[[#This Row],[h_hargasebelumdiskon]]-Table1[[#This Row],[h_disc 1]])*Table1[[#This Row],[Disc 2]]))</f>
        <v>0</v>
      </c>
      <c r="AB110" s="274">
        <f>IF(Table1[Item Description]="","",Table1[[#This Row],[h_disc 1]]+Table1[[#This Row],[h_disc 2]])</f>
        <v>32580</v>
      </c>
      <c r="AC110" s="274">
        <f>IF(Table1[Item Description]="","",Table1[[#This Row],[h_hargasebelumdiskon]]-Table1[[#This Row],[h_diskon]])</f>
        <v>293220</v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>CORRECTION FLUID KENKO KE-01LSN54300</v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>
        <v>3</v>
      </c>
      <c r="L111" s="271" t="s">
        <v>137</v>
      </c>
      <c r="N111" s="271" t="s">
        <v>277</v>
      </c>
      <c r="O111" s="278" t="str">
        <f>IF(Table1[[#This Row],[h_Item Description]]="","",INDEX([1]!db[NB PAJAK],MATCH(Table1[[#This Row],[h_Item Description]],[1]!db[kode],0)))</f>
        <v>GEL PEN JOYKO GP-266 ITECH HITAM</v>
      </c>
      <c r="P111" s="271" t="s">
        <v>278</v>
      </c>
      <c r="Q111" s="274">
        <v>27600</v>
      </c>
      <c r="R111" s="275">
        <v>0.1</v>
      </c>
      <c r="S111" s="275"/>
      <c r="T111" s="274">
        <f>Table1[[#This Row],[h_hargasetelahdiskon]]</f>
        <v>74520</v>
      </c>
      <c r="V111" s="271"/>
      <c r="W111" s="278">
        <f ca="1">IF(Table1[[#This Row],[Item Description]]="","",IF(Table1[[#This Row],[//]]="",INDIRECT(ADDRESS(ROW()-1,COLUMN())),Table1[[#This Row],[//]]))</f>
        <v>97</v>
      </c>
      <c r="X111" s="278">
        <f ca="1">IF(Table1[[#This Row],[h_id]]="","",COUNTIF(Table1[h_id],Table1[[#This Row],[h_id]]))</f>
        <v>15</v>
      </c>
      <c r="Y111" s="274">
        <f>IF(Table1[Item Description]="","",Table1[[#This Row],[Qty]]*Table1[[#This Row],[Unit Price]])</f>
        <v>82800</v>
      </c>
      <c r="Z111" s="274">
        <f>IF(Table1[[#This Row],[h_hargasebelumdiskon]]="","",IF(Table1[[#This Row],[Disc 1]]="",0,Table1[[#This Row],[h_hargasebelumdiskon]]*Table1[[#This Row],[Disc 1]]))</f>
        <v>8280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8280</v>
      </c>
      <c r="AC111" s="274">
        <f>IF(Table1[Item Description]="","",Table1[[#This Row],[h_hargasebelumdiskon]]-Table1[[#This Row],[h_diskon]])</f>
        <v>74520</v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>GEL PEN JOYKO GP-266 ITECH HITAMLSN27600</v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>
        <f ca="1">IF(Table1[[#This Row],[No. Invoice :]]="","",ROW())</f>
        <v>113</v>
      </c>
      <c r="B113" s="285">
        <f ca="1">IF(Table1[Column3]="","",B$1+COUNT(INDIRECT("B$2:B"&amp;ROW()-1)))</f>
        <v>23120026</v>
      </c>
      <c r="C113" s="272">
        <f>IF(Table1[[#This Row],[Column2]]="","",Table1[[#This Row],[Column2]]+C$1-1)</f>
        <v>45279</v>
      </c>
      <c r="D113" s="286">
        <v>19</v>
      </c>
      <c r="E113" s="273" t="s">
        <v>302</v>
      </c>
      <c r="F113" s="271" t="s">
        <v>282</v>
      </c>
      <c r="G113" s="278" t="str">
        <f ca="1">IF(Table1[[#This Row],[h_No. Invoice :]]="","",CONCATENATE("AM"," ",Table1[[#This Row],[h_No. Invoice :]]))</f>
        <v>AM 23120026</v>
      </c>
      <c r="H113" s="287" t="str">
        <f>IF(Table1[[#This Row],[Column5]]="","",INDEX(Table2[Column1],MATCH(Table1[[#This Row],[Column5]],Table2[a],0)))</f>
        <v>KO</v>
      </c>
      <c r="I113" s="279" t="str">
        <f>IF(Table1[[#This Row],[Column3]]=0,"",CONCATENATE(UPPER(Table1[[#This Row],[Column3]])," ",Table1[[#This Row],[Column4]]))</f>
        <v>KO 0667</v>
      </c>
      <c r="J113" s="278" t="str">
        <f>IF(Table1[[#This Row],[Column5]]="","",INDEX(Table2[e],IF(Table1[[#This Row],[Column5]]="","",MATCH(Table1[[#This Row],[Column5]],Table2[a],0)),))</f>
        <v>CV SINAR CAHAYA NIRMALA BREBES</v>
      </c>
      <c r="K113" s="271">
        <v>1</v>
      </c>
      <c r="L113" s="271" t="s">
        <v>137</v>
      </c>
      <c r="N113" s="271" t="s">
        <v>303</v>
      </c>
      <c r="O113" s="285" t="str">
        <f>IF(Table1[[#This Row],[h_Item Description]]="","",INDEX([1]!db[NB PAJAK],MATCH(Table1[[#This Row],[h_Item Description]],[1]!db[kode],0)))</f>
        <v>CORRECTION TAPE KENKO CT-809 (8M x 5MM)</v>
      </c>
      <c r="P113" s="271" t="s">
        <v>310</v>
      </c>
      <c r="Q113" s="274">
        <v>54000</v>
      </c>
      <c r="R113" s="275">
        <v>0.1</v>
      </c>
      <c r="S113" s="275"/>
      <c r="T113" s="289">
        <f>Table1[[#This Row],[h_hargasetelahdiskon]]</f>
        <v>48600</v>
      </c>
      <c r="U113" s="274" t="s">
        <v>130</v>
      </c>
      <c r="V113" s="271"/>
      <c r="W113" s="278">
        <f ca="1">IF(Table1[[#This Row],[Item Description]]="","",IF(Table1[[#This Row],[//]]="",INDIRECT(ADDRESS(ROW()-1,COLUMN())),Table1[[#This Row],[//]]))</f>
        <v>113</v>
      </c>
      <c r="X113" s="278">
        <f ca="1">IF(Table1[[#This Row],[h_id]]="","",COUNTIF(Table1[h_id],Table1[[#This Row],[h_id]]))</f>
        <v>6</v>
      </c>
      <c r="Y113" s="274">
        <f>IF(Table1[Item Description]="","",Table1[[#This Row],[Qty]]*Table1[[#This Row],[Unit Price]])</f>
        <v>54000</v>
      </c>
      <c r="Z113" s="289">
        <f>IF(Table1[[#This Row],[h_hargasebelumdiskon]]="","",IF(Table1[[#This Row],[Disc 1]]="",0,Table1[[#This Row],[h_hargasebelumdiskon]]*Table1[[#This Row],[Disc 1]]))</f>
        <v>5400</v>
      </c>
      <c r="AA113" s="289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5400</v>
      </c>
      <c r="AC113" s="274">
        <f>IF(Table1[Item Description]="","",Table1[[#This Row],[h_hargasebelumdiskon]]-Table1[[#This Row],[h_diskon]])</f>
        <v>48600</v>
      </c>
      <c r="AD113" s="274">
        <f ca="1">IF(Table1[//]="","",SUMIF(Table1[h_id],Table1[h_id],Table1[h_hargasetelahdiskon]))</f>
        <v>621340</v>
      </c>
      <c r="AF113" s="274" t="str">
        <f>Table1[[#This Row],[Item Description]]&amp;Table1[[#This Row],[Unit]]&amp;Table1[[#This Row],[Unit Price]]</f>
        <v>CORRECTION TAPE KENKO CT-809 (8M x 5MM)LSN54000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85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D114" s="286"/>
      <c r="E114" s="288"/>
      <c r="F114" s="287"/>
      <c r="G114" s="278" t="str">
        <f ca="1">IF(Table1[[#This Row],[h_No. Invoice :]]="","",CONCATENATE("AM"," ",Table1[[#This Row],[h_No. Invoice :]]))</f>
        <v/>
      </c>
      <c r="H114" s="287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>
        <v>1</v>
      </c>
      <c r="L114" s="271" t="s">
        <v>137</v>
      </c>
      <c r="N114" s="271" t="s">
        <v>304</v>
      </c>
      <c r="O114" s="285" t="str">
        <f>IF(Table1[[#This Row],[h_Item Description]]="","",INDEX([1]!db[NB PAJAK],MATCH(Table1[[#This Row],[h_Item Description]],[1]!db[kode],0)))</f>
        <v>STAPLER SDI 1104</v>
      </c>
      <c r="P114" s="271" t="s">
        <v>311</v>
      </c>
      <c r="Q114" s="274">
        <v>234000</v>
      </c>
      <c r="R114" s="275"/>
      <c r="S114" s="275"/>
      <c r="T114" s="289">
        <f>Table1[[#This Row],[h_hargasetelahdiskon]]</f>
        <v>234000</v>
      </c>
      <c r="V114" s="271"/>
      <c r="W114" s="278">
        <f ca="1">IF(Table1[[#This Row],[Item Description]]="","",IF(Table1[[#This Row],[//]]="",INDIRECT(ADDRESS(ROW()-1,COLUMN())),Table1[[#This Row],[//]]))</f>
        <v>113</v>
      </c>
      <c r="X114" s="278">
        <f ca="1">IF(Table1[[#This Row],[h_id]]="","",COUNTIF(Table1[h_id],Table1[[#This Row],[h_id]]))</f>
        <v>6</v>
      </c>
      <c r="Y114" s="274">
        <f>IF(Table1[Item Description]="","",Table1[[#This Row],[Qty]]*Table1[[#This Row],[Unit Price]])</f>
        <v>234000</v>
      </c>
      <c r="Z114" s="289">
        <f>IF(Table1[[#This Row],[h_hargasebelumdiskon]]="","",IF(Table1[[#This Row],[Disc 1]]="",0,Table1[[#This Row],[h_hargasebelumdiskon]]*Table1[[#This Row],[Disc 1]]))</f>
        <v>0</v>
      </c>
      <c r="AA114" s="289">
        <f>IF(Table1[[#This Row],[h_hargasebelumdiskon]]="","",IF(Table1[[#This Row],[Disc 2]]="",0,(Table1[[#This Row],[h_hargasebelumdiskon]]-Table1[[#This Row],[h_disc 1]])*Table1[[#This Row],[Disc 2]]))</f>
        <v>0</v>
      </c>
      <c r="AB114" s="274">
        <f>IF(Table1[Item Description]="","",Table1[[#This Row],[h_disc 1]]+Table1[[#This Row],[h_disc 2]])</f>
        <v>0</v>
      </c>
      <c r="AC114" s="274">
        <f>IF(Table1[Item Description]="","",Table1[[#This Row],[h_hargasebelumdiskon]]-Table1[[#This Row],[h_diskon]])</f>
        <v>234000</v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>STAPLER SDI 1104LSN234000</v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85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D115" s="286"/>
      <c r="E115" s="288"/>
      <c r="F115" s="287"/>
      <c r="G115" s="278" t="str">
        <f ca="1">IF(Table1[[#This Row],[h_No. Invoice :]]="","",CONCATENATE("AM"," ",Table1[[#This Row],[h_No. Invoice :]]))</f>
        <v/>
      </c>
      <c r="H115" s="287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>
        <v>1</v>
      </c>
      <c r="L115" s="271" t="s">
        <v>137</v>
      </c>
      <c r="N115" s="271" t="s">
        <v>313</v>
      </c>
      <c r="O115" s="285" t="e">
        <f>IF(Table1[[#This Row],[h_Item Description]]="","",INDEX([1]!db[NB PAJAK],MATCH(Table1[[#This Row],[h_Item Description]],[1]!db[kode],0)))</f>
        <v>#N/A</v>
      </c>
      <c r="P115" s="271" t="s">
        <v>307</v>
      </c>
      <c r="Q115" s="274">
        <v>79800</v>
      </c>
      <c r="R115" s="275">
        <v>0.1</v>
      </c>
      <c r="S115" s="275"/>
      <c r="T115" s="289">
        <f>Table1[[#This Row],[h_hargasetelahdiskon]]</f>
        <v>71820</v>
      </c>
      <c r="V115" s="271"/>
      <c r="W115" s="278">
        <f ca="1">IF(Table1[[#This Row],[Item Description]]="","",IF(Table1[[#This Row],[//]]="",INDIRECT(ADDRESS(ROW()-1,COLUMN())),Table1[[#This Row],[//]]))</f>
        <v>113</v>
      </c>
      <c r="X115" s="278">
        <f ca="1">IF(Table1[[#This Row],[h_id]]="","",COUNTIF(Table1[h_id],Table1[[#This Row],[h_id]]))</f>
        <v>6</v>
      </c>
      <c r="Y115" s="274">
        <f>IF(Table1[Item Description]="","",Table1[[#This Row],[Qty]]*Table1[[#This Row],[Unit Price]])</f>
        <v>79800</v>
      </c>
      <c r="Z115" s="289">
        <f>IF(Table1[[#This Row],[h_hargasebelumdiskon]]="","",IF(Table1[[#This Row],[Disc 1]]="",0,Table1[[#This Row],[h_hargasebelumdiskon]]*Table1[[#This Row],[Disc 1]]))</f>
        <v>7980</v>
      </c>
      <c r="AA115" s="289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7980</v>
      </c>
      <c r="AC115" s="274">
        <f>IF(Table1[Item Description]="","",Table1[[#This Row],[h_hargasebelumdiskon]]-Table1[[#This Row],[h_diskon]])</f>
        <v>71820</v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>GUNTING KENKO SC-838NLSN79800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85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D116" s="286"/>
      <c r="E116" s="288"/>
      <c r="F116" s="287"/>
      <c r="G116" s="278" t="str">
        <f ca="1">IF(Table1[[#This Row],[h_No. Invoice :]]="","",CONCATENATE("AM"," ",Table1[[#This Row],[h_No. Invoice :]]))</f>
        <v/>
      </c>
      <c r="H116" s="287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1</v>
      </c>
      <c r="L116" s="271" t="s">
        <v>137</v>
      </c>
      <c r="N116" s="271" t="s">
        <v>305</v>
      </c>
      <c r="O116" s="285" t="e">
        <f>IF(Table1[[#This Row],[h_Item Description]]="","",INDEX([1]!db[NB PAJAK],MATCH(Table1[[#This Row],[h_Item Description]],[1]!db[kode],0)))</f>
        <v>#N/A</v>
      </c>
      <c r="P116" s="271" t="s">
        <v>308</v>
      </c>
      <c r="Q116" s="274">
        <v>118800</v>
      </c>
      <c r="R116" s="275">
        <v>0.1</v>
      </c>
      <c r="S116" s="275"/>
      <c r="T116" s="289">
        <f>Table1[[#This Row],[h_hargasetelahdiskon]]</f>
        <v>106920</v>
      </c>
      <c r="V116" s="271"/>
      <c r="W116" s="278">
        <f ca="1">IF(Table1[[#This Row],[Item Description]]="","",IF(Table1[[#This Row],[//]]="",INDIRECT(ADDRESS(ROW()-1,COLUMN())),Table1[[#This Row],[//]]))</f>
        <v>113</v>
      </c>
      <c r="X116" s="278">
        <f ca="1">IF(Table1[[#This Row],[h_id]]="","",COUNTIF(Table1[h_id],Table1[[#This Row],[h_id]]))</f>
        <v>6</v>
      </c>
      <c r="Y116" s="274">
        <f>IF(Table1[Item Description]="","",Table1[[#This Row],[Qty]]*Table1[[#This Row],[Unit Price]])</f>
        <v>118800</v>
      </c>
      <c r="Z116" s="289">
        <f>IF(Table1[[#This Row],[h_hargasebelumdiskon]]="","",IF(Table1[[#This Row],[Disc 1]]="",0,Table1[[#This Row],[h_hargasebelumdiskon]]*Table1[[#This Row],[Disc 1]]))</f>
        <v>11880</v>
      </c>
      <c r="AA116" s="289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11880</v>
      </c>
      <c r="AC116" s="274">
        <f>IF(Table1[Item Description]="","",Table1[[#This Row],[h_hargasebelumdiskon]]-Table1[[#This Row],[h_diskon]])</f>
        <v>106920</v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>GUNTING KENKO SC-848NLSN118800</v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85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D117" s="286"/>
      <c r="E117" s="288"/>
      <c r="F117" s="287"/>
      <c r="G117" s="278" t="str">
        <f ca="1">IF(Table1[[#This Row],[h_No. Invoice :]]="","",CONCATENATE("AM"," ",Table1[[#This Row],[h_No. Invoice :]]))</f>
        <v/>
      </c>
      <c r="H117" s="287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1</v>
      </c>
      <c r="L117" s="271" t="s">
        <v>137</v>
      </c>
      <c r="N117" s="271" t="s">
        <v>306</v>
      </c>
      <c r="O117" s="285" t="e">
        <f>IF(Table1[[#This Row],[h_Item Description]]="","",INDEX([1]!db[NB PAJAK],MATCH(Table1[[#This Row],[h_Item Description]],[1]!db[kode],0)))</f>
        <v>#N/A</v>
      </c>
      <c r="P117" s="271" t="s">
        <v>312</v>
      </c>
      <c r="Q117" s="274">
        <v>75000</v>
      </c>
      <c r="R117" s="275"/>
      <c r="S117" s="275"/>
      <c r="T117" s="289">
        <f>Table1[[#This Row],[h_hargasetelahdiskon]]</f>
        <v>75000</v>
      </c>
      <c r="V117" s="271"/>
      <c r="W117" s="278">
        <f ca="1">IF(Table1[[#This Row],[Item Description]]="","",IF(Table1[[#This Row],[//]]="",INDIRECT(ADDRESS(ROW()-1,COLUMN())),Table1[[#This Row],[//]]))</f>
        <v>113</v>
      </c>
      <c r="X117" s="278">
        <f ca="1">IF(Table1[[#This Row],[h_id]]="","",COUNTIF(Table1[h_id],Table1[[#This Row],[h_id]]))</f>
        <v>6</v>
      </c>
      <c r="Y117" s="274">
        <f>IF(Table1[Item Description]="","",Table1[[#This Row],[Qty]]*Table1[[#This Row],[Unit Price]])</f>
        <v>75000</v>
      </c>
      <c r="Z117" s="289">
        <f>IF(Table1[[#This Row],[h_hargasebelumdiskon]]="","",IF(Table1[[#This Row],[Disc 1]]="",0,Table1[[#This Row],[h_hargasebelumdiskon]]*Table1[[#This Row],[Disc 1]]))</f>
        <v>0</v>
      </c>
      <c r="AA117" s="289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0</v>
      </c>
      <c r="AC117" s="274">
        <f>IF(Table1[Item Description]="","",Table1[[#This Row],[h_hargasebelumdiskon]]-Table1[[#This Row],[h_diskon]])</f>
        <v>75000</v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>MAP DATA A4 1935LSN75000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88"/>
      <c r="F118" s="287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1</v>
      </c>
      <c r="L118" s="271" t="s">
        <v>137</v>
      </c>
      <c r="N118" s="271" t="s">
        <v>314</v>
      </c>
      <c r="O118" s="278" t="e">
        <f>IF(Table1[[#This Row],[h_Item Description]]="","",INDEX([1]!db[NB PAJAK],MATCH(Table1[[#This Row],[h_Item Description]],[1]!db[kode],0)))</f>
        <v>#N/A</v>
      </c>
      <c r="P118" s="271" t="s">
        <v>309</v>
      </c>
      <c r="Q118" s="274">
        <v>85000</v>
      </c>
      <c r="R118" s="275"/>
      <c r="S118" s="275"/>
      <c r="T118" s="289">
        <f>Table1[[#This Row],[h_hargasetelahdiskon]]</f>
        <v>85000</v>
      </c>
      <c r="V118" s="271"/>
      <c r="W118" s="278">
        <f ca="1">IF(Table1[[#This Row],[Item Description]]="","",IF(Table1[[#This Row],[//]]="",INDIRECT(ADDRESS(ROW()-1,COLUMN())),Table1[[#This Row],[//]]))</f>
        <v>113</v>
      </c>
      <c r="X118" s="278">
        <f ca="1">IF(Table1[[#This Row],[h_id]]="","",COUNTIF(Table1[h_id],Table1[[#This Row],[h_id]]))</f>
        <v>6</v>
      </c>
      <c r="Y118" s="274">
        <f>IF(Table1[Item Description]="","",Table1[[#This Row],[Qty]]*Table1[[#This Row],[Unit Price]])</f>
        <v>85000</v>
      </c>
      <c r="Z118" s="289">
        <f>IF(Table1[[#This Row],[h_hargasebelumdiskon]]="","",IF(Table1[[#This Row],[Disc 1]]="",0,Table1[[#This Row],[h_hargasebelumdiskon]]*Table1[[#This Row],[Disc 1]]))</f>
        <v>0</v>
      </c>
      <c r="AA118" s="289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0</v>
      </c>
      <c r="AC118" s="274">
        <f>IF(Table1[Item Description]="","",Table1[[#This Row],[h_hargasebelumdiskon]]-Table1[[#This Row],[h_diskon]])</f>
        <v>85000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MAP A5 F 8517LSN85000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88"/>
      <c r="F119" s="287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85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89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89" t="str">
        <f>IF(Table1[[#This Row],[h_hargasebelumdiskon]]="","",IF(Table1[[#This Row],[Disc 1]]="",0,Table1[[#This Row],[h_hargasebelumdiskon]]*Table1[[#This Row],[Disc 1]]))</f>
        <v/>
      </c>
      <c r="AA119" s="289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>
        <f ca="1">IF(Table1[[#This Row],[No. Invoice :]]="","",ROW())</f>
        <v>120</v>
      </c>
      <c r="B120" s="278">
        <f ca="1">IF(Table1[Column3]="","",B$1+COUNT(INDIRECT("B$2:B"&amp;ROW()-1)))</f>
        <v>23120027</v>
      </c>
      <c r="C120" s="272">
        <f>IF(Table1[[#This Row],[Column2]]="","",Table1[[#This Row],[Column2]]+C$1-1)</f>
        <v>45280</v>
      </c>
      <c r="D120" s="282">
        <v>20</v>
      </c>
      <c r="E120" s="273" t="s">
        <v>315</v>
      </c>
      <c r="F120" s="271" t="s">
        <v>81</v>
      </c>
      <c r="G120" s="278" t="str">
        <f ca="1">IF(Table1[[#This Row],[h_No. Invoice :]]="","",CONCATENATE("AM"," ",Table1[[#This Row],[h_No. Invoice :]]))</f>
        <v>AM 23120027</v>
      </c>
      <c r="H120" s="271" t="str">
        <f>IF(Table1[[#This Row],[Column5]]="","",INDEX(Table2[Column1],MATCH(Table1[[#This Row],[Column5]],Table2[a],0)))</f>
        <v>KO</v>
      </c>
      <c r="I120" s="279" t="str">
        <f>IF(Table1[[#This Row],[Column3]]=0,"",CONCATENATE(UPPER(Table1[[#This Row],[Column3]])," ",Table1[[#This Row],[Column4]]))</f>
        <v>KO 0670</v>
      </c>
      <c r="J120" s="278" t="str">
        <f>IF(Table1[[#This Row],[Column5]]="","",INDEX(Table2[e],IF(Table1[[#This Row],[Column5]]="","",MATCH(Table1[[#This Row],[Column5]],Table2[a],0)),))</f>
        <v>CV PELITA JAYA (ANUGERAH SEJAHTERA) PURWOKERTO</v>
      </c>
      <c r="K120" s="271">
        <v>200</v>
      </c>
      <c r="L120" s="271" t="s">
        <v>137</v>
      </c>
      <c r="M120" s="271">
        <v>10</v>
      </c>
      <c r="N120" s="271" t="s">
        <v>316</v>
      </c>
      <c r="O120" s="278" t="str">
        <f>IF(Table1[[#This Row],[h_Item Description]]="","",INDEX([1]!db[NB PAJAK],MATCH(Table1[[#This Row],[h_Item Description]],[1]!db[kode],0)))</f>
        <v>STAPLER KENKO HD-10</v>
      </c>
      <c r="P120" s="271" t="s">
        <v>317</v>
      </c>
      <c r="Q120" s="274">
        <v>93000</v>
      </c>
      <c r="R120" s="275">
        <v>0.13500000000000001</v>
      </c>
      <c r="S120" s="275"/>
      <c r="T120" s="274">
        <f>Table1[[#This Row],[h_hargasetelahdiskon]]</f>
        <v>16089000</v>
      </c>
      <c r="U120" s="274" t="s">
        <v>130</v>
      </c>
      <c r="V120" s="271"/>
      <c r="W120" s="278">
        <f ca="1">IF(Table1[[#This Row],[Item Description]]="","",IF(Table1[[#This Row],[//]]="",INDIRECT(ADDRESS(ROW()-1,COLUMN())),Table1[[#This Row],[//]]))</f>
        <v>120</v>
      </c>
      <c r="X120" s="278">
        <f ca="1">IF(Table1[[#This Row],[h_id]]="","",COUNTIF(Table1[h_id],Table1[[#This Row],[h_id]]))</f>
        <v>1</v>
      </c>
      <c r="Y120" s="274">
        <f>IF(Table1[Item Description]="","",Table1[[#This Row],[Qty]]*Table1[[#This Row],[Unit Price]])</f>
        <v>18600000</v>
      </c>
      <c r="Z120" s="274">
        <f>IF(Table1[[#This Row],[h_hargasebelumdiskon]]="","",IF(Table1[[#This Row],[Disc 1]]="",0,Table1[[#This Row],[h_hargasebelumdiskon]]*Table1[[#This Row],[Disc 1]]))</f>
        <v>2511000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2511000</v>
      </c>
      <c r="AC120" s="274">
        <f>IF(Table1[Item Description]="","",Table1[[#This Row],[h_hargasebelumdiskon]]-Table1[[#This Row],[h_diskon]])</f>
        <v>16089000</v>
      </c>
      <c r="AD120" s="274">
        <f ca="1">IF(Table1[//]="","",SUMIF(Table1[h_id],Table1[h_id],Table1[h_hargasetelahdiskon]))</f>
        <v>16089000</v>
      </c>
      <c r="AF120" s="274" t="str">
        <f>Table1[[#This Row],[Item Description]]&amp;Table1[[#This Row],[Unit]]&amp;Table1[[#This Row],[Unit Price]]</f>
        <v>STAPLER KENKO HD-10LSN93000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>
        <f ca="1">IF(Table1[[#This Row],[No. Invoice :]]="","",ROW())</f>
        <v>122</v>
      </c>
      <c r="B122" s="278">
        <f ca="1">IF(Table1[Column3]="","",B$1+COUNT(INDIRECT("B$2:B"&amp;ROW()-1)))</f>
        <v>23120028</v>
      </c>
      <c r="C122" s="272">
        <f>IF(Table1[[#This Row],[Column2]]="","",Table1[[#This Row],[Column2]]+C$1-1)</f>
        <v>45280</v>
      </c>
      <c r="D122" s="282">
        <v>20</v>
      </c>
      <c r="E122" s="273" t="s">
        <v>318</v>
      </c>
      <c r="F122" s="271" t="s">
        <v>319</v>
      </c>
      <c r="G122" s="278" t="str">
        <f ca="1">IF(Table1[[#This Row],[h_No. Invoice :]]="","",CONCATENATE("AM"," ",Table1[[#This Row],[h_No. Invoice :]]))</f>
        <v>AM 23120028</v>
      </c>
      <c r="H122" s="271" t="str">
        <f>IF(Table1[[#This Row],[Column5]]="","",INDEX(Table2[Column1],MATCH(Table1[[#This Row],[Column5]],Table2[a],0)))</f>
        <v>KO</v>
      </c>
      <c r="I122" s="279" t="str">
        <f>IF(Table1[[#This Row],[Column3]]=0,"",CONCATENATE(UPPER(Table1[[#This Row],[Column3]])," ",Table1[[#This Row],[Column4]]))</f>
        <v>KO 0671</v>
      </c>
      <c r="J122" s="278" t="str">
        <f>IF(Table1[[#This Row],[Column5]]="","",INDEX(Table2[e],IF(Table1[[#This Row],[Column5]]="","",MATCH(Table1[[#This Row],[Column5]],Table2[a],0)),))</f>
        <v>HARNOYO (BENDAN) PEKALONGAN</v>
      </c>
      <c r="K122" s="271">
        <v>500</v>
      </c>
      <c r="L122" s="271" t="s">
        <v>168</v>
      </c>
      <c r="M122" s="271">
        <v>1</v>
      </c>
      <c r="N122" s="271" t="s">
        <v>320</v>
      </c>
      <c r="O122" s="278" t="str">
        <f>IF(Table1[[#This Row],[h_Item Description]]="","",INDEX([1]!db[NB PAJAK],MATCH(Table1[[#This Row],[h_Item Description]],[1]!db[kode],0)))</f>
        <v>PAPER TRIGONAL CLIP KENKO NO. 1</v>
      </c>
      <c r="P122" s="271" t="s">
        <v>321</v>
      </c>
      <c r="Q122" s="274">
        <v>1700</v>
      </c>
      <c r="R122" s="275">
        <v>0.14000000000000001</v>
      </c>
      <c r="S122" s="275"/>
      <c r="T122" s="274">
        <f>Table1[[#This Row],[h_hargasetelahdiskon]]</f>
        <v>731000</v>
      </c>
      <c r="U122" s="274" t="s">
        <v>130</v>
      </c>
      <c r="V122" s="271"/>
      <c r="W122" s="278">
        <f ca="1">IF(Table1[[#This Row],[Item Description]]="","",IF(Table1[[#This Row],[//]]="",INDIRECT(ADDRESS(ROW()-1,COLUMN())),Table1[[#This Row],[//]]))</f>
        <v>122</v>
      </c>
      <c r="X122" s="278">
        <f ca="1">IF(Table1[[#This Row],[h_id]]="","",COUNTIF(Table1[h_id],Table1[[#This Row],[h_id]]))</f>
        <v>3</v>
      </c>
      <c r="Y122" s="274">
        <f>IF(Table1[Item Description]="","",Table1[[#This Row],[Qty]]*Table1[[#This Row],[Unit Price]])</f>
        <v>850000</v>
      </c>
      <c r="Z122" s="274">
        <f>IF(Table1[[#This Row],[h_hargasebelumdiskon]]="","",IF(Table1[[#This Row],[Disc 1]]="",0,Table1[[#This Row],[h_hargasebelumdiskon]]*Table1[[#This Row],[Disc 1]]))</f>
        <v>119000.00000000001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119000.00000000001</v>
      </c>
      <c r="AC122" s="274">
        <f>IF(Table1[Item Description]="","",Table1[[#This Row],[h_hargasebelumdiskon]]-Table1[[#This Row],[h_diskon]])</f>
        <v>731000</v>
      </c>
      <c r="AD122" s="274">
        <f ca="1">IF(Table1[//]="","",SUMIF(Table1[h_id],Table1[h_id],Table1[h_hargasetelahdiskon]))</f>
        <v>2776700</v>
      </c>
      <c r="AF122" s="274" t="str">
        <f>Table1[[#This Row],[Item Description]]&amp;Table1[[#This Row],[Unit]]&amp;Table1[[#This Row],[Unit Price]]</f>
        <v>PAPER TRIGONAL CLIP KENKO NO. 1BOX1700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25</v>
      </c>
      <c r="L123" s="271" t="s">
        <v>137</v>
      </c>
      <c r="M123" s="271">
        <v>1</v>
      </c>
      <c r="N123" s="271" t="s">
        <v>322</v>
      </c>
      <c r="O123" s="278" t="str">
        <f>IF(Table1[[#This Row],[h_Item Description]]="","",INDEX([1]!db[NB PAJAK],MATCH(Table1[[#This Row],[h_Item Description]],[1]!db[kode],0)))</f>
        <v>GUNTING KENKO SC-838N</v>
      </c>
      <c r="P123" s="271" t="s">
        <v>307</v>
      </c>
      <c r="Q123" s="274">
        <v>79800</v>
      </c>
      <c r="R123" s="275">
        <v>0.14000000000000001</v>
      </c>
      <c r="S123" s="275"/>
      <c r="T123" s="274">
        <f>Table1[[#This Row],[h_hargasetelahdiskon]]</f>
        <v>1715700</v>
      </c>
      <c r="V123" s="271"/>
      <c r="W123" s="278">
        <f ca="1">IF(Table1[[#This Row],[Item Description]]="","",IF(Table1[[#This Row],[//]]="",INDIRECT(ADDRESS(ROW()-1,COLUMN())),Table1[[#This Row],[//]]))</f>
        <v>122</v>
      </c>
      <c r="X123" s="278">
        <f ca="1">IF(Table1[[#This Row],[h_id]]="","",COUNTIF(Table1[h_id],Table1[[#This Row],[h_id]]))</f>
        <v>3</v>
      </c>
      <c r="Y123" s="274">
        <f>IF(Table1[Item Description]="","",Table1[[#This Row],[Qty]]*Table1[[#This Row],[Unit Price]])</f>
        <v>1995000</v>
      </c>
      <c r="Z123" s="274">
        <f>IF(Table1[[#This Row],[h_hargasebelumdiskon]]="","",IF(Table1[[#This Row],[Disc 1]]="",0,Table1[[#This Row],[h_hargasebelumdiskon]]*Table1[[#This Row],[Disc 1]]))</f>
        <v>279300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279300</v>
      </c>
      <c r="AC123" s="274">
        <f>IF(Table1[Item Description]="","",Table1[[#This Row],[h_hargasebelumdiskon]]-Table1[[#This Row],[h_diskon]])</f>
        <v>1715700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GUNTING KENKO SC-838NLSN79800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3</v>
      </c>
      <c r="L124" s="271" t="s">
        <v>162</v>
      </c>
      <c r="O124" s="278" t="str">
        <f>IF(Table1[[#This Row],[h_Item Description]]="","",INDEX([1]!db[NB PAJAK],MATCH(Table1[[#This Row],[h_Item Description]],[1]!db[kode],0)))</f>
        <v/>
      </c>
      <c r="P124" s="271" t="s">
        <v>268</v>
      </c>
      <c r="Q124" s="274">
        <v>110000</v>
      </c>
      <c r="R124" s="275"/>
      <c r="S124" s="275"/>
      <c r="T124" s="274">
        <f>Table1[[#This Row],[h_hargasetelahdiskon]]</f>
        <v>330000</v>
      </c>
      <c r="V124" s="271"/>
      <c r="W124" s="278">
        <f ca="1">IF(Table1[[#This Row],[Item Description]]="","",IF(Table1[[#This Row],[//]]="",INDIRECT(ADDRESS(ROW()-1,COLUMN())),Table1[[#This Row],[//]]))</f>
        <v>122</v>
      </c>
      <c r="X124" s="278">
        <f ca="1">IF(Table1[[#This Row],[h_id]]="","",COUNTIF(Table1[h_id],Table1[[#This Row],[h_id]]))</f>
        <v>3</v>
      </c>
      <c r="Y124" s="274">
        <f>IF(Table1[Item Description]="","",Table1[[#This Row],[Qty]]*Table1[[#This Row],[Unit Price]])</f>
        <v>330000</v>
      </c>
      <c r="Z124" s="274">
        <f>IF(Table1[[#This Row],[h_hargasebelumdiskon]]="","",IF(Table1[[#This Row],[Disc 1]]="",0,Table1[[#This Row],[h_hargasebelumdiskon]]*Table1[[#This Row],[Disc 1]]))</f>
        <v>0</v>
      </c>
      <c r="AA124" s="274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0</v>
      </c>
      <c r="AC124" s="274">
        <f>IF(Table1[Item Description]="","",Table1[[#This Row],[h_hargasebelumdiskon]]-Table1[[#This Row],[h_diskon]])</f>
        <v>330000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RAK SUSUN BESI 5 SUSUNPCS110000</v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>
        <f ca="1">IF(Table1[[#This Row],[No. Invoice :]]="","",ROW())</f>
        <v>126</v>
      </c>
      <c r="B126" s="278">
        <f ca="1">IF(Table1[Column3]="","",B$1+COUNT(INDIRECT("B$2:B"&amp;ROW()-1)))</f>
        <v>23120029</v>
      </c>
      <c r="C126" s="272">
        <f>IF(Table1[[#This Row],[Column2]]="","",Table1[[#This Row],[Column2]]+C$1-1)</f>
        <v>45280</v>
      </c>
      <c r="D126" s="282">
        <v>20</v>
      </c>
      <c r="E126" s="273" t="s">
        <v>323</v>
      </c>
      <c r="F126" s="271" t="s">
        <v>81</v>
      </c>
      <c r="G126" s="278" t="str">
        <f ca="1">IF(Table1[[#This Row],[h_No. Invoice :]]="","",CONCATENATE("AM"," ",Table1[[#This Row],[h_No. Invoice :]]))</f>
        <v>AM 23120029</v>
      </c>
      <c r="H126" s="271" t="str">
        <f>IF(Table1[[#This Row],[Column5]]="","",INDEX(Table2[Column1],MATCH(Table1[[#This Row],[Column5]],Table2[a],0)))</f>
        <v>KO</v>
      </c>
      <c r="I126" s="279" t="str">
        <f>IF(Table1[[#This Row],[Column3]]=0,"",CONCATENATE(UPPER(Table1[[#This Row],[Column3]])," ",Table1[[#This Row],[Column4]]))</f>
        <v>KO 0682</v>
      </c>
      <c r="J126" s="278" t="str">
        <f>IF(Table1[[#This Row],[Column5]]="","",INDEX(Table2[e],IF(Table1[[#This Row],[Column5]]="","",MATCH(Table1[[#This Row],[Column5]],Table2[a],0)),))</f>
        <v>CV PELITA JAYA (ANUGERAH SEJAHTERA) PURWOKERTO</v>
      </c>
      <c r="K126" s="271">
        <v>288</v>
      </c>
      <c r="L126" s="271" t="s">
        <v>137</v>
      </c>
      <c r="M126" s="271">
        <v>2</v>
      </c>
      <c r="N126" s="271" t="s">
        <v>324</v>
      </c>
      <c r="O126" s="278" t="str">
        <f>IF(Table1[[#This Row],[h_Item Description]]="","",INDEX([1]!db[NB PAJAK],MATCH(Table1[[#This Row],[h_Item Description]],[1]!db[kode],0)))</f>
        <v>GEL PEN KENKO HI-TECH-H 0.28 MM HITAM</v>
      </c>
      <c r="P126" s="271" t="s">
        <v>325</v>
      </c>
      <c r="Q126" s="274">
        <v>39000</v>
      </c>
      <c r="R126" s="275">
        <v>0.13500000000000001</v>
      </c>
      <c r="S126" s="275"/>
      <c r="T126" s="274">
        <f>Table1[[#This Row],[h_hargasetelahdiskon]]</f>
        <v>9715680</v>
      </c>
      <c r="U126" s="274" t="s">
        <v>130</v>
      </c>
      <c r="V126" s="271"/>
      <c r="W126" s="278">
        <f ca="1">IF(Table1[[#This Row],[Item Description]]="","",IF(Table1[[#This Row],[//]]="",INDIRECT(ADDRESS(ROW()-1,COLUMN())),Table1[[#This Row],[//]]))</f>
        <v>126</v>
      </c>
      <c r="X126" s="278">
        <f ca="1">IF(Table1[[#This Row],[h_id]]="","",COUNTIF(Table1[h_id],Table1[[#This Row],[h_id]]))</f>
        <v>1</v>
      </c>
      <c r="Y126" s="274">
        <f>IF(Table1[Item Description]="","",Table1[[#This Row],[Qty]]*Table1[[#This Row],[Unit Price]])</f>
        <v>11232000</v>
      </c>
      <c r="Z126" s="274">
        <f>IF(Table1[[#This Row],[h_hargasebelumdiskon]]="","",IF(Table1[[#This Row],[Disc 1]]="",0,Table1[[#This Row],[h_hargasebelumdiskon]]*Table1[[#This Row],[Disc 1]]))</f>
        <v>1516320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1516320</v>
      </c>
      <c r="AC126" s="274">
        <f>IF(Table1[Item Description]="","",Table1[[#This Row],[h_hargasebelumdiskon]]-Table1[[#This Row],[h_diskon]])</f>
        <v>9715680</v>
      </c>
      <c r="AD126" s="274">
        <f ca="1">IF(Table1[//]="","",SUMIF(Table1[h_id],Table1[h_id],Table1[h_hargasetelahdiskon]))</f>
        <v>9715680</v>
      </c>
      <c r="AF126" s="274" t="str">
        <f>Table1[[#This Row],[Item Description]]&amp;Table1[[#This Row],[Unit]]&amp;Table1[[#This Row],[Unit Price]]</f>
        <v>GEL PEN KENKO HI-TECH-H 0.28 MM HITAMLSN39000</v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>
        <f ca="1">IF(Table1[[#This Row],[No. Invoice :]]="","",ROW())</f>
        <v>128</v>
      </c>
      <c r="B128" s="278">
        <f ca="1">IF(Table1[Column3]="","",B$1+COUNT(INDIRECT("B$2:B"&amp;ROW()-1)))</f>
        <v>23120030</v>
      </c>
      <c r="C128" s="272">
        <f>IF(Table1[[#This Row],[Column2]]="","",Table1[[#This Row],[Column2]]+C$1-1)</f>
        <v>45282</v>
      </c>
      <c r="D128" s="282">
        <v>22</v>
      </c>
      <c r="E128" s="273" t="s">
        <v>326</v>
      </c>
      <c r="F128" s="271" t="s">
        <v>229</v>
      </c>
      <c r="G128" s="278" t="str">
        <f ca="1">IF(Table1[[#This Row],[h_No. Invoice :]]="","",CONCATENATE("AM"," ",Table1[[#This Row],[h_No. Invoice :]]))</f>
        <v>AM 23120030</v>
      </c>
      <c r="H128" s="271" t="str">
        <f>IF(Table1[[#This Row],[Column5]]="","",INDEX(Table2[Column1],MATCH(Table1[[#This Row],[Column5]],Table2[a],0)))</f>
        <v>G</v>
      </c>
      <c r="I128" s="279" t="str">
        <f>IF(Table1[[#This Row],[Column3]]=0,"",CONCATENATE(UPPER(Table1[[#This Row],[Column3]])," ",Table1[[#This Row],[Column4]]))</f>
        <v>G 0661</v>
      </c>
      <c r="J128" s="278" t="str">
        <f>IF(Table1[[#This Row],[Column5]]="","",INDEX(Table2[e],IF(Table1[[#This Row],[Column5]]="","",MATCH(Table1[[#This Row],[Column5]],Table2[a],0)),))</f>
        <v>GUNAWAN HARTONO KUSUMA ( NIKI SAE ) TULUNG AGUNG</v>
      </c>
      <c r="K128" s="271">
        <v>108</v>
      </c>
      <c r="L128" s="271" t="s">
        <v>246</v>
      </c>
      <c r="O128" s="278" t="str">
        <f>IF(Table1[[#This Row],[h_Item Description]]="","",INDEX([1]!db[NB PAJAK],MATCH(Table1[[#This Row],[h_Item Description]],[1]!db[kode],0)))</f>
        <v/>
      </c>
      <c r="P128" s="271" t="s">
        <v>327</v>
      </c>
      <c r="Q128" s="274">
        <v>41400</v>
      </c>
      <c r="R128" s="275">
        <v>0.125</v>
      </c>
      <c r="S128" s="275">
        <v>0.05</v>
      </c>
      <c r="T128" s="274">
        <f>Table1[[#This Row],[h_hargasetelahdiskon]]</f>
        <v>3716685</v>
      </c>
      <c r="U128" s="274" t="s">
        <v>243</v>
      </c>
      <c r="V128" s="271"/>
      <c r="W128" s="278">
        <f ca="1">IF(Table1[[#This Row],[Item Description]]="","",IF(Table1[[#This Row],[//]]="",INDIRECT(ADDRESS(ROW()-1,COLUMN())),Table1[[#This Row],[//]]))</f>
        <v>128</v>
      </c>
      <c r="X128" s="278">
        <f ca="1">IF(Table1[[#This Row],[h_id]]="","",COUNTIF(Table1[h_id],Table1[[#This Row],[h_id]]))</f>
        <v>2</v>
      </c>
      <c r="Y128" s="274">
        <f>IF(Table1[Item Description]="","",Table1[[#This Row],[Qty]]*Table1[[#This Row],[Unit Price]])</f>
        <v>4471200</v>
      </c>
      <c r="Z128" s="274">
        <f>IF(Table1[[#This Row],[h_hargasebelumdiskon]]="","",IF(Table1[[#This Row],[Disc 1]]="",0,Table1[[#This Row],[h_hargasebelumdiskon]]*Table1[[#This Row],[Disc 1]]))</f>
        <v>558900</v>
      </c>
      <c r="AA128" s="274">
        <f>IF(Table1[[#This Row],[h_hargasebelumdiskon]]="","",IF(Table1[[#This Row],[Disc 2]]="",0,(Table1[[#This Row],[h_hargasebelumdiskon]]-Table1[[#This Row],[h_disc 1]])*Table1[[#This Row],[Disc 2]]))</f>
        <v>195615</v>
      </c>
      <c r="AB128" s="274">
        <f>IF(Table1[Item Description]="","",Table1[[#This Row],[h_disc 1]]+Table1[[#This Row],[h_disc 2]])</f>
        <v>754515</v>
      </c>
      <c r="AC128" s="274">
        <f>IF(Table1[Item Description]="","",Table1[[#This Row],[h_hargasebelumdiskon]]-Table1[[#This Row],[h_diskon]])</f>
        <v>3716685</v>
      </c>
      <c r="AD128" s="274">
        <f ca="1">IF(Table1[//]="","",SUMIF(Table1[h_id],Table1[h_id],Table1[h_hargasetelahdiskon]))</f>
        <v>6194475</v>
      </c>
      <c r="AF128" s="274" t="str">
        <f>Table1[[#This Row],[Item Description]]&amp;Table1[[#This Row],[Unit]]&amp;Table1[[#This Row],[Unit Price]]</f>
        <v>CORRECTION FLUID JOYKO CF-S209LS41400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72</v>
      </c>
      <c r="L129" s="271" t="s">
        <v>246</v>
      </c>
      <c r="O129" s="278" t="str">
        <f>IF(Table1[[#This Row],[h_Item Description]]="","",INDEX([1]!db[NB PAJAK],MATCH(Table1[[#This Row],[h_Item Description]],[1]!db[kode],0)))</f>
        <v/>
      </c>
      <c r="P129" s="271" t="s">
        <v>328</v>
      </c>
      <c r="Q129" s="274">
        <v>41400</v>
      </c>
      <c r="R129" s="275">
        <v>0.125</v>
      </c>
      <c r="S129" s="275">
        <v>0.05</v>
      </c>
      <c r="T129" s="274">
        <f>Table1[[#This Row],[h_hargasetelahdiskon]]</f>
        <v>2477790</v>
      </c>
      <c r="V129" s="271"/>
      <c r="W129" s="278">
        <f ca="1">IF(Table1[[#This Row],[Item Description]]="","",IF(Table1[[#This Row],[//]]="",INDIRECT(ADDRESS(ROW()-1,COLUMN())),Table1[[#This Row],[//]]))</f>
        <v>128</v>
      </c>
      <c r="X129" s="278">
        <f ca="1">IF(Table1[[#This Row],[h_id]]="","",COUNTIF(Table1[h_id],Table1[[#This Row],[h_id]]))</f>
        <v>2</v>
      </c>
      <c r="Y129" s="274">
        <f>IF(Table1[Item Description]="","",Table1[[#This Row],[Qty]]*Table1[[#This Row],[Unit Price]])</f>
        <v>2980800</v>
      </c>
      <c r="Z129" s="274">
        <f>IF(Table1[[#This Row],[h_hargasebelumdiskon]]="","",IF(Table1[[#This Row],[Disc 1]]="",0,Table1[[#This Row],[h_hargasebelumdiskon]]*Table1[[#This Row],[Disc 1]]))</f>
        <v>372600</v>
      </c>
      <c r="AA129" s="274">
        <f>IF(Table1[[#This Row],[h_hargasebelumdiskon]]="","",IF(Table1[[#This Row],[Disc 2]]="",0,(Table1[[#This Row],[h_hargasebelumdiskon]]-Table1[[#This Row],[h_disc 1]])*Table1[[#This Row],[Disc 2]]))</f>
        <v>130410</v>
      </c>
      <c r="AB129" s="274">
        <f>IF(Table1[Item Description]="","",Table1[[#This Row],[h_disc 1]]+Table1[[#This Row],[h_disc 2]])</f>
        <v>503010</v>
      </c>
      <c r="AC129" s="274">
        <f>IF(Table1[Item Description]="","",Table1[[#This Row],[h_hargasebelumdiskon]]-Table1[[#This Row],[h_diskon]])</f>
        <v>2477790</v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>CORRECTION FLUID JOYKO CF-S209ALS41400</v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>
        <f ca="1">IF(Table1[[#This Row],[No. Invoice :]]="","",ROW())</f>
        <v>131</v>
      </c>
      <c r="B131" s="278">
        <f ca="1">IF(Table1[Column3]="","",B$1+COUNT(INDIRECT("B$2:B"&amp;ROW()-1)))</f>
        <v>23120031</v>
      </c>
      <c r="C131" s="272">
        <f>IF(Table1[[#This Row],[Column2]]="","",Table1[[#This Row],[Column2]]+C$1-1)</f>
        <v>45282</v>
      </c>
      <c r="D131" s="282">
        <v>22</v>
      </c>
      <c r="E131" s="273" t="s">
        <v>329</v>
      </c>
      <c r="F131" s="271" t="s">
        <v>330</v>
      </c>
      <c r="G131" s="278" t="str">
        <f ca="1">IF(Table1[[#This Row],[h_No. Invoice :]]="","",CONCATENATE("AM"," ",Table1[[#This Row],[h_No. Invoice :]]))</f>
        <v>AM 23120031</v>
      </c>
      <c r="H131" s="271" t="str">
        <f>IF(Table1[[#This Row],[Column5]]="","",INDEX(Table2[Column1],MATCH(Table1[[#This Row],[Column5]],Table2[a],0)))</f>
        <v>G</v>
      </c>
      <c r="I131" s="279" t="str">
        <f>IF(Table1[[#This Row],[Column3]]=0,"",CONCATENATE(UPPER(Table1[[#This Row],[Column3]])," ",Table1[[#This Row],[Column4]]))</f>
        <v>G 0631</v>
      </c>
      <c r="J131" s="278" t="str">
        <f>IF(Table1[[#This Row],[Column5]]="","",INDEX(Table2[e],IF(Table1[[#This Row],[Column5]]="","",MATCH(Table1[[#This Row],[Column5]],Table2[a],0)),))</f>
        <v>MUHAMMAD AGUS MUNADI ( SINAR BHAKTI ) YOGYAKARTA</v>
      </c>
      <c r="K131" s="271">
        <v>12</v>
      </c>
      <c r="L131" s="271" t="s">
        <v>245</v>
      </c>
      <c r="O131" s="278" t="str">
        <f>IF(Table1[[#This Row],[h_Item Description]]="","",INDEX([1]!db[NB PAJAK],MATCH(Table1[[#This Row],[h_Item Description]],[1]!db[kode],0)))</f>
        <v/>
      </c>
      <c r="P131" s="271" t="s">
        <v>331</v>
      </c>
      <c r="Q131" s="274">
        <v>18000</v>
      </c>
      <c r="R131" s="275"/>
      <c r="S131" s="275"/>
      <c r="T131" s="274">
        <f>Table1[[#This Row],[h_hargasetelahdiskon]]</f>
        <v>216000</v>
      </c>
      <c r="U131" s="274" t="s">
        <v>335</v>
      </c>
      <c r="V131" s="271"/>
      <c r="W131" s="278">
        <f ca="1">IF(Table1[[#This Row],[Item Description]]="","",IF(Table1[[#This Row],[//]]="",INDIRECT(ADDRESS(ROW()-1,COLUMN())),Table1[[#This Row],[//]]))</f>
        <v>131</v>
      </c>
      <c r="X131" s="278">
        <f ca="1">IF(Table1[[#This Row],[h_id]]="","",COUNTIF(Table1[h_id],Table1[[#This Row],[h_id]]))</f>
        <v>4</v>
      </c>
      <c r="Y131" s="274">
        <f>IF(Table1[Item Description]="","",Table1[[#This Row],[Qty]]*Table1[[#This Row],[Unit Price]])</f>
        <v>216000</v>
      </c>
      <c r="Z131" s="274">
        <f>IF(Table1[[#This Row],[h_hargasebelumdiskon]]="","",IF(Table1[[#This Row],[Disc 1]]="",0,Table1[[#This Row],[h_hargasebelumdiskon]]*Table1[[#This Row],[Disc 1]]))</f>
        <v>0</v>
      </c>
      <c r="AA131" s="274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0</v>
      </c>
      <c r="AC131" s="274">
        <f>IF(Table1[Item Description]="","",Table1[[#This Row],[h_hargasebelumdiskon]]-Table1[[#This Row],[h_diskon]])</f>
        <v>216000</v>
      </c>
      <c r="AD131" s="274">
        <f ca="1">IF(Table1[//]="","",SUMIF(Table1[h_id],Table1[h_id],Table1[h_hargasetelahdiskon]))</f>
        <v>749000</v>
      </c>
      <c r="AF131" s="274" t="str">
        <f>Table1[[#This Row],[Item Description]]&amp;Table1[[#This Row],[Unit]]&amp;Table1[[#This Row],[Unit Price]]</f>
        <v>NOTEBOOK KANCING SZB-32K-1008-23PC18000</v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12</v>
      </c>
      <c r="L132" s="271" t="s">
        <v>245</v>
      </c>
      <c r="O132" s="278" t="str">
        <f>IF(Table1[[#This Row],[h_Item Description]]="","",INDEX([1]!db[NB PAJAK],MATCH(Table1[[#This Row],[h_Item Description]],[1]!db[kode],0)))</f>
        <v/>
      </c>
      <c r="P132" s="271" t="s">
        <v>332</v>
      </c>
      <c r="Q132" s="274">
        <v>18000</v>
      </c>
      <c r="R132" s="275"/>
      <c r="S132" s="275"/>
      <c r="T132" s="274">
        <f>Table1[[#This Row],[h_hargasetelahdiskon]]</f>
        <v>216000</v>
      </c>
      <c r="V132" s="271"/>
      <c r="W132" s="278">
        <f ca="1">IF(Table1[[#This Row],[Item Description]]="","",IF(Table1[[#This Row],[//]]="",INDIRECT(ADDRESS(ROW()-1,COLUMN())),Table1[[#This Row],[//]]))</f>
        <v>131</v>
      </c>
      <c r="X132" s="278">
        <f ca="1">IF(Table1[[#This Row],[h_id]]="","",COUNTIF(Table1[h_id],Table1[[#This Row],[h_id]]))</f>
        <v>4</v>
      </c>
      <c r="Y132" s="274">
        <f>IF(Table1[Item Description]="","",Table1[[#This Row],[Qty]]*Table1[[#This Row],[Unit Price]])</f>
        <v>216000</v>
      </c>
      <c r="Z132" s="274">
        <f>IF(Table1[[#This Row],[h_hargasebelumdiskon]]="","",IF(Table1[[#This Row],[Disc 1]]="",0,Table1[[#This Row],[h_hargasebelumdiskon]]*Table1[[#This Row],[Disc 1]]))</f>
        <v>0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0</v>
      </c>
      <c r="AC132" s="274">
        <f>IF(Table1[Item Description]="","",Table1[[#This Row],[h_hargasebelumdiskon]]-Table1[[#This Row],[h_diskon]])</f>
        <v>216000</v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>NOTEBOOK KANCING SZB-32K-1008-22PC18000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>
        <v>1</v>
      </c>
      <c r="L133" s="271" t="s">
        <v>246</v>
      </c>
      <c r="O133" s="278" t="str">
        <f>IF(Table1[[#This Row],[h_Item Description]]="","",INDEX([1]!db[NB PAJAK],MATCH(Table1[[#This Row],[h_Item Description]],[1]!db[kode],0)))</f>
        <v/>
      </c>
      <c r="P133" s="271" t="s">
        <v>333</v>
      </c>
      <c r="Q133" s="274">
        <v>140000</v>
      </c>
      <c r="R133" s="275"/>
      <c r="S133" s="275"/>
      <c r="T133" s="274">
        <f>Table1[[#This Row],[h_hargasetelahdiskon]]</f>
        <v>140000</v>
      </c>
      <c r="V133" s="271"/>
      <c r="W133" s="278">
        <f ca="1">IF(Table1[[#This Row],[Item Description]]="","",IF(Table1[[#This Row],[//]]="",INDIRECT(ADDRESS(ROW()-1,COLUMN())),Table1[[#This Row],[//]]))</f>
        <v>131</v>
      </c>
      <c r="X133" s="278">
        <f ca="1">IF(Table1[[#This Row],[h_id]]="","",COUNTIF(Table1[h_id],Table1[[#This Row],[h_id]]))</f>
        <v>4</v>
      </c>
      <c r="Y133" s="274">
        <f>IF(Table1[Item Description]="","",Table1[[#This Row],[Qty]]*Table1[[#This Row],[Unit Price]])</f>
        <v>140000</v>
      </c>
      <c r="Z133" s="274">
        <f>IF(Table1[[#This Row],[h_hargasebelumdiskon]]="","",IF(Table1[[#This Row],[Disc 1]]="",0,Table1[[#This Row],[h_hargasebelumdiskon]]*Table1[[#This Row],[Disc 1]]))</f>
        <v>0</v>
      </c>
      <c r="AA133" s="274">
        <f>IF(Table1[[#This Row],[h_hargasebelumdiskon]]="","",IF(Table1[[#This Row],[Disc 2]]="",0,(Table1[[#This Row],[h_hargasebelumdiskon]]-Table1[[#This Row],[h_disc 1]])*Table1[[#This Row],[Disc 2]]))</f>
        <v>0</v>
      </c>
      <c r="AB133" s="274">
        <f>IF(Table1[Item Description]="","",Table1[[#This Row],[h_disc 1]]+Table1[[#This Row],[h_disc 2]])</f>
        <v>0</v>
      </c>
      <c r="AC133" s="274">
        <f>IF(Table1[Item Description]="","",Table1[[#This Row],[h_hargasebelumdiskon]]-Table1[[#This Row],[h_diskon]])</f>
        <v>140000</v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>TAS KARUNG WIN/LS 35x40 CMLS140000</v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>
        <v>1</v>
      </c>
      <c r="L134" s="271" t="s">
        <v>246</v>
      </c>
      <c r="O134" s="278" t="str">
        <f>IF(Table1[[#This Row],[h_Item Description]]="","",INDEX([1]!db[NB PAJAK],MATCH(Table1[[#This Row],[h_Item Description]],[1]!db[kode],0)))</f>
        <v/>
      </c>
      <c r="P134" s="271" t="s">
        <v>334</v>
      </c>
      <c r="Q134" s="274">
        <v>177000</v>
      </c>
      <c r="R134" s="275"/>
      <c r="S134" s="275"/>
      <c r="T134" s="274">
        <f>Table1[[#This Row],[h_hargasetelahdiskon]]</f>
        <v>177000</v>
      </c>
      <c r="V134" s="271"/>
      <c r="W134" s="278">
        <f ca="1">IF(Table1[[#This Row],[Item Description]]="","",IF(Table1[[#This Row],[//]]="",INDIRECT(ADDRESS(ROW()-1,COLUMN())),Table1[[#This Row],[//]]))</f>
        <v>131</v>
      </c>
      <c r="X134" s="278">
        <f ca="1">IF(Table1[[#This Row],[h_id]]="","",COUNTIF(Table1[h_id],Table1[[#This Row],[h_id]]))</f>
        <v>4</v>
      </c>
      <c r="Y134" s="274">
        <f>IF(Table1[Item Description]="","",Table1[[#This Row],[Qty]]*Table1[[#This Row],[Unit Price]])</f>
        <v>177000</v>
      </c>
      <c r="Z134" s="274">
        <f>IF(Table1[[#This Row],[h_hargasebelumdiskon]]="","",IF(Table1[[#This Row],[Disc 1]]="",0,Table1[[#This Row],[h_hargasebelumdiskon]]*Table1[[#This Row],[Disc 1]]))</f>
        <v>0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0</v>
      </c>
      <c r="AC134" s="274">
        <f>IF(Table1[Item Description]="","",Table1[[#This Row],[h_hargasebelumdiskon]]-Table1[[#This Row],[h_diskon]])</f>
        <v>177000</v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>TAS KARUNG WIN/LS 45x50 CMLS177000</v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>
        <f ca="1">IF(Table1[[#This Row],[No. Invoice :]]="","",ROW())</f>
        <v>136</v>
      </c>
      <c r="B136" s="278">
        <f ca="1">IF(Table1[Column3]="","",B$1+COUNT(INDIRECT("B$2:B"&amp;ROW()-1)))</f>
        <v>23120032</v>
      </c>
      <c r="C136" s="272">
        <f>IF(Table1[[#This Row],[Column2]]="","",Table1[[#This Row],[Column2]]+C$1-1)</f>
        <v>45287</v>
      </c>
      <c r="D136" s="282">
        <v>27</v>
      </c>
      <c r="E136" s="273" t="s">
        <v>336</v>
      </c>
      <c r="F136" s="271" t="s">
        <v>337</v>
      </c>
      <c r="G136" s="278" t="str">
        <f ca="1">IF(Table1[[#This Row],[h_No. Invoice :]]="","",CONCATENATE("AM"," ",Table1[[#This Row],[h_No. Invoice :]]))</f>
        <v>AM 23120032</v>
      </c>
      <c r="H136" s="271" t="str">
        <f>IF(Table1[[#This Row],[Column5]]="","",INDEX(Table2[Column1],MATCH(Table1[[#This Row],[Column5]],Table2[a],0)))</f>
        <v>G</v>
      </c>
      <c r="I136" s="279" t="str">
        <f>IF(Table1[[#This Row],[Column3]]=0,"",CONCATENATE(UPPER(Table1[[#This Row],[Column3]])," ",Table1[[#This Row],[Column4]]))</f>
        <v>G 0639</v>
      </c>
      <c r="J136" s="278" t="str">
        <f>IF(Table1[[#This Row],[Column5]]="","",INDEX(Table2[e],IF(Table1[[#This Row],[Column5]]="","",MATCH(Table1[[#This Row],[Column5]],Table2[a],0)),))</f>
        <v>CV UTAMA PUTRA TULUNG AGUNG</v>
      </c>
      <c r="K136" s="271">
        <v>144</v>
      </c>
      <c r="L136" s="271" t="s">
        <v>137</v>
      </c>
      <c r="M136" s="271">
        <v>1</v>
      </c>
      <c r="N136" s="271" t="s">
        <v>338</v>
      </c>
      <c r="O136" s="278" t="e">
        <f>IF(Table1[[#This Row],[h_Item Description]]="","",INDEX([1]!db[NB PAJAK],MATCH(Table1[[#This Row],[h_Item Description]],[1]!db[kode],0)))</f>
        <v>#N/A</v>
      </c>
      <c r="P136" s="278" t="s">
        <v>339</v>
      </c>
      <c r="Q136" s="274">
        <v>28500</v>
      </c>
      <c r="R136" s="275"/>
      <c r="S136" s="275"/>
      <c r="T136" s="274">
        <f>Table1[[#This Row],[h_hargasetelahdiskon]]</f>
        <v>4104000</v>
      </c>
      <c r="U136" s="274" t="s">
        <v>130</v>
      </c>
      <c r="V136" s="271"/>
      <c r="W136" s="278">
        <f ca="1">IF(Table1[[#This Row],[Item Description]]="","",IF(Table1[[#This Row],[//]]="",INDIRECT(ADDRESS(ROW()-1,COLUMN())),Table1[[#This Row],[//]]))</f>
        <v>136</v>
      </c>
      <c r="X136" s="278">
        <f ca="1">IF(Table1[[#This Row],[h_id]]="","",COUNTIF(Table1[h_id],Table1[[#This Row],[h_id]]))</f>
        <v>2</v>
      </c>
      <c r="Y136" s="274">
        <f>IF(Table1[Item Description]="","",Table1[[#This Row],[Qty]]*Table1[[#This Row],[Unit Price]])</f>
        <v>4104000</v>
      </c>
      <c r="Z136" s="274">
        <f>IF(Table1[[#This Row],[h_hargasebelumdiskon]]="","",IF(Table1[[#This Row],[Disc 1]]="",0,Table1[[#This Row],[h_hargasebelumdiskon]]*Table1[[#This Row],[Disc 1]]))</f>
        <v>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0</v>
      </c>
      <c r="AC136" s="274">
        <f>IF(Table1[Item Description]="","",Table1[[#This Row],[h_hargasebelumdiskon]]-Table1[[#This Row],[h_diskon]])</f>
        <v>4104000</v>
      </c>
      <c r="AD136" s="274">
        <f ca="1">IF(Table1[//]="","",SUMIF(Table1[h_id],Table1[h_id],Table1[h_hargasetelahdiskon]))</f>
        <v>12312000</v>
      </c>
      <c r="AF136" s="274" t="str">
        <f>Table1[[#This Row],[Item Description]]&amp;Table1[[#This Row],[Unit]]&amp;Table1[[#This Row],[Unit Price]]</f>
        <v>GEL PEN TRIFELLO HI-TECH TF-1190 BIRULSN28500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>
        <v>288</v>
      </c>
      <c r="L137" s="271" t="s">
        <v>137</v>
      </c>
      <c r="M137" s="271">
        <v>2</v>
      </c>
      <c r="N137" s="271" t="s">
        <v>158</v>
      </c>
      <c r="O137" s="278" t="str">
        <f>IF(Table1[[#This Row],[h_Item Description]]="","",INDEX([1]!db[NB PAJAK],MATCH(Table1[[#This Row],[h_Item Description]],[1]!db[kode],0)))</f>
        <v>GEL PEN TRIFELLO HI-TECH TF-1190 HITAM</v>
      </c>
      <c r="P137" s="271" t="s">
        <v>160</v>
      </c>
      <c r="Q137" s="274">
        <v>28500</v>
      </c>
      <c r="R137" s="275"/>
      <c r="S137" s="275"/>
      <c r="T137" s="274">
        <f>Table1[[#This Row],[h_hargasetelahdiskon]]</f>
        <v>8208000</v>
      </c>
      <c r="V137" s="271"/>
      <c r="W137" s="278">
        <f ca="1">IF(Table1[[#This Row],[Item Description]]="","",IF(Table1[[#This Row],[//]]="",INDIRECT(ADDRESS(ROW()-1,COLUMN())),Table1[[#This Row],[//]]))</f>
        <v>136</v>
      </c>
      <c r="X137" s="278">
        <f ca="1">IF(Table1[[#This Row],[h_id]]="","",COUNTIF(Table1[h_id],Table1[[#This Row],[h_id]]))</f>
        <v>2</v>
      </c>
      <c r="Y137" s="274">
        <f>IF(Table1[Item Description]="","",Table1[[#This Row],[Qty]]*Table1[[#This Row],[Unit Price]])</f>
        <v>8208000</v>
      </c>
      <c r="Z137" s="274">
        <f>IF(Table1[[#This Row],[h_hargasebelumdiskon]]="","",IF(Table1[[#This Row],[Disc 1]]="",0,Table1[[#This Row],[h_hargasebelumdiskon]]*Table1[[#This Row],[Disc 1]]))</f>
        <v>0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0</v>
      </c>
      <c r="AC137" s="274">
        <f>IF(Table1[Item Description]="","",Table1[[#This Row],[h_hargasebelumdiskon]]-Table1[[#This Row],[h_diskon]])</f>
        <v>8208000</v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>GEL PEN TRIFELLO HI-TECH TF-1190 HITAMLSN28500</v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>
        <f ca="1">IF(Table1[[#This Row],[No. Invoice :]]="","",ROW())</f>
        <v>139</v>
      </c>
      <c r="B139" s="278">
        <f ca="1">IF(Table1[Column3]="","",B$1+COUNT(INDIRECT("B$2:B"&amp;ROW()-1)))</f>
        <v>23120033</v>
      </c>
      <c r="C139" s="272">
        <f>IF(Table1[[#This Row],[Column2]]="","",Table1[[#This Row],[Column2]]+C$1-1)</f>
        <v>45287</v>
      </c>
      <c r="D139" s="282">
        <v>27</v>
      </c>
      <c r="E139" s="273" t="s">
        <v>340</v>
      </c>
      <c r="F139" s="271" t="s">
        <v>319</v>
      </c>
      <c r="G139" s="278" t="str">
        <f ca="1">IF(Table1[[#This Row],[h_No. Invoice :]]="","",CONCATENATE("AM"," ",Table1[[#This Row],[h_No. Invoice :]]))</f>
        <v>AM 23120033</v>
      </c>
      <c r="H139" s="271" t="str">
        <f>IF(Table1[[#This Row],[Column5]]="","",INDEX(Table2[Column1],MATCH(Table1[[#This Row],[Column5]],Table2[a],0)))</f>
        <v>KO</v>
      </c>
      <c r="I139" s="279" t="str">
        <f>IF(Table1[[#This Row],[Column3]]=0,"",CONCATENATE(UPPER(Table1[[#This Row],[Column3]])," ",Table1[[#This Row],[Column4]]))</f>
        <v>KO 0759</v>
      </c>
      <c r="J139" s="278" t="str">
        <f>IF(Table1[[#This Row],[Column5]]="","",INDEX(Table2[e],IF(Table1[[#This Row],[Column5]]="","",MATCH(Table1[[#This Row],[Column5]],Table2[a],0)),))</f>
        <v>HARNOYO (BENDAN) PEKALONGAN</v>
      </c>
      <c r="K139" s="271">
        <v>500</v>
      </c>
      <c r="L139" s="271" t="s">
        <v>168</v>
      </c>
      <c r="M139" s="271">
        <v>1</v>
      </c>
      <c r="N139" s="271" t="s">
        <v>341</v>
      </c>
      <c r="O139" s="278" t="str">
        <f>IF(Table1[[#This Row],[h_Item Description]]="","",INDEX([1]!db[NB PAJAK],MATCH(Table1[[#This Row],[h_Item Description]],[1]!db[kode],0)))</f>
        <v>PAPER TRIGONAL CLIP KENKO NO. 1</v>
      </c>
      <c r="P139" s="271" t="s">
        <v>321</v>
      </c>
      <c r="Q139" s="274">
        <v>1700</v>
      </c>
      <c r="R139" s="275">
        <v>0.14000000000000001</v>
      </c>
      <c r="S139" s="275"/>
      <c r="T139" s="274">
        <f>Table1[[#This Row],[h_hargasetelahdiskon]]</f>
        <v>731000</v>
      </c>
      <c r="U139" s="274" t="s">
        <v>130</v>
      </c>
      <c r="V139" s="271"/>
      <c r="W139" s="278">
        <f ca="1">IF(Table1[[#This Row],[Item Description]]="","",IF(Table1[[#This Row],[//]]="",INDIRECT(ADDRESS(ROW()-1,COLUMN())),Table1[[#This Row],[//]]))</f>
        <v>139</v>
      </c>
      <c r="X139" s="278">
        <f ca="1">IF(Table1[[#This Row],[h_id]]="","",COUNTIF(Table1[h_id],Table1[[#This Row],[h_id]]))</f>
        <v>3</v>
      </c>
      <c r="Y139" s="274">
        <f>IF(Table1[Item Description]="","",Table1[[#This Row],[Qty]]*Table1[[#This Row],[Unit Price]])</f>
        <v>850000</v>
      </c>
      <c r="Z139" s="274">
        <f>IF(Table1[[#This Row],[h_hargasebelumdiskon]]="","",IF(Table1[[#This Row],[Disc 1]]="",0,Table1[[#This Row],[h_hargasebelumdiskon]]*Table1[[#This Row],[Disc 1]]))</f>
        <v>119000.00000000001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119000.00000000001</v>
      </c>
      <c r="AC139" s="274">
        <f>IF(Table1[Item Description]="","",Table1[[#This Row],[h_hargasebelumdiskon]]-Table1[[#This Row],[h_diskon]])</f>
        <v>731000</v>
      </c>
      <c r="AD139" s="274">
        <f ca="1">IF(Table1[//]="","",SUMIF(Table1[h_id],Table1[h_id],Table1[h_hargasetelahdiskon]))</f>
        <v>4253560</v>
      </c>
      <c r="AF139" s="274" t="str">
        <f>Table1[[#This Row],[Item Description]]&amp;Table1[[#This Row],[Unit]]&amp;Table1[[#This Row],[Unit Price]]</f>
        <v>PAPER TRIGONAL CLIP KENKO NO. 1BOX1700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400</v>
      </c>
      <c r="L140" s="271" t="s">
        <v>168</v>
      </c>
      <c r="M140" s="271">
        <v>2</v>
      </c>
      <c r="N140" s="271" t="s">
        <v>342</v>
      </c>
      <c r="O140" s="278" t="str">
        <f>IF(Table1[[#This Row],[h_Item Description]]="","",INDEX([1]!db[NB PAJAK],MATCH(Table1[[#This Row],[h_Item Description]],[1]!db[kode],0)))</f>
        <v>PAPER JUMBO CLIP KENKO NO. 5</v>
      </c>
      <c r="P140" s="271" t="s">
        <v>343</v>
      </c>
      <c r="Q140" s="274">
        <v>4300</v>
      </c>
      <c r="R140" s="275">
        <v>0.14000000000000001</v>
      </c>
      <c r="S140" s="275"/>
      <c r="T140" s="274">
        <f>Table1[[#This Row],[h_hargasetelahdiskon]]</f>
        <v>1479200</v>
      </c>
      <c r="V140" s="271"/>
      <c r="W140" s="278">
        <f ca="1">IF(Table1[[#This Row],[Item Description]]="","",IF(Table1[[#This Row],[//]]="",INDIRECT(ADDRESS(ROW()-1,COLUMN())),Table1[[#This Row],[//]]))</f>
        <v>139</v>
      </c>
      <c r="X140" s="278">
        <f ca="1">IF(Table1[[#This Row],[h_id]]="","",COUNTIF(Table1[h_id],Table1[[#This Row],[h_id]]))</f>
        <v>3</v>
      </c>
      <c r="Y140" s="274">
        <f>IF(Table1[Item Description]="","",Table1[[#This Row],[Qty]]*Table1[[#This Row],[Unit Price]])</f>
        <v>1720000</v>
      </c>
      <c r="Z140" s="274">
        <f>IF(Table1[[#This Row],[h_hargasebelumdiskon]]="","",IF(Table1[[#This Row],[Disc 1]]="",0,Table1[[#This Row],[h_hargasebelumdiskon]]*Table1[[#This Row],[Disc 1]]))</f>
        <v>240800.00000000003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240800.00000000003</v>
      </c>
      <c r="AC140" s="274">
        <f>IF(Table1[Item Description]="","",Table1[[#This Row],[h_hargasebelumdiskon]]-Table1[[#This Row],[h_diskon]])</f>
        <v>1479200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PAPER JUMBO CLIP KENKO NO. 5BOX4300</v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>
        <v>36</v>
      </c>
      <c r="L141" s="271" t="s">
        <v>168</v>
      </c>
      <c r="M141" s="271">
        <v>1</v>
      </c>
      <c r="N141" s="271" t="s">
        <v>217</v>
      </c>
      <c r="O141" s="278" t="str">
        <f>IF(Table1[[#This Row],[h_Item Description]]="","",INDEX([1]!db[NB PAJAK],MATCH(Table1[[#This Row],[h_Item Description]],[1]!db[kode],0)))</f>
        <v>LEM STICK KENKO 8 GR (KECIL) isi 30 pc</v>
      </c>
      <c r="P141" s="271" t="s">
        <v>218</v>
      </c>
      <c r="Q141" s="274">
        <v>66000</v>
      </c>
      <c r="R141" s="275">
        <v>0.14000000000000001</v>
      </c>
      <c r="S141" s="275"/>
      <c r="T141" s="274">
        <f>Table1[[#This Row],[h_hargasetelahdiskon]]</f>
        <v>2043360</v>
      </c>
      <c r="V141" s="271"/>
      <c r="W141" s="278">
        <f ca="1">IF(Table1[[#This Row],[Item Description]]="","",IF(Table1[[#This Row],[//]]="",INDIRECT(ADDRESS(ROW()-1,COLUMN())),Table1[[#This Row],[//]]))</f>
        <v>139</v>
      </c>
      <c r="X141" s="278">
        <f ca="1">IF(Table1[[#This Row],[h_id]]="","",COUNTIF(Table1[h_id],Table1[[#This Row],[h_id]]))</f>
        <v>3</v>
      </c>
      <c r="Y141" s="274">
        <f>IF(Table1[Item Description]="","",Table1[[#This Row],[Qty]]*Table1[[#This Row],[Unit Price]])</f>
        <v>2376000</v>
      </c>
      <c r="Z141" s="274">
        <f>IF(Table1[[#This Row],[h_hargasebelumdiskon]]="","",IF(Table1[[#This Row],[Disc 1]]="",0,Table1[[#This Row],[h_hargasebelumdiskon]]*Table1[[#This Row],[Disc 1]]))</f>
        <v>332640.00000000006</v>
      </c>
      <c r="AA141" s="274">
        <f>IF(Table1[[#This Row],[h_hargasebelumdiskon]]="","",IF(Table1[[#This Row],[Disc 2]]="",0,(Table1[[#This Row],[h_hargasebelumdiskon]]-Table1[[#This Row],[h_disc 1]])*Table1[[#This Row],[Disc 2]]))</f>
        <v>0</v>
      </c>
      <c r="AB141" s="274">
        <f>IF(Table1[Item Description]="","",Table1[[#This Row],[h_disc 1]]+Table1[[#This Row],[h_disc 2]])</f>
        <v>332640.00000000006</v>
      </c>
      <c r="AC141" s="274">
        <f>IF(Table1[Item Description]="","",Table1[[#This Row],[h_hargasebelumdiskon]]-Table1[[#This Row],[h_diskon]])</f>
        <v>2043360</v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>LEM STICK KENKO 8 GR (KECIL) isi 30 pcBOX66000</v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>
        <f ca="1">IF(Table1[[#This Row],[No. Invoice :]]="","",ROW())</f>
        <v>143</v>
      </c>
      <c r="B143" s="278">
        <f ca="1">IF(Table1[Column3]="","",B$1+COUNT(INDIRECT("B$2:B"&amp;ROW()-1)))</f>
        <v>23120034</v>
      </c>
      <c r="C143" s="272">
        <f>IF(Table1[[#This Row],[Column2]]="","",Table1[[#This Row],[Column2]]+C$1-1)</f>
        <v>45288</v>
      </c>
      <c r="D143" s="282">
        <v>28</v>
      </c>
      <c r="E143" s="273" t="s">
        <v>344</v>
      </c>
      <c r="F143" s="271" t="s">
        <v>345</v>
      </c>
      <c r="G143" s="278" t="str">
        <f ca="1">IF(Table1[[#This Row],[h_No. Invoice :]]="","",CONCATENATE("AM"," ",Table1[[#This Row],[h_No. Invoice :]]))</f>
        <v>AM 23120034</v>
      </c>
      <c r="H143" s="271" t="str">
        <f>IF(Table1[[#This Row],[Column5]]="","",INDEX(Table2[Column1],MATCH(Table1[[#This Row],[Column5]],Table2[a],0)))</f>
        <v>KO</v>
      </c>
      <c r="I143" s="279" t="str">
        <f>IF(Table1[[#This Row],[Column3]]=0,"",CONCATENATE(UPPER(Table1[[#This Row],[Column3]])," ",Table1[[#This Row],[Column4]]))</f>
        <v>KO 0764</v>
      </c>
      <c r="J143" s="278" t="str">
        <f>IF(Table1[[#This Row],[Column5]]="","",INDEX(Table2[e],IF(Table1[[#This Row],[Column5]]="","",MATCH(Table1[[#This Row],[Column5]],Table2[a],0)),))</f>
        <v>SANTOSO BUDIONO (  ARMADA  ) PURWOKERTO</v>
      </c>
      <c r="K143" s="271">
        <v>60</v>
      </c>
      <c r="L143" s="271" t="s">
        <v>137</v>
      </c>
      <c r="M143" s="271">
        <v>1</v>
      </c>
      <c r="N143" s="271" t="s">
        <v>234</v>
      </c>
      <c r="O143" s="278" t="str">
        <f>IF(Table1[[#This Row],[h_Item Description]]="","",INDEX([1]!db[NB PAJAK],MATCH(Table1[[#This Row],[h_Item Description]],[1]!db[kode],0)))</f>
        <v>ISI CUTTER 18 MM KENKO L-150 (BESAR)</v>
      </c>
      <c r="P143" s="271" t="s">
        <v>235</v>
      </c>
      <c r="Q143" s="274">
        <v>64800</v>
      </c>
      <c r="R143" s="275">
        <v>0.13</v>
      </c>
      <c r="S143" s="275"/>
      <c r="T143" s="274">
        <f>Table1[[#This Row],[h_hargasetelahdiskon]]</f>
        <v>3382560</v>
      </c>
      <c r="U143" s="274" t="s">
        <v>130</v>
      </c>
      <c r="V143" s="271"/>
      <c r="W143" s="278">
        <f ca="1">IF(Table1[[#This Row],[Item Description]]="","",IF(Table1[[#This Row],[//]]="",INDIRECT(ADDRESS(ROW()-1,COLUMN())),Table1[[#This Row],[//]]))</f>
        <v>143</v>
      </c>
      <c r="X143" s="278">
        <f ca="1">IF(Table1[[#This Row],[h_id]]="","",COUNTIF(Table1[h_id],Table1[[#This Row],[h_id]]))</f>
        <v>1</v>
      </c>
      <c r="Y143" s="274">
        <f>IF(Table1[Item Description]="","",Table1[[#This Row],[Qty]]*Table1[[#This Row],[Unit Price]])</f>
        <v>3888000</v>
      </c>
      <c r="Z143" s="274">
        <f>IF(Table1[[#This Row],[h_hargasebelumdiskon]]="","",IF(Table1[[#This Row],[Disc 1]]="",0,Table1[[#This Row],[h_hargasebelumdiskon]]*Table1[[#This Row],[Disc 1]]))</f>
        <v>505440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505440</v>
      </c>
      <c r="AC143" s="274">
        <f>IF(Table1[Item Description]="","",Table1[[#This Row],[h_hargasebelumdiskon]]-Table1[[#This Row],[h_diskon]])</f>
        <v>3382560</v>
      </c>
      <c r="AD143" s="274">
        <f ca="1">IF(Table1[//]="","",SUMIF(Table1[h_id],Table1[h_id],Table1[h_hargasetelahdiskon]))</f>
        <v>3382560</v>
      </c>
      <c r="AF143" s="274" t="str">
        <f>Table1[[#This Row],[Item Description]]&amp;Table1[[#This Row],[Unit]]&amp;Table1[[#This Row],[Unit Price]]</f>
        <v>ISI CUTTER 18 MM KENKO L-150 (BESAR)LSN64800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>
        <f ca="1">IF(Table1[[#This Row],[No. Invoice :]]="","",ROW())</f>
        <v>145</v>
      </c>
      <c r="B145" s="278">
        <f ca="1">IF(Table1[Column3]="","",B$1+COUNT(INDIRECT("B$2:B"&amp;ROW()-1)))</f>
        <v>23120035</v>
      </c>
      <c r="C145" s="272">
        <f>IF(Table1[[#This Row],[Column2]]="","",Table1[[#This Row],[Column2]]+C$1-1)</f>
        <v>45290</v>
      </c>
      <c r="D145" s="282">
        <v>30</v>
      </c>
      <c r="E145" s="273" t="s">
        <v>346</v>
      </c>
      <c r="F145" s="271" t="s">
        <v>184</v>
      </c>
      <c r="G145" s="278" t="str">
        <f ca="1">IF(Table1[[#This Row],[h_No. Invoice :]]="","",CONCATENATE("AM"," ",Table1[[#This Row],[h_No. Invoice :]]))</f>
        <v>AM 23120035</v>
      </c>
      <c r="H145" s="271" t="str">
        <f>IF(Table1[[#This Row],[Column5]]="","",INDEX(Table2[Column1],MATCH(Table1[[#This Row],[Column5]],Table2[a],0)))</f>
        <v>KO</v>
      </c>
      <c r="I145" s="279" t="str">
        <f>IF(Table1[[#This Row],[Column3]]=0,"",CONCATENATE(UPPER(Table1[[#This Row],[Column3]])," ",Table1[[#This Row],[Column4]]))</f>
        <v>KO 0641</v>
      </c>
      <c r="J145" s="278" t="str">
        <f>IF(Table1[[#This Row],[Column5]]="","",INDEX(Table2[e],IF(Table1[[#This Row],[Column5]]="","",MATCH(Table1[[#This Row],[Column5]],Table2[a],0)),))</f>
        <v>CV GANESHA WONOSOBO</v>
      </c>
      <c r="K145" s="271">
        <v>10</v>
      </c>
      <c r="L145" s="271" t="s">
        <v>137</v>
      </c>
      <c r="N145" s="271" t="s">
        <v>290</v>
      </c>
      <c r="O145" s="278" t="str">
        <f>IF(Table1[[#This Row],[h_Item Description]]="","",INDEX([1]!db[NB PAJAK],MATCH(Table1[[#This Row],[h_Item Description]],[1]!db[kode],0)))</f>
        <v>CORRECTION FLUID KENKO KE-826M</v>
      </c>
      <c r="P145" s="271" t="s">
        <v>300</v>
      </c>
      <c r="Q145" s="274">
        <v>60300</v>
      </c>
      <c r="R145" s="275">
        <v>0.1</v>
      </c>
      <c r="S145" s="275"/>
      <c r="T145" s="274">
        <f>Table1[[#This Row],[h_hargasetelahdiskon]]</f>
        <v>542700</v>
      </c>
      <c r="U145" s="274" t="s">
        <v>130</v>
      </c>
      <c r="V145" s="271"/>
      <c r="W145" s="278">
        <f ca="1">IF(Table1[[#This Row],[Item Description]]="","",IF(Table1[[#This Row],[//]]="",INDIRECT(ADDRESS(ROW()-1,COLUMN())),Table1[[#This Row],[//]]))</f>
        <v>145</v>
      </c>
      <c r="X145" s="278">
        <f ca="1">IF(Table1[[#This Row],[h_id]]="","",COUNTIF(Table1[h_id],Table1[[#This Row],[h_id]]))</f>
        <v>3</v>
      </c>
      <c r="Y145" s="274">
        <f>IF(Table1[Item Description]="","",Table1[[#This Row],[Qty]]*Table1[[#This Row],[Unit Price]])</f>
        <v>603000</v>
      </c>
      <c r="Z145" s="274">
        <f>IF(Table1[[#This Row],[h_hargasebelumdiskon]]="","",IF(Table1[[#This Row],[Disc 1]]="",0,Table1[[#This Row],[h_hargasebelumdiskon]]*Table1[[#This Row],[Disc 1]]))</f>
        <v>60300</v>
      </c>
      <c r="AA145" s="274">
        <f>IF(Table1[[#This Row],[h_hargasebelumdiskon]]="","",IF(Table1[[#This Row],[Disc 2]]="",0,(Table1[[#This Row],[h_hargasebelumdiskon]]-Table1[[#This Row],[h_disc 1]])*Table1[[#This Row],[Disc 2]]))</f>
        <v>0</v>
      </c>
      <c r="AB145" s="274">
        <f>IF(Table1[Item Description]="","",Table1[[#This Row],[h_disc 1]]+Table1[[#This Row],[h_disc 2]])</f>
        <v>60300</v>
      </c>
      <c r="AC145" s="274">
        <f>IF(Table1[Item Description]="","",Table1[[#This Row],[h_hargasebelumdiskon]]-Table1[[#This Row],[h_diskon]])</f>
        <v>542700</v>
      </c>
      <c r="AD145" s="274">
        <f ca="1">IF(Table1[//]="","",SUMIF(Table1[h_id],Table1[h_id],Table1[h_hargasetelahdiskon]))</f>
        <v>934200</v>
      </c>
      <c r="AF145" s="274" t="str">
        <f>Table1[[#This Row],[Item Description]]&amp;Table1[[#This Row],[Unit]]&amp;Table1[[#This Row],[Unit Price]]</f>
        <v>CORRECTION FLUID KENKO KE-826MLSN60300</v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>
        <v>5</v>
      </c>
      <c r="L146" s="271" t="s">
        <v>137</v>
      </c>
      <c r="N146" s="271" t="s">
        <v>347</v>
      </c>
      <c r="O146" s="278" t="str">
        <f>IF(Table1[[#This Row],[h_Item Description]]="","",INDEX([1]!db[NB PAJAK],MATCH(Table1[[#This Row],[h_Item Description]],[1]!db[kode],0)))</f>
        <v>CORRECTION TAPE KENKO CT-902 (12M x 5MM)</v>
      </c>
      <c r="P146" s="271" t="s">
        <v>349</v>
      </c>
      <c r="Q146" s="274">
        <v>60000</v>
      </c>
      <c r="R146" s="275">
        <v>0.1</v>
      </c>
      <c r="S146" s="275"/>
      <c r="T146" s="274">
        <f>Table1[[#This Row],[h_hargasetelahdiskon]]</f>
        <v>270000</v>
      </c>
      <c r="V146" s="271"/>
      <c r="W146" s="278">
        <f ca="1">IF(Table1[[#This Row],[Item Description]]="","",IF(Table1[[#This Row],[//]]="",INDIRECT(ADDRESS(ROW()-1,COLUMN())),Table1[[#This Row],[//]]))</f>
        <v>145</v>
      </c>
      <c r="X146" s="278">
        <f ca="1">IF(Table1[[#This Row],[h_id]]="","",COUNTIF(Table1[h_id],Table1[[#This Row],[h_id]]))</f>
        <v>3</v>
      </c>
      <c r="Y146" s="274">
        <f>IF(Table1[Item Description]="","",Table1[[#This Row],[Qty]]*Table1[[#This Row],[Unit Price]])</f>
        <v>300000</v>
      </c>
      <c r="Z146" s="274">
        <f>IF(Table1[[#This Row],[h_hargasebelumdiskon]]="","",IF(Table1[[#This Row],[Disc 1]]="",0,Table1[[#This Row],[h_hargasebelumdiskon]]*Table1[[#This Row],[Disc 1]]))</f>
        <v>30000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30000</v>
      </c>
      <c r="AC146" s="274">
        <f>IF(Table1[Item Description]="","",Table1[[#This Row],[h_hargasebelumdiskon]]-Table1[[#This Row],[h_diskon]])</f>
        <v>270000</v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>CORRECTION TAPE KENKO CT-902 (12M x 5MM)LSN60000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3</v>
      </c>
      <c r="L147" s="271" t="s">
        <v>162</v>
      </c>
      <c r="N147" s="271" t="s">
        <v>348</v>
      </c>
      <c r="O147" s="278" t="str">
        <f>IF(Table1[[#This Row],[h_Item Description]]="","",INDEX([1]!db[NB PAJAK],MATCH(Table1[[#This Row],[h_Item Description]],[1]!db[kode],0)))</f>
        <v>MESIN LABEL HARGA KENKO MX-5500 (8 DIGITS, 1 LINE)</v>
      </c>
      <c r="P147" s="271" t="s">
        <v>350</v>
      </c>
      <c r="Q147" s="274">
        <v>45000</v>
      </c>
      <c r="R147" s="275">
        <v>0.1</v>
      </c>
      <c r="S147" s="275"/>
      <c r="T147" s="274">
        <f>Table1[[#This Row],[h_hargasetelahdiskon]]</f>
        <v>121500</v>
      </c>
      <c r="V147" s="271"/>
      <c r="W147" s="278">
        <f ca="1">IF(Table1[[#This Row],[Item Description]]="","",IF(Table1[[#This Row],[//]]="",INDIRECT(ADDRESS(ROW()-1,COLUMN())),Table1[[#This Row],[//]]))</f>
        <v>145</v>
      </c>
      <c r="X147" s="278">
        <f ca="1">IF(Table1[[#This Row],[h_id]]="","",COUNTIF(Table1[h_id],Table1[[#This Row],[h_id]]))</f>
        <v>3</v>
      </c>
      <c r="Y147" s="274">
        <f>IF(Table1[Item Description]="","",Table1[[#This Row],[Qty]]*Table1[[#This Row],[Unit Price]])</f>
        <v>135000</v>
      </c>
      <c r="Z147" s="274">
        <f>IF(Table1[[#This Row],[h_hargasebelumdiskon]]="","",IF(Table1[[#This Row],[Disc 1]]="",0,Table1[[#This Row],[h_hargasebelumdiskon]]*Table1[[#This Row],[Disc 1]]))</f>
        <v>13500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13500</v>
      </c>
      <c r="AC147" s="274">
        <f>IF(Table1[Item Description]="","",Table1[[#This Row],[h_hargasebelumdiskon]]-Table1[[#This Row],[h_diskon]])</f>
        <v>121500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MESIN LABEL HARGA KENKO MX-5500 (8 DIGITS, 1 LINE)PCS45000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>
        <f ca="1">IF(Table1[[#This Row],[No. Invoice :]]="","",ROW())</f>
        <v>149</v>
      </c>
      <c r="B149" s="491">
        <f ca="1">IF(Table1[Column3]="","",B$1+COUNT(INDIRECT("B$2:B"&amp;ROW()-1)))</f>
        <v>23120036</v>
      </c>
      <c r="C149" s="272">
        <f>IF(Table1[[#This Row],[Column2]]="","",Table1[[#This Row],[Column2]]+C$1-1)</f>
        <v>45290</v>
      </c>
      <c r="D149" s="492">
        <v>30</v>
      </c>
      <c r="E149" s="273" t="s">
        <v>351</v>
      </c>
      <c r="F149" s="271" t="s">
        <v>353</v>
      </c>
      <c r="G149" s="278" t="str">
        <f ca="1">IF(Table1[[#This Row],[h_No. Invoice :]]="","",CONCATENATE("AM"," ",Table1[[#This Row],[h_No. Invoice :]]))</f>
        <v>AM 23120036</v>
      </c>
      <c r="H149" s="491" t="str">
        <f>IF(Table1[[#This Row],[Column5]]="","",INDEX(Table2[Column1],MATCH(Table1[[#This Row],[Column5]],Table2[a],0)))</f>
        <v>G</v>
      </c>
      <c r="I149" s="279" t="str">
        <f>IF(Table1[[#This Row],[Column3]]=0,"",CONCATENATE(UPPER(Table1[[#This Row],[Column3]])," ",Table1[[#This Row],[Column4]]))</f>
        <v>G 0519</v>
      </c>
      <c r="J149" s="278" t="str">
        <f>IF(Table1[[#This Row],[Column5]]="","",INDEX(Table2[e],IF(Table1[[#This Row],[Column5]]="","",MATCH(Table1[[#This Row],[Column5]],Table2[a],0)),))</f>
        <v>ROBIN SUSANTO (HIDUP BARU) JOMBANG</v>
      </c>
      <c r="K149" s="271">
        <v>96</v>
      </c>
      <c r="L149" s="271" t="s">
        <v>137</v>
      </c>
      <c r="M149" s="271">
        <v>1</v>
      </c>
      <c r="N149" s="271" t="s">
        <v>352</v>
      </c>
      <c r="O149" s="491" t="str">
        <f>IF(Table1[[#This Row],[h_Item Description]]="","",INDEX([1]!db[NB PAJAK],MATCH(Table1[[#This Row],[h_Item Description]],[1]!db[kode],0)))</f>
        <v>GEL PEN TIZO 1.0 MM TG-340BI BIRU</v>
      </c>
      <c r="P149" s="271" t="s">
        <v>354</v>
      </c>
      <c r="Q149" s="274">
        <v>33000</v>
      </c>
      <c r="R149" s="275"/>
      <c r="S149" s="275"/>
      <c r="T149" s="495">
        <f>Table1[[#This Row],[h_hargasetelahdiskon]]</f>
        <v>3168000</v>
      </c>
      <c r="U149" s="274" t="s">
        <v>130</v>
      </c>
      <c r="V149" s="271"/>
      <c r="W149" s="278">
        <f ca="1">IF(Table1[[#This Row],[Item Description]]="","",IF(Table1[[#This Row],[//]]="",INDIRECT(ADDRESS(ROW()-1,COLUMN())),Table1[[#This Row],[//]]))</f>
        <v>149</v>
      </c>
      <c r="X149" s="278">
        <f ca="1">IF(Table1[[#This Row],[h_id]]="","",COUNTIF(Table1[h_id],Table1[[#This Row],[h_id]]))</f>
        <v>1</v>
      </c>
      <c r="Y149" s="274">
        <f>IF(Table1[Item Description]="","",Table1[[#This Row],[Qty]]*Table1[[#This Row],[Unit Price]])</f>
        <v>3168000</v>
      </c>
      <c r="Z149" s="495">
        <f>IF(Table1[[#This Row],[h_hargasebelumdiskon]]="","",IF(Table1[[#This Row],[Disc 1]]="",0,Table1[[#This Row],[h_hargasebelumdiskon]]*Table1[[#This Row],[Disc 1]]))</f>
        <v>0</v>
      </c>
      <c r="AA149" s="495">
        <f>IF(Table1[[#This Row],[h_hargasebelumdiskon]]="","",IF(Table1[[#This Row],[Disc 2]]="",0,(Table1[[#This Row],[h_hargasebelumdiskon]]-Table1[[#This Row],[h_disc 1]])*Table1[[#This Row],[Disc 2]]))</f>
        <v>0</v>
      </c>
      <c r="AB149" s="274">
        <f>IF(Table1[Item Description]="","",Table1[[#This Row],[h_disc 1]]+Table1[[#This Row],[h_disc 2]])</f>
        <v>0</v>
      </c>
      <c r="AC149" s="274">
        <f>IF(Table1[Item Description]="","",Table1[[#This Row],[h_hargasebelumdiskon]]-Table1[[#This Row],[h_diskon]])</f>
        <v>3168000</v>
      </c>
      <c r="AD149" s="274">
        <f ca="1">IF(Table1[//]="","",SUMIF(Table1[h_id],Table1[h_id],Table1[h_hargasetelahdiskon]))</f>
        <v>3168000</v>
      </c>
      <c r="AF149" s="274" t="str">
        <f>Table1[[#This Row],[Item Description]]&amp;Table1[[#This Row],[Unit]]&amp;Table1[[#This Row],[Unit Price]]</f>
        <v>GEL PEN TIZO 1.0 MM TG-340BI BIRULSN33000</v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491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D150" s="492"/>
      <c r="E150" s="493"/>
      <c r="F150" s="494"/>
      <c r="G150" s="278" t="str">
        <f ca="1">IF(Table1[[#This Row],[h_No. Invoice :]]="","",CONCATENATE("AM"," ",Table1[[#This Row],[h_No. Invoice :]]))</f>
        <v/>
      </c>
      <c r="H150" s="49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N150" s="494"/>
      <c r="O150" s="491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495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495" t="str">
        <f>IF(Table1[[#This Row],[h_hargasebelumdiskon]]="","",IF(Table1[[#This Row],[Disc 1]]="",0,Table1[[#This Row],[h_hargasebelumdiskon]]*Table1[[#This Row],[Disc 1]]))</f>
        <v/>
      </c>
      <c r="AA150" s="495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>
        <f ca="1">IF(Table1[[#This Row],[No. Invoice :]]="","",ROW())</f>
        <v>151</v>
      </c>
      <c r="B151" s="278">
        <f ca="1">IF(Table1[Column3]="","",B$1+COUNT(INDIRECT("B$2:B"&amp;ROW()-1)))</f>
        <v>23120037</v>
      </c>
      <c r="C151" s="272">
        <f>IF(Table1[[#This Row],[Column2]]="","",Table1[[#This Row],[Column2]]+C$1-1)</f>
        <v>45290</v>
      </c>
      <c r="D151" s="282">
        <v>30</v>
      </c>
      <c r="E151" s="273" t="s">
        <v>355</v>
      </c>
      <c r="F151" s="271" t="s">
        <v>90</v>
      </c>
      <c r="G151" s="278" t="str">
        <f ca="1">IF(Table1[[#This Row],[h_No. Invoice :]]="","",CONCATENATE("AM"," ",Table1[[#This Row],[h_No. Invoice :]]))</f>
        <v>AM 23120037</v>
      </c>
      <c r="H151" s="271" t="str">
        <f>IF(Table1[[#This Row],[Column5]]="","",INDEX(Table2[Column1],MATCH(Table1[[#This Row],[Column5]],Table2[a],0)))</f>
        <v>G</v>
      </c>
      <c r="I151" s="279" t="str">
        <f>IF(Table1[[#This Row],[Column3]]=0,"",CONCATENATE(UPPER(Table1[[#This Row],[Column3]])," ",Table1[[#This Row],[Column4]]))</f>
        <v>G 0683</v>
      </c>
      <c r="J151" s="278" t="str">
        <f>IF(Table1[[#This Row],[Column5]]="","",INDEX(Table2[e],IF(Table1[[#This Row],[Column5]]="","",MATCH(Table1[[#This Row],[Column5]],Table2[a],0)),))</f>
        <v>LILY JULIAWATI (REJO AGUNG) JOMBANG</v>
      </c>
      <c r="K151" s="271">
        <v>144</v>
      </c>
      <c r="L151" s="271" t="s">
        <v>137</v>
      </c>
      <c r="M151" s="271">
        <v>1</v>
      </c>
      <c r="N151" s="271" t="s">
        <v>356</v>
      </c>
      <c r="O151" s="278" t="str">
        <f>IF(Table1[[#This Row],[h_Item Description]]="","",INDEX([1]!db[NB PAJAK],MATCH(Table1[[#This Row],[h_Item Description]],[1]!db[kode],0)))</f>
        <v>GEL PEN KENKO HI-TECH-H 0.28 MM HITAM</v>
      </c>
      <c r="P151" s="271" t="s">
        <v>325</v>
      </c>
      <c r="Q151" s="274">
        <v>39000</v>
      </c>
      <c r="R151" s="275">
        <v>0.125</v>
      </c>
      <c r="S151" s="275"/>
      <c r="T151" s="274">
        <f>Table1[[#This Row],[h_hargasetelahdiskon]]</f>
        <v>4914000</v>
      </c>
      <c r="U151" s="274" t="s">
        <v>130</v>
      </c>
      <c r="V151" s="271"/>
      <c r="W151" s="278">
        <f ca="1">IF(Table1[[#This Row],[Item Description]]="","",IF(Table1[[#This Row],[//]]="",INDIRECT(ADDRESS(ROW()-1,COLUMN())),Table1[[#This Row],[//]]))</f>
        <v>151</v>
      </c>
      <c r="X151" s="278">
        <f ca="1">IF(Table1[[#This Row],[h_id]]="","",COUNTIF(Table1[h_id],Table1[[#This Row],[h_id]]))</f>
        <v>1</v>
      </c>
      <c r="Y151" s="274">
        <f>IF(Table1[Item Description]="","",Table1[[#This Row],[Qty]]*Table1[[#This Row],[Unit Price]])</f>
        <v>5616000</v>
      </c>
      <c r="Z151" s="274">
        <f>IF(Table1[[#This Row],[h_hargasebelumdiskon]]="","",IF(Table1[[#This Row],[Disc 1]]="",0,Table1[[#This Row],[h_hargasebelumdiskon]]*Table1[[#This Row],[Disc 1]]))</f>
        <v>702000</v>
      </c>
      <c r="AA151" s="274">
        <f>IF(Table1[[#This Row],[h_hargasebelumdiskon]]="","",IF(Table1[[#This Row],[Disc 2]]="",0,(Table1[[#This Row],[h_hargasebelumdiskon]]-Table1[[#This Row],[h_disc 1]])*Table1[[#This Row],[Disc 2]]))</f>
        <v>0</v>
      </c>
      <c r="AB151" s="274">
        <f>IF(Table1[Item Description]="","",Table1[[#This Row],[h_disc 1]]+Table1[[#This Row],[h_disc 2]])</f>
        <v>702000</v>
      </c>
      <c r="AC151" s="274">
        <f>IF(Table1[Item Description]="","",Table1[[#This Row],[h_hargasebelumdiskon]]-Table1[[#This Row],[h_diskon]])</f>
        <v>4914000</v>
      </c>
      <c r="AD151" s="274">
        <f ca="1">IF(Table1[//]="","",SUMIF(Table1[h_id],Table1[h_id],Table1[h_hargasetelahdiskon]))</f>
        <v>4914000</v>
      </c>
      <c r="AF151" s="274" t="str">
        <f>Table1[[#This Row],[Item Description]]&amp;Table1[[#This Row],[Unit]]&amp;Table1[[#This Row],[Unit Price]]</f>
        <v>GEL PEN KENKO HI-TECH-H 0.28 MM HITAMLSN39000</v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>
        <f ca="1">IF(Table1[[#This Row],[No. Invoice :]]="","",ROW())</f>
        <v>153</v>
      </c>
      <c r="B153" s="278">
        <f ca="1">IF(Table1[Column3]="","",B$1+COUNT(INDIRECT("B$2:B"&amp;ROW()-1)))</f>
        <v>23120038</v>
      </c>
      <c r="C153" s="272">
        <f>IF(Table1[[#This Row],[Column2]]="","",Table1[[#This Row],[Column2]]+C$1-1)</f>
        <v>45290</v>
      </c>
      <c r="D153" s="282">
        <v>30</v>
      </c>
      <c r="E153" s="273" t="s">
        <v>357</v>
      </c>
      <c r="F153" s="271" t="s">
        <v>64</v>
      </c>
      <c r="G153" s="278" t="str">
        <f ca="1">IF(Table1[[#This Row],[h_No. Invoice :]]="","",CONCATENATE("AM"," ",Table1[[#This Row],[h_No. Invoice :]]))</f>
        <v>AM 23120038</v>
      </c>
      <c r="H153" s="271" t="str">
        <f>IF(Table1[[#This Row],[Column5]]="","",INDEX(Table2[Column1],MATCH(Table1[[#This Row],[Column5]],Table2[a],0)))</f>
        <v>KO</v>
      </c>
      <c r="I153" s="279" t="str">
        <f>IF(Table1[[#This Row],[Column3]]=0,"",CONCATENATE(UPPER(Table1[[#This Row],[Column3]])," ",Table1[[#This Row],[Column4]]))</f>
        <v>KO 4967</v>
      </c>
      <c r="J153" s="278" t="str">
        <f>IF(Table1[[#This Row],[Column5]]="","",INDEX(Table2[e],IF(Table1[[#This Row],[Column5]]="","",MATCH(Table1[[#This Row],[Column5]],Table2[a],0)),))</f>
        <v>CV RAINBOW NUSANTARA SIDOARJO</v>
      </c>
      <c r="K153" s="271">
        <v>23</v>
      </c>
      <c r="L153" s="271" t="s">
        <v>162</v>
      </c>
      <c r="N153" s="271" t="s">
        <v>376</v>
      </c>
      <c r="O153" s="278" t="str">
        <f>IF(Table1[[#This Row],[h_Item Description]]="","",INDEX([1]!db[NB PAJAK],MATCH(Table1[[#This Row],[h_Item Description]],[1]!db[kode],0)))</f>
        <v>HAND TALLY COUNTER KENKO HT-302</v>
      </c>
      <c r="P153" s="271" t="s">
        <v>377</v>
      </c>
      <c r="Q153" s="274">
        <v>19000</v>
      </c>
      <c r="R153" s="275">
        <v>0.14499999999999999</v>
      </c>
      <c r="S153" s="275"/>
      <c r="T153" s="274">
        <f>Table1[[#This Row],[h_hargasetelahdiskon]]</f>
        <v>373635</v>
      </c>
      <c r="U153" s="274" t="s">
        <v>130</v>
      </c>
      <c r="V153" s="271"/>
      <c r="W153" s="278">
        <f ca="1">IF(Table1[[#This Row],[Item Description]]="","",IF(Table1[[#This Row],[//]]="",INDIRECT(ADDRESS(ROW()-1,COLUMN())),Table1[[#This Row],[//]]))</f>
        <v>153</v>
      </c>
      <c r="X153" s="278">
        <f ca="1">IF(Table1[[#This Row],[h_id]]="","",COUNTIF(Table1[h_id],Table1[[#This Row],[h_id]]))</f>
        <v>10</v>
      </c>
      <c r="Y153" s="274">
        <f>IF(Table1[Item Description]="","",Table1[[#This Row],[Qty]]*Table1[[#This Row],[Unit Price]])</f>
        <v>437000</v>
      </c>
      <c r="Z153" s="274">
        <f>IF(Table1[[#This Row],[h_hargasebelumdiskon]]="","",IF(Table1[[#This Row],[Disc 1]]="",0,Table1[[#This Row],[h_hargasebelumdiskon]]*Table1[[#This Row],[Disc 1]]))</f>
        <v>63364.999999999993</v>
      </c>
      <c r="AA153" s="274">
        <f>IF(Table1[[#This Row],[h_hargasebelumdiskon]]="","",IF(Table1[[#This Row],[Disc 2]]="",0,(Table1[[#This Row],[h_hargasebelumdiskon]]-Table1[[#This Row],[h_disc 1]])*Table1[[#This Row],[Disc 2]]))</f>
        <v>0</v>
      </c>
      <c r="AB153" s="274">
        <f>IF(Table1[Item Description]="","",Table1[[#This Row],[h_disc 1]]+Table1[[#This Row],[h_disc 2]])</f>
        <v>63364.999999999993</v>
      </c>
      <c r="AC153" s="274">
        <f>IF(Table1[Item Description]="","",Table1[[#This Row],[h_hargasebelumdiskon]]-Table1[[#This Row],[h_diskon]])</f>
        <v>373635</v>
      </c>
      <c r="AD153" s="274">
        <f ca="1">IF(Table1[//]="","",SUMIF(Table1[h_id],Table1[h_id],Table1[h_hargasetelahdiskon]))</f>
        <v>3588093</v>
      </c>
      <c r="AF153" s="274" t="str">
        <f>Table1[[#This Row],[Item Description]]&amp;Table1[[#This Row],[Unit]]&amp;Table1[[#This Row],[Unit Price]]</f>
        <v>HAND TALLY COUNTER KENKO HT-302PCS19000</v>
      </c>
      <c r="AG153"/>
      <c r="AH153"/>
      <c r="AI153"/>
    </row>
    <row r="154" spans="1:35" x14ac:dyDescent="0.25">
      <c r="A154" s="496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>
        <v>36</v>
      </c>
      <c r="L154" s="271" t="s">
        <v>162</v>
      </c>
      <c r="N154" s="271" t="s">
        <v>358</v>
      </c>
      <c r="O154" s="278" t="str">
        <f>IF(Table1[[#This Row],[h_Item Description]]="","",INDEX([1]!db[NB PAJAK],MATCH(Table1[[#This Row],[h_Item Description]],[1]!db[kode],0)))</f>
        <v>JANGKA (COMPASS SET) KENKO C-168 / MS-75</v>
      </c>
      <c r="P154" s="271" t="s">
        <v>359</v>
      </c>
      <c r="Q154" s="274">
        <v>7500</v>
      </c>
      <c r="R154" s="275">
        <v>0.14499999999999999</v>
      </c>
      <c r="S154" s="275"/>
      <c r="T154" s="274">
        <f>Table1[[#This Row],[h_hargasetelahdiskon]]</f>
        <v>230850</v>
      </c>
      <c r="V154" s="271"/>
      <c r="W154" s="278">
        <f ca="1">IF(Table1[[#This Row],[Item Description]]="","",IF(Table1[[#This Row],[//]]="",INDIRECT(ADDRESS(ROW()-1,COLUMN())),Table1[[#This Row],[//]]))</f>
        <v>153</v>
      </c>
      <c r="X154" s="278">
        <f ca="1">IF(Table1[[#This Row],[h_id]]="","",COUNTIF(Table1[h_id],Table1[[#This Row],[h_id]]))</f>
        <v>10</v>
      </c>
      <c r="Y154" s="274">
        <f>IF(Table1[Item Description]="","",Table1[[#This Row],[Qty]]*Table1[[#This Row],[Unit Price]])</f>
        <v>270000</v>
      </c>
      <c r="Z154" s="274">
        <f>IF(Table1[[#This Row],[h_hargasebelumdiskon]]="","",IF(Table1[[#This Row],[Disc 1]]="",0,Table1[[#This Row],[h_hargasebelumdiskon]]*Table1[[#This Row],[Disc 1]]))</f>
        <v>39150</v>
      </c>
      <c r="AA154" s="274">
        <f>IF(Table1[[#This Row],[h_hargasebelumdiskon]]="","",IF(Table1[[#This Row],[Disc 2]]="",0,(Table1[[#This Row],[h_hargasebelumdiskon]]-Table1[[#This Row],[h_disc 1]])*Table1[[#This Row],[Disc 2]]))</f>
        <v>0</v>
      </c>
      <c r="AB154" s="274">
        <f>IF(Table1[Item Description]="","",Table1[[#This Row],[h_disc 1]]+Table1[[#This Row],[h_disc 2]])</f>
        <v>39150</v>
      </c>
      <c r="AC154" s="274">
        <f>IF(Table1[Item Description]="","",Table1[[#This Row],[h_hargasebelumdiskon]]-Table1[[#This Row],[h_diskon]])</f>
        <v>230850</v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>JANGKA (COMPASS SET) KENKO C-168 / MS-75PCS7500</v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>
        <v>72</v>
      </c>
      <c r="L155" s="271" t="s">
        <v>162</v>
      </c>
      <c r="N155" s="271" t="s">
        <v>360</v>
      </c>
      <c r="O155" s="278" t="str">
        <f>IF(Table1[[#This Row],[h_Item Description]]="","",INDEX([1]!db[NB PAJAK],MATCH(Table1[[#This Row],[h_Item Description]],[1]!db[kode],0)))</f>
        <v>JANGKA (COMPASS SET) KENKO C-528 / MS-55</v>
      </c>
      <c r="P155" s="271" t="s">
        <v>361</v>
      </c>
      <c r="Q155" s="274">
        <v>7500</v>
      </c>
      <c r="R155" s="275">
        <v>0.14499999999999999</v>
      </c>
      <c r="S155" s="275"/>
      <c r="T155" s="274">
        <f>Table1[[#This Row],[h_hargasetelahdiskon]]</f>
        <v>461700</v>
      </c>
      <c r="V155" s="271"/>
      <c r="W155" s="278">
        <f ca="1">IF(Table1[[#This Row],[Item Description]]="","",IF(Table1[[#This Row],[//]]="",INDIRECT(ADDRESS(ROW()-1,COLUMN())),Table1[[#This Row],[//]]))</f>
        <v>153</v>
      </c>
      <c r="X155" s="278">
        <f ca="1">IF(Table1[[#This Row],[h_id]]="","",COUNTIF(Table1[h_id],Table1[[#This Row],[h_id]]))</f>
        <v>10</v>
      </c>
      <c r="Y155" s="274">
        <f>IF(Table1[Item Description]="","",Table1[[#This Row],[Qty]]*Table1[[#This Row],[Unit Price]])</f>
        <v>540000</v>
      </c>
      <c r="Z155" s="274">
        <f>IF(Table1[[#This Row],[h_hargasebelumdiskon]]="","",IF(Table1[[#This Row],[Disc 1]]="",0,Table1[[#This Row],[h_hargasebelumdiskon]]*Table1[[#This Row],[Disc 1]]))</f>
        <v>78300</v>
      </c>
      <c r="AA155" s="274">
        <f>IF(Table1[[#This Row],[h_hargasebelumdiskon]]="","",IF(Table1[[#This Row],[Disc 2]]="",0,(Table1[[#This Row],[h_hargasebelumdiskon]]-Table1[[#This Row],[h_disc 1]])*Table1[[#This Row],[Disc 2]]))</f>
        <v>0</v>
      </c>
      <c r="AB155" s="274">
        <f>IF(Table1[Item Description]="","",Table1[[#This Row],[h_disc 1]]+Table1[[#This Row],[h_disc 2]])</f>
        <v>78300</v>
      </c>
      <c r="AC155" s="274">
        <f>IF(Table1[Item Description]="","",Table1[[#This Row],[h_hargasebelumdiskon]]-Table1[[#This Row],[h_diskon]])</f>
        <v>461700</v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>JANGKA (COMPASS SET) KENKO C-528 / MS-55PCS7500</v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>
        <v>96</v>
      </c>
      <c r="L156" s="271" t="s">
        <v>162</v>
      </c>
      <c r="N156" s="271" t="s">
        <v>362</v>
      </c>
      <c r="O156" s="278" t="str">
        <f>IF(Table1[[#This Row],[h_Item Description]]="","",INDEX([1]!db[NB PAJAK],MATCH(Table1[[#This Row],[h_Item Description]],[1]!db[kode],0)))</f>
        <v>PENSIL WARNA KENKO CP-12HALF CLASSIC (PENDEK)</v>
      </c>
      <c r="P156" s="271" t="s">
        <v>363</v>
      </c>
      <c r="Q156" s="274">
        <v>6600</v>
      </c>
      <c r="R156" s="275">
        <v>0.14499999999999999</v>
      </c>
      <c r="S156" s="275"/>
      <c r="T156" s="274">
        <f>Table1[[#This Row],[h_hargasetelahdiskon]]</f>
        <v>541728</v>
      </c>
      <c r="V156" s="271"/>
      <c r="W156" s="278">
        <f ca="1">IF(Table1[[#This Row],[Item Description]]="","",IF(Table1[[#This Row],[//]]="",INDIRECT(ADDRESS(ROW()-1,COLUMN())),Table1[[#This Row],[//]]))</f>
        <v>153</v>
      </c>
      <c r="X156" s="278">
        <f ca="1">IF(Table1[[#This Row],[h_id]]="","",COUNTIF(Table1[h_id],Table1[[#This Row],[h_id]]))</f>
        <v>10</v>
      </c>
      <c r="Y156" s="274">
        <f>IF(Table1[Item Description]="","",Table1[[#This Row],[Qty]]*Table1[[#This Row],[Unit Price]])</f>
        <v>633600</v>
      </c>
      <c r="Z156" s="274">
        <f>IF(Table1[[#This Row],[h_hargasebelumdiskon]]="","",IF(Table1[[#This Row],[Disc 1]]="",0,Table1[[#This Row],[h_hargasebelumdiskon]]*Table1[[#This Row],[Disc 1]]))</f>
        <v>91872</v>
      </c>
      <c r="AA156" s="274">
        <f>IF(Table1[[#This Row],[h_hargasebelumdiskon]]="","",IF(Table1[[#This Row],[Disc 2]]="",0,(Table1[[#This Row],[h_hargasebelumdiskon]]-Table1[[#This Row],[h_disc 1]])*Table1[[#This Row],[Disc 2]]))</f>
        <v>0</v>
      </c>
      <c r="AB156" s="274">
        <f>IF(Table1[Item Description]="","",Table1[[#This Row],[h_disc 1]]+Table1[[#This Row],[h_disc 2]])</f>
        <v>91872</v>
      </c>
      <c r="AC156" s="274">
        <f>IF(Table1[Item Description]="","",Table1[[#This Row],[h_hargasebelumdiskon]]-Table1[[#This Row],[h_diskon]])</f>
        <v>541728</v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>PENSIL WARNA KENKO CP-12HALF CLASSIC (PENDEK)PCS6600</v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>
        <v>12</v>
      </c>
      <c r="L157" s="271" t="s">
        <v>162</v>
      </c>
      <c r="N157" s="271" t="s">
        <v>364</v>
      </c>
      <c r="O157" s="278" t="str">
        <f>IF(Table1[[#This Row],[h_Item Description]]="","",INDEX([1]!db[NB PAJAK],MATCH(Table1[[#This Row],[h_Item Description]],[1]!db[kode],0)))</f>
        <v>GARISAN BESI (STAINLESS STEEL) KENKO 15 CM</v>
      </c>
      <c r="P157" s="271" t="s">
        <v>365</v>
      </c>
      <c r="Q157" s="274">
        <v>3150</v>
      </c>
      <c r="R157" s="275">
        <v>0.14499999999999999</v>
      </c>
      <c r="S157" s="275"/>
      <c r="T157" s="274">
        <f>Table1[[#This Row],[h_hargasetelahdiskon]]</f>
        <v>32319</v>
      </c>
      <c r="V157" s="271"/>
      <c r="W157" s="278">
        <f ca="1">IF(Table1[[#This Row],[Item Description]]="","",IF(Table1[[#This Row],[//]]="",INDIRECT(ADDRESS(ROW()-1,COLUMN())),Table1[[#This Row],[//]]))</f>
        <v>153</v>
      </c>
      <c r="X157" s="278">
        <f ca="1">IF(Table1[[#This Row],[h_id]]="","",COUNTIF(Table1[h_id],Table1[[#This Row],[h_id]]))</f>
        <v>10</v>
      </c>
      <c r="Y157" s="274">
        <f>IF(Table1[Item Description]="","",Table1[[#This Row],[Qty]]*Table1[[#This Row],[Unit Price]])</f>
        <v>37800</v>
      </c>
      <c r="Z157" s="274">
        <f>IF(Table1[[#This Row],[h_hargasebelumdiskon]]="","",IF(Table1[[#This Row],[Disc 1]]="",0,Table1[[#This Row],[h_hargasebelumdiskon]]*Table1[[#This Row],[Disc 1]]))</f>
        <v>5481</v>
      </c>
      <c r="AA157" s="274">
        <f>IF(Table1[[#This Row],[h_hargasebelumdiskon]]="","",IF(Table1[[#This Row],[Disc 2]]="",0,(Table1[[#This Row],[h_hargasebelumdiskon]]-Table1[[#This Row],[h_disc 1]])*Table1[[#This Row],[Disc 2]]))</f>
        <v>0</v>
      </c>
      <c r="AB157" s="274">
        <f>IF(Table1[Item Description]="","",Table1[[#This Row],[h_disc 1]]+Table1[[#This Row],[h_disc 2]])</f>
        <v>5481</v>
      </c>
      <c r="AC157" s="274">
        <f>IF(Table1[Item Description]="","",Table1[[#This Row],[h_hargasebelumdiskon]]-Table1[[#This Row],[h_diskon]])</f>
        <v>32319</v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>GARISAN BESI (STAINLESS STEEL) KENKO 15 CMPCS3150</v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>
        <v>30</v>
      </c>
      <c r="L158" s="271" t="s">
        <v>162</v>
      </c>
      <c r="N158" s="271" t="s">
        <v>366</v>
      </c>
      <c r="O158" s="278" t="str">
        <f>IF(Table1[[#This Row],[h_Item Description]]="","",INDEX([1]!db[NB PAJAK],MATCH(Table1[[#This Row],[h_Item Description]],[1]!db[kode],0)))</f>
        <v>GARISAN BESI (STAINLESS STEEL) KENKO 40 CM</v>
      </c>
      <c r="P158" s="271" t="s">
        <v>367</v>
      </c>
      <c r="Q158" s="274">
        <v>13600</v>
      </c>
      <c r="R158" s="275">
        <v>0.14499999999999999</v>
      </c>
      <c r="S158" s="275"/>
      <c r="T158" s="274">
        <f>Table1[[#This Row],[h_hargasetelahdiskon]]</f>
        <v>348840</v>
      </c>
      <c r="V158" s="271"/>
      <c r="W158" s="278">
        <f ca="1">IF(Table1[[#This Row],[Item Description]]="","",IF(Table1[[#This Row],[//]]="",INDIRECT(ADDRESS(ROW()-1,COLUMN())),Table1[[#This Row],[//]]))</f>
        <v>153</v>
      </c>
      <c r="X158" s="278">
        <f ca="1">IF(Table1[[#This Row],[h_id]]="","",COUNTIF(Table1[h_id],Table1[[#This Row],[h_id]]))</f>
        <v>10</v>
      </c>
      <c r="Y158" s="274">
        <f>IF(Table1[Item Description]="","",Table1[[#This Row],[Qty]]*Table1[[#This Row],[Unit Price]])</f>
        <v>408000</v>
      </c>
      <c r="Z158" s="274">
        <f>IF(Table1[[#This Row],[h_hargasebelumdiskon]]="","",IF(Table1[[#This Row],[Disc 1]]="",0,Table1[[#This Row],[h_hargasebelumdiskon]]*Table1[[#This Row],[Disc 1]]))</f>
        <v>59159.999999999993</v>
      </c>
      <c r="AA158" s="274">
        <f>IF(Table1[[#This Row],[h_hargasebelumdiskon]]="","",IF(Table1[[#This Row],[Disc 2]]="",0,(Table1[[#This Row],[h_hargasebelumdiskon]]-Table1[[#This Row],[h_disc 1]])*Table1[[#This Row],[Disc 2]]))</f>
        <v>0</v>
      </c>
      <c r="AB158" s="274">
        <f>IF(Table1[Item Description]="","",Table1[[#This Row],[h_disc 1]]+Table1[[#This Row],[h_disc 2]])</f>
        <v>59159.999999999993</v>
      </c>
      <c r="AC158" s="274">
        <f>IF(Table1[Item Description]="","",Table1[[#This Row],[h_hargasebelumdiskon]]-Table1[[#This Row],[h_diskon]])</f>
        <v>348840</v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>GARISAN BESI (STAINLESS STEEL) KENKO 40 CMPCS13600</v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>
        <v>36</v>
      </c>
      <c r="L159" s="271" t="s">
        <v>162</v>
      </c>
      <c r="N159" s="271" t="s">
        <v>368</v>
      </c>
      <c r="O159" s="278" t="str">
        <f>IF(Table1[[#This Row],[h_Item Description]]="","",INDEX([1]!db[NB PAJAK],MATCH(Table1[[#This Row],[h_Item Description]],[1]!db[kode],0)))</f>
        <v>GARISAN BESI (STAINLESS STEEL) KENKO 50 CM</v>
      </c>
      <c r="P159" s="271" t="s">
        <v>369</v>
      </c>
      <c r="Q159" s="274">
        <v>17950</v>
      </c>
      <c r="R159" s="275">
        <v>0.14499999999999999</v>
      </c>
      <c r="S159" s="275"/>
      <c r="T159" s="274">
        <f>Table1[[#This Row],[h_hargasetelahdiskon]]</f>
        <v>552501</v>
      </c>
      <c r="V159" s="271"/>
      <c r="W159" s="278">
        <f ca="1">IF(Table1[[#This Row],[Item Description]]="","",IF(Table1[[#This Row],[//]]="",INDIRECT(ADDRESS(ROW()-1,COLUMN())),Table1[[#This Row],[//]]))</f>
        <v>153</v>
      </c>
      <c r="X159" s="278">
        <f ca="1">IF(Table1[[#This Row],[h_id]]="","",COUNTIF(Table1[h_id],Table1[[#This Row],[h_id]]))</f>
        <v>10</v>
      </c>
      <c r="Y159" s="274">
        <f>IF(Table1[Item Description]="","",Table1[[#This Row],[Qty]]*Table1[[#This Row],[Unit Price]])</f>
        <v>646200</v>
      </c>
      <c r="Z159" s="274">
        <f>IF(Table1[[#This Row],[h_hargasebelumdiskon]]="","",IF(Table1[[#This Row],[Disc 1]]="",0,Table1[[#This Row],[h_hargasebelumdiskon]]*Table1[[#This Row],[Disc 1]]))</f>
        <v>93699</v>
      </c>
      <c r="AA159" s="274">
        <f>IF(Table1[[#This Row],[h_hargasebelumdiskon]]="","",IF(Table1[[#This Row],[Disc 2]]="",0,(Table1[[#This Row],[h_hargasebelumdiskon]]-Table1[[#This Row],[h_disc 1]])*Table1[[#This Row],[Disc 2]]))</f>
        <v>0</v>
      </c>
      <c r="AB159" s="274">
        <f>IF(Table1[Item Description]="","",Table1[[#This Row],[h_disc 1]]+Table1[[#This Row],[h_disc 2]])</f>
        <v>93699</v>
      </c>
      <c r="AC159" s="274">
        <f>IF(Table1[Item Description]="","",Table1[[#This Row],[h_hargasebelumdiskon]]-Table1[[#This Row],[h_diskon]])</f>
        <v>552501</v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>GARISAN BESI (STAINLESS STEEL) KENKO 50 CMPCS17950</v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>
        <v>72</v>
      </c>
      <c r="L160" s="271" t="s">
        <v>162</v>
      </c>
      <c r="N160" s="271" t="s">
        <v>370</v>
      </c>
      <c r="O160" s="278" t="str">
        <f>IF(Table1[[#This Row],[h_Item Description]]="","",INDEX([1]!db[NB PAJAK],MATCH(Table1[[#This Row],[h_Item Description]],[1]!db[kode],0)))</f>
        <v>STAMP PAD KENKO NO. 0</v>
      </c>
      <c r="P160" s="271" t="s">
        <v>371</v>
      </c>
      <c r="Q160" s="274">
        <v>4950</v>
      </c>
      <c r="R160" s="275">
        <v>0.14499999999999999</v>
      </c>
      <c r="S160" s="275"/>
      <c r="T160" s="274">
        <f>Table1[[#This Row],[h_hargasetelahdiskon]]</f>
        <v>304722</v>
      </c>
      <c r="V160" s="271"/>
      <c r="W160" s="278">
        <f ca="1">IF(Table1[[#This Row],[Item Description]]="","",IF(Table1[[#This Row],[//]]="",INDIRECT(ADDRESS(ROW()-1,COLUMN())),Table1[[#This Row],[//]]))</f>
        <v>153</v>
      </c>
      <c r="X160" s="278">
        <f ca="1">IF(Table1[[#This Row],[h_id]]="","",COUNTIF(Table1[h_id],Table1[[#This Row],[h_id]]))</f>
        <v>10</v>
      </c>
      <c r="Y160" s="274">
        <f>IF(Table1[Item Description]="","",Table1[[#This Row],[Qty]]*Table1[[#This Row],[Unit Price]])</f>
        <v>356400</v>
      </c>
      <c r="Z160" s="274">
        <f>IF(Table1[[#This Row],[h_hargasebelumdiskon]]="","",IF(Table1[[#This Row],[Disc 1]]="",0,Table1[[#This Row],[h_hargasebelumdiskon]]*Table1[[#This Row],[Disc 1]]))</f>
        <v>51678</v>
      </c>
      <c r="AA160" s="274">
        <f>IF(Table1[[#This Row],[h_hargasebelumdiskon]]="","",IF(Table1[[#This Row],[Disc 2]]="",0,(Table1[[#This Row],[h_hargasebelumdiskon]]-Table1[[#This Row],[h_disc 1]])*Table1[[#This Row],[Disc 2]]))</f>
        <v>0</v>
      </c>
      <c r="AB160" s="274">
        <f>IF(Table1[Item Description]="","",Table1[[#This Row],[h_disc 1]]+Table1[[#This Row],[h_disc 2]])</f>
        <v>51678</v>
      </c>
      <c r="AC160" s="274">
        <f>IF(Table1[Item Description]="","",Table1[[#This Row],[h_hargasebelumdiskon]]-Table1[[#This Row],[h_diskon]])</f>
        <v>304722</v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>STAMP PAD KENKO NO. 0PCS4950</v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>
        <v>84</v>
      </c>
      <c r="L161" s="271" t="s">
        <v>162</v>
      </c>
      <c r="N161" s="271" t="s">
        <v>372</v>
      </c>
      <c r="O161" s="278" t="str">
        <f>IF(Table1[[#This Row],[h_Item Description]]="","",INDEX([1]!db[NB PAJAK],MATCH(Table1[[#This Row],[h_Item Description]],[1]!db[kode],0)))</f>
        <v>STAMP PAD KENKO NO. 1</v>
      </c>
      <c r="P161" s="271" t="s">
        <v>373</v>
      </c>
      <c r="Q161" s="274">
        <v>5900</v>
      </c>
      <c r="R161" s="275">
        <v>0.14499999999999999</v>
      </c>
      <c r="S161" s="275"/>
      <c r="T161" s="274">
        <f>Table1[[#This Row],[h_hargasetelahdiskon]]</f>
        <v>423738</v>
      </c>
      <c r="V161" s="271"/>
      <c r="W161" s="278">
        <f ca="1">IF(Table1[[#This Row],[Item Description]]="","",IF(Table1[[#This Row],[//]]="",INDIRECT(ADDRESS(ROW()-1,COLUMN())),Table1[[#This Row],[//]]))</f>
        <v>153</v>
      </c>
      <c r="X161" s="278">
        <f ca="1">IF(Table1[[#This Row],[h_id]]="","",COUNTIF(Table1[h_id],Table1[[#This Row],[h_id]]))</f>
        <v>10</v>
      </c>
      <c r="Y161" s="274">
        <f>IF(Table1[Item Description]="","",Table1[[#This Row],[Qty]]*Table1[[#This Row],[Unit Price]])</f>
        <v>495600</v>
      </c>
      <c r="Z161" s="274">
        <f>IF(Table1[[#This Row],[h_hargasebelumdiskon]]="","",IF(Table1[[#This Row],[Disc 1]]="",0,Table1[[#This Row],[h_hargasebelumdiskon]]*Table1[[#This Row],[Disc 1]]))</f>
        <v>71862</v>
      </c>
      <c r="AA161" s="274">
        <f>IF(Table1[[#This Row],[h_hargasebelumdiskon]]="","",IF(Table1[[#This Row],[Disc 2]]="",0,(Table1[[#This Row],[h_hargasebelumdiskon]]-Table1[[#This Row],[h_disc 1]])*Table1[[#This Row],[Disc 2]]))</f>
        <v>0</v>
      </c>
      <c r="AB161" s="274">
        <f>IF(Table1[Item Description]="","",Table1[[#This Row],[h_disc 1]]+Table1[[#This Row],[h_disc 2]])</f>
        <v>71862</v>
      </c>
      <c r="AC161" s="274">
        <f>IF(Table1[Item Description]="","",Table1[[#This Row],[h_hargasebelumdiskon]]-Table1[[#This Row],[h_diskon]])</f>
        <v>423738</v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>STAMP PAD KENKO NO. 1PCS5900</v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>
        <v>60</v>
      </c>
      <c r="L162" s="271" t="s">
        <v>162</v>
      </c>
      <c r="N162" s="271" t="s">
        <v>374</v>
      </c>
      <c r="O162" s="278" t="str">
        <f>IF(Table1[[#This Row],[h_Item Description]]="","",INDEX([1]!db[NB PAJAK],MATCH(Table1[[#This Row],[h_Item Description]],[1]!db[kode],0)))</f>
        <v>DATE STAMP KENKO D-4 (Cap Tanggal 4 Mm)</v>
      </c>
      <c r="P162" s="271" t="s">
        <v>375</v>
      </c>
      <c r="Q162" s="274">
        <v>6200</v>
      </c>
      <c r="R162" s="275">
        <v>0.14499999999999999</v>
      </c>
      <c r="S162" s="275"/>
      <c r="T162" s="274">
        <f>Table1[[#This Row],[h_hargasetelahdiskon]]</f>
        <v>318060</v>
      </c>
      <c r="V162" s="271"/>
      <c r="W162" s="278">
        <f ca="1">IF(Table1[[#This Row],[Item Description]]="","",IF(Table1[[#This Row],[//]]="",INDIRECT(ADDRESS(ROW()-1,COLUMN())),Table1[[#This Row],[//]]))</f>
        <v>153</v>
      </c>
      <c r="X162" s="278">
        <f ca="1">IF(Table1[[#This Row],[h_id]]="","",COUNTIF(Table1[h_id],Table1[[#This Row],[h_id]]))</f>
        <v>10</v>
      </c>
      <c r="Y162" s="274">
        <f>IF(Table1[Item Description]="","",Table1[[#This Row],[Qty]]*Table1[[#This Row],[Unit Price]])</f>
        <v>372000</v>
      </c>
      <c r="Z162" s="274">
        <f>IF(Table1[[#This Row],[h_hargasebelumdiskon]]="","",IF(Table1[[#This Row],[Disc 1]]="",0,Table1[[#This Row],[h_hargasebelumdiskon]]*Table1[[#This Row],[Disc 1]]))</f>
        <v>53939.999999999993</v>
      </c>
      <c r="AA162" s="274">
        <f>IF(Table1[[#This Row],[h_hargasebelumdiskon]]="","",IF(Table1[[#This Row],[Disc 2]]="",0,(Table1[[#This Row],[h_hargasebelumdiskon]]-Table1[[#This Row],[h_disc 1]])*Table1[[#This Row],[Disc 2]]))</f>
        <v>0</v>
      </c>
      <c r="AB162" s="274">
        <f>IF(Table1[Item Description]="","",Table1[[#This Row],[h_disc 1]]+Table1[[#This Row],[h_disc 2]])</f>
        <v>53939.999999999993</v>
      </c>
      <c r="AC162" s="274">
        <f>IF(Table1[Item Description]="","",Table1[[#This Row],[h_hargasebelumdiskon]]-Table1[[#This Row],[h_diskon]])</f>
        <v>318060</v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>DATE STAMP KENKO D-4 (Cap Tanggal 4 Mm)PCS6200</v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ht="16.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P202" s="281"/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P268" s="278"/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497"/>
      <c r="B298" s="497"/>
      <c r="C298" s="498"/>
      <c r="D298" s="499"/>
      <c r="E298" s="500"/>
      <c r="F298" s="501"/>
      <c r="G298" s="497"/>
      <c r="H298" s="501"/>
      <c r="I298" s="502"/>
      <c r="J298" s="497"/>
      <c r="K298" s="501"/>
      <c r="L298" s="501"/>
      <c r="M298" s="501"/>
      <c r="N298" s="501"/>
      <c r="O298" s="497"/>
      <c r="P298" s="501"/>
      <c r="Q298" s="503"/>
      <c r="R298" s="504"/>
      <c r="S298" s="504"/>
      <c r="T298" s="503"/>
      <c r="U298" s="503"/>
      <c r="V298" s="501"/>
      <c r="W298" s="497"/>
      <c r="X298" s="497"/>
      <c r="Y298" s="503"/>
      <c r="Z298" s="503"/>
      <c r="AA298" s="503"/>
      <c r="AB298" s="503"/>
      <c r="AC298" s="503"/>
      <c r="AD298" s="503"/>
      <c r="AE298" s="503"/>
      <c r="AF298" s="503"/>
      <c r="AG298"/>
      <c r="AH298"/>
      <c r="AI298"/>
    </row>
  </sheetData>
  <conditionalFormatting sqref="P72">
    <cfRule type="duplicateValues" dxfId="120" priority="3"/>
  </conditionalFormatting>
  <conditionalFormatting sqref="P31">
    <cfRule type="duplicateValues" dxfId="119" priority="2"/>
  </conditionalFormatting>
  <conditionalFormatting sqref="E3:E297">
    <cfRule type="duplicateValues" dxfId="118" priority="13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="85" zoomScaleNormal="85" workbookViewId="0">
      <selection activeCell="A25" sqref="A25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155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38</v>
      </c>
      <c r="H3" s="294" t="str">
        <f>"["&amp;H2&amp;".xlsx]Invoice"</f>
        <v>[12-Hitung FP Keluar Desember 2023.xlsx]Invoice</v>
      </c>
      <c r="I3" s="295"/>
      <c r="O3" s="292">
        <f>'PREVIEW BORDERLESS'!K1</f>
        <v>0</v>
      </c>
      <c r="R3" s="3" t="str">
        <f>"'"&amp;pointer&amp;"'"&amp;"!$"&amp;1:1&amp;":$"&amp;1:1</f>
        <v>'[12-Hitung FP Keluar Desember 2023.xlsx]Invoice'!$D:$D</v>
      </c>
      <c r="S3" s="3">
        <f>NOTA!B1</f>
        <v>23120001</v>
      </c>
      <c r="T3" s="3" t="str">
        <f>"'"&amp;pointer&amp;"'"&amp;"!$"&amp;1:1&amp;":$"&amp;1:1</f>
        <v>'[12-Hitung FP Keluar Desember 2023.xlsx]Invoice'!$E:$E</v>
      </c>
      <c r="U3" s="3" t="str">
        <f>"'"&amp;pointer&amp;"'"&amp;"!$"&amp;1:1&amp;":$"&amp;1:1</f>
        <v>'[12-Hitung FP Keluar Desember 2023.xlsx]Invoice'!$D:$D</v>
      </c>
      <c r="V3" s="3" t="str">
        <f>"'"&amp;pointer&amp;"'"&amp;"!$"&amp;1:1&amp;":$"&amp;1:1</f>
        <v>'[12-Hitung FP Keluar Desember 2023.xlsx]Invoice'!$D:$D</v>
      </c>
      <c r="W3" s="3" t="str">
        <f>"'"&amp;pointer&amp;"'"&amp;"!$"&amp;1:1&amp;":$"&amp;1:1</f>
        <v>'[12-Hitung FP Keluar Desember 2023.xlsx]Invoice'!$K:$K</v>
      </c>
      <c r="X3" s="3" t="str">
        <f>"'"&amp;pointer&amp;"'"&amp;"!$"&amp;1:1&amp;":$"&amp;1:1</f>
        <v>'[12-Hitung FP Keluar Desember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311394627.45999998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23120001</v>
      </c>
      <c r="F5" s="290">
        <f ca="1">IF(pajak[[#This Row],[//]]="","",INDEX(Table1[Tgl Invoice :],pajak[//]-offset))</f>
        <v>45264</v>
      </c>
      <c r="G5" s="3" t="str">
        <f ca="1">IF(pajak[[#This Row],[//]]="","",INDEX(Table1[Kode Sales :],pajak[//]-offset))</f>
        <v>G 0536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18180000</v>
      </c>
      <c r="J5" s="291">
        <f ca="1">IF(pajak[[#This Row],[//]]="","",SUMIF(Table1[h_id],pajak[[#This Row],[//]],Table1[h_diskon]))</f>
        <v>2272500</v>
      </c>
      <c r="K5" s="291">
        <f ca="1">IF(pajak[[#This Row],[//]]="","",SUMIF(Table1[h_id],pajak[[#This Row],[//]],Table1[h_hargasetelahdiskon]))</f>
        <v>15907500</v>
      </c>
      <c r="L5" s="291">
        <f ca="1">IF(pajak[//]="","",pajak[[#This Row],[Sub Total]]/1.11*11%)</f>
        <v>1576418.9189189188</v>
      </c>
      <c r="M5" s="291">
        <f ca="1">pajak[[#This Row],[Sub Total]]</f>
        <v>15907500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23120001</v>
      </c>
      <c r="T5" s="293">
        <f ca="1">IF(Table4[[#This Row],[AM]]&amp;" "&amp;Table4[[#This Row],[---]]=INDIRECT("pajak[@["&amp;Table4[#Headers]&amp;"]]"),MATCH(Table4[[#This Row],[---]],INDIRECT($3:$3),0))</f>
        <v>2</v>
      </c>
      <c r="U5" s="293">
        <f ca="1">IF((INDEX(INDIRECT($3:$3),Table4[[#This Row],[No. Invoice :]]+$2:$2))=INDIRECT("pajak[@["&amp;Table4[#Headers]&amp;"]]"),1)</f>
        <v>1</v>
      </c>
      <c r="V5" s="293">
        <f ca="1">IF((INDEX(INDIRECT($3:$3),Table4[[#This Row],[No. Invoice :]]+$2:$2))=INDIRECT("pajak[@["&amp;Table4[#Headers]&amp;"]]"),1)</f>
        <v>1</v>
      </c>
      <c r="W5" s="293">
        <f ca="1">IF((INDEX(INDIRECT($3:$3),Table4[[#This Row],[No. Invoice :]]+$2:$2))=INDIRECT("pajak[@["&amp;Table4[#Headers]&amp;"]]"),1)</f>
        <v>1</v>
      </c>
      <c r="X5" s="293">
        <f ca="1">IF((INDEX(INDIRECT($3:$3),Table4[[#This Row],[No. Invoice :]]+$2:$2))=INDIRECT("pajak[@["&amp;Table4[#Headers]&amp;"]]"),1)</f>
        <v>1</v>
      </c>
      <c r="Z5" s="3" t="s">
        <v>25</v>
      </c>
      <c r="AA5" s="291">
        <f ca="1">SUM(pajak[PPN 11%])</f>
        <v>30858927.045585588</v>
      </c>
    </row>
    <row r="6" spans="1:27" x14ac:dyDescent="0.25">
      <c r="A6" s="296">
        <v>7</v>
      </c>
      <c r="D6" s="3">
        <f t="shared" ca="1" si="0"/>
        <v>7</v>
      </c>
      <c r="E6" s="3" t="str">
        <f ca="1">IF(pajak[[#This Row],[//]]="","",INDEX(Table1[No. Invoice :],pajak[//]-offset))</f>
        <v>AM 23120002</v>
      </c>
      <c r="F6" s="290">
        <f ca="1">IF(pajak[[#This Row],[//]]="","",INDEX(Table1[Tgl Invoice :],pajak[//]-offset))</f>
        <v>45265</v>
      </c>
      <c r="G6" s="3" t="str">
        <f ca="1">IF(pajak[[#This Row],[//]]="","",INDEX(Table1[Kode Sales :],pajak[//]-offset))</f>
        <v>A 0539</v>
      </c>
      <c r="H6" s="3" t="str">
        <f ca="1">IF(pajak[[#This Row],[//]]="","",INDEX(Table1[Toko],pajak[//]-offset))</f>
        <v>CV FM 90 KEBUMEN</v>
      </c>
      <c r="I6" s="291">
        <f ca="1">IF(pajak[[#This Row],[//]]="","",SUMIF(Table1[h_id],pajak[[#This Row],[//]],Table1[h_hargasebelumdiskon]))</f>
        <v>12312000</v>
      </c>
      <c r="J6" s="291">
        <f ca="1">IF(pajak[[#This Row],[//]]="","",SUMIF(Table1[h_id],pajak[[#This Row],[//]],Table1[h_diskon]))</f>
        <v>0</v>
      </c>
      <c r="K6" s="291">
        <f ca="1">IF(pajak[[#This Row],[//]]="","",SUMIF(Table1[h_id],pajak[[#This Row],[//]],Table1[h_hargasetelahdiskon]))</f>
        <v>12312000</v>
      </c>
      <c r="L6" s="291">
        <f ca="1">IF(pajak[//]="","",pajak[[#This Row],[Sub Total]]/1.11*11%)</f>
        <v>1220108.1081081079</v>
      </c>
      <c r="M6" s="291">
        <f ca="1">pajak[[#This Row],[Sub Total]]</f>
        <v>12312000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23120002</v>
      </c>
      <c r="T6" s="293">
        <f ca="1">IF(Table4[[#This Row],[AM]]&amp;" "&amp;Table4[[#This Row],[---]]=INDIRECT("pajak[@["&amp;Table4[#Headers]&amp;"]]"),MATCH(Table4[[#This Row],[---]],INDIRECT($3:$3),0))</f>
        <v>116</v>
      </c>
      <c r="U6" s="293">
        <f ca="1">IF((INDEX(INDIRECT($3:$3),Table4[[#This Row],[No. Invoice :]]+$2:$2))=INDIRECT("pajak[@["&amp;Table4[#Headers]&amp;"]]"),1)</f>
        <v>1</v>
      </c>
      <c r="V6" s="293">
        <f ca="1">IF((INDEX(INDIRECT($3:$3),Table4[[#This Row],[No. Invoice :]]+$2:$2))=INDIRECT("pajak[@["&amp;Table4[#Headers]&amp;"]]"),1)</f>
        <v>1</v>
      </c>
      <c r="W6" s="293">
        <f ca="1">IF((INDEX(INDIRECT($3:$3),Table4[[#This Row],[No. Invoice :]]+$2:$2))=INDIRECT("pajak[@["&amp;Table4[#Headers]&amp;"]]"),1)</f>
        <v>1</v>
      </c>
      <c r="X6" s="301">
        <f ca="1">IF((INDEX(INDIRECT($3:$3),Table4[[#This Row],[No. Invoice :]]+$2:$2))=INDIRECT("pajak[@["&amp;Table4[#Headers]&amp;"]]"),1)</f>
        <v>1</v>
      </c>
      <c r="AA6" s="291">
        <f ca="1">(AA4/1.11)*11%</f>
        <v>30858927.045585576</v>
      </c>
    </row>
    <row r="7" spans="1:27" x14ac:dyDescent="0.25">
      <c r="A7" s="296">
        <v>10</v>
      </c>
      <c r="D7" s="3">
        <f t="shared" ca="1" si="0"/>
        <v>10</v>
      </c>
      <c r="E7" s="3" t="str">
        <f ca="1">IF(pajak[[#This Row],[//]]="","",INDEX(Table1[No. Invoice :],pajak[//]-offset))</f>
        <v>AM 23120003</v>
      </c>
      <c r="F7" s="290">
        <f ca="1">IF(pajak[[#This Row],[//]]="","",INDEX(Table1[Tgl Invoice :],pajak[//]-offset))</f>
        <v>45266</v>
      </c>
      <c r="G7" s="3" t="str">
        <f ca="1">IF(pajak[[#This Row],[//]]="","",INDEX(Table1[Kode Sales :],pajak[//]-offset))</f>
        <v>KO 0551</v>
      </c>
      <c r="H7" s="3" t="str">
        <f ca="1">IF(pajak[[#This Row],[//]]="","",INDEX(Table1[Toko],pajak[//]-offset))</f>
        <v>CV PELITA JAYA (ANUGERAH SEJAHTERA) PURWOKERTO</v>
      </c>
      <c r="I7" s="291">
        <f ca="1">IF(pajak[[#This Row],[//]]="","",SUMIF(Table1[h_id],pajak[[#This Row],[//]],Table1[h_hargasebelumdiskon]))</f>
        <v>20575800</v>
      </c>
      <c r="J7" s="291">
        <f ca="1">IF(pajak[[#This Row],[//]]="","",SUMIF(Table1[h_id],pajak[[#This Row],[//]],Table1[h_diskon]))</f>
        <v>2777733</v>
      </c>
      <c r="K7" s="291">
        <f ca="1">IF(pajak[[#This Row],[//]]="","",SUMIF(Table1[h_id],pajak[[#This Row],[//]],Table1[h_hargasetelahdiskon]))</f>
        <v>17798067</v>
      </c>
      <c r="L7" s="291">
        <f ca="1">IF(pajak[//]="","",pajak[[#This Row],[Sub Total]]/1.11*11%)</f>
        <v>1763772.4054054054</v>
      </c>
      <c r="M7" s="291">
        <f ca="1">pajak[[#This Row],[Sub Total]]</f>
        <v>17798067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23120003</v>
      </c>
      <c r="T7" s="293">
        <f ca="1">IF(Table4[[#This Row],[AM]]&amp;" "&amp;Table4[[#This Row],[---]]=INDIRECT("pajak[@["&amp;Table4[#Headers]&amp;"]]"),MATCH(Table4[[#This Row],[---]],INDIRECT($3:$3),0))</f>
        <v>230</v>
      </c>
      <c r="U7" s="293">
        <f ca="1">IF((INDEX(INDIRECT($3:$3),Table4[[#This Row],[No. Invoice :]]+$2:$2))=INDIRECT("pajak[@["&amp;Table4[#Headers]&amp;"]]"),1)</f>
        <v>1</v>
      </c>
      <c r="V7" s="293">
        <f ca="1">IF((INDEX(INDIRECT($3:$3),Table4[[#This Row],[No. Invoice :]]+$2:$2))=INDIRECT("pajak[@["&amp;Table4[#Headers]&amp;"]]"),1)</f>
        <v>1</v>
      </c>
      <c r="W7" s="293">
        <f ca="1">IF((INDEX(INDIRECT($3:$3),Table4[[#This Row],[No. Invoice :]]+$2:$2))=INDIRECT("pajak[@["&amp;Table4[#Headers]&amp;"]]"),1)</f>
        <v>1</v>
      </c>
      <c r="X7" s="301">
        <f ca="1">IF((INDEX(INDIRECT($3:$3),Table4[[#This Row],[No. Invoice :]]+$2:$2))=INDIRECT("pajak[@["&amp;Table4[#Headers]&amp;"]]"),1)</f>
        <v>1</v>
      </c>
    </row>
    <row r="8" spans="1:27" x14ac:dyDescent="0.25">
      <c r="A8" s="296">
        <v>18</v>
      </c>
      <c r="D8" s="3">
        <f t="shared" ca="1" si="0"/>
        <v>18</v>
      </c>
      <c r="E8" s="3" t="str">
        <f ca="1">IF(pajak[[#This Row],[//]]="","",INDEX(Table1[No. Invoice :],pajak[//]-offset))</f>
        <v>AM 23120004</v>
      </c>
      <c r="F8" s="290">
        <f ca="1">IF(pajak[[#This Row],[//]]="","",INDEX(Table1[Tgl Invoice :],pajak[//]-offset))</f>
        <v>45266</v>
      </c>
      <c r="G8" s="3" t="str">
        <f ca="1">IF(pajak[[#This Row],[//]]="","",INDEX(Table1[Kode Sales :],pajak[//]-offset))</f>
        <v>A 0553</v>
      </c>
      <c r="H8" s="3" t="str">
        <f ca="1">IF(pajak[[#This Row],[//]]="","",INDEX(Table1[Toko],pajak[//]-offset))</f>
        <v>CV TIARA SOLO</v>
      </c>
      <c r="I8" s="291">
        <f ca="1">IF(pajak[[#This Row],[//]]="","",SUMIF(Table1[h_id],pajak[[#This Row],[//]],Table1[h_hargasebelumdiskon]))</f>
        <v>4032000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4032000</v>
      </c>
      <c r="L8" s="291">
        <f ca="1">IF(pajak[//]="","",pajak[[#This Row],[Sub Total]]/1.11*11%)</f>
        <v>399567.56756756752</v>
      </c>
      <c r="M8" s="291">
        <f ca="1">pajak[[#This Row],[Sub Total]]</f>
        <v>4032000</v>
      </c>
      <c r="N8" s="292" t="str">
        <f ca="1">IF(pajak[[#This Row],[//]]="","",INDEX(Table1[pembuat nota :],pajak[//]-offset))</f>
        <v>NOVI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23120004</v>
      </c>
      <c r="T8" s="293">
        <f ca="1">IF(Table4[[#This Row],[AM]]&amp;" "&amp;Table4[[#This Row],[---]]=INDIRECT("pajak[@["&amp;Table4[#Headers]&amp;"]]"),MATCH(Table4[[#This Row],[---]],INDIRECT($3:$3),0))</f>
        <v>344</v>
      </c>
      <c r="U8" s="293">
        <f ca="1">IF((INDEX(INDIRECT($3:$3),Table4[[#This Row],[No. Invoice :]]+$2:$2))=INDIRECT("pajak[@["&amp;Table4[#Headers]&amp;"]]"),1)</f>
        <v>1</v>
      </c>
      <c r="V8" s="293">
        <f ca="1">IF((INDEX(INDIRECT($3:$3),Table4[[#This Row],[No. Invoice :]]+$2:$2))=INDIRECT("pajak[@["&amp;Table4[#Headers]&amp;"]]"),1)</f>
        <v>1</v>
      </c>
      <c r="W8" s="293">
        <f ca="1">IF((INDEX(INDIRECT($3:$3),Table4[[#This Row],[No. Invoice :]]+$2:$2))=INDIRECT("pajak[@["&amp;Table4[#Headers]&amp;"]]"),1)</f>
        <v>1</v>
      </c>
      <c r="X8" s="301">
        <f ca="1">IF((INDEX(INDIRECT($3:$3),Table4[[#This Row],[No. Invoice :]]+$2:$2))=INDIRECT("pajak[@["&amp;Table4[#Headers]&amp;"]]"),1)</f>
        <v>1</v>
      </c>
    </row>
    <row r="9" spans="1:27" x14ac:dyDescent="0.25">
      <c r="A9" s="296">
        <v>20</v>
      </c>
      <c r="D9" s="3">
        <f t="shared" ca="1" si="0"/>
        <v>20</v>
      </c>
      <c r="E9" s="3" t="str">
        <f ca="1">IF(pajak[[#This Row],[//]]="","",INDEX(Table1[No. Invoice :],pajak[//]-offset))</f>
        <v>AM 23120005</v>
      </c>
      <c r="F9" s="290">
        <f ca="1">IF(pajak[[#This Row],[//]]="","",INDEX(Table1[Tgl Invoice :],pajak[//]-offset))</f>
        <v>45266</v>
      </c>
      <c r="G9" s="3" t="str">
        <f ca="1">IF(pajak[[#This Row],[//]]="","",INDEX(Table1[Kode Sales :],pajak[//]-offset))</f>
        <v>KO 0554</v>
      </c>
      <c r="H9" s="3" t="str">
        <f ca="1">IF(pajak[[#This Row],[//]]="","",INDEX(Table1[Toko],pajak[//]-offset))</f>
        <v>CV GANESHA WONOSOBO</v>
      </c>
      <c r="I9" s="291">
        <f ca="1">IF(pajak[[#This Row],[//]]="","",SUMIF(Table1[h_id],pajak[[#This Row],[//]],Table1[h_hargasebelumdiskon]))</f>
        <v>948000</v>
      </c>
      <c r="J9" s="291">
        <f ca="1">IF(pajak[[#This Row],[//]]="","",SUMIF(Table1[h_id],pajak[[#This Row],[//]],Table1[h_diskon]))</f>
        <v>94800</v>
      </c>
      <c r="K9" s="291">
        <f ca="1">IF(pajak[[#This Row],[//]]="","",SUMIF(Table1[h_id],pajak[[#This Row],[//]],Table1[h_hargasetelahdiskon]))</f>
        <v>853200</v>
      </c>
      <c r="L9" s="291">
        <f ca="1">IF(pajak[//]="","",pajak[[#This Row],[Sub Total]]/1.11*11%)</f>
        <v>84551.351351351332</v>
      </c>
      <c r="M9" s="291">
        <f ca="1">pajak[[#This Row],[Sub Total]]</f>
        <v>853200</v>
      </c>
      <c r="N9" s="292" t="str">
        <f ca="1">IF(pajak[[#This Row],[//]]="","",INDEX(Table1[pembuat nota :],pajak[//]-offset))</f>
        <v>NOVI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23120005</v>
      </c>
      <c r="T9" s="293">
        <f ca="1">IF(Table4[[#This Row],[AM]]&amp;" "&amp;Table4[[#This Row],[---]]=INDIRECT("pajak[@["&amp;Table4[#Headers]&amp;"]]"),MATCH(Table4[[#This Row],[---]],INDIRECT($3:$3),0))</f>
        <v>458</v>
      </c>
      <c r="U9" s="293">
        <f ca="1">IF((INDEX(INDIRECT($3:$3),Table4[[#This Row],[No. Invoice :]]+$2:$2))=INDIRECT("pajak[@["&amp;Table4[#Headers]&amp;"]]"),1)</f>
        <v>1</v>
      </c>
      <c r="V9" s="293">
        <f ca="1">IF((INDEX(INDIRECT($3:$3),Table4[[#This Row],[No. Invoice :]]+$2:$2))=INDIRECT("pajak[@["&amp;Table4[#Headers]&amp;"]]"),1)</f>
        <v>1</v>
      </c>
      <c r="W9" s="293">
        <f ca="1">IF((INDEX(INDIRECT($3:$3),Table4[[#This Row],[No. Invoice :]]+$2:$2))=INDIRECT("pajak[@["&amp;Table4[#Headers]&amp;"]]"),1)</f>
        <v>1</v>
      </c>
      <c r="X9" s="301">
        <f ca="1">IF((INDEX(INDIRECT($3:$3),Table4[[#This Row],[No. Invoice :]]+$2:$2))=INDIRECT("pajak[@["&amp;Table4[#Headers]&amp;"]]"),1)</f>
        <v>1</v>
      </c>
    </row>
    <row r="10" spans="1:27" x14ac:dyDescent="0.25">
      <c r="A10" s="296">
        <v>24</v>
      </c>
      <c r="D10" s="3">
        <f t="shared" ca="1" si="0"/>
        <v>24</v>
      </c>
      <c r="E10" s="3" t="str">
        <f ca="1">IF(pajak[[#This Row],[//]]="","",INDEX(Table1[No. Invoice :],pajak[//]-offset))</f>
        <v>AM 23120006</v>
      </c>
      <c r="F10" s="290">
        <f ca="1">IF(pajak[[#This Row],[//]]="","",INDEX(Table1[Tgl Invoice :],pajak[//]-offset))</f>
        <v>45267</v>
      </c>
      <c r="G10" s="3" t="str">
        <f ca="1">IF(pajak[[#This Row],[//]]="","",INDEX(Table1[Kode Sales :],pajak[//]-offset))</f>
        <v>KO 4960</v>
      </c>
      <c r="H10" s="3" t="str">
        <f ca="1">IF(pajak[[#This Row],[//]]="","",INDEX(Table1[Toko],pajak[//]-offset))</f>
        <v>CV LANCAR JAYA SENTOSA MALANG</v>
      </c>
      <c r="I10" s="291">
        <f ca="1">IF(pajak[[#This Row],[//]]="","",SUMIF(Table1[h_id],pajak[[#This Row],[//]],Table1[h_hargasebelumdiskon]))</f>
        <v>924000</v>
      </c>
      <c r="J10" s="291">
        <f ca="1">IF(pajak[[#This Row],[//]]="","",SUMIF(Table1[h_id],pajak[[#This Row],[//]],Table1[h_diskon]))</f>
        <v>115500</v>
      </c>
      <c r="K10" s="291">
        <f ca="1">IF(pajak[[#This Row],[//]]="","",SUMIF(Table1[h_id],pajak[[#This Row],[//]],Table1[h_hargasetelahdiskon]))</f>
        <v>808500</v>
      </c>
      <c r="L10" s="291">
        <f ca="1">IF(pajak[//]="","",pajak[[#This Row],[Sub Total]]/1.11*11%)</f>
        <v>80121.621621621613</v>
      </c>
      <c r="M10" s="291">
        <f ca="1">pajak[[#This Row],[Sub Total]]</f>
        <v>808500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23120006</v>
      </c>
      <c r="T10" s="293">
        <f ca="1">IF(Table4[[#This Row],[AM]]&amp;" "&amp;Table4[[#This Row],[---]]=INDIRECT("pajak[@["&amp;Table4[#Headers]&amp;"]]"),MATCH(Table4[[#This Row],[---]],INDIRECT($3:$3),0))</f>
        <v>572</v>
      </c>
      <c r="U10" s="293">
        <f ca="1">IF((INDEX(INDIRECT($3:$3),Table4[[#This Row],[No. Invoice :]]+$2:$2))=INDIRECT("pajak[@["&amp;Table4[#Headers]&amp;"]]"),1)</f>
        <v>1</v>
      </c>
      <c r="V10" s="293">
        <f ca="1">IF((INDEX(INDIRECT($3:$3),Table4[[#This Row],[No. Invoice :]]+$2:$2))=INDIRECT("pajak[@["&amp;Table4[#Headers]&amp;"]]"),1)</f>
        <v>1</v>
      </c>
      <c r="W10" s="293">
        <f ca="1">IF((INDEX(INDIRECT($3:$3),Table4[[#This Row],[No. Invoice :]]+$2:$2))=INDIRECT("pajak[@["&amp;Table4[#Headers]&amp;"]]"),1)</f>
        <v>1</v>
      </c>
      <c r="X10" s="301">
        <f ca="1">IF((INDEX(INDIRECT($3:$3),Table4[[#This Row],[No. Invoice :]]+$2:$2))=INDIRECT("pajak[@["&amp;Table4[#Headers]&amp;"]]"),1)</f>
        <v>1</v>
      </c>
    </row>
    <row r="11" spans="1:27" x14ac:dyDescent="0.25">
      <c r="A11" s="296">
        <v>26</v>
      </c>
      <c r="D11" s="3">
        <f t="shared" ca="1" si="0"/>
        <v>26</v>
      </c>
      <c r="E11" s="3" t="str">
        <f ca="1">IF(pajak[[#This Row],[//]]="","",INDEX(Table1[No. Invoice :],pajak[//]-offset))</f>
        <v>AM 23120007</v>
      </c>
      <c r="F11" s="290">
        <f ca="1">IF(pajak[[#This Row],[//]]="","",INDEX(Table1[Tgl Invoice :],pajak[//]-offset))</f>
        <v>45269</v>
      </c>
      <c r="G11" s="3" t="str">
        <f ca="1">IF(pajak[[#This Row],[//]]="","",INDEX(Table1[Kode Sales :],pajak[//]-offset))</f>
        <v>KO 0570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3909600</v>
      </c>
      <c r="J11" s="291">
        <f ca="1">IF(pajak[[#This Row],[//]]="","",SUMIF(Table1[h_id],pajak[[#This Row],[//]],Table1[h_diskon]))</f>
        <v>527796</v>
      </c>
      <c r="K11" s="291">
        <f ca="1">IF(pajak[[#This Row],[//]]="","",SUMIF(Table1[h_id],pajak[[#This Row],[//]],Table1[h_hargasetelahdiskon]))</f>
        <v>3381804</v>
      </c>
      <c r="L11" s="291">
        <f ca="1">IF(pajak[//]="","",pajak[[#This Row],[Sub Total]]/1.11*11%)</f>
        <v>335133.7297297297</v>
      </c>
      <c r="M11" s="291">
        <f ca="1">pajak[[#This Row],[Sub Total]]</f>
        <v>3381804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23120007</v>
      </c>
      <c r="T11" s="293">
        <f ca="1">IF(Table4[[#This Row],[AM]]&amp;" "&amp;Table4[[#This Row],[---]]=INDIRECT("pajak[@["&amp;Table4[#Headers]&amp;"]]"),MATCH(Table4[[#This Row],[---]],INDIRECT($3:$3),0))</f>
        <v>686</v>
      </c>
      <c r="U11" s="293">
        <f ca="1">IF((INDEX(INDIRECT($3:$3),Table4[[#This Row],[No. Invoice :]]+$2:$2))=INDIRECT("pajak[@["&amp;Table4[#Headers]&amp;"]]"),1)</f>
        <v>1</v>
      </c>
      <c r="V11" s="293">
        <f ca="1">IF((INDEX(INDIRECT($3:$3),Table4[[#This Row],[No. Invoice :]]+$2:$2))=INDIRECT("pajak[@["&amp;Table4[#Headers]&amp;"]]"),1)</f>
        <v>1</v>
      </c>
      <c r="W11" s="293">
        <f ca="1">IF((INDEX(INDIRECT($3:$3),Table4[[#This Row],[No. Invoice :]]+$2:$2))=INDIRECT("pajak[@["&amp;Table4[#Headers]&amp;"]]"),1)</f>
        <v>1</v>
      </c>
      <c r="X11" s="301">
        <f ca="1">IF((INDEX(INDIRECT($3:$3),Table4[[#This Row],[No. Invoice :]]+$2:$2))=INDIRECT("pajak[@["&amp;Table4[#Headers]&amp;"]]"),1)</f>
        <v>1</v>
      </c>
    </row>
    <row r="12" spans="1:27" x14ac:dyDescent="0.25">
      <c r="A12" s="296">
        <v>28</v>
      </c>
      <c r="D12" s="3">
        <f t="shared" ca="1" si="0"/>
        <v>28</v>
      </c>
      <c r="E12" s="3" t="str">
        <f ca="1">IF(pajak[[#This Row],[//]]="","",INDEX(Table1[No. Invoice :],pajak[//]-offset))</f>
        <v>AM 23120008</v>
      </c>
      <c r="F12" s="290">
        <f ca="1">IF(pajak[[#This Row],[//]]="","",INDEX(Table1[Tgl Invoice :],pajak[//]-offset))</f>
        <v>45269</v>
      </c>
      <c r="G12" s="3" t="str">
        <f ca="1">IF(pajak[[#This Row],[//]]="","",INDEX(Table1[Kode Sales :],pajak[//]-offset))</f>
        <v>G 0568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6264000</v>
      </c>
      <c r="J12" s="291">
        <f ca="1">IF(pajak[[#This Row],[//]]="","",SUMIF(Table1[h_id],pajak[[#This Row],[//]],Table1[h_diskon]))</f>
        <v>783000</v>
      </c>
      <c r="K12" s="291">
        <f ca="1">IF(pajak[[#This Row],[//]]="","",SUMIF(Table1[h_id],pajak[[#This Row],[//]],Table1[h_hargasetelahdiskon]))</f>
        <v>5481000</v>
      </c>
      <c r="L12" s="291">
        <f ca="1">IF(pajak[//]="","",pajak[[#This Row],[Sub Total]]/1.11*11%)</f>
        <v>543162.16216216213</v>
      </c>
      <c r="M12" s="291">
        <f ca="1">pajak[[#This Row],[Sub Total]]</f>
        <v>5481000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23120008</v>
      </c>
      <c r="T12" s="293">
        <f ca="1">IF(Table4[[#This Row],[AM]]&amp;" "&amp;Table4[[#This Row],[---]]=INDIRECT("pajak[@["&amp;Table4[#Headers]&amp;"]]"),MATCH(Table4[[#This Row],[---]],INDIRECT($3:$3),0))</f>
        <v>800</v>
      </c>
      <c r="U12" s="293">
        <f ca="1">IF((INDEX(INDIRECT($3:$3),Table4[[#This Row],[No. Invoice :]]+$2:$2))=INDIRECT("pajak[@["&amp;Table4[#Headers]&amp;"]]"),1)</f>
        <v>1</v>
      </c>
      <c r="V12" s="293">
        <f ca="1">IF((INDEX(INDIRECT($3:$3),Table4[[#This Row],[No. Invoice :]]+$2:$2))=INDIRECT("pajak[@["&amp;Table4[#Headers]&amp;"]]"),1)</f>
        <v>1</v>
      </c>
      <c r="W12" s="293">
        <f ca="1">IF((INDEX(INDIRECT($3:$3),Table4[[#This Row],[No. Invoice :]]+$2:$2))=INDIRECT("pajak[@["&amp;Table4[#Headers]&amp;"]]"),1)</f>
        <v>1</v>
      </c>
      <c r="X12" s="301">
        <f ca="1">IF((INDEX(INDIRECT($3:$3),Table4[[#This Row],[No. Invoice :]]+$2:$2))=INDIRECT("pajak[@["&amp;Table4[#Headers]&amp;"]]"),1)</f>
        <v>1</v>
      </c>
    </row>
    <row r="13" spans="1:27" x14ac:dyDescent="0.25">
      <c r="A13" s="296">
        <v>30</v>
      </c>
      <c r="D13" s="3">
        <f t="shared" ca="1" si="0"/>
        <v>30</v>
      </c>
      <c r="E13" s="3" t="str">
        <f ca="1">IF(pajak[[#This Row],[//]]="","",INDEX(Table1[No. Invoice :],pajak[//]-offset))</f>
        <v>AM 23120009</v>
      </c>
      <c r="F13" s="290">
        <f ca="1">IF(pajak[[#This Row],[//]]="","",INDEX(Table1[Tgl Invoice :],pajak[//]-offset))</f>
        <v>45271</v>
      </c>
      <c r="G13" s="3" t="str">
        <f ca="1">IF(pajak[[#This Row],[//]]="","",INDEX(Table1[Kode Sales :],pajak[//]-offset))</f>
        <v>KO 3287</v>
      </c>
      <c r="H13" s="3" t="str">
        <f ca="1">IF(pajak[[#This Row],[//]]="","",INDEX(Table1[Toko],pajak[//]-offset))</f>
        <v>CV LANCAR JAYA SENTOSA MALANG</v>
      </c>
      <c r="I13" s="291">
        <f ca="1">IF(pajak[[#This Row],[//]]="","",SUMIF(Table1[h_id],pajak[[#This Row],[//]],Table1[h_hargasebelumdiskon]))</f>
        <v>8568000</v>
      </c>
      <c r="J13" s="291">
        <f ca="1">IF(pajak[[#This Row],[//]]="","",SUMIF(Table1[h_id],pajak[[#This Row],[//]],Table1[h_diskon]))</f>
        <v>1445850</v>
      </c>
      <c r="K13" s="291">
        <f ca="1">IF(pajak[[#This Row],[//]]="","",SUMIF(Table1[h_id],pajak[[#This Row],[//]],Table1[h_hargasetelahdiskon]))</f>
        <v>7122150</v>
      </c>
      <c r="L13" s="291">
        <f ca="1">IF(pajak[//]="","",pajak[[#This Row],[Sub Total]]/1.11*11%)</f>
        <v>705798.64864864852</v>
      </c>
      <c r="M13" s="291">
        <f ca="1">pajak[[#This Row],[Sub Total]]</f>
        <v>7122150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23120009</v>
      </c>
      <c r="T13" s="293">
        <f ca="1">IF(Table4[[#This Row],[AM]]&amp;" "&amp;Table4[[#This Row],[---]]=INDIRECT("pajak[@["&amp;Table4[#Headers]&amp;"]]"),MATCH(Table4[[#This Row],[---]],INDIRECT($3:$3),0))</f>
        <v>914</v>
      </c>
      <c r="U13" s="293">
        <f ca="1">IF((INDEX(INDIRECT($3:$3),Table4[[#This Row],[No. Invoice :]]+$2:$2))=INDIRECT("pajak[@["&amp;Table4[#Headers]&amp;"]]"),1)</f>
        <v>1</v>
      </c>
      <c r="V13" s="293">
        <f ca="1">IF((INDEX(INDIRECT($3:$3),Table4[[#This Row],[No. Invoice :]]+$2:$2))=INDIRECT("pajak[@["&amp;Table4[#Headers]&amp;"]]"),1)</f>
        <v>1</v>
      </c>
      <c r="W13" s="293">
        <f ca="1">IF((INDEX(INDIRECT($3:$3),Table4[[#This Row],[No. Invoice :]]+$2:$2))=INDIRECT("pajak[@["&amp;Table4[#Headers]&amp;"]]"),1)</f>
        <v>1</v>
      </c>
      <c r="X13" s="301">
        <f ca="1">IF((INDEX(INDIRECT($3:$3),Table4[[#This Row],[No. Invoice :]]+$2:$2))=INDIRECT("pajak[@["&amp;Table4[#Headers]&amp;"]]"),1)</f>
        <v>1</v>
      </c>
    </row>
    <row r="14" spans="1:27" x14ac:dyDescent="0.25">
      <c r="A14" s="296">
        <v>32</v>
      </c>
      <c r="D14" s="292">
        <f t="shared" ca="1" si="0"/>
        <v>32</v>
      </c>
      <c r="E14" s="3" t="str">
        <f ca="1">IF(pajak[[#This Row],[//]]="","",INDEX(Table1[No. Invoice :],pajak[//]-offset))</f>
        <v>AM 23120010</v>
      </c>
      <c r="F14" s="290">
        <f ca="1">IF(pajak[[#This Row],[//]]="","",INDEX(Table1[Tgl Invoice :],pajak[//]-offset))</f>
        <v>45271</v>
      </c>
      <c r="G14" s="292" t="str">
        <f ca="1">IF(pajak[[#This Row],[//]]="","",INDEX(Table1[Kode Sales :],pajak[//]-offset))</f>
        <v>G 0604</v>
      </c>
      <c r="H14" s="292" t="str">
        <f ca="1">IF(pajak[[#This Row],[//]]="","",INDEX(Table1[Toko],pajak[//]-offset))</f>
        <v>PT.HASTA KENCANA SAKTI ( TRIO PLAZA ) MAGELANG</v>
      </c>
      <c r="I14" s="291">
        <f ca="1">IF(pajak[[#This Row],[//]]="","",SUMIF(Table1[h_id],pajak[[#This Row],[//]],Table1[h_hargasebelumdiskon]))</f>
        <v>329300.95999999996</v>
      </c>
      <c r="J14" s="291">
        <f ca="1">IF(pajak[[#This Row],[//]]="","",SUMIF(Table1[h_id],pajak[[#This Row],[//]],Table1[h_diskon]))</f>
        <v>0</v>
      </c>
      <c r="K14" s="291">
        <f ca="1">IF(pajak[[#This Row],[//]]="","",SUMIF(Table1[h_id],pajak[[#This Row],[//]],Table1[h_hargasetelahdiskon]))</f>
        <v>329300.95999999996</v>
      </c>
      <c r="L14" s="291">
        <f ca="1">IF(pajak[//]="","",pajak[[#This Row],[Sub Total]]/1.11*11%)</f>
        <v>32633.428468468464</v>
      </c>
      <c r="M14" s="291">
        <f ca="1">pajak[[#This Row],[Sub Total]]</f>
        <v>329300.95999999996</v>
      </c>
      <c r="N14" s="292" t="str">
        <f ca="1">IF(pajak[[#This Row],[//]]="","",INDEX(Table1[pembuat nota :],pajak[//]-offset))</f>
        <v>RISMA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23120010</v>
      </c>
      <c r="T14" s="293">
        <f ca="1">IF(Table4[[#This Row],[AM]]&amp;" "&amp;Table4[[#This Row],[---]]=INDIRECT("pajak[@["&amp;Table4[#Headers]&amp;"]]"),MATCH(Table4[[#This Row],[---]],INDIRECT($3:$3),0))</f>
        <v>1028</v>
      </c>
      <c r="U14" s="293">
        <f ca="1">IF((INDEX(INDIRECT($3:$3),Table4[[#This Row],[No. Invoice :]]+$2:$2))=INDIRECT("pajak[@["&amp;Table4[#Headers]&amp;"]]"),1)</f>
        <v>1</v>
      </c>
      <c r="V14" s="293">
        <f ca="1">IF((INDEX(INDIRECT($3:$3),Table4[[#This Row],[No. Invoice :]]+$2:$2))=INDIRECT("pajak[@["&amp;Table4[#Headers]&amp;"]]"),1)</f>
        <v>1</v>
      </c>
      <c r="W14" s="293">
        <f ca="1">IF((INDEX(INDIRECT($3:$3),Table4[[#This Row],[No. Invoice :]]+$2:$2))=INDIRECT("pajak[@["&amp;Table4[#Headers]&amp;"]]"),1)</f>
        <v>1</v>
      </c>
      <c r="X14" s="301">
        <f ca="1">IF((INDEX(INDIRECT($3:$3),Table4[[#This Row],[No. Invoice :]]+$2:$2))=INDIRECT("pajak[@["&amp;Table4[#Headers]&amp;"]]"),1)</f>
        <v>1</v>
      </c>
    </row>
    <row r="15" spans="1:27" x14ac:dyDescent="0.25">
      <c r="A15" s="296">
        <v>40</v>
      </c>
      <c r="D15" s="292">
        <f t="shared" ca="1" si="0"/>
        <v>40</v>
      </c>
      <c r="E15" s="3" t="str">
        <f ca="1">IF(pajak[[#This Row],[//]]="","",INDEX(Table1[No. Invoice :],pajak[//]-offset))</f>
        <v>AM 23120011</v>
      </c>
      <c r="F15" s="290">
        <f ca="1">IF(pajak[[#This Row],[//]]="","",INDEX(Table1[Tgl Invoice :],pajak[//]-offset))</f>
        <v>45271</v>
      </c>
      <c r="G15" s="292" t="str">
        <f ca="1">IF(pajak[[#This Row],[//]]="","",INDEX(Table1[Kode Sales :],pajak[//]-offset))</f>
        <v>KO 4778</v>
      </c>
      <c r="H15" s="292" t="str">
        <f ca="1">IF(pajak[[#This Row],[//]]="","",INDEX(Table1[Toko],pajak[//]-offset))</f>
        <v>CV PELITA JAYA (ANUGERAH SEJAHTERA) PURWOKERTO</v>
      </c>
      <c r="I15" s="291">
        <f ca="1">IF(pajak[[#This Row],[//]]="","",SUMIF(Table1[h_id],pajak[[#This Row],[//]],Table1[h_hargasebelumdiskon]))</f>
        <v>6127000</v>
      </c>
      <c r="J15" s="291">
        <f ca="1">IF(pajak[[#This Row],[//]]="","",SUMIF(Table1[h_id],pajak[[#This Row],[//]],Table1[h_diskon]))</f>
        <v>827145</v>
      </c>
      <c r="K15" s="291">
        <f ca="1">IF(pajak[[#This Row],[//]]="","",SUMIF(Table1[h_id],pajak[[#This Row],[//]],Table1[h_hargasetelahdiskon]))</f>
        <v>5299855</v>
      </c>
      <c r="L15" s="291">
        <f ca="1">IF(pajak[//]="","",pajak[[#This Row],[Sub Total]]/1.11*11%)</f>
        <v>525210.85585585586</v>
      </c>
      <c r="M15" s="291">
        <f ca="1">pajak[[#This Row],[Sub Total]]</f>
        <v>5299855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23120011</v>
      </c>
      <c r="T15" s="293">
        <f ca="1">IF(Table4[[#This Row],[AM]]&amp;" "&amp;Table4[[#This Row],[---]]=INDIRECT("pajak[@["&amp;Table4[#Headers]&amp;"]]"),MATCH(Table4[[#This Row],[---]],INDIRECT($3:$3),0))</f>
        <v>1142</v>
      </c>
      <c r="U15" s="293">
        <f ca="1">IF((INDEX(INDIRECT($3:$3),Table4[[#This Row],[No. Invoice :]]+$2:$2))=INDIRECT("pajak[@["&amp;Table4[#Headers]&amp;"]]"),1)</f>
        <v>1</v>
      </c>
      <c r="V15" s="293">
        <f ca="1">IF((INDEX(INDIRECT($3:$3),Table4[[#This Row],[No. Invoice :]]+$2:$2))=INDIRECT("pajak[@["&amp;Table4[#Headers]&amp;"]]"),1)</f>
        <v>1</v>
      </c>
      <c r="W15" s="293">
        <f ca="1">IF((INDEX(INDIRECT($3:$3),Table4[[#This Row],[No. Invoice :]]+$2:$2))=INDIRECT("pajak[@["&amp;Table4[#Headers]&amp;"]]"),1)</f>
        <v>1</v>
      </c>
      <c r="X15" s="301">
        <f ca="1">IF((INDEX(INDIRECT($3:$3),Table4[[#This Row],[No. Invoice :]]+$2:$2))=INDIRECT("pajak[@["&amp;Table4[#Headers]&amp;"]]"),1)</f>
        <v>1</v>
      </c>
    </row>
    <row r="16" spans="1:27" x14ac:dyDescent="0.25">
      <c r="A16" s="296">
        <v>43</v>
      </c>
      <c r="D16" s="292">
        <f t="shared" ca="1" si="0"/>
        <v>43</v>
      </c>
      <c r="E16" s="3" t="str">
        <f ca="1">IF(pajak[[#This Row],[//]]="","",INDEX(Table1[No. Invoice :],pajak[//]-offset))</f>
        <v>AM 23120012</v>
      </c>
      <c r="F16" s="290">
        <f ca="1">IF(pajak[[#This Row],[//]]="","",INDEX(Table1[Tgl Invoice :],pajak[//]-offset))</f>
        <v>45271</v>
      </c>
      <c r="G16" s="292" t="str">
        <f ca="1">IF(pajak[[#This Row],[//]]="","",INDEX(Table1[Kode Sales :],pajak[//]-offset))</f>
        <v>G 4780</v>
      </c>
      <c r="H16" s="292" t="str">
        <f ca="1">IF(pajak[[#This Row],[//]]="","",INDEX(Table1[Toko],pajak[//]-offset))</f>
        <v>LILY JULIAWATI (REJO AGUNG) JOMBANG</v>
      </c>
      <c r="I16" s="291">
        <f ca="1">IF(pajak[[#This Row],[//]]="","",SUMIF(Table1[h_id],pajak[[#This Row],[//]],Table1[h_hargasebelumdiskon]))</f>
        <v>21422400</v>
      </c>
      <c r="J16" s="291">
        <f ca="1">IF(pajak[[#This Row],[//]]="","",SUMIF(Table1[h_id],pajak[[#This Row],[//]],Table1[h_diskon]))</f>
        <v>3615030</v>
      </c>
      <c r="K16" s="291">
        <f ca="1">IF(pajak[[#This Row],[//]]="","",SUMIF(Table1[h_id],pajak[[#This Row],[//]],Table1[h_hargasetelahdiskon]))</f>
        <v>17807370</v>
      </c>
      <c r="L16" s="291">
        <f ca="1">IF(pajak[//]="","",pajak[[#This Row],[Sub Total]]/1.11*11%)</f>
        <v>1764694.324324324</v>
      </c>
      <c r="M16" s="291">
        <f ca="1">pajak[[#This Row],[Sub Total]]</f>
        <v>17807370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23120012</v>
      </c>
      <c r="T16" s="293">
        <f ca="1">IF(Table4[[#This Row],[AM]]&amp;" "&amp;Table4[[#This Row],[---]]=INDIRECT("pajak[@["&amp;Table4[#Headers]&amp;"]]"),MATCH(Table4[[#This Row],[---]],INDIRECT($3:$3),0))</f>
        <v>1256</v>
      </c>
      <c r="U16" s="293">
        <f ca="1">IF((INDEX(INDIRECT($3:$3),Table4[[#This Row],[No. Invoice :]]+$2:$2))=INDIRECT("pajak[@["&amp;Table4[#Headers]&amp;"]]"),1)</f>
        <v>1</v>
      </c>
      <c r="V16" s="293">
        <f ca="1">IF((INDEX(INDIRECT($3:$3),Table4[[#This Row],[No. Invoice :]]+$2:$2))=INDIRECT("pajak[@["&amp;Table4[#Headers]&amp;"]]"),1)</f>
        <v>1</v>
      </c>
      <c r="W16" s="293">
        <f ca="1">IF((INDEX(INDIRECT($3:$3),Table4[[#This Row],[No. Invoice :]]+$2:$2))=INDIRECT("pajak[@["&amp;Table4[#Headers]&amp;"]]"),1)</f>
        <v>1</v>
      </c>
      <c r="X16" s="301">
        <f ca="1">IF((INDEX(INDIRECT($3:$3),Table4[[#This Row],[No. Invoice :]]+$2:$2))=INDIRECT("pajak[@["&amp;Table4[#Headers]&amp;"]]"),1)</f>
        <v>1</v>
      </c>
    </row>
    <row r="17" spans="1:24" x14ac:dyDescent="0.25">
      <c r="A17" s="296">
        <v>48</v>
      </c>
      <c r="D17" s="292">
        <f t="shared" ca="1" si="0"/>
        <v>48</v>
      </c>
      <c r="E17" s="3" t="str">
        <f ca="1">IF(pajak[[#This Row],[//]]="","",INDEX(Table1[No. Invoice :],pajak[//]-offset))</f>
        <v>AM 23120013</v>
      </c>
      <c r="F17" s="290">
        <f ca="1">IF(pajak[[#This Row],[//]]="","",INDEX(Table1[Tgl Invoice :],pajak[//]-offset))</f>
        <v>45271</v>
      </c>
      <c r="G17" s="292" t="str">
        <f ca="1">IF(pajak[[#This Row],[//]]="","",INDEX(Table1[Kode Sales :],pajak[//]-offset))</f>
        <v>G 4783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20997600</v>
      </c>
      <c r="J17" s="291">
        <f ca="1">IF(pajak[[#This Row],[//]]="","",SUMIF(Table1[h_id],pajak[[#This Row],[//]],Table1[h_diskon]))</f>
        <v>3543345</v>
      </c>
      <c r="K17" s="291">
        <f ca="1">IF(pajak[[#This Row],[//]]="","",SUMIF(Table1[h_id],pajak[[#This Row],[//]],Table1[h_hargasetelahdiskon]))</f>
        <v>17454255</v>
      </c>
      <c r="L17" s="291">
        <f ca="1">IF(pajak[//]="","",pajak[[#This Row],[Sub Total]]/1.11*11%)</f>
        <v>1729700.9459459458</v>
      </c>
      <c r="M17" s="291">
        <f ca="1">pajak[[#This Row],[Sub Total]]</f>
        <v>17454255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23120013</v>
      </c>
      <c r="T17" s="293">
        <f ca="1">IF(Table4[[#This Row],[AM]]&amp;" "&amp;Table4[[#This Row],[---]]=INDIRECT("pajak[@["&amp;Table4[#Headers]&amp;"]]"),MATCH(Table4[[#This Row],[---]],INDIRECT($3:$3),0))</f>
        <v>1370</v>
      </c>
      <c r="U17" s="293">
        <f ca="1">IF((INDEX(INDIRECT($3:$3),Table4[[#This Row],[No. Invoice :]]+$2:$2))=INDIRECT("pajak[@["&amp;Table4[#Headers]&amp;"]]"),1)</f>
        <v>1</v>
      </c>
      <c r="V17" s="293">
        <f ca="1">IF((INDEX(INDIRECT($3:$3),Table4[[#This Row],[No. Invoice :]]+$2:$2))=INDIRECT("pajak[@["&amp;Table4[#Headers]&amp;"]]"),1)</f>
        <v>1</v>
      </c>
      <c r="W17" s="293">
        <f ca="1">IF((INDEX(INDIRECT($3:$3),Table4[[#This Row],[No. Invoice :]]+$2:$2))=INDIRECT("pajak[@["&amp;Table4[#Headers]&amp;"]]"),1)</f>
        <v>1</v>
      </c>
      <c r="X17" s="301">
        <f ca="1">IF((INDEX(INDIRECT($3:$3),Table4[[#This Row],[No. Invoice :]]+$2:$2))=INDIRECT("pajak[@["&amp;Table4[#Headers]&amp;"]]"),1)</f>
        <v>1</v>
      </c>
    </row>
    <row r="18" spans="1:24" x14ac:dyDescent="0.25">
      <c r="A18" s="296">
        <v>54</v>
      </c>
      <c r="D18" s="292">
        <f t="shared" ca="1" si="0"/>
        <v>54</v>
      </c>
      <c r="E18" s="3" t="str">
        <f ca="1">IF(pajak[[#This Row],[//]]="","",INDEX(Table1[No. Invoice :],pajak[//]-offset))</f>
        <v>AM 23120014</v>
      </c>
      <c r="F18" s="290">
        <f ca="1">IF(pajak[[#This Row],[//]]="","",INDEX(Table1[Tgl Invoice :],pajak[//]-offset))</f>
        <v>45273</v>
      </c>
      <c r="G18" s="292" t="str">
        <f ca="1">IF(pajak[[#This Row],[//]]="","",INDEX(Table1[Kode Sales :],pajak[//]-offset))</f>
        <v>G 0584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19440000</v>
      </c>
      <c r="J18" s="291">
        <f ca="1">IF(pajak[[#This Row],[//]]="","",SUMIF(Table1[h_id],pajak[[#This Row],[//]],Table1[h_diskon]))</f>
        <v>3280500</v>
      </c>
      <c r="K18" s="291">
        <f ca="1">IF(pajak[[#This Row],[//]]="","",SUMIF(Table1[h_id],pajak[[#This Row],[//]],Table1[h_hargasetelahdiskon]))</f>
        <v>16159500</v>
      </c>
      <c r="L18" s="291">
        <f ca="1">IF(pajak[//]="","",pajak[[#This Row],[Sub Total]]/1.11*11%)</f>
        <v>1601391.8918918918</v>
      </c>
      <c r="M18" s="291">
        <f ca="1">pajak[[#This Row],[Sub Total]]</f>
        <v>16159500</v>
      </c>
      <c r="N18" s="292" t="str">
        <f ca="1">IF(pajak[[#This Row],[//]]="","",INDEX(Table1[pembuat nota :],pajak[//]-offset))</f>
        <v>NOVI / CONDRO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23120014</v>
      </c>
      <c r="T18" s="293">
        <f ca="1">IF(Table4[[#This Row],[AM]]&amp;" "&amp;Table4[[#This Row],[---]]=INDIRECT("pajak[@["&amp;Table4[#Headers]&amp;"]]"),MATCH(Table4[[#This Row],[---]],INDIRECT($3:$3),0))</f>
        <v>1484</v>
      </c>
      <c r="U18" s="293">
        <f ca="1">IF((INDEX(INDIRECT($3:$3),Table4[[#This Row],[No. Invoice :]]+$2:$2))=INDIRECT("pajak[@["&amp;Table4[#Headers]&amp;"]]"),1)</f>
        <v>1</v>
      </c>
      <c r="V18" s="293">
        <f ca="1">IF((INDEX(INDIRECT($3:$3),Table4[[#This Row],[No. Invoice :]]+$2:$2))=INDIRECT("pajak[@["&amp;Table4[#Headers]&amp;"]]"),1)</f>
        <v>1</v>
      </c>
      <c r="W18" s="293">
        <f ca="1">IF((INDEX(INDIRECT($3:$3),Table4[[#This Row],[No. Invoice :]]+$2:$2))=INDIRECT("pajak[@["&amp;Table4[#Headers]&amp;"]]"),1)</f>
        <v>1</v>
      </c>
      <c r="X18" s="301">
        <f ca="1">IF((INDEX(INDIRECT($3:$3),Table4[[#This Row],[No. Invoice :]]+$2:$2))=INDIRECT("pajak[@["&amp;Table4[#Headers]&amp;"]]"),1)</f>
        <v>1</v>
      </c>
    </row>
    <row r="19" spans="1:24" x14ac:dyDescent="0.25">
      <c r="A19" s="296">
        <v>56</v>
      </c>
      <c r="D19" s="292">
        <f t="shared" ca="1" si="0"/>
        <v>56</v>
      </c>
      <c r="E19" s="3" t="str">
        <f ca="1">IF(pajak[[#This Row],[//]]="","",INDEX(Table1[No. Invoice :],pajak[//]-offset))</f>
        <v>AM 23120015</v>
      </c>
      <c r="F19" s="290">
        <f ca="1">IF(pajak[[#This Row],[//]]="","",INDEX(Table1[Tgl Invoice :],pajak[//]-offset))</f>
        <v>45275</v>
      </c>
      <c r="G19" s="292" t="str">
        <f ca="1">IF(pajak[[#This Row],[//]]="","",INDEX(Table1[Kode Sales :],pajak[//]-offset))</f>
        <v>G 4791</v>
      </c>
      <c r="H19" s="292" t="str">
        <f ca="1">IF(pajak[[#This Row],[//]]="","",INDEX(Table1[Toko],pajak[//]-offset))</f>
        <v>GUNAWAN HARTONO KUSUMA ( NIKI SAE ) TULUNG AGUNG</v>
      </c>
      <c r="I19" s="291">
        <f ca="1">IF(pajak[[#This Row],[//]]="","",SUMIF(Table1[h_id],pajak[[#This Row],[//]],Table1[h_hargasebelumdiskon]))</f>
        <v>12464400</v>
      </c>
      <c r="J19" s="291">
        <f ca="1">IF(pajak[[#This Row],[//]]="","",SUMIF(Table1[h_id],pajak[[#This Row],[//]],Table1[h_diskon]))</f>
        <v>2103367.5</v>
      </c>
      <c r="K19" s="291">
        <f ca="1">IF(pajak[[#This Row],[//]]="","",SUMIF(Table1[h_id],pajak[[#This Row],[//]],Table1[h_hargasetelahdiskon]))</f>
        <v>10361032.5</v>
      </c>
      <c r="L19" s="291">
        <f ca="1">IF(pajak[//]="","",pajak[[#This Row],[Sub Total]]/1.11*11%)</f>
        <v>1026768.9864864864</v>
      </c>
      <c r="M19" s="291">
        <f ca="1">pajak[[#This Row],[Sub Total]]</f>
        <v>10361032.5</v>
      </c>
      <c r="N19" s="292" t="str">
        <f ca="1">IF(pajak[[#This Row],[//]]="","",INDEX(Table1[pembuat nota :],pajak[//]-offset))</f>
        <v>RISMA / CONDRO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23120015</v>
      </c>
      <c r="T19" s="293">
        <f ca="1">IF(Table4[[#This Row],[AM]]&amp;" "&amp;Table4[[#This Row],[---]]=INDIRECT("pajak[@["&amp;Table4[#Headers]&amp;"]]"),MATCH(Table4[[#This Row],[---]],INDIRECT($3:$3),0))</f>
        <v>1598</v>
      </c>
      <c r="U19" s="293">
        <f ca="1">IF((INDEX(INDIRECT($3:$3),Table4[[#This Row],[No. Invoice :]]+$2:$2))=INDIRECT("pajak[@["&amp;Table4[#Headers]&amp;"]]"),1)</f>
        <v>1</v>
      </c>
      <c r="V19" s="293">
        <f ca="1">IF((INDEX(INDIRECT($3:$3),Table4[[#This Row],[No. Invoice :]]+$2:$2))=INDIRECT("pajak[@["&amp;Table4[#Headers]&amp;"]]"),1)</f>
        <v>1</v>
      </c>
      <c r="W19" s="293">
        <f ca="1">IF((INDEX(INDIRECT($3:$3),Table4[[#This Row],[No. Invoice :]]+$2:$2))=INDIRECT("pajak[@["&amp;Table4[#Headers]&amp;"]]"),1)</f>
        <v>1</v>
      </c>
      <c r="X19" s="301">
        <f ca="1">IF((INDEX(INDIRECT($3:$3),Table4[[#This Row],[No. Invoice :]]+$2:$2))=INDIRECT("pajak[@["&amp;Table4[#Headers]&amp;"]]"),1)</f>
        <v>1</v>
      </c>
    </row>
    <row r="20" spans="1:24" x14ac:dyDescent="0.25">
      <c r="A20" s="296">
        <v>61</v>
      </c>
      <c r="D20" s="292">
        <f t="shared" ca="1" si="0"/>
        <v>61</v>
      </c>
      <c r="E20" s="3" t="str">
        <f ca="1">IF(pajak[[#This Row],[//]]="","",INDEX(Table1[No. Invoice :],pajak[//]-offset))</f>
        <v>AM 23120016</v>
      </c>
      <c r="F20" s="290">
        <f ca="1">IF(pajak[[#This Row],[//]]="","",INDEX(Table1[Tgl Invoice :],pajak[//]-offset))</f>
        <v>45275</v>
      </c>
      <c r="G20" s="292" t="str">
        <f ca="1">IF(pajak[[#This Row],[//]]="","",INDEX(Table1[Kode Sales :],pajak[//]-offset))</f>
        <v>G 4792</v>
      </c>
      <c r="H20" s="292" t="str">
        <f ca="1">IF(pajak[[#This Row],[//]]="","",INDEX(Table1[Toko],pajak[//]-offset))</f>
        <v>LILY JULIAWATI (REJO AGUNG) JOMBANG</v>
      </c>
      <c r="I20" s="291">
        <f ca="1">IF(pajak[[#This Row],[//]]="","",SUMIF(Table1[h_id],pajak[[#This Row],[//]],Table1[h_hargasebelumdiskon]))</f>
        <v>38138400</v>
      </c>
      <c r="J20" s="291">
        <f ca="1">IF(pajak[[#This Row],[//]]="","",SUMIF(Table1[h_id],pajak[[#This Row],[//]],Table1[h_diskon]))</f>
        <v>6025725</v>
      </c>
      <c r="K20" s="291">
        <f ca="1">IF(pajak[[#This Row],[//]]="","",SUMIF(Table1[h_id],pajak[[#This Row],[//]],Table1[h_hargasetelahdiskon]))</f>
        <v>32112675</v>
      </c>
      <c r="L20" s="291">
        <f ca="1">IF(pajak[//]="","",pajak[[#This Row],[Sub Total]]/1.11*11%)</f>
        <v>3182337.1621621619</v>
      </c>
      <c r="M20" s="291">
        <f ca="1">pajak[[#This Row],[Sub Total]]</f>
        <v>32112675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23120016</v>
      </c>
      <c r="T20" s="293">
        <f ca="1">IF(Table4[[#This Row],[AM]]&amp;" "&amp;Table4[[#This Row],[---]]=INDIRECT("pajak[@["&amp;Table4[#Headers]&amp;"]]"),MATCH(Table4[[#This Row],[---]],INDIRECT($3:$3),0))</f>
        <v>1712</v>
      </c>
      <c r="U20" s="293">
        <f ca="1">IF((INDEX(INDIRECT($3:$3),Table4[[#This Row],[No. Invoice :]]+$2:$2))=INDIRECT("pajak[@["&amp;Table4[#Headers]&amp;"]]"),1)</f>
        <v>1</v>
      </c>
      <c r="V20" s="293">
        <f ca="1">IF((INDEX(INDIRECT($3:$3),Table4[[#This Row],[No. Invoice :]]+$2:$2))=INDIRECT("pajak[@["&amp;Table4[#Headers]&amp;"]]"),1)</f>
        <v>1</v>
      </c>
      <c r="W20" s="293">
        <f ca="1">IF((INDEX(INDIRECT($3:$3),Table4[[#This Row],[No. Invoice :]]+$2:$2))=INDIRECT("pajak[@["&amp;Table4[#Headers]&amp;"]]"),1)</f>
        <v>1</v>
      </c>
      <c r="X20" s="301">
        <f ca="1">IF((INDEX(INDIRECT($3:$3),Table4[[#This Row],[No. Invoice :]]+$2:$2))=INDIRECT("pajak[@["&amp;Table4[#Headers]&amp;"]]"),1)</f>
        <v>1</v>
      </c>
    </row>
    <row r="21" spans="1:24" x14ac:dyDescent="0.25">
      <c r="A21" s="296">
        <v>69</v>
      </c>
      <c r="D21" s="292">
        <f t="shared" ca="1" si="0"/>
        <v>69</v>
      </c>
      <c r="E21" s="3" t="str">
        <f ca="1">IF(pajak[[#This Row],[//]]="","",INDEX(Table1[No. Invoice :],pajak[//]-offset))</f>
        <v>AM 23120017</v>
      </c>
      <c r="F21" s="290">
        <f ca="1">IF(pajak[[#This Row],[//]]="","",INDEX(Table1[Tgl Invoice :],pajak[//]-offset))</f>
        <v>45273</v>
      </c>
      <c r="G21" s="292" t="str">
        <f ca="1">IF(pajak[[#This Row],[//]]="","",INDEX(Table1[Kode Sales :],pajak[//]-offset))</f>
        <v>G 4789</v>
      </c>
      <c r="H21" s="292" t="str">
        <f ca="1">IF(pajak[[#This Row],[//]]="","",INDEX(Table1[Toko],pajak[//]-offset))</f>
        <v>LILY JULIAWATI (REJO AGUNG) JOMBANG</v>
      </c>
      <c r="I21" s="291">
        <f ca="1">IF(pajak[[#This Row],[//]]="","",SUMIF(Table1[h_id],pajak[[#This Row],[//]],Table1[h_hargasebelumdiskon]))</f>
        <v>10062000</v>
      </c>
      <c r="J21" s="291">
        <f ca="1">IF(pajak[[#This Row],[//]]="","",SUMIF(Table1[h_id],pajak[[#This Row],[//]],Table1[h_diskon]))</f>
        <v>1697962.5</v>
      </c>
      <c r="K21" s="291">
        <f ca="1">IF(pajak[[#This Row],[//]]="","",SUMIF(Table1[h_id],pajak[[#This Row],[//]],Table1[h_hargasetelahdiskon]))</f>
        <v>8364037.5</v>
      </c>
      <c r="L21" s="291">
        <f ca="1">IF(pajak[//]="","",pajak[[#This Row],[Sub Total]]/1.11*11%)</f>
        <v>828868.58108108095</v>
      </c>
      <c r="M21" s="291">
        <f ca="1">pajak[[#This Row],[Sub Total]]</f>
        <v>8364037.5</v>
      </c>
      <c r="N21" s="292" t="str">
        <f ca="1">IF(pajak[[#This Row],[//]]="","",INDEX(Table1[pembuat nota :],pajak[//]-offset))</f>
        <v>NOVI / YO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23120017</v>
      </c>
      <c r="T21" s="293">
        <f ca="1">IF(Table4[[#This Row],[AM]]&amp;" "&amp;Table4[[#This Row],[---]]=INDIRECT("pajak[@["&amp;Table4[#Headers]&amp;"]]"),MATCH(Table4[[#This Row],[---]],INDIRECT($3:$3),0))</f>
        <v>1826</v>
      </c>
      <c r="U21" s="293">
        <f ca="1">IF((INDEX(INDIRECT($3:$3),Table4[[#This Row],[No. Invoice :]]+$2:$2))=INDIRECT("pajak[@["&amp;Table4[#Headers]&amp;"]]"),1)</f>
        <v>1</v>
      </c>
      <c r="V21" s="293">
        <f ca="1">IF((INDEX(INDIRECT($3:$3),Table4[[#This Row],[No. Invoice :]]+$2:$2))=INDIRECT("pajak[@["&amp;Table4[#Headers]&amp;"]]"),1)</f>
        <v>1</v>
      </c>
      <c r="W21" s="293">
        <f ca="1">IF((INDEX(INDIRECT($3:$3),Table4[[#This Row],[No. Invoice :]]+$2:$2))=INDIRECT("pajak[@["&amp;Table4[#Headers]&amp;"]]"),1)</f>
        <v>1</v>
      </c>
      <c r="X21" s="301">
        <f ca="1">IF((INDEX(INDIRECT($3:$3),Table4[[#This Row],[No. Invoice :]]+$2:$2))=INDIRECT("pajak[@["&amp;Table4[#Headers]&amp;"]]"),1)</f>
        <v>1</v>
      </c>
    </row>
    <row r="22" spans="1:24" x14ac:dyDescent="0.25">
      <c r="A22" s="296">
        <v>72</v>
      </c>
      <c r="B22" s="296"/>
      <c r="D22" s="292">
        <f t="shared" ca="1" si="0"/>
        <v>72</v>
      </c>
      <c r="E22" s="3" t="str">
        <f ca="1">IF(pajak[[#This Row],[//]]="","",INDEX(Table1[No. Invoice :],pajak[//]-offset))</f>
        <v>AM 23120018</v>
      </c>
      <c r="F22" s="290">
        <f ca="1">IF(pajak[[#This Row],[//]]="","",INDEX(Table1[Tgl Invoice :],pajak[//]-offset))</f>
        <v>45273</v>
      </c>
      <c r="G22" s="292" t="str">
        <f ca="1">IF(pajak[[#This Row],[//]]="","",INDEX(Table1[Kode Sales :],pajak[//]-offset))</f>
        <v>KO 4788</v>
      </c>
      <c r="H22" s="292" t="str">
        <f ca="1">IF(pajak[[#This Row],[//]]="","",INDEX(Table1[Toko],pajak[//]-offset))</f>
        <v>SETIAWAN BUDIONO ( PRIMA ) PEKALONGAN</v>
      </c>
      <c r="I22" s="291">
        <f ca="1">IF(pajak[[#This Row],[//]]="","",SUMIF(Table1[h_id],pajak[[#This Row],[//]],Table1[h_hargasebelumdiskon]))</f>
        <v>4024800</v>
      </c>
      <c r="J22" s="291">
        <f ca="1">IF(pajak[[#This Row],[//]]="","",SUMIF(Table1[h_id],pajak[[#This Row],[//]],Table1[h_diskon]))</f>
        <v>503100</v>
      </c>
      <c r="K22" s="291">
        <f ca="1">IF(pajak[[#This Row],[//]]="","",SUMIF(Table1[h_id],pajak[[#This Row],[//]],Table1[h_hargasetelahdiskon]))</f>
        <v>3521700</v>
      </c>
      <c r="L22" s="291">
        <f ca="1">IF(pajak[//]="","",pajak[[#This Row],[Sub Total]]/1.11*11%)</f>
        <v>348997.29729729728</v>
      </c>
      <c r="M22" s="291">
        <f ca="1">pajak[[#This Row],[Sub Total]]</f>
        <v>3521700</v>
      </c>
      <c r="N22" s="292" t="str">
        <f ca="1">IF(pajak[[#This Row],[//]]="","",INDEX(Table1[pembuat nota :],pajak[//]-offset))</f>
        <v>NOVI / YO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23120018</v>
      </c>
      <c r="T22" s="293">
        <f ca="1">IF(Table4[[#This Row],[AM]]&amp;" "&amp;Table4[[#This Row],[---]]=INDIRECT("pajak[@["&amp;Table4[#Headers]&amp;"]]"),MATCH(Table4[[#This Row],[---]],INDIRECT($3:$3),0))</f>
        <v>1940</v>
      </c>
      <c r="U22" s="293">
        <f ca="1">IF((INDEX(INDIRECT($3:$3),Table4[[#This Row],[No. Invoice :]]+$2:$2))=INDIRECT("pajak[@["&amp;Table4[#Headers]&amp;"]]"),1)</f>
        <v>1</v>
      </c>
      <c r="V22" s="293">
        <f ca="1">IF((INDEX(INDIRECT($3:$3),Table4[[#This Row],[No. Invoice :]]+$2:$2))=INDIRECT("pajak[@["&amp;Table4[#Headers]&amp;"]]"),1)</f>
        <v>1</v>
      </c>
      <c r="W22" s="293">
        <f ca="1">IF((INDEX(INDIRECT($3:$3),Table4[[#This Row],[No. Invoice :]]+$2:$2))=INDIRECT("pajak[@["&amp;Table4[#Headers]&amp;"]]"),1)</f>
        <v>1</v>
      </c>
      <c r="X22" s="301">
        <f ca="1">IF((INDEX(INDIRECT($3:$3),Table4[[#This Row],[No. Invoice :]]+$2:$2))=INDIRECT("pajak[@["&amp;Table4[#Headers]&amp;"]]"),1)</f>
        <v>1</v>
      </c>
    </row>
    <row r="23" spans="1:24" x14ac:dyDescent="0.25">
      <c r="A23" s="296">
        <v>76</v>
      </c>
      <c r="D23" s="292">
        <f t="shared" ca="1" si="0"/>
        <v>76</v>
      </c>
      <c r="E23" s="3" t="str">
        <f ca="1">IF(pajak[[#This Row],[//]]="","",INDEX(Table1[No. Invoice :],pajak[//]-offset))</f>
        <v>AM 23120019</v>
      </c>
      <c r="F23" s="290">
        <f ca="1">IF(pajak[[#This Row],[//]]="","",INDEX(Table1[Tgl Invoice :],pajak[//]-offset))</f>
        <v>45275</v>
      </c>
      <c r="G23" s="292" t="str">
        <f ca="1">IF(pajak[[#This Row],[//]]="","",INDEX(Table1[Kode Sales :],pajak[//]-offset))</f>
        <v>KO 3296</v>
      </c>
      <c r="H23" s="292" t="str">
        <f ca="1">IF(pajak[[#This Row],[//]]="","",INDEX(Table1[Toko],pajak[//]-offset))</f>
        <v>CV LANCAR JAYA SENTOSA MALANG</v>
      </c>
      <c r="I23" s="291">
        <f ca="1">IF(pajak[[#This Row],[//]]="","",SUMIF(Table1[h_id],pajak[[#This Row],[//]],Table1[h_hargasebelumdiskon]))</f>
        <v>16490400</v>
      </c>
      <c r="J23" s="291">
        <f ca="1">IF(pajak[[#This Row],[//]]="","",SUMIF(Table1[h_id],pajak[[#This Row],[//]],Table1[h_diskon]))</f>
        <v>2598900</v>
      </c>
      <c r="K23" s="291">
        <f ca="1">IF(pajak[[#This Row],[//]]="","",SUMIF(Table1[h_id],pajak[[#This Row],[//]],Table1[h_hargasetelahdiskon]))</f>
        <v>13891500</v>
      </c>
      <c r="L23" s="291">
        <f ca="1">IF(pajak[//]="","",pajak[[#This Row],[Sub Total]]/1.11*11%)</f>
        <v>1376635.1351351349</v>
      </c>
      <c r="M23" s="291">
        <f ca="1">pajak[[#This Row],[Sub Total]]</f>
        <v>13891500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23120019</v>
      </c>
      <c r="T23" s="293">
        <f ca="1">IF(Table4[[#This Row],[AM]]&amp;" "&amp;Table4[[#This Row],[---]]=INDIRECT("pajak[@["&amp;Table4[#Headers]&amp;"]]"),MATCH(Table4[[#This Row],[---]],INDIRECT($3:$3),0))</f>
        <v>2054</v>
      </c>
      <c r="U23" s="293">
        <f ca="1">IF((INDEX(INDIRECT($3:$3),Table4[[#This Row],[No. Invoice :]]+$2:$2))=INDIRECT("pajak[@["&amp;Table4[#Headers]&amp;"]]"),1)</f>
        <v>1</v>
      </c>
      <c r="V23" s="293">
        <f ca="1">IF((INDEX(INDIRECT($3:$3),Table4[[#This Row],[No. Invoice :]]+$2:$2))=INDIRECT("pajak[@["&amp;Table4[#Headers]&amp;"]]"),1)</f>
        <v>1</v>
      </c>
      <c r="W23" s="293">
        <f ca="1">IF((INDEX(INDIRECT($3:$3),Table4[[#This Row],[No. Invoice :]]+$2:$2))=INDIRECT("pajak[@["&amp;Table4[#Headers]&amp;"]]"),1)</f>
        <v>1</v>
      </c>
      <c r="X23" s="301">
        <f ca="1">IF((INDEX(INDIRECT($3:$3),Table4[[#This Row],[No. Invoice :]]+$2:$2))=INDIRECT("pajak[@["&amp;Table4[#Headers]&amp;"]]"),1)</f>
        <v>1</v>
      </c>
    </row>
    <row r="24" spans="1:24" x14ac:dyDescent="0.25">
      <c r="A24" s="296">
        <v>81</v>
      </c>
      <c r="D24" s="292">
        <f t="shared" ca="1" si="0"/>
        <v>81</v>
      </c>
      <c r="E24" s="292" t="str">
        <f ca="1">IF(pajak[[#This Row],[//]]="","",INDEX(Table1[No. Invoice :],pajak[//]-offset))</f>
        <v>AM 23120020</v>
      </c>
      <c r="F24" s="290">
        <f ca="1">IF(pajak[[#This Row],[//]]="","",INDEX(Table1[Tgl Invoice :],pajak[//]-offset))</f>
        <v>45276</v>
      </c>
      <c r="G24" s="292" t="str">
        <f ca="1">IF(pajak[[#This Row],[//]]="","",INDEX(Table1[Kode Sales :],pajak[//]-offset))</f>
        <v>KO 0654</v>
      </c>
      <c r="H24" s="292" t="str">
        <f ca="1">IF(pajak[[#This Row],[//]]="","",INDEX(Table1[Toko],pajak[//]-offset))</f>
        <v>SETIAWAN BUDIONO ( PRIMA ) PEKALONGAN</v>
      </c>
      <c r="I24" s="291">
        <f ca="1">IF(pajak[[#This Row],[//]]="","",SUMIF(Table1[h_id],pajak[[#This Row],[//]],Table1[h_hargasebelumdiskon]))</f>
        <v>1320000</v>
      </c>
      <c r="J24" s="291">
        <f ca="1">IF(pajak[[#This Row],[//]]="","",SUMIF(Table1[h_id],pajak[[#This Row],[//]],Table1[h_diskon]))</f>
        <v>0</v>
      </c>
      <c r="K24" s="291">
        <f ca="1">IF(pajak[[#This Row],[//]]="","",SUMIF(Table1[h_id],pajak[[#This Row],[//]],Table1[h_hargasetelahdiskon]))</f>
        <v>1320000</v>
      </c>
      <c r="L24" s="291">
        <f ca="1">IF(pajak[//]="","",pajak[[#This Row],[Sub Total]]/1.11*11%)</f>
        <v>130810.8108108108</v>
      </c>
      <c r="M24" s="291">
        <f ca="1">pajak[[#This Row],[Sub Total]]</f>
        <v>1320000</v>
      </c>
      <c r="N24" s="292" t="str">
        <f ca="1">IF(pajak[[#This Row],[//]]="","",INDEX(Table1[pembuat nota :],pajak[//]-offset))</f>
        <v>NOVI / CONDRO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23120020</v>
      </c>
      <c r="T24" s="293">
        <f ca="1">IF(Table4[[#This Row],[AM]]&amp;" "&amp;Table4[[#This Row],[---]]=INDIRECT("pajak[@["&amp;Table4[#Headers]&amp;"]]"),MATCH(Table4[[#This Row],[---]],INDIRECT($3:$3),0))</f>
        <v>2168</v>
      </c>
      <c r="U24" s="293">
        <f ca="1">IF((INDEX(INDIRECT($3:$3),Table4[[#This Row],[No. Invoice :]]+$2:$2))=INDIRECT("pajak[@["&amp;Table4[#Headers]&amp;"]]"),1)</f>
        <v>1</v>
      </c>
      <c r="V24" s="293">
        <f ca="1">IF((INDEX(INDIRECT($3:$3),Table4[[#This Row],[No. Invoice :]]+$2:$2))=INDIRECT("pajak[@["&amp;Table4[#Headers]&amp;"]]"),1)</f>
        <v>1</v>
      </c>
      <c r="W24" s="293">
        <f ca="1">IF((INDEX(INDIRECT($3:$3),Table4[[#This Row],[No. Invoice :]]+$2:$2))=INDIRECT("pajak[@["&amp;Table4[#Headers]&amp;"]]"),1)</f>
        <v>1</v>
      </c>
      <c r="X24" s="301">
        <f ca="1">IF((INDEX(INDIRECT($3:$3),Table4[[#This Row],[No. Invoice :]]+$2:$2))=INDIRECT("pajak[@["&amp;Table4[#Headers]&amp;"]]"),1)</f>
        <v>1</v>
      </c>
    </row>
    <row r="25" spans="1:24" x14ac:dyDescent="0.25">
      <c r="A25" s="296">
        <v>83</v>
      </c>
      <c r="D25" s="292">
        <f t="shared" ca="1" si="0"/>
        <v>83</v>
      </c>
      <c r="E25" s="292" t="str">
        <f ca="1">IF(pajak[[#This Row],[//]]="","",INDEX(Table1[No. Invoice :],pajak[//]-offset))</f>
        <v>AM 23120021</v>
      </c>
      <c r="F25" s="290">
        <f ca="1">IF(pajak[[#This Row],[//]]="","",INDEX(Table1[Tgl Invoice :],pajak[//]-offset))</f>
        <v>45276</v>
      </c>
      <c r="G25" s="292" t="str">
        <f ca="1">IF(pajak[[#This Row],[//]]="","",INDEX(Table1[Kode Sales :],pajak[//]-offset))</f>
        <v>G 0705</v>
      </c>
      <c r="H25" s="292" t="str">
        <f ca="1">IF(pajak[[#This Row],[//]]="","",INDEX(Table1[Toko],pajak[//]-offset))</f>
        <v>LILY JULIAWATI (REJO AGUNG) JOMBANG</v>
      </c>
      <c r="I25" s="291">
        <f ca="1">IF(pajak[[#This Row],[//]]="","",SUMIF(Table1[h_id],pajak[[#This Row],[//]],Table1[h_hargasebelumdiskon]))</f>
        <v>11856000</v>
      </c>
      <c r="J25" s="291">
        <f ca="1">IF(pajak[[#This Row],[//]]="","",SUMIF(Table1[h_id],pajak[[#This Row],[//]],Table1[h_diskon]))</f>
        <v>1849500</v>
      </c>
      <c r="K25" s="291">
        <f ca="1">IF(pajak[[#This Row],[//]]="","",SUMIF(Table1[h_id],pajak[[#This Row],[//]],Table1[h_hargasetelahdiskon]))</f>
        <v>10006500</v>
      </c>
      <c r="L25" s="291">
        <f ca="1">IF(pajak[//]="","",pajak[[#This Row],[Sub Total]]/1.11*11%)</f>
        <v>991635.13513513503</v>
      </c>
      <c r="M25" s="291">
        <f ca="1">pajak[[#This Row],[Sub Total]]</f>
        <v>10006500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23120021</v>
      </c>
      <c r="T25" s="293">
        <f ca="1">IF(Table4[[#This Row],[AM]]&amp;" "&amp;Table4[[#This Row],[---]]=INDIRECT("pajak[@["&amp;Table4[#Headers]&amp;"]]"),MATCH(Table4[[#This Row],[---]],INDIRECT($3:$3),0))</f>
        <v>2282</v>
      </c>
      <c r="U25" s="293">
        <f ca="1">IF((INDEX(INDIRECT($3:$3),Table4[[#This Row],[No. Invoice :]]+$2:$2))=INDIRECT("pajak[@["&amp;Table4[#Headers]&amp;"]]"),1)</f>
        <v>1</v>
      </c>
      <c r="V25" s="293">
        <f ca="1">IF((INDEX(INDIRECT($3:$3),Table4[[#This Row],[No. Invoice :]]+$2:$2))=INDIRECT("pajak[@["&amp;Table4[#Headers]&amp;"]]"),1)</f>
        <v>1</v>
      </c>
      <c r="W25" s="293">
        <f ca="1">IF((INDEX(INDIRECT($3:$3),Table4[[#This Row],[No. Invoice :]]+$2:$2))=INDIRECT("pajak[@["&amp;Table4[#Headers]&amp;"]]"),1)</f>
        <v>1</v>
      </c>
      <c r="X25" s="301">
        <f ca="1">IF((INDEX(INDIRECT($3:$3),Table4[[#This Row],[No. Invoice :]]+$2:$2))=INDIRECT("pajak[@["&amp;Table4[#Headers]&amp;"]]"),1)</f>
        <v>1</v>
      </c>
    </row>
    <row r="26" spans="1:24" x14ac:dyDescent="0.25">
      <c r="A26" s="296">
        <v>86</v>
      </c>
      <c r="D26" s="292">
        <f t="shared" ca="1" si="0"/>
        <v>86</v>
      </c>
      <c r="E26" s="292" t="str">
        <f ca="1">IF(pajak[[#This Row],[//]]="","",INDEX(Table1[No. Invoice :],pajak[//]-offset))</f>
        <v>AM 23120022</v>
      </c>
      <c r="F26" s="290">
        <f ca="1">IF(pajak[[#This Row],[//]]="","",INDEX(Table1[Tgl Invoice :],pajak[//]-offset))</f>
        <v>45276</v>
      </c>
      <c r="G26" s="292" t="str">
        <f ca="1">IF(pajak[[#This Row],[//]]="","",INDEX(Table1[Kode Sales :],pajak[//]-offset))</f>
        <v>KO 0707</v>
      </c>
      <c r="H26" s="292" t="str">
        <f ca="1">IF(pajak[[#This Row],[//]]="","",INDEX(Table1[Toko],pajak[//]-offset))</f>
        <v>CV PELITA JAYA (ANUGERAH SEJAHTERA) PURWOKERTO</v>
      </c>
      <c r="I26" s="291">
        <f ca="1">IF(pajak[[#This Row],[//]]="","",SUMIF(Table1[h_id],pajak[[#This Row],[//]],Table1[h_hargasebelumdiskon]))</f>
        <v>1680000</v>
      </c>
      <c r="J26" s="291">
        <f ca="1">IF(pajak[[#This Row],[//]]="","",SUMIF(Table1[h_id],pajak[[#This Row],[//]],Table1[h_diskon]))</f>
        <v>226800.00000000003</v>
      </c>
      <c r="K26" s="291">
        <f ca="1">IF(pajak[[#This Row],[//]]="","",SUMIF(Table1[h_id],pajak[[#This Row],[//]],Table1[h_hargasetelahdiskon]))</f>
        <v>1453200</v>
      </c>
      <c r="L26" s="291">
        <f ca="1">IF(pajak[//]="","",pajak[[#This Row],[Sub Total]]/1.11*11%)</f>
        <v>144010.8108108108</v>
      </c>
      <c r="M26" s="291">
        <f ca="1">pajak[[#This Row],[Sub Total]]</f>
        <v>1453200</v>
      </c>
      <c r="N26" s="292" t="str">
        <f ca="1">IF(pajak[[#This Row],[//]]="","",INDEX(Table1[pembuat nota :],pajak[//]-offset))</f>
        <v>NOVI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23120022</v>
      </c>
      <c r="T26" s="301">
        <f ca="1">IF(Table4[[#This Row],[AM]]&amp;" "&amp;Table4[[#This Row],[---]]=INDIRECT("pajak[@["&amp;Table4[#Headers]&amp;"]]"),MATCH(Table4[[#This Row],[---]],INDIRECT($3:$3),0))</f>
        <v>2396</v>
      </c>
      <c r="U26" s="301">
        <f ca="1">IF((INDEX(INDIRECT($3:$3),Table4[[#This Row],[No. Invoice :]]+$2:$2))=INDIRECT("pajak[@["&amp;Table4[#Headers]&amp;"]]"),1)</f>
        <v>1</v>
      </c>
      <c r="V26" s="301">
        <f ca="1">IF((INDEX(INDIRECT($3:$3),Table4[[#This Row],[No. Invoice :]]+$2:$2))=INDIRECT("pajak[@["&amp;Table4[#Headers]&amp;"]]"),1)</f>
        <v>1</v>
      </c>
      <c r="W26" s="301">
        <f ca="1">IF((INDEX(INDIRECT($3:$3),Table4[[#This Row],[No. Invoice :]]+$2:$2))=INDIRECT("pajak[@["&amp;Table4[#Headers]&amp;"]]"),1)</f>
        <v>1</v>
      </c>
      <c r="X26" s="301">
        <f ca="1">IF((INDEX(INDIRECT($3:$3),Table4[[#This Row],[No. Invoice :]]+$2:$2))=INDIRECT("pajak[@["&amp;Table4[#Headers]&amp;"]]"),1)</f>
        <v>1</v>
      </c>
    </row>
    <row r="27" spans="1:24" x14ac:dyDescent="0.25">
      <c r="A27" s="296">
        <v>88</v>
      </c>
      <c r="D27" s="292">
        <f t="shared" ca="1" si="0"/>
        <v>88</v>
      </c>
      <c r="E27" s="292" t="str">
        <f ca="1">IF(pajak[[#This Row],[//]]="","",INDEX(Table1[No. Invoice :],pajak[//]-offset))</f>
        <v>AM 23120023</v>
      </c>
      <c r="F27" s="290">
        <f ca="1">IF(pajak[[#This Row],[//]]="","",INDEX(Table1[Tgl Invoice :],pajak[//]-offset))</f>
        <v>45278</v>
      </c>
      <c r="G27" s="292" t="str">
        <f ca="1">IF(pajak[[#This Row],[//]]="","",INDEX(Table1[Kode Sales :],pajak[//]-offset))</f>
        <v>G 0660</v>
      </c>
      <c r="H27" s="292" t="str">
        <f ca="1">IF(pajak[[#This Row],[//]]="","",INDEX(Table1[Toko],pajak[//]-offset))</f>
        <v>GUNAWAN HARTONO KUSUMA ( NIKI SAE ) TULUNG AGUNG</v>
      </c>
      <c r="I27" s="291">
        <f ca="1">IF(pajak[[#This Row],[//]]="","",SUMIF(Table1[h_id],pajak[[#This Row],[//]],Table1[h_hargasebelumdiskon]))</f>
        <v>36579600</v>
      </c>
      <c r="J27" s="291">
        <f ca="1">IF(pajak[[#This Row],[//]]="","",SUMIF(Table1[h_id],pajak[[#This Row],[//]],Table1[h_diskon]))</f>
        <v>6172807.5</v>
      </c>
      <c r="K27" s="291">
        <f ca="1">IF(pajak[[#This Row],[//]]="","",SUMIF(Table1[h_id],pajak[[#This Row],[//]],Table1[h_hargasetelahdiskon]))</f>
        <v>30406792.5</v>
      </c>
      <c r="L27" s="291">
        <f ca="1">IF(pajak[//]="","",pajak[[#This Row],[Sub Total]]/1.11*11%)</f>
        <v>3013285.7432432426</v>
      </c>
      <c r="M27" s="291">
        <f ca="1">pajak[[#This Row],[Sub Total]]</f>
        <v>30406792.5</v>
      </c>
      <c r="N27" s="292" t="str">
        <f ca="1">IF(pajak[[#This Row],[//]]="","",INDEX(Table1[pembuat nota :],pajak[//]-offset))</f>
        <v>NOVI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23120023</v>
      </c>
      <c r="T27" s="301">
        <f ca="1">IF(Table4[[#This Row],[AM]]&amp;" "&amp;Table4[[#This Row],[---]]=INDIRECT("pajak[@["&amp;Table4[#Headers]&amp;"]]"),MATCH(Table4[[#This Row],[---]],INDIRECT($3:$3),0))</f>
        <v>2510</v>
      </c>
      <c r="U27" s="301">
        <f ca="1">IF((INDEX(INDIRECT($3:$3),Table4[[#This Row],[No. Invoice :]]+$2:$2))=INDIRECT("pajak[@["&amp;Table4[#Headers]&amp;"]]"),1)</f>
        <v>1</v>
      </c>
      <c r="V27" s="301">
        <f ca="1">IF((INDEX(INDIRECT($3:$3),Table4[[#This Row],[No. Invoice :]]+$2:$2))=INDIRECT("pajak[@["&amp;Table4[#Headers]&amp;"]]"),1)</f>
        <v>1</v>
      </c>
      <c r="W27" s="301">
        <f ca="1">IF((INDEX(INDIRECT($3:$3),Table4[[#This Row],[No. Invoice :]]+$2:$2))=INDIRECT("pajak[@["&amp;Table4[#Headers]&amp;"]]"),1)</f>
        <v>1</v>
      </c>
      <c r="X27" s="301">
        <f ca="1">IF((INDEX(INDIRECT($3:$3),Table4[[#This Row],[No. Invoice :]]+$2:$2))=INDIRECT("pajak[@["&amp;Table4[#Headers]&amp;"]]"),1)</f>
        <v>1</v>
      </c>
    </row>
    <row r="28" spans="1:24" x14ac:dyDescent="0.25">
      <c r="A28" s="296">
        <v>95</v>
      </c>
      <c r="D28" s="292">
        <f t="shared" ca="1" si="0"/>
        <v>95</v>
      </c>
      <c r="E28" s="292" t="str">
        <f ca="1">IF(pajak[[#This Row],[//]]="","",INDEX(Table1[No. Invoice :],pajak[//]-offset))</f>
        <v>AM 23120024</v>
      </c>
      <c r="F28" s="290">
        <f ca="1">IF(pajak[[#This Row],[//]]="","",INDEX(Table1[Tgl Invoice :],pajak[//]-offset))</f>
        <v>45279</v>
      </c>
      <c r="G28" s="292" t="str">
        <f ca="1">IF(pajak[[#This Row],[//]]="","",INDEX(Table1[Kode Sales :],pajak[//]-offset))</f>
        <v>A 0665</v>
      </c>
      <c r="H28" s="292" t="str">
        <f ca="1">IF(pajak[[#This Row],[//]]="","",INDEX(Table1[Toko],pajak[//]-offset))</f>
        <v>CV FM 90 KEBUMEN</v>
      </c>
      <c r="I28" s="291">
        <f ca="1">IF(pajak[[#This Row],[//]]="","",SUMIF(Table1[h_id],pajak[[#This Row],[//]],Table1[h_hargasebelumdiskon]))</f>
        <v>4104000</v>
      </c>
      <c r="J28" s="291">
        <f ca="1">IF(pajak[[#This Row],[//]]="","",SUMIF(Table1[h_id],pajak[[#This Row],[//]],Table1[h_diskon]))</f>
        <v>0</v>
      </c>
      <c r="K28" s="291">
        <f ca="1">IF(pajak[[#This Row],[//]]="","",SUMIF(Table1[h_id],pajak[[#This Row],[//]],Table1[h_hargasetelahdiskon]))</f>
        <v>4104000</v>
      </c>
      <c r="L28" s="291">
        <f ca="1">IF(pajak[//]="","",pajak[[#This Row],[Sub Total]]/1.11*11%)</f>
        <v>406702.70270270266</v>
      </c>
      <c r="M28" s="291">
        <f ca="1">pajak[[#This Row],[Sub Total]]</f>
        <v>4104000</v>
      </c>
      <c r="N28" s="292" t="str">
        <f ca="1">IF(pajak[[#This Row],[//]]="","",INDEX(Table1[pembuat nota :],pajak[//]-offset))</f>
        <v>NOVI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23120024</v>
      </c>
      <c r="T28" s="301">
        <f ca="1">IF(Table4[[#This Row],[AM]]&amp;" "&amp;Table4[[#This Row],[---]]=INDIRECT("pajak[@["&amp;Table4[#Headers]&amp;"]]"),MATCH(Table4[[#This Row],[---]],INDIRECT($3:$3),0))</f>
        <v>2624</v>
      </c>
      <c r="U28" s="301">
        <f ca="1">IF((INDEX(INDIRECT($3:$3),Table4[[#This Row],[No. Invoice :]]+$2:$2))=INDIRECT("pajak[@["&amp;Table4[#Headers]&amp;"]]"),1)</f>
        <v>1</v>
      </c>
      <c r="V28" s="301">
        <f ca="1">IF((INDEX(INDIRECT($3:$3),Table4[[#This Row],[No. Invoice :]]+$2:$2))=INDIRECT("pajak[@["&amp;Table4[#Headers]&amp;"]]"),1)</f>
        <v>1</v>
      </c>
      <c r="W28" s="301">
        <f ca="1">IF((INDEX(INDIRECT($3:$3),Table4[[#This Row],[No. Invoice :]]+$2:$2))=INDIRECT("pajak[@["&amp;Table4[#Headers]&amp;"]]"),1)</f>
        <v>1</v>
      </c>
      <c r="X28" s="301">
        <f ca="1">IF((INDEX(INDIRECT($3:$3),Table4[[#This Row],[No. Invoice :]]+$2:$2))=INDIRECT("pajak[@["&amp;Table4[#Headers]&amp;"]]"),1)</f>
        <v>1</v>
      </c>
    </row>
    <row r="29" spans="1:24" x14ac:dyDescent="0.25">
      <c r="A29" s="296">
        <v>97</v>
      </c>
      <c r="D29" s="292">
        <f t="shared" ca="1" si="0"/>
        <v>97</v>
      </c>
      <c r="E29" s="292" t="str">
        <f ca="1">IF(pajak[[#This Row],[//]]="","",INDEX(Table1[No. Invoice :],pajak[//]-offset))</f>
        <v>AM 23120025</v>
      </c>
      <c r="F29" s="290">
        <f ca="1">IF(pajak[[#This Row],[//]]="","",INDEX(Table1[Tgl Invoice :],pajak[//]-offset))</f>
        <v>45279</v>
      </c>
      <c r="G29" s="292" t="str">
        <f ca="1">IF(pajak[[#This Row],[//]]="","",INDEX(Table1[Kode Sales :],pajak[//]-offset))</f>
        <v>KO 0666</v>
      </c>
      <c r="H29" s="292" t="str">
        <f ca="1">IF(pajak[[#This Row],[//]]="","",INDEX(Table1[Toko],pajak[//]-offset))</f>
        <v>CV SINAR CAHAYA NIRMALA BREBES</v>
      </c>
      <c r="I29" s="291">
        <f ca="1">IF(pajak[[#This Row],[//]]="","",SUMIF(Table1[h_id],pajak[[#This Row],[//]],Table1[h_hargasebelumdiskon]))</f>
        <v>2596700</v>
      </c>
      <c r="J29" s="291">
        <f ca="1">IF(pajak[[#This Row],[//]]="","",SUMIF(Table1[h_id],pajak[[#This Row],[//]],Table1[h_diskon]))</f>
        <v>188620</v>
      </c>
      <c r="K29" s="291">
        <f ca="1">IF(pajak[[#This Row],[//]]="","",SUMIF(Table1[h_id],pajak[[#This Row],[//]],Table1[h_hargasetelahdiskon]))</f>
        <v>2408080</v>
      </c>
      <c r="L29" s="291">
        <f ca="1">IF(pajak[//]="","",pajak[[#This Row],[Sub Total]]/1.11*11%)</f>
        <v>238638.55855855855</v>
      </c>
      <c r="M29" s="291">
        <f ca="1">pajak[[#This Row],[Sub Total]]</f>
        <v>2408080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23120025</v>
      </c>
      <c r="T29" s="301">
        <f ca="1">IF(Table4[[#This Row],[AM]]&amp;" "&amp;Table4[[#This Row],[---]]=INDIRECT("pajak[@["&amp;Table4[#Headers]&amp;"]]"),MATCH(Table4[[#This Row],[---]],INDIRECT($3:$3),0))</f>
        <v>2738</v>
      </c>
      <c r="U29" s="301">
        <f ca="1">IF((INDEX(INDIRECT($3:$3),Table4[[#This Row],[No. Invoice :]]+$2:$2))=INDIRECT("pajak[@["&amp;Table4[#Headers]&amp;"]]"),1)</f>
        <v>1</v>
      </c>
      <c r="V29" s="301">
        <f ca="1">IF((INDEX(INDIRECT($3:$3),Table4[[#This Row],[No. Invoice :]]+$2:$2))=INDIRECT("pajak[@["&amp;Table4[#Headers]&amp;"]]"),1)</f>
        <v>1</v>
      </c>
      <c r="W29" s="301">
        <f ca="1">IF((INDEX(INDIRECT($3:$3),Table4[[#This Row],[No. Invoice :]]+$2:$2))=INDIRECT("pajak[@["&amp;Table4[#Headers]&amp;"]]"),1)</f>
        <v>1</v>
      </c>
      <c r="X29" s="301">
        <f ca="1">IF((INDEX(INDIRECT($3:$3),Table4[[#This Row],[No. Invoice :]]+$2:$2))=INDIRECT("pajak[@["&amp;Table4[#Headers]&amp;"]]"),1)</f>
        <v>1</v>
      </c>
    </row>
    <row r="30" spans="1:24" x14ac:dyDescent="0.25">
      <c r="A30" s="296">
        <v>113</v>
      </c>
      <c r="D30" s="292">
        <f t="shared" ca="1" si="0"/>
        <v>113</v>
      </c>
      <c r="E30" s="292" t="str">
        <f ca="1">IF(pajak[[#This Row],[//]]="","",INDEX(Table1[No. Invoice :],pajak[//]-offset))</f>
        <v>AM 23120026</v>
      </c>
      <c r="F30" s="290">
        <f ca="1">IF(pajak[[#This Row],[//]]="","",INDEX(Table1[Tgl Invoice :],pajak[//]-offset))</f>
        <v>45279</v>
      </c>
      <c r="G30" s="292" t="str">
        <f ca="1">IF(pajak[[#This Row],[//]]="","",INDEX(Table1[Kode Sales :],pajak[//]-offset))</f>
        <v>KO 0667</v>
      </c>
      <c r="H30" s="292" t="str">
        <f ca="1">IF(pajak[[#This Row],[//]]="","",INDEX(Table1[Toko],pajak[//]-offset))</f>
        <v>CV SINAR CAHAYA NIRMALA BREBES</v>
      </c>
      <c r="I30" s="291">
        <f ca="1">IF(pajak[[#This Row],[//]]="","",SUMIF(Table1[h_id],pajak[[#This Row],[//]],Table1[h_hargasebelumdiskon]))</f>
        <v>646600</v>
      </c>
      <c r="J30" s="291">
        <f ca="1">IF(pajak[[#This Row],[//]]="","",SUMIF(Table1[h_id],pajak[[#This Row],[//]],Table1[h_diskon]))</f>
        <v>25260</v>
      </c>
      <c r="K30" s="291">
        <f ca="1">IF(pajak[[#This Row],[//]]="","",SUMIF(Table1[h_id],pajak[[#This Row],[//]],Table1[h_hargasetelahdiskon]))</f>
        <v>621340</v>
      </c>
      <c r="L30" s="291">
        <f ca="1">IF(pajak[//]="","",pajak[[#This Row],[Sub Total]]/1.11*11%)</f>
        <v>61574.234234234224</v>
      </c>
      <c r="M30" s="291">
        <f ca="1">pajak[[#This Row],[Sub Total]]</f>
        <v>621340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23120026</v>
      </c>
      <c r="T30" s="301">
        <f ca="1">IF(Table4[[#This Row],[AM]]&amp;" "&amp;Table4[[#This Row],[---]]=INDIRECT("pajak[@["&amp;Table4[#Headers]&amp;"]]"),MATCH(Table4[[#This Row],[---]],INDIRECT($3:$3),0))</f>
        <v>2852</v>
      </c>
      <c r="U30" s="301">
        <f ca="1">IF((INDEX(INDIRECT($3:$3),Table4[[#This Row],[No. Invoice :]]+$2:$2))=INDIRECT("pajak[@["&amp;Table4[#Headers]&amp;"]]"),1)</f>
        <v>1</v>
      </c>
      <c r="V30" s="301">
        <f ca="1">IF((INDEX(INDIRECT($3:$3),Table4[[#This Row],[No. Invoice :]]+$2:$2))=INDIRECT("pajak[@["&amp;Table4[#Headers]&amp;"]]"),1)</f>
        <v>1</v>
      </c>
      <c r="W30" s="301">
        <f ca="1">IF((INDEX(INDIRECT($3:$3),Table4[[#This Row],[No. Invoice :]]+$2:$2))=INDIRECT("pajak[@["&amp;Table4[#Headers]&amp;"]]"),1)</f>
        <v>1</v>
      </c>
      <c r="X30" s="301">
        <f ca="1">IF((INDEX(INDIRECT($3:$3),Table4[[#This Row],[No. Invoice :]]+$2:$2))=INDIRECT("pajak[@["&amp;Table4[#Headers]&amp;"]]"),1)</f>
        <v>1</v>
      </c>
    </row>
    <row r="31" spans="1:24" x14ac:dyDescent="0.25">
      <c r="A31" s="296">
        <v>120</v>
      </c>
      <c r="D31" s="292">
        <f t="shared" ca="1" si="0"/>
        <v>120</v>
      </c>
      <c r="E31" s="292" t="str">
        <f ca="1">IF(pajak[[#This Row],[//]]="","",INDEX(Table1[No. Invoice :],pajak[//]-offset))</f>
        <v>AM 23120027</v>
      </c>
      <c r="F31" s="290">
        <f ca="1">IF(pajak[[#This Row],[//]]="","",INDEX(Table1[Tgl Invoice :],pajak[//]-offset))</f>
        <v>45280</v>
      </c>
      <c r="G31" s="292" t="str">
        <f ca="1">IF(pajak[[#This Row],[//]]="","",INDEX(Table1[Kode Sales :],pajak[//]-offset))</f>
        <v>KO 0670</v>
      </c>
      <c r="H31" s="292" t="str">
        <f ca="1">IF(pajak[[#This Row],[//]]="","",INDEX(Table1[Toko],pajak[//]-offset))</f>
        <v>CV PELITA JAYA (ANUGERAH SEJAHTERA) PURWOKERTO</v>
      </c>
      <c r="I31" s="291">
        <f ca="1">IF(pajak[[#This Row],[//]]="","",SUMIF(Table1[h_id],pajak[[#This Row],[//]],Table1[h_hargasebelumdiskon]))</f>
        <v>18600000</v>
      </c>
      <c r="J31" s="291">
        <f ca="1">IF(pajak[[#This Row],[//]]="","",SUMIF(Table1[h_id],pajak[[#This Row],[//]],Table1[h_diskon]))</f>
        <v>2511000</v>
      </c>
      <c r="K31" s="291">
        <f ca="1">IF(pajak[[#This Row],[//]]="","",SUMIF(Table1[h_id],pajak[[#This Row],[//]],Table1[h_hargasetelahdiskon]))</f>
        <v>16089000</v>
      </c>
      <c r="L31" s="291">
        <f ca="1">IF(pajak[//]="","",pajak[[#This Row],[Sub Total]]/1.11*11%)</f>
        <v>1594405.4054054054</v>
      </c>
      <c r="M31" s="291">
        <f ca="1">pajak[[#This Row],[Sub Total]]</f>
        <v>16089000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23120027</v>
      </c>
      <c r="T31" s="301">
        <f ca="1">IF(Table4[[#This Row],[AM]]&amp;" "&amp;Table4[[#This Row],[---]]=INDIRECT("pajak[@["&amp;Table4[#Headers]&amp;"]]"),MATCH(Table4[[#This Row],[---]],INDIRECT($3:$3),0))</f>
        <v>2966</v>
      </c>
      <c r="U31" s="301">
        <f ca="1">IF((INDEX(INDIRECT($3:$3),Table4[[#This Row],[No. Invoice :]]+$2:$2))=INDIRECT("pajak[@["&amp;Table4[#Headers]&amp;"]]"),1)</f>
        <v>1</v>
      </c>
      <c r="V31" s="301">
        <f ca="1">IF((INDEX(INDIRECT($3:$3),Table4[[#This Row],[No. Invoice :]]+$2:$2))=INDIRECT("pajak[@["&amp;Table4[#Headers]&amp;"]]"),1)</f>
        <v>1</v>
      </c>
      <c r="W31" s="301">
        <f ca="1">IF((INDEX(INDIRECT($3:$3),Table4[[#This Row],[No. Invoice :]]+$2:$2))=INDIRECT("pajak[@["&amp;Table4[#Headers]&amp;"]]"),1)</f>
        <v>1</v>
      </c>
      <c r="X31" s="301">
        <f ca="1">IF((INDEX(INDIRECT($3:$3),Table4[[#This Row],[No. Invoice :]]+$2:$2))=INDIRECT("pajak[@["&amp;Table4[#Headers]&amp;"]]"),1)</f>
        <v>1</v>
      </c>
    </row>
    <row r="32" spans="1:24" x14ac:dyDescent="0.25">
      <c r="A32" s="296">
        <v>122</v>
      </c>
      <c r="D32" s="292">
        <f t="shared" ca="1" si="0"/>
        <v>122</v>
      </c>
      <c r="E32" s="292" t="str">
        <f ca="1">IF(pajak[[#This Row],[//]]="","",INDEX(Table1[No. Invoice :],pajak[//]-offset))</f>
        <v>AM 23120028</v>
      </c>
      <c r="F32" s="290">
        <f ca="1">IF(pajak[[#This Row],[//]]="","",INDEX(Table1[Tgl Invoice :],pajak[//]-offset))</f>
        <v>45280</v>
      </c>
      <c r="G32" s="292" t="str">
        <f ca="1">IF(pajak[[#This Row],[//]]="","",INDEX(Table1[Kode Sales :],pajak[//]-offset))</f>
        <v>KO 0671</v>
      </c>
      <c r="H32" s="292" t="str">
        <f ca="1">IF(pajak[[#This Row],[//]]="","",INDEX(Table1[Toko],pajak[//]-offset))</f>
        <v>HARNOYO (BENDAN) PEKALONGAN</v>
      </c>
      <c r="I32" s="291">
        <f ca="1">IF(pajak[[#This Row],[//]]="","",SUMIF(Table1[h_id],pajak[[#This Row],[//]],Table1[h_hargasebelumdiskon]))</f>
        <v>3175000</v>
      </c>
      <c r="J32" s="291">
        <f ca="1">IF(pajak[[#This Row],[//]]="","",SUMIF(Table1[h_id],pajak[[#This Row],[//]],Table1[h_diskon]))</f>
        <v>398300</v>
      </c>
      <c r="K32" s="291">
        <f ca="1">IF(pajak[[#This Row],[//]]="","",SUMIF(Table1[h_id],pajak[[#This Row],[//]],Table1[h_hargasetelahdiskon]))</f>
        <v>2776700</v>
      </c>
      <c r="L32" s="291">
        <f ca="1">IF(pajak[//]="","",pajak[[#This Row],[Sub Total]]/1.11*11%)</f>
        <v>275168.46846846846</v>
      </c>
      <c r="M32" s="291">
        <f ca="1">pajak[[#This Row],[Sub Total]]</f>
        <v>2776700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23120028</v>
      </c>
      <c r="T32" s="301">
        <f ca="1">IF(Table4[[#This Row],[AM]]&amp;" "&amp;Table4[[#This Row],[---]]=INDIRECT("pajak[@["&amp;Table4[#Headers]&amp;"]]"),MATCH(Table4[[#This Row],[---]],INDIRECT($3:$3),0))</f>
        <v>3080</v>
      </c>
      <c r="U32" s="301">
        <f ca="1">IF((INDEX(INDIRECT($3:$3),Table4[[#This Row],[No. Invoice :]]+$2:$2))=INDIRECT("pajak[@["&amp;Table4[#Headers]&amp;"]]"),1)</f>
        <v>1</v>
      </c>
      <c r="V32" s="301">
        <f ca="1">IF((INDEX(INDIRECT($3:$3),Table4[[#This Row],[No. Invoice :]]+$2:$2))=INDIRECT("pajak[@["&amp;Table4[#Headers]&amp;"]]"),1)</f>
        <v>1</v>
      </c>
      <c r="W32" s="301">
        <f ca="1">IF((INDEX(INDIRECT($3:$3),Table4[[#This Row],[No. Invoice :]]+$2:$2))=INDIRECT("pajak[@["&amp;Table4[#Headers]&amp;"]]"),1)</f>
        <v>1</v>
      </c>
      <c r="X32" s="301">
        <f ca="1">IF((INDEX(INDIRECT($3:$3),Table4[[#This Row],[No. Invoice :]]+$2:$2))=INDIRECT("pajak[@["&amp;Table4[#Headers]&amp;"]]"),1)</f>
        <v>1</v>
      </c>
    </row>
    <row r="33" spans="1:24" x14ac:dyDescent="0.25">
      <c r="A33" s="296">
        <v>126</v>
      </c>
      <c r="D33" s="292">
        <f t="shared" ca="1" si="0"/>
        <v>126</v>
      </c>
      <c r="E33" s="292" t="str">
        <f ca="1">IF(pajak[[#This Row],[//]]="","",INDEX(Table1[No. Invoice :],pajak[//]-offset))</f>
        <v>AM 23120029</v>
      </c>
      <c r="F33" s="290">
        <f ca="1">IF(pajak[[#This Row],[//]]="","",INDEX(Table1[Tgl Invoice :],pajak[//]-offset))</f>
        <v>45280</v>
      </c>
      <c r="G33" s="292" t="str">
        <f ca="1">IF(pajak[[#This Row],[//]]="","",INDEX(Table1[Kode Sales :],pajak[//]-offset))</f>
        <v>KO 0682</v>
      </c>
      <c r="H33" s="292" t="str">
        <f ca="1">IF(pajak[[#This Row],[//]]="","",INDEX(Table1[Toko],pajak[//]-offset))</f>
        <v>CV PELITA JAYA (ANUGERAH SEJAHTERA) PURWOKERTO</v>
      </c>
      <c r="I33" s="291">
        <f ca="1">IF(pajak[[#This Row],[//]]="","",SUMIF(Table1[h_id],pajak[[#This Row],[//]],Table1[h_hargasebelumdiskon]))</f>
        <v>11232000</v>
      </c>
      <c r="J33" s="291">
        <f ca="1">IF(pajak[[#This Row],[//]]="","",SUMIF(Table1[h_id],pajak[[#This Row],[//]],Table1[h_diskon]))</f>
        <v>1516320</v>
      </c>
      <c r="K33" s="291">
        <f ca="1">IF(pajak[[#This Row],[//]]="","",SUMIF(Table1[h_id],pajak[[#This Row],[//]],Table1[h_hargasetelahdiskon]))</f>
        <v>9715680</v>
      </c>
      <c r="L33" s="291">
        <f ca="1">IF(pajak[//]="","",pajak[[#This Row],[Sub Total]]/1.11*11%)</f>
        <v>962815.13513513503</v>
      </c>
      <c r="M33" s="291">
        <f ca="1">pajak[[#This Row],[Sub Total]]</f>
        <v>9715680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23120029</v>
      </c>
      <c r="T33" s="301">
        <f ca="1">IF(Table4[[#This Row],[AM]]&amp;" "&amp;Table4[[#This Row],[---]]=INDIRECT("pajak[@["&amp;Table4[#Headers]&amp;"]]"),MATCH(Table4[[#This Row],[---]],INDIRECT($3:$3),0))</f>
        <v>3194</v>
      </c>
      <c r="U33" s="301">
        <f ca="1">IF((INDEX(INDIRECT($3:$3),Table4[[#This Row],[No. Invoice :]]+$2:$2))=INDIRECT("pajak[@["&amp;Table4[#Headers]&amp;"]]"),1)</f>
        <v>1</v>
      </c>
      <c r="V33" s="301">
        <f ca="1">IF((INDEX(INDIRECT($3:$3),Table4[[#This Row],[No. Invoice :]]+$2:$2))=INDIRECT("pajak[@["&amp;Table4[#Headers]&amp;"]]"),1)</f>
        <v>1</v>
      </c>
      <c r="W33" s="301">
        <f ca="1">IF((INDEX(INDIRECT($3:$3),Table4[[#This Row],[No. Invoice :]]+$2:$2))=INDIRECT("pajak[@["&amp;Table4[#Headers]&amp;"]]"),1)</f>
        <v>1</v>
      </c>
      <c r="X33" s="301">
        <f ca="1">IF((INDEX(INDIRECT($3:$3),Table4[[#This Row],[No. Invoice :]]+$2:$2))=INDIRECT("pajak[@["&amp;Table4[#Headers]&amp;"]]"),1)</f>
        <v>1</v>
      </c>
    </row>
    <row r="34" spans="1:24" x14ac:dyDescent="0.25">
      <c r="A34" s="296">
        <v>128</v>
      </c>
      <c r="D34" s="292">
        <f t="shared" ca="1" si="0"/>
        <v>128</v>
      </c>
      <c r="E34" s="292" t="str">
        <f ca="1">IF(pajak[[#This Row],[//]]="","",INDEX(Table1[No. Invoice :],pajak[//]-offset))</f>
        <v>AM 23120030</v>
      </c>
      <c r="F34" s="290">
        <f ca="1">IF(pajak[[#This Row],[//]]="","",INDEX(Table1[Tgl Invoice :],pajak[//]-offset))</f>
        <v>45282</v>
      </c>
      <c r="G34" s="292" t="str">
        <f ca="1">IF(pajak[[#This Row],[//]]="","",INDEX(Table1[Kode Sales :],pajak[//]-offset))</f>
        <v>G 0661</v>
      </c>
      <c r="H34" s="292" t="str">
        <f ca="1">IF(pajak[[#This Row],[//]]="","",INDEX(Table1[Toko],pajak[//]-offset))</f>
        <v>GUNAWAN HARTONO KUSUMA ( NIKI SAE ) TULUNG AGUNG</v>
      </c>
      <c r="I34" s="291">
        <f ca="1">IF(pajak[[#This Row],[//]]="","",SUMIF(Table1[h_id],pajak[[#This Row],[//]],Table1[h_hargasebelumdiskon]))</f>
        <v>7452000</v>
      </c>
      <c r="J34" s="291">
        <f ca="1">IF(pajak[[#This Row],[//]]="","",SUMIF(Table1[h_id],pajak[[#This Row],[//]],Table1[h_diskon]))</f>
        <v>1257525</v>
      </c>
      <c r="K34" s="291">
        <f ca="1">IF(pajak[[#This Row],[//]]="","",SUMIF(Table1[h_id],pajak[[#This Row],[//]],Table1[h_hargasetelahdiskon]))</f>
        <v>6194475</v>
      </c>
      <c r="L34" s="291">
        <f ca="1">IF(pajak[//]="","",pajak[[#This Row],[Sub Total]]/1.11*11%)</f>
        <v>613866.89189189184</v>
      </c>
      <c r="M34" s="291">
        <f ca="1">pajak[[#This Row],[Sub Total]]</f>
        <v>6194475</v>
      </c>
      <c r="N34" s="292" t="str">
        <f ca="1">IF(pajak[[#This Row],[//]]="","",INDEX(Table1[pembuat nota :],pajak[//]-offset))</f>
        <v>NOVI / YO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23120030</v>
      </c>
      <c r="T34" s="301">
        <f ca="1">IF(Table4[[#This Row],[AM]]&amp;" "&amp;Table4[[#This Row],[---]]=INDIRECT("pajak[@["&amp;Table4[#Headers]&amp;"]]"),MATCH(Table4[[#This Row],[---]],INDIRECT($3:$3),0))</f>
        <v>3308</v>
      </c>
      <c r="U34" s="301">
        <f ca="1">IF((INDEX(INDIRECT($3:$3),Table4[[#This Row],[No. Invoice :]]+$2:$2))=INDIRECT("pajak[@["&amp;Table4[#Headers]&amp;"]]"),1)</f>
        <v>1</v>
      </c>
      <c r="V34" s="301">
        <f ca="1">IF((INDEX(INDIRECT($3:$3),Table4[[#This Row],[No. Invoice :]]+$2:$2))=INDIRECT("pajak[@["&amp;Table4[#Headers]&amp;"]]"),1)</f>
        <v>1</v>
      </c>
      <c r="W34" s="301">
        <f ca="1">IF((INDEX(INDIRECT($3:$3),Table4[[#This Row],[No. Invoice :]]+$2:$2))=INDIRECT("pajak[@["&amp;Table4[#Headers]&amp;"]]"),1)</f>
        <v>1</v>
      </c>
      <c r="X34" s="301">
        <f ca="1">IF((INDEX(INDIRECT($3:$3),Table4[[#This Row],[No. Invoice :]]+$2:$2))=INDIRECT("pajak[@["&amp;Table4[#Headers]&amp;"]]"),1)</f>
        <v>1</v>
      </c>
    </row>
    <row r="35" spans="1:24" x14ac:dyDescent="0.25">
      <c r="A35" s="296">
        <v>131</v>
      </c>
      <c r="D35" s="292">
        <f t="shared" ca="1" si="0"/>
        <v>131</v>
      </c>
      <c r="E35" s="292" t="str">
        <f ca="1">IF(pajak[[#This Row],[//]]="","",INDEX(Table1[No. Invoice :],pajak[//]-offset))</f>
        <v>AM 23120031</v>
      </c>
      <c r="F35" s="290">
        <f ca="1">IF(pajak[[#This Row],[//]]="","",INDEX(Table1[Tgl Invoice :],pajak[//]-offset))</f>
        <v>45282</v>
      </c>
      <c r="G35" s="292" t="str">
        <f ca="1">IF(pajak[[#This Row],[//]]="","",INDEX(Table1[Kode Sales :],pajak[//]-offset))</f>
        <v>G 0631</v>
      </c>
      <c r="H35" s="292" t="str">
        <f ca="1">IF(pajak[[#This Row],[//]]="","",INDEX(Table1[Toko],pajak[//]-offset))</f>
        <v>MUHAMMAD AGUS MUNADI ( SINAR BHAKTI ) YOGYAKARTA</v>
      </c>
      <c r="I35" s="291">
        <f ca="1">IF(pajak[[#This Row],[//]]="","",SUMIF(Table1[h_id],pajak[[#This Row],[//]],Table1[h_hargasebelumdiskon]))</f>
        <v>749000</v>
      </c>
      <c r="J35" s="291">
        <f ca="1">IF(pajak[[#This Row],[//]]="","",SUMIF(Table1[h_id],pajak[[#This Row],[//]],Table1[h_diskon]))</f>
        <v>0</v>
      </c>
      <c r="K35" s="291">
        <f ca="1">IF(pajak[[#This Row],[//]]="","",SUMIF(Table1[h_id],pajak[[#This Row],[//]],Table1[h_hargasetelahdiskon]))</f>
        <v>749000</v>
      </c>
      <c r="L35" s="291">
        <f ca="1">IF(pajak[//]="","",pajak[[#This Row],[Sub Total]]/1.11*11%)</f>
        <v>74225.225225225222</v>
      </c>
      <c r="M35" s="291">
        <f ca="1">pajak[[#This Row],[Sub Total]]</f>
        <v>749000</v>
      </c>
      <c r="N35" s="292" t="str">
        <f ca="1">IF(pajak[[#This Row],[//]]="","",INDEX(Table1[pembuat nota :],pajak[//]-offset))</f>
        <v>RISMA / YO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23120031</v>
      </c>
      <c r="T35" s="301">
        <f ca="1">IF(Table4[[#This Row],[AM]]&amp;" "&amp;Table4[[#This Row],[---]]=INDIRECT("pajak[@["&amp;Table4[#Headers]&amp;"]]"),MATCH(Table4[[#This Row],[---]],INDIRECT($3:$3),0))</f>
        <v>3422</v>
      </c>
      <c r="U35" s="301">
        <f ca="1">IF((INDEX(INDIRECT($3:$3),Table4[[#This Row],[No. Invoice :]]+$2:$2))=INDIRECT("pajak[@["&amp;Table4[#Headers]&amp;"]]"),1)</f>
        <v>1</v>
      </c>
      <c r="V35" s="301">
        <f ca="1">IF((INDEX(INDIRECT($3:$3),Table4[[#This Row],[No. Invoice :]]+$2:$2))=INDIRECT("pajak[@["&amp;Table4[#Headers]&amp;"]]"),1)</f>
        <v>1</v>
      </c>
      <c r="W35" s="301">
        <f ca="1">IF((INDEX(INDIRECT($3:$3),Table4[[#This Row],[No. Invoice :]]+$2:$2))=INDIRECT("pajak[@["&amp;Table4[#Headers]&amp;"]]"),1)</f>
        <v>1</v>
      </c>
      <c r="X35" s="301">
        <f ca="1">IF((INDEX(INDIRECT($3:$3),Table4[[#This Row],[No. Invoice :]]+$2:$2))=INDIRECT("pajak[@["&amp;Table4[#Headers]&amp;"]]"),1)</f>
        <v>1</v>
      </c>
    </row>
    <row r="36" spans="1:24" x14ac:dyDescent="0.25">
      <c r="A36" s="296">
        <v>136</v>
      </c>
      <c r="D36" s="292">
        <f t="shared" ca="1" si="0"/>
        <v>136</v>
      </c>
      <c r="E36" s="292" t="str">
        <f ca="1">IF(pajak[[#This Row],[//]]="","",INDEX(Table1[No. Invoice :],pajak[//]-offset))</f>
        <v>AM 23120032</v>
      </c>
      <c r="F36" s="290">
        <f ca="1">IF(pajak[[#This Row],[//]]="","",INDEX(Table1[Tgl Invoice :],pajak[//]-offset))</f>
        <v>45287</v>
      </c>
      <c r="G36" s="292" t="str">
        <f ca="1">IF(pajak[[#This Row],[//]]="","",INDEX(Table1[Kode Sales :],pajak[//]-offset))</f>
        <v>G 0639</v>
      </c>
      <c r="H36" s="292" t="str">
        <f ca="1">IF(pajak[[#This Row],[//]]="","",INDEX(Table1[Toko],pajak[//]-offset))</f>
        <v>CV UTAMA PUTRA TULUNG AGUNG</v>
      </c>
      <c r="I36" s="291">
        <f ca="1">IF(pajak[[#This Row],[//]]="","",SUMIF(Table1[h_id],pajak[[#This Row],[//]],Table1[h_hargasebelumdiskon]))</f>
        <v>12312000</v>
      </c>
      <c r="J36" s="291">
        <f ca="1">IF(pajak[[#This Row],[//]]="","",SUMIF(Table1[h_id],pajak[[#This Row],[//]],Table1[h_diskon]))</f>
        <v>0</v>
      </c>
      <c r="K36" s="291">
        <f ca="1">IF(pajak[[#This Row],[//]]="","",SUMIF(Table1[h_id],pajak[[#This Row],[//]],Table1[h_hargasetelahdiskon]))</f>
        <v>12312000</v>
      </c>
      <c r="L36" s="291">
        <f ca="1">IF(pajak[//]="","",pajak[[#This Row],[Sub Total]]/1.11*11%)</f>
        <v>1220108.1081081079</v>
      </c>
      <c r="M36" s="291">
        <f ca="1">pajak[[#This Row],[Sub Total]]</f>
        <v>12312000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23120032</v>
      </c>
      <c r="T36" s="301">
        <f ca="1">IF(Table4[[#This Row],[AM]]&amp;" "&amp;Table4[[#This Row],[---]]=INDIRECT("pajak[@["&amp;Table4[#Headers]&amp;"]]"),MATCH(Table4[[#This Row],[---]],INDIRECT($3:$3),0))</f>
        <v>3536</v>
      </c>
      <c r="U36" s="301">
        <f ca="1">IF((INDEX(INDIRECT($3:$3),Table4[[#This Row],[No. Invoice :]]+$2:$2))=INDIRECT("pajak[@["&amp;Table4[#Headers]&amp;"]]"),1)</f>
        <v>1</v>
      </c>
      <c r="V36" s="301">
        <f ca="1">IF((INDEX(INDIRECT($3:$3),Table4[[#This Row],[No. Invoice :]]+$2:$2))=INDIRECT("pajak[@["&amp;Table4[#Headers]&amp;"]]"),1)</f>
        <v>1</v>
      </c>
      <c r="W36" s="301">
        <f ca="1">IF((INDEX(INDIRECT($3:$3),Table4[[#This Row],[No. Invoice :]]+$2:$2))=INDIRECT("pajak[@["&amp;Table4[#Headers]&amp;"]]"),1)</f>
        <v>1</v>
      </c>
      <c r="X36" s="301">
        <f ca="1">IF((INDEX(INDIRECT($3:$3),Table4[[#This Row],[No. Invoice :]]+$2:$2))=INDIRECT("pajak[@["&amp;Table4[#Headers]&amp;"]]"),1)</f>
        <v>1</v>
      </c>
    </row>
    <row r="37" spans="1:24" x14ac:dyDescent="0.25">
      <c r="A37" s="296">
        <v>139</v>
      </c>
      <c r="D37" s="292">
        <f t="shared" ref="D37:D57" ca="1" si="2">IF(ROW()-(COUNTBLANK($D$1:$D$3)+1)&lt;=jNota,A37,"")</f>
        <v>139</v>
      </c>
      <c r="E37" s="292" t="str">
        <f ca="1">IF(pajak[[#This Row],[//]]="","",INDEX(Table1[No. Invoice :],pajak[//]-offset))</f>
        <v>AM 23120033</v>
      </c>
      <c r="F37" s="290">
        <f ca="1">IF(pajak[[#This Row],[//]]="","",INDEX(Table1[Tgl Invoice :],pajak[//]-offset))</f>
        <v>45287</v>
      </c>
      <c r="G37" s="292" t="str">
        <f ca="1">IF(pajak[[#This Row],[//]]="","",INDEX(Table1[Kode Sales :],pajak[//]-offset))</f>
        <v>KO 0759</v>
      </c>
      <c r="H37" s="292" t="str">
        <f ca="1">IF(pajak[[#This Row],[//]]="","",INDEX(Table1[Toko],pajak[//]-offset))</f>
        <v>HARNOYO (BENDAN) PEKALONGAN</v>
      </c>
      <c r="I37" s="291">
        <f ca="1">IF(pajak[[#This Row],[//]]="","",SUMIF(Table1[h_id],pajak[[#This Row],[//]],Table1[h_hargasebelumdiskon]))</f>
        <v>4946000</v>
      </c>
      <c r="J37" s="291">
        <f ca="1">IF(pajak[[#This Row],[//]]="","",SUMIF(Table1[h_id],pajak[[#This Row],[//]],Table1[h_diskon]))</f>
        <v>692440.00000000012</v>
      </c>
      <c r="K37" s="291">
        <f ca="1">IF(pajak[[#This Row],[//]]="","",SUMIF(Table1[h_id],pajak[[#This Row],[//]],Table1[h_hargasetelahdiskon]))</f>
        <v>4253560</v>
      </c>
      <c r="L37" s="291">
        <f ca="1">IF(pajak[//]="","",pajak[[#This Row],[Sub Total]]/1.11*11%)</f>
        <v>421523.96396396391</v>
      </c>
      <c r="M37" s="291">
        <f ca="1">pajak[[#This Row],[Sub Total]]</f>
        <v>4253560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23120033</v>
      </c>
      <c r="T37" s="301">
        <f ca="1">IF(Table4[[#This Row],[AM]]&amp;" "&amp;Table4[[#This Row],[---]]=INDIRECT("pajak[@["&amp;Table4[#Headers]&amp;"]]"),MATCH(Table4[[#This Row],[---]],INDIRECT($3:$3),0))</f>
        <v>3650</v>
      </c>
      <c r="U37" s="301">
        <f ca="1">IF((INDEX(INDIRECT($3:$3),Table4[[#This Row],[No. Invoice :]]+$2:$2))=INDIRECT("pajak[@["&amp;Table4[#Headers]&amp;"]]"),1)</f>
        <v>1</v>
      </c>
      <c r="V37" s="301">
        <f ca="1">IF((INDEX(INDIRECT($3:$3),Table4[[#This Row],[No. Invoice :]]+$2:$2))=INDIRECT("pajak[@["&amp;Table4[#Headers]&amp;"]]"),1)</f>
        <v>1</v>
      </c>
      <c r="W37" s="301">
        <f ca="1">IF((INDEX(INDIRECT($3:$3),Table4[[#This Row],[No. Invoice :]]+$2:$2))=INDIRECT("pajak[@["&amp;Table4[#Headers]&amp;"]]"),1)</f>
        <v>1</v>
      </c>
      <c r="X37" s="301">
        <f ca="1">IF((INDEX(INDIRECT($3:$3),Table4[[#This Row],[No. Invoice :]]+$2:$2))=INDIRECT("pajak[@["&amp;Table4[#Headers]&amp;"]]"),1)</f>
        <v>1</v>
      </c>
    </row>
    <row r="38" spans="1:24" x14ac:dyDescent="0.25">
      <c r="A38" s="296">
        <v>143</v>
      </c>
      <c r="D38" s="292">
        <f t="shared" ca="1" si="2"/>
        <v>143</v>
      </c>
      <c r="E38" s="292" t="str">
        <f ca="1">IF(pajak[[#This Row],[//]]="","",INDEX(Table1[No. Invoice :],pajak[//]-offset))</f>
        <v>AM 23120034</v>
      </c>
      <c r="F38" s="290">
        <f ca="1">IF(pajak[[#This Row],[//]]="","",INDEX(Table1[Tgl Invoice :],pajak[//]-offset))</f>
        <v>45288</v>
      </c>
      <c r="G38" s="292" t="str">
        <f ca="1">IF(pajak[[#This Row],[//]]="","",INDEX(Table1[Kode Sales :],pajak[//]-offset))</f>
        <v>KO 0764</v>
      </c>
      <c r="H38" s="292" t="str">
        <f ca="1">IF(pajak[[#This Row],[//]]="","",INDEX(Table1[Toko],pajak[//]-offset))</f>
        <v>SANTOSO BUDIONO (  ARMADA  ) PURWOKERTO</v>
      </c>
      <c r="I38" s="291">
        <f ca="1">IF(pajak[[#This Row],[//]]="","",SUMIF(Table1[h_id],pajak[[#This Row],[//]],Table1[h_hargasebelumdiskon]))</f>
        <v>3888000</v>
      </c>
      <c r="J38" s="291">
        <f ca="1">IF(pajak[[#This Row],[//]]="","",SUMIF(Table1[h_id],pajak[[#This Row],[//]],Table1[h_diskon]))</f>
        <v>505440</v>
      </c>
      <c r="K38" s="291">
        <f ca="1">IF(pajak[[#This Row],[//]]="","",SUMIF(Table1[h_id],pajak[[#This Row],[//]],Table1[h_hargasetelahdiskon]))</f>
        <v>3382560</v>
      </c>
      <c r="L38" s="291">
        <f ca="1">IF(pajak[//]="","",pajak[[#This Row],[Sub Total]]/1.11*11%)</f>
        <v>335208.64864864864</v>
      </c>
      <c r="M38" s="291">
        <f ca="1">pajak[[#This Row],[Sub Total]]</f>
        <v>3382560</v>
      </c>
      <c r="N38" s="292" t="str">
        <f ca="1">IF(pajak[[#This Row],[//]]="","",INDEX(Table1[pembuat nota :],pajak[//]-offset))</f>
        <v>NOVI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23120034</v>
      </c>
      <c r="T38" s="301">
        <f ca="1">IF(Table4[[#This Row],[AM]]&amp;" "&amp;Table4[[#This Row],[---]]=INDIRECT("pajak[@["&amp;Table4[#Headers]&amp;"]]"),MATCH(Table4[[#This Row],[---]],INDIRECT($3:$3),0))</f>
        <v>3764</v>
      </c>
      <c r="U38" s="301">
        <f ca="1">IF((INDEX(INDIRECT($3:$3),Table4[[#This Row],[No. Invoice :]]+$2:$2))=INDIRECT("pajak[@["&amp;Table4[#Headers]&amp;"]]"),1)</f>
        <v>1</v>
      </c>
      <c r="V38" s="301">
        <f ca="1">IF((INDEX(INDIRECT($3:$3),Table4[[#This Row],[No. Invoice :]]+$2:$2))=INDIRECT("pajak[@["&amp;Table4[#Headers]&amp;"]]"),1)</f>
        <v>1</v>
      </c>
      <c r="W38" s="301">
        <f ca="1">IF((INDEX(INDIRECT($3:$3),Table4[[#This Row],[No. Invoice :]]+$2:$2))=INDIRECT("pajak[@["&amp;Table4[#Headers]&amp;"]]"),1)</f>
        <v>1</v>
      </c>
      <c r="X38" s="301">
        <f ca="1">IF((INDEX(INDIRECT($3:$3),Table4[[#This Row],[No. Invoice :]]+$2:$2))=INDIRECT("pajak[@["&amp;Table4[#Headers]&amp;"]]"),1)</f>
        <v>1</v>
      </c>
    </row>
    <row r="39" spans="1:24" x14ac:dyDescent="0.25">
      <c r="A39" s="296">
        <v>145</v>
      </c>
      <c r="D39" s="292">
        <f t="shared" ca="1" si="2"/>
        <v>145</v>
      </c>
      <c r="E39" s="292" t="str">
        <f ca="1">IF(pajak[[#This Row],[//]]="","",INDEX(Table1[No. Invoice :],pajak[//]-offset))</f>
        <v>AM 23120035</v>
      </c>
      <c r="F39" s="290">
        <f ca="1">IF(pajak[[#This Row],[//]]="","",INDEX(Table1[Tgl Invoice :],pajak[//]-offset))</f>
        <v>45290</v>
      </c>
      <c r="G39" s="292" t="str">
        <f ca="1">IF(pajak[[#This Row],[//]]="","",INDEX(Table1[Kode Sales :],pajak[//]-offset))</f>
        <v>KO 0641</v>
      </c>
      <c r="H39" s="292" t="str">
        <f ca="1">IF(pajak[[#This Row],[//]]="","",INDEX(Table1[Toko],pajak[//]-offset))</f>
        <v>CV GANESHA WONOSOBO</v>
      </c>
      <c r="I39" s="291">
        <f ca="1">IF(pajak[[#This Row],[//]]="","",SUMIF(Table1[h_id],pajak[[#This Row],[//]],Table1[h_hargasebelumdiskon]))</f>
        <v>1038000</v>
      </c>
      <c r="J39" s="291">
        <f ca="1">IF(pajak[[#This Row],[//]]="","",SUMIF(Table1[h_id],pajak[[#This Row],[//]],Table1[h_diskon]))</f>
        <v>103800</v>
      </c>
      <c r="K39" s="291">
        <f ca="1">IF(pajak[[#This Row],[//]]="","",SUMIF(Table1[h_id],pajak[[#This Row],[//]],Table1[h_hargasetelahdiskon]))</f>
        <v>934200</v>
      </c>
      <c r="L39" s="291">
        <f ca="1">IF(pajak[//]="","",pajak[[#This Row],[Sub Total]]/1.11*11%)</f>
        <v>92578.378378378373</v>
      </c>
      <c r="M39" s="291">
        <f ca="1">pajak[[#This Row],[Sub Total]]</f>
        <v>934200</v>
      </c>
      <c r="N39" s="292" t="str">
        <f ca="1">IF(pajak[[#This Row],[//]]="","",INDEX(Table1[pembuat nota :],pajak[//]-offset))</f>
        <v>NOVI / CONDRO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23120035</v>
      </c>
      <c r="T39" s="301">
        <f ca="1">IF(Table4[[#This Row],[AM]]&amp;" "&amp;Table4[[#This Row],[---]]=INDIRECT("pajak[@["&amp;Table4[#Headers]&amp;"]]"),MATCH(Table4[[#This Row],[---]],INDIRECT($3:$3),0))</f>
        <v>3878</v>
      </c>
      <c r="U39" s="301">
        <f ca="1">IF((INDEX(INDIRECT($3:$3),Table4[[#This Row],[No. Invoice :]]+$2:$2))=INDIRECT("pajak[@["&amp;Table4[#Headers]&amp;"]]"),1)</f>
        <v>1</v>
      </c>
      <c r="V39" s="301">
        <f ca="1">IF((INDEX(INDIRECT($3:$3),Table4[[#This Row],[No. Invoice :]]+$2:$2))=INDIRECT("pajak[@["&amp;Table4[#Headers]&amp;"]]"),1)</f>
        <v>1</v>
      </c>
      <c r="W39" s="301">
        <f ca="1">IF((INDEX(INDIRECT($3:$3),Table4[[#This Row],[No. Invoice :]]+$2:$2))=INDIRECT("pajak[@["&amp;Table4[#Headers]&amp;"]]"),1)</f>
        <v>1</v>
      </c>
      <c r="X39" s="301">
        <f ca="1">IF((INDEX(INDIRECT($3:$3),Table4[[#This Row],[No. Invoice :]]+$2:$2))=INDIRECT("pajak[@["&amp;Table4[#Headers]&amp;"]]"),1)</f>
        <v>1</v>
      </c>
    </row>
    <row r="40" spans="1:24" x14ac:dyDescent="0.25">
      <c r="A40" s="296">
        <v>149</v>
      </c>
      <c r="D40" s="292">
        <f t="shared" ca="1" si="2"/>
        <v>149</v>
      </c>
      <c r="E40" s="292" t="str">
        <f ca="1">IF(pajak[[#This Row],[//]]="","",INDEX(Table1[No. Invoice :],pajak[//]-offset))</f>
        <v>AM 23120036</v>
      </c>
      <c r="F40" s="290">
        <f ca="1">IF(pajak[[#This Row],[//]]="","",INDEX(Table1[Tgl Invoice :],pajak[//]-offset))</f>
        <v>45290</v>
      </c>
      <c r="G40" s="292" t="str">
        <f ca="1">IF(pajak[[#This Row],[//]]="","",INDEX(Table1[Kode Sales :],pajak[//]-offset))</f>
        <v>G 0519</v>
      </c>
      <c r="H40" s="292" t="str">
        <f ca="1">IF(pajak[[#This Row],[//]]="","",INDEX(Table1[Toko],pajak[//]-offset))</f>
        <v>ROBIN SUSANTO (HIDUP BARU) JOMBANG</v>
      </c>
      <c r="I40" s="291">
        <f ca="1">IF(pajak[[#This Row],[//]]="","",SUMIF(Table1[h_id],pajak[[#This Row],[//]],Table1[h_hargasebelumdiskon]))</f>
        <v>3168000</v>
      </c>
      <c r="J40" s="291">
        <f ca="1">IF(pajak[[#This Row],[//]]="","",SUMIF(Table1[h_id],pajak[[#This Row],[//]],Table1[h_diskon]))</f>
        <v>0</v>
      </c>
      <c r="K40" s="291">
        <f ca="1">IF(pajak[[#This Row],[//]]="","",SUMIF(Table1[h_id],pajak[[#This Row],[//]],Table1[h_hargasetelahdiskon]))</f>
        <v>3168000</v>
      </c>
      <c r="L40" s="291">
        <f ca="1">IF(pajak[//]="","",pajak[[#This Row],[Sub Total]]/1.11*11%)</f>
        <v>313945.94594594592</v>
      </c>
      <c r="M40" s="291">
        <f ca="1">pajak[[#This Row],[Sub Total]]</f>
        <v>3168000</v>
      </c>
      <c r="N40" s="292" t="str">
        <f ca="1">IF(pajak[[#This Row],[//]]="","",INDEX(Table1[pembuat nota :],pajak[//]-offset))</f>
        <v>NOVI / CONDRO</v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23120036</v>
      </c>
      <c r="T40" s="301">
        <f ca="1">IF(Table4[[#This Row],[AM]]&amp;" "&amp;Table4[[#This Row],[---]]=INDIRECT("pajak[@["&amp;Table4[#Headers]&amp;"]]"),MATCH(Table4[[#This Row],[---]],INDIRECT($3:$3),0))</f>
        <v>3992</v>
      </c>
      <c r="U40" s="301">
        <f ca="1">IF((INDEX(INDIRECT($3:$3),Table4[[#This Row],[No. Invoice :]]+$2:$2))=INDIRECT("pajak[@["&amp;Table4[#Headers]&amp;"]]"),1)</f>
        <v>1</v>
      </c>
      <c r="V40" s="301">
        <f ca="1">IF((INDEX(INDIRECT($3:$3),Table4[[#This Row],[No. Invoice :]]+$2:$2))=INDIRECT("pajak[@["&amp;Table4[#Headers]&amp;"]]"),1)</f>
        <v>1</v>
      </c>
      <c r="W40" s="301">
        <f ca="1">IF((INDEX(INDIRECT($3:$3),Table4[[#This Row],[No. Invoice :]]+$2:$2))=INDIRECT("pajak[@["&amp;Table4[#Headers]&amp;"]]"),1)</f>
        <v>1</v>
      </c>
      <c r="X40" s="301">
        <f ca="1">IF((INDEX(INDIRECT($3:$3),Table4[[#This Row],[No. Invoice :]]+$2:$2))=INDIRECT("pajak[@["&amp;Table4[#Headers]&amp;"]]"),1)</f>
        <v>1</v>
      </c>
    </row>
    <row r="41" spans="1:24" x14ac:dyDescent="0.25">
      <c r="A41" s="296">
        <v>151</v>
      </c>
      <c r="D41" s="292">
        <f t="shared" ca="1" si="2"/>
        <v>151</v>
      </c>
      <c r="E41" s="292" t="str">
        <f ca="1">IF(pajak[[#This Row],[//]]="","",INDEX(Table1[No. Invoice :],pajak[//]-offset))</f>
        <v>AM 23120037</v>
      </c>
      <c r="F41" s="290">
        <f ca="1">IF(pajak[[#This Row],[//]]="","",INDEX(Table1[Tgl Invoice :],pajak[//]-offset))</f>
        <v>45290</v>
      </c>
      <c r="G41" s="292" t="str">
        <f ca="1">IF(pajak[[#This Row],[//]]="","",INDEX(Table1[Kode Sales :],pajak[//]-offset))</f>
        <v>G 0683</v>
      </c>
      <c r="H41" s="292" t="str">
        <f ca="1">IF(pajak[[#This Row],[//]]="","",INDEX(Table1[Toko],pajak[//]-offset))</f>
        <v>LILY JULIAWATI (REJO AGUNG) JOMBANG</v>
      </c>
      <c r="I41" s="291">
        <f ca="1">IF(pajak[[#This Row],[//]]="","",SUMIF(Table1[h_id],pajak[[#This Row],[//]],Table1[h_hargasebelumdiskon]))</f>
        <v>5616000</v>
      </c>
      <c r="J41" s="291">
        <f ca="1">IF(pajak[[#This Row],[//]]="","",SUMIF(Table1[h_id],pajak[[#This Row],[//]],Table1[h_diskon]))</f>
        <v>702000</v>
      </c>
      <c r="K41" s="291">
        <f ca="1">IF(pajak[[#This Row],[//]]="","",SUMIF(Table1[h_id],pajak[[#This Row],[//]],Table1[h_hargasetelahdiskon]))</f>
        <v>4914000</v>
      </c>
      <c r="L41" s="291">
        <f ca="1">IF(pajak[//]="","",pajak[[#This Row],[Sub Total]]/1.11*11%)</f>
        <v>486972.97297297296</v>
      </c>
      <c r="M41" s="291">
        <f ca="1">pajak[[#This Row],[Sub Total]]</f>
        <v>4914000</v>
      </c>
      <c r="N41" s="292" t="str">
        <f ca="1">IF(pajak[[#This Row],[//]]="","",INDEX(Table1[pembuat nota :],pajak[//]-offset))</f>
        <v>NOVI / CONDRO</v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23120037</v>
      </c>
      <c r="T41" s="301">
        <f ca="1">IF(Table4[[#This Row],[AM]]&amp;" "&amp;Table4[[#This Row],[---]]=INDIRECT("pajak[@["&amp;Table4[#Headers]&amp;"]]"),MATCH(Table4[[#This Row],[---]],INDIRECT($3:$3),0))</f>
        <v>4106</v>
      </c>
      <c r="U41" s="301">
        <f ca="1">IF((INDEX(INDIRECT($3:$3),Table4[[#This Row],[No. Invoice :]]+$2:$2))=INDIRECT("pajak[@["&amp;Table4[#Headers]&amp;"]]"),1)</f>
        <v>1</v>
      </c>
      <c r="V41" s="301">
        <f ca="1">IF((INDEX(INDIRECT($3:$3),Table4[[#This Row],[No. Invoice :]]+$2:$2))=INDIRECT("pajak[@["&amp;Table4[#Headers]&amp;"]]"),1)</f>
        <v>1</v>
      </c>
      <c r="W41" s="301">
        <f ca="1">IF((INDEX(INDIRECT($3:$3),Table4[[#This Row],[No. Invoice :]]+$2:$2))=INDIRECT("pajak[@["&amp;Table4[#Headers]&amp;"]]"),1)</f>
        <v>1</v>
      </c>
      <c r="X41" s="301">
        <f ca="1">IF((INDEX(INDIRECT($3:$3),Table4[[#This Row],[No. Invoice :]]+$2:$2))=INDIRECT("pajak[@["&amp;Table4[#Headers]&amp;"]]"),1)</f>
        <v>1</v>
      </c>
    </row>
    <row r="42" spans="1:24" x14ac:dyDescent="0.25">
      <c r="A42" s="296">
        <v>153</v>
      </c>
      <c r="D42" s="292">
        <f t="shared" ca="1" si="2"/>
        <v>153</v>
      </c>
      <c r="E42" s="292" t="str">
        <f ca="1">IF(pajak[[#This Row],[//]]="","",INDEX(Table1[No. Invoice :],pajak[//]-offset))</f>
        <v>AM 23120038</v>
      </c>
      <c r="F42" s="290">
        <f ca="1">IF(pajak[[#This Row],[//]]="","",INDEX(Table1[Tgl Invoice :],pajak[//]-offset))</f>
        <v>45290</v>
      </c>
      <c r="G42" s="292" t="str">
        <f ca="1">IF(pajak[[#This Row],[//]]="","",INDEX(Table1[Kode Sales :],pajak[//]-offset))</f>
        <v>KO 4967</v>
      </c>
      <c r="H42" s="292" t="str">
        <f ca="1">IF(pajak[[#This Row],[//]]="","",INDEX(Table1[Toko],pajak[//]-offset))</f>
        <v>CV RAINBOW NUSANTARA SIDOARJO</v>
      </c>
      <c r="I42" s="291">
        <f ca="1">IF(pajak[[#This Row],[//]]="","",SUMIF(Table1[h_id],pajak[[#This Row],[//]],Table1[h_hargasebelumdiskon]))</f>
        <v>4196600</v>
      </c>
      <c r="J42" s="291">
        <f ca="1">IF(pajak[[#This Row],[//]]="","",SUMIF(Table1[h_id],pajak[[#This Row],[//]],Table1[h_diskon]))</f>
        <v>608507</v>
      </c>
      <c r="K42" s="291">
        <f ca="1">IF(pajak[[#This Row],[//]]="","",SUMIF(Table1[h_id],pajak[[#This Row],[//]],Table1[h_hargasetelahdiskon]))</f>
        <v>3588093</v>
      </c>
      <c r="L42" s="291">
        <f ca="1">IF(pajak[//]="","",pajak[[#This Row],[Sub Total]]/1.11*11%)</f>
        <v>355576.78378378373</v>
      </c>
      <c r="M42" s="291">
        <f ca="1">pajak[[#This Row],[Sub Total]]</f>
        <v>3588093</v>
      </c>
      <c r="N42" s="292" t="str">
        <f ca="1">IF(pajak[[#This Row],[//]]="","",INDEX(Table1[pembuat nota :],pajak[//]-offset))</f>
        <v>NOVI / CONDRO</v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23120038</v>
      </c>
      <c r="T42" s="301">
        <f ca="1">IF(Table4[[#This Row],[AM]]&amp;" "&amp;Table4[[#This Row],[---]]=INDIRECT("pajak[@["&amp;Table4[#Headers]&amp;"]]"),MATCH(Table4[[#This Row],[---]],INDIRECT($3:$3),0))</f>
        <v>4220</v>
      </c>
      <c r="U42" s="301">
        <f ca="1">IF((INDEX(INDIRECT($3:$3),Table4[[#This Row],[No. Invoice :]]+$2:$2))=INDIRECT("pajak[@["&amp;Table4[#Headers]&amp;"]]"),1)</f>
        <v>1</v>
      </c>
      <c r="V42" s="301">
        <f ca="1">IF((INDEX(INDIRECT($3:$3),Table4[[#This Row],[No. Invoice :]]+$2:$2))=INDIRECT("pajak[@["&amp;Table4[#Headers]&amp;"]]"),1)</f>
        <v>1</v>
      </c>
      <c r="W42" s="301">
        <f ca="1">IF((INDEX(INDIRECT($3:$3),Table4[[#This Row],[No. Invoice :]]+$2:$2))=INDIRECT("pajak[@["&amp;Table4[#Headers]&amp;"]]"),1)</f>
        <v>1</v>
      </c>
      <c r="X42" s="301">
        <f ca="1">IF((INDEX(INDIRECT($3:$3),Table4[[#This Row],[No. Invoice :]]+$2:$2))=INDIRECT("pajak[@["&amp;Table4[#Headers]&amp;"]]"),1)</f>
        <v>1</v>
      </c>
    </row>
    <row r="43" spans="1:24" x14ac:dyDescent="0.25">
      <c r="A43" s="296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23120039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b">
        <f ca="1">IF((INDEX(INDIRECT($3:$3),Table4[[#This Row],[No. Invoice :]]+$2:$2))=INDIRECT("pajak[@["&amp;Table4[#Headers]&amp;"]]"),1)</f>
        <v>0</v>
      </c>
      <c r="V43" s="301" t="b">
        <f ca="1">IF((INDEX(INDIRECT($3:$3),Table4[[#This Row],[No. Invoice :]]+$2:$2))=INDIRECT("pajak[@["&amp;Table4[#Headers]&amp;"]]"),1)</f>
        <v>0</v>
      </c>
      <c r="W43" s="301">
        <f ca="1">IF((INDEX(INDIRECT($3:$3),Table4[[#This Row],[No. Invoice :]]+$2:$2))=INDIRECT("pajak[@["&amp;Table4[#Headers]&amp;"]]"),1)</f>
        <v>1</v>
      </c>
      <c r="X43" s="301">
        <f ca="1">IF((INDEX(INDIRECT($3:$3),Table4[[#This Row],[No. Invoice :]]+$2:$2))=INDIRECT("pajak[@["&amp;Table4[#Headers]&amp;"]]"),1)</f>
        <v>1</v>
      </c>
    </row>
    <row r="44" spans="1:24" x14ac:dyDescent="0.25">
      <c r="A44" s="296" t="s">
        <v>52</v>
      </c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23120040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b">
        <f ca="1">IF((INDEX(INDIRECT($3:$3),Table4[[#This Row],[No. Invoice :]]+$2:$2))=INDIRECT("pajak[@["&amp;Table4[#Headers]&amp;"]]"),1)</f>
        <v>0</v>
      </c>
      <c r="V44" s="301" t="b">
        <f ca="1">IF((INDEX(INDIRECT($3:$3),Table4[[#This Row],[No. Invoice :]]+$2:$2))=INDIRECT("pajak[@["&amp;Table4[#Headers]&amp;"]]"),1)</f>
        <v>0</v>
      </c>
      <c r="W44" s="301">
        <f ca="1">IF((INDEX(INDIRECT($3:$3),Table4[[#This Row],[No. Invoice :]]+$2:$2))=INDIRECT("pajak[@["&amp;Table4[#Headers]&amp;"]]"),1)</f>
        <v>1</v>
      </c>
      <c r="X44" s="301">
        <f ca="1">IF((INDEX(INDIRECT($3:$3),Table4[[#This Row],[No. Invoice :]]+$2:$2))=INDIRECT("pajak[@["&amp;Table4[#Headers]&amp;"]]"),1)</f>
        <v>1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23120041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b">
        <f ca="1">IF((INDEX(INDIRECT($3:$3),Table4[[#This Row],[No. Invoice :]]+$2:$2))=INDIRECT("pajak[@["&amp;Table4[#Headers]&amp;"]]"),1)</f>
        <v>0</v>
      </c>
      <c r="V45" s="301" t="b">
        <f ca="1">IF((INDEX(INDIRECT($3:$3),Table4[[#This Row],[No. Invoice :]]+$2:$2))=INDIRECT("pajak[@["&amp;Table4[#Headers]&amp;"]]"),1)</f>
        <v>0</v>
      </c>
      <c r="W45" s="301">
        <f ca="1">IF((INDEX(INDIRECT($3:$3),Table4[[#This Row],[No. Invoice :]]+$2:$2))=INDIRECT("pajak[@["&amp;Table4[#Headers]&amp;"]]"),1)</f>
        <v>1</v>
      </c>
      <c r="X45" s="301">
        <f ca="1">IF((INDEX(INDIRECT($3:$3),Table4[[#This Row],[No. Invoice :]]+$2:$2))=INDIRECT("pajak[@["&amp;Table4[#Headers]&amp;"]]"),1)</f>
        <v>1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23120042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b">
        <f ca="1">IF((INDEX(INDIRECT($3:$3),Table4[[#This Row],[No. Invoice :]]+$2:$2))=INDIRECT("pajak[@["&amp;Table4[#Headers]&amp;"]]"),1)</f>
        <v>0</v>
      </c>
      <c r="V46" s="301" t="b">
        <f ca="1">IF((INDEX(INDIRECT($3:$3),Table4[[#This Row],[No. Invoice :]]+$2:$2))=INDIRECT("pajak[@["&amp;Table4[#Headers]&amp;"]]"),1)</f>
        <v>0</v>
      </c>
      <c r="W46" s="301">
        <f ca="1">IF((INDEX(INDIRECT($3:$3),Table4[[#This Row],[No. Invoice :]]+$2:$2))=INDIRECT("pajak[@["&amp;Table4[#Headers]&amp;"]]"),1)</f>
        <v>1</v>
      </c>
      <c r="X46" s="301">
        <f ca="1">IF((INDEX(INDIRECT($3:$3),Table4[[#This Row],[No. Invoice :]]+$2:$2))=INDIRECT("pajak[@["&amp;Table4[#Headers]&amp;"]]"),1)</f>
        <v>1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23120043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b">
        <f ca="1">IF((INDEX(INDIRECT($3:$3),Table4[[#This Row],[No. Invoice :]]+$2:$2))=INDIRECT("pajak[@["&amp;Table4[#Headers]&amp;"]]"),1)</f>
        <v>0</v>
      </c>
      <c r="V47" s="301" t="b">
        <f ca="1">IF((INDEX(INDIRECT($3:$3),Table4[[#This Row],[No. Invoice :]]+$2:$2))=INDIRECT("pajak[@["&amp;Table4[#Headers]&amp;"]]"),1)</f>
        <v>0</v>
      </c>
      <c r="W47" s="301">
        <f ca="1">IF((INDEX(INDIRECT($3:$3),Table4[[#This Row],[No. Invoice :]]+$2:$2))=INDIRECT("pajak[@["&amp;Table4[#Headers]&amp;"]]"),1)</f>
        <v>1</v>
      </c>
      <c r="X47" s="301">
        <f ca="1">IF((INDEX(INDIRECT($3:$3),Table4[[#This Row],[No. Invoice :]]+$2:$2))=INDIRECT("pajak[@["&amp;Table4[#Headers]&amp;"]]"),1)</f>
        <v>1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23120044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b">
        <f ca="1">IF((INDEX(INDIRECT($3:$3),Table4[[#This Row],[No. Invoice :]]+$2:$2))=INDIRECT("pajak[@["&amp;Table4[#Headers]&amp;"]]"),1)</f>
        <v>0</v>
      </c>
      <c r="V48" s="301" t="b">
        <f ca="1">IF((INDEX(INDIRECT($3:$3),Table4[[#This Row],[No. Invoice :]]+$2:$2))=INDIRECT("pajak[@["&amp;Table4[#Headers]&amp;"]]"),1)</f>
        <v>0</v>
      </c>
      <c r="W48" s="301">
        <f ca="1">IF((INDEX(INDIRECT($3:$3),Table4[[#This Row],[No. Invoice :]]+$2:$2))=INDIRECT("pajak[@["&amp;Table4[#Headers]&amp;"]]"),1)</f>
        <v>1</v>
      </c>
      <c r="X48" s="301">
        <f ca="1">IF((INDEX(INDIRECT($3:$3),Table4[[#This Row],[No. Invoice :]]+$2:$2))=INDIRECT("pajak[@["&amp;Table4[#Headers]&amp;"]]"),1)</f>
        <v>1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23120045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b">
        <f ca="1">IF((INDEX(INDIRECT($3:$3),Table4[[#This Row],[No. Invoice :]]+$2:$2))=INDIRECT("pajak[@["&amp;Table4[#Headers]&amp;"]]"),1)</f>
        <v>0</v>
      </c>
      <c r="V49" s="301" t="b">
        <f ca="1">IF((INDEX(INDIRECT($3:$3),Table4[[#This Row],[No. Invoice :]]+$2:$2))=INDIRECT("pajak[@["&amp;Table4[#Headers]&amp;"]]"),1)</f>
        <v>0</v>
      </c>
      <c r="W49" s="301">
        <f ca="1">IF((INDEX(INDIRECT($3:$3),Table4[[#This Row],[No. Invoice :]]+$2:$2))=INDIRECT("pajak[@["&amp;Table4[#Headers]&amp;"]]"),1)</f>
        <v>1</v>
      </c>
      <c r="X49" s="301">
        <f ca="1">IF((INDEX(INDIRECT($3:$3),Table4[[#This Row],[No. Invoice :]]+$2:$2))=INDIRECT("pajak[@["&amp;Table4[#Headers]&amp;"]]"),1)</f>
        <v>1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23120046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b">
        <f ca="1">IF((INDEX(INDIRECT($3:$3),Table4[[#This Row],[No. Invoice :]]+$2:$2))=INDIRECT("pajak[@["&amp;Table4[#Headers]&amp;"]]"),1)</f>
        <v>0</v>
      </c>
      <c r="V50" s="301" t="b">
        <f ca="1">IF((INDEX(INDIRECT($3:$3),Table4[[#This Row],[No. Invoice :]]+$2:$2))=INDIRECT("pajak[@["&amp;Table4[#Headers]&amp;"]]"),1)</f>
        <v>0</v>
      </c>
      <c r="W50" s="301">
        <f ca="1">IF((INDEX(INDIRECT($3:$3),Table4[[#This Row],[No. Invoice :]]+$2:$2))=INDIRECT("pajak[@["&amp;Table4[#Headers]&amp;"]]"),1)</f>
        <v>1</v>
      </c>
      <c r="X50" s="301">
        <f ca="1">IF((INDEX(INDIRECT($3:$3),Table4[[#This Row],[No. Invoice :]]+$2:$2))=INDIRECT("pajak[@["&amp;Table4[#Headers]&amp;"]]"),1)</f>
        <v>1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23120047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b">
        <f ca="1">IF((INDEX(INDIRECT($3:$3),Table4[[#This Row],[No. Invoice :]]+$2:$2))=INDIRECT("pajak[@["&amp;Table4[#Headers]&amp;"]]"),1)</f>
        <v>0</v>
      </c>
      <c r="V51" s="301" t="b">
        <f ca="1">IF((INDEX(INDIRECT($3:$3),Table4[[#This Row],[No. Invoice :]]+$2:$2))=INDIRECT("pajak[@["&amp;Table4[#Headers]&amp;"]]"),1)</f>
        <v>0</v>
      </c>
      <c r="W51" s="301">
        <f ca="1">IF((INDEX(INDIRECT($3:$3),Table4[[#This Row],[No. Invoice :]]+$2:$2))=INDIRECT("pajak[@["&amp;Table4[#Headers]&amp;"]]"),1)</f>
        <v>1</v>
      </c>
      <c r="X51" s="301">
        <f ca="1">IF((INDEX(INDIRECT($3:$3),Table4[[#This Row],[No. Invoice :]]+$2:$2))=INDIRECT("pajak[@["&amp;Table4[#Headers]&amp;"]]"),1)</f>
        <v>1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23120048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b">
        <f ca="1">IF((INDEX(INDIRECT($3:$3),Table4[[#This Row],[No. Invoice :]]+$2:$2))=INDIRECT("pajak[@["&amp;Table4[#Headers]&amp;"]]"),1)</f>
        <v>0</v>
      </c>
      <c r="V52" s="301" t="b">
        <f ca="1">IF((INDEX(INDIRECT($3:$3),Table4[[#This Row],[No. Invoice :]]+$2:$2))=INDIRECT("pajak[@["&amp;Table4[#Headers]&amp;"]]"),1)</f>
        <v>0</v>
      </c>
      <c r="W52" s="301">
        <f ca="1">IF((INDEX(INDIRECT($3:$3),Table4[[#This Row],[No. Invoice :]]+$2:$2))=INDIRECT("pajak[@["&amp;Table4[#Headers]&amp;"]]"),1)</f>
        <v>1</v>
      </c>
      <c r="X52" s="301">
        <f ca="1">IF((INDEX(INDIRECT($3:$3),Table4[[#This Row],[No. Invoice :]]+$2:$2))=INDIRECT("pajak[@["&amp;Table4[#Headers]&amp;"]]"),1)</f>
        <v>1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23120049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b">
        <f ca="1">IF((INDEX(INDIRECT($3:$3),Table4[[#This Row],[No. Invoice :]]+$2:$2))=INDIRECT("pajak[@["&amp;Table4[#Headers]&amp;"]]"),1)</f>
        <v>0</v>
      </c>
      <c r="V53" s="301" t="b">
        <f ca="1">IF((INDEX(INDIRECT($3:$3),Table4[[#This Row],[No. Invoice :]]+$2:$2))=INDIRECT("pajak[@["&amp;Table4[#Headers]&amp;"]]"),1)</f>
        <v>0</v>
      </c>
      <c r="W53" s="301">
        <f ca="1">IF((INDEX(INDIRECT($3:$3),Table4[[#This Row],[No. Invoice :]]+$2:$2))=INDIRECT("pajak[@["&amp;Table4[#Headers]&amp;"]]"),1)</f>
        <v>1</v>
      </c>
      <c r="X53" s="301">
        <f ca="1">IF((INDEX(INDIRECT($3:$3),Table4[[#This Row],[No. Invoice :]]+$2:$2))=INDIRECT("pajak[@["&amp;Table4[#Headers]&amp;"]]"),1)</f>
        <v>1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23120050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b">
        <f ca="1">IF((INDEX(INDIRECT($3:$3),Table4[[#This Row],[No. Invoice :]]+$2:$2))=INDIRECT("pajak[@["&amp;Table4[#Headers]&amp;"]]"),1)</f>
        <v>0</v>
      </c>
      <c r="V54" s="301" t="b">
        <f ca="1">IF((INDEX(INDIRECT($3:$3),Table4[[#This Row],[No. Invoice :]]+$2:$2))=INDIRECT("pajak[@["&amp;Table4[#Headers]&amp;"]]"),1)</f>
        <v>0</v>
      </c>
      <c r="W54" s="301">
        <f ca="1">IF((INDEX(INDIRECT($3:$3),Table4[[#This Row],[No. Invoice :]]+$2:$2))=INDIRECT("pajak[@["&amp;Table4[#Headers]&amp;"]]"),1)</f>
        <v>1</v>
      </c>
      <c r="X54" s="301">
        <f ca="1">IF((INDEX(INDIRECT($3:$3),Table4[[#This Row],[No. Invoice :]]+$2:$2))=INDIRECT("pajak[@["&amp;Table4[#Headers]&amp;"]]"),1)</f>
        <v>1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23120051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b">
        <f ca="1">IF((INDEX(INDIRECT($3:$3),Table4[[#This Row],[No. Invoice :]]+$2:$2))=INDIRECT("pajak[@["&amp;Table4[#Headers]&amp;"]]"),1)</f>
        <v>0</v>
      </c>
      <c r="V55" s="301" t="b">
        <f ca="1">IF((INDEX(INDIRECT($3:$3),Table4[[#This Row],[No. Invoice :]]+$2:$2))=INDIRECT("pajak[@["&amp;Table4[#Headers]&amp;"]]"),1)</f>
        <v>0</v>
      </c>
      <c r="W55" s="301">
        <f ca="1">IF((INDEX(INDIRECT($3:$3),Table4[[#This Row],[No. Invoice :]]+$2:$2))=INDIRECT("pajak[@["&amp;Table4[#Headers]&amp;"]]"),1)</f>
        <v>1</v>
      </c>
      <c r="X55" s="301">
        <f ca="1">IF((INDEX(INDIRECT($3:$3),Table4[[#This Row],[No. Invoice :]]+$2:$2))=INDIRECT("pajak[@["&amp;Table4[#Headers]&amp;"]]"),1)</f>
        <v>1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23120052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b">
        <f ca="1">IF((INDEX(INDIRECT($3:$3),Table4[[#This Row],[No. Invoice :]]+$2:$2))=INDIRECT("pajak[@["&amp;Table4[#Headers]&amp;"]]"),1)</f>
        <v>0</v>
      </c>
      <c r="V56" s="301" t="b">
        <f ca="1">IF((INDEX(INDIRECT($3:$3),Table4[[#This Row],[No. Invoice :]]+$2:$2))=INDIRECT("pajak[@["&amp;Table4[#Headers]&amp;"]]"),1)</f>
        <v>0</v>
      </c>
      <c r="W56" s="301">
        <f ca="1">IF((INDEX(INDIRECT($3:$3),Table4[[#This Row],[No. Invoice :]]+$2:$2))=INDIRECT("pajak[@["&amp;Table4[#Headers]&amp;"]]"),1)</f>
        <v>1</v>
      </c>
      <c r="X56" s="301">
        <f ca="1">IF((INDEX(INDIRECT($3:$3),Table4[[#This Row],[No. Invoice :]]+$2:$2))=INDIRECT("pajak[@["&amp;Table4[#Headers]&amp;"]]"),1)</f>
        <v>1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23120053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b">
        <f ca="1">IF((INDEX(INDIRECT($3:$3),Table4[[#This Row],[No. Invoice :]]+$2:$2))=INDIRECT("pajak[@["&amp;Table4[#Headers]&amp;"]]"),1)</f>
        <v>0</v>
      </c>
      <c r="V57" s="301" t="b">
        <f ca="1">IF((INDEX(INDIRECT($3:$3),Table4[[#This Row],[No. Invoice :]]+$2:$2))=INDIRECT("pajak[@["&amp;Table4[#Headers]&amp;"]]"),1)</f>
        <v>0</v>
      </c>
      <c r="W57" s="301">
        <f ca="1">IF((INDEX(INDIRECT($3:$3),Table4[[#This Row],[No. Invoice :]]+$2:$2))=INDIRECT("pajak[@["&amp;Table4[#Headers]&amp;"]]"),1)</f>
        <v>1</v>
      </c>
      <c r="X57" s="301">
        <f ca="1">IF((INDEX(INDIRECT($3:$3),Table4[[#This Row],[No. Invoice :]]+$2:$2))=INDIRECT("pajak[@["&amp;Table4[#Headers]&amp;"]]"),1)</f>
        <v>1</v>
      </c>
    </row>
    <row r="58" spans="1:24" x14ac:dyDescent="0.25">
      <c r="D58" s="3" t="s">
        <v>48</v>
      </c>
      <c r="F58" s="3"/>
      <c r="I58" s="291">
        <f ca="1">SUBTOTAL(109,pajak[Total])</f>
        <v>360365200.95999998</v>
      </c>
      <c r="J58" s="291">
        <f ca="1">SUBTOTAL(109,pajak[Diskon])</f>
        <v>48970573.5</v>
      </c>
      <c r="K58" s="291">
        <f ca="1">SUBTOTAL(109,pajak[Sub Total])</f>
        <v>311394627.45999998</v>
      </c>
      <c r="L58" s="291">
        <f ca="1">SUBTOTAL(109,pajak[PPN 11%])</f>
        <v>30858927.045585588</v>
      </c>
      <c r="M58" s="291">
        <f ca="1">SUBTOTAL(109,pajak[Total Invoice])</f>
        <v>311394627.45999998</v>
      </c>
      <c r="N58" s="3"/>
      <c r="O58" s="3"/>
      <c r="P58" s="3"/>
    </row>
  </sheetData>
  <conditionalFormatting sqref="G59:G1048576 G3:G57">
    <cfRule type="duplicateValues" dxfId="82" priority="9"/>
  </conditionalFormatting>
  <conditionalFormatting sqref="T1:X2 T4:X1048576">
    <cfRule type="containsText" dxfId="81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8"/>
  <sheetViews>
    <sheetView topLeftCell="B1" workbookViewId="0">
      <selection activeCell="E16" sqref="E1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  <c r="F16" t="s">
        <v>131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145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145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146</v>
      </c>
      <c r="B24" t="s">
        <v>147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149</v>
      </c>
      <c r="B25" t="s">
        <v>150</v>
      </c>
      <c r="C25" t="s">
        <v>151</v>
      </c>
      <c r="D25" t="s">
        <v>238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145</v>
      </c>
    </row>
    <row r="26" spans="1:6" x14ac:dyDescent="0.25">
      <c r="A26" t="s">
        <v>203</v>
      </c>
      <c r="B26" t="s">
        <v>236</v>
      </c>
      <c r="C26" t="s">
        <v>237</v>
      </c>
      <c r="D26" t="s">
        <v>239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>
        <v>0</v>
      </c>
      <c r="B27">
        <v>0</v>
      </c>
      <c r="C27">
        <v>0</v>
      </c>
      <c r="D27">
        <v>0</v>
      </c>
      <c r="E27" s="85">
        <v>0</v>
      </c>
      <c r="F27">
        <v>0</v>
      </c>
    </row>
    <row r="28" spans="1:6" x14ac:dyDescent="0.25">
      <c r="E28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D12" sqref="D12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153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RAINBOW</v>
      </c>
      <c r="F1" t="s">
        <v>43</v>
      </c>
      <c r="G1">
        <f ca="1">INDEX(Table1[h_jumlahbarang],newestIdRow-offset)</f>
        <v>10</v>
      </c>
      <c r="I1" s="505" t="s">
        <v>71</v>
      </c>
      <c r="J1" s="505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23120038</v>
      </c>
      <c r="G3" s="10" t="s">
        <v>16</v>
      </c>
      <c r="H3" s="512" t="str">
        <f ca="1">INDEX(Table2[b],MATCH(kToko,Table2[a],0))</f>
        <v>CV RAINBOW NUSANTARA</v>
      </c>
      <c r="I3" s="512"/>
      <c r="J3" s="512"/>
      <c r="K3" s="51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6" t="s">
        <v>18</v>
      </c>
      <c r="G4" s="16"/>
      <c r="H4" s="514"/>
      <c r="I4" s="514"/>
      <c r="J4" s="514"/>
      <c r="K4" s="515"/>
      <c r="L4" s="11"/>
    </row>
    <row r="5" spans="1:12" s="9" customFormat="1" ht="16.5" customHeight="1" x14ac:dyDescent="0.3">
      <c r="A5" s="6"/>
      <c r="B5" s="1" t="s">
        <v>2</v>
      </c>
      <c r="C5" s="7"/>
      <c r="D5" s="517">
        <f ca="1">INDEX(Table1[Tgl Invoice :],newestIdRow-offset)</f>
        <v>45290</v>
      </c>
      <c r="E5" s="518"/>
      <c r="F5" s="516"/>
      <c r="G5" s="17"/>
      <c r="H5" s="519" t="str">
        <f ca="1">IF(INDEX(Table2[c],MATCH(kToko,Table2[a],0))="","",INDEX(Table2[c],MATCH(kToko,Table2[a],0)))</f>
        <v/>
      </c>
      <c r="I5" s="519"/>
      <c r="J5" s="519"/>
      <c r="K5" s="520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6"/>
      <c r="G6" s="17"/>
      <c r="H6" s="521" t="str">
        <f ca="1">INDEX(Table2[d],MATCH(kToko,Table2[a],0))</f>
        <v>SIDOARJO</v>
      </c>
      <c r="I6" s="521"/>
      <c r="J6" s="521"/>
      <c r="K6" s="522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4967</v>
      </c>
      <c r="E7" s="8"/>
      <c r="F7" s="20"/>
      <c r="G7" s="21"/>
      <c r="H7" s="523"/>
      <c r="I7" s="523"/>
      <c r="J7" s="523"/>
      <c r="K7" s="524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23</v>
      </c>
      <c r="C11" s="45" t="str">
        <f ca="1">IF(A11&gt;jumlahBarang,"",UPPER((INDEX(Table1[Unit],newestIdRow-offset+A11-1))))</f>
        <v>PCS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HAND TALLY COUNTER KENKO HT-302</v>
      </c>
      <c r="F11" s="48"/>
      <c r="G11" s="49"/>
      <c r="H11" s="50">
        <f ca="1">IF(A11&gt;jumlahBarang,"",INDEX(Table1[Unit Price],newestIdRow-offset+A11-1))</f>
        <v>19000</v>
      </c>
      <c r="I11" s="51">
        <f ca="1">IF(A11&gt;jumlahBarang,"",IF(INDEX(Table1[Disc 1],newestIdRow-offset+A11-1)="","",INDEX(Table1[Disc 1],newestIdRow-offset+A11-1)))</f>
        <v>0.14499999999999999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373635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36</v>
      </c>
      <c r="C12" s="45" t="str">
        <f ca="1">IF(A12&gt;jumlahBarang,"",UPPER((INDEX(Table1[Unit],newestIdRow-offset+A12-1))))</f>
        <v>PCS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JANGKA (COMPASS SET) KENKO C-168 / MS-75</v>
      </c>
      <c r="F12" s="48"/>
      <c r="G12" s="49"/>
      <c r="H12" s="50">
        <f ca="1">IF(A12&gt;jumlahBarang,"",INDEX(Table1[Unit Price],newestIdRow-offset+A12-1))</f>
        <v>7500</v>
      </c>
      <c r="I12" s="51">
        <f ca="1">IF(A12&gt;jumlahBarang,"",IF(INDEX(Table1[Disc 1],newestIdRow-offset+A12-1)="","",INDEX(Table1[Disc 1],newestIdRow-offset+A12-1)))</f>
        <v>0.14499999999999999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230850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72</v>
      </c>
      <c r="C13" s="45" t="str">
        <f ca="1">IF(A13&gt;jumlahBarang,"",UPPER((INDEX(Table1[Unit],newestIdRow-offset+A13-1))))</f>
        <v>PCS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JANGKA (COMPASS SET) KENKO C-528 / MS-55</v>
      </c>
      <c r="F13" s="48"/>
      <c r="G13" s="49"/>
      <c r="H13" s="50">
        <f ca="1">IF(A13&gt;jumlahBarang,"",INDEX(Table1[Unit Price],newestIdRow-offset+A13-1))</f>
        <v>7500</v>
      </c>
      <c r="I13" s="51">
        <f ca="1">IF(A13&gt;jumlahBarang,"",IF(INDEX(Table1[Disc 1],newestIdRow-offset+A13-1)="","",INDEX(Table1[Disc 1],newestIdRow-offset+A13-1)))</f>
        <v>0.14499999999999999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461700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96</v>
      </c>
      <c r="C14" s="45" t="str">
        <f ca="1">IF(A14&gt;jumlahBarang,"",UPPER((INDEX(Table1[Unit],newestIdRow-offset+A14-1))))</f>
        <v>PCS</v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>PENSIL WARNA KENKO CP-12HALF CLASSIC (PENDEK)</v>
      </c>
      <c r="F14" s="48"/>
      <c r="G14" s="49"/>
      <c r="H14" s="50">
        <f ca="1">IF(A14&gt;jumlahBarang,"",INDEX(Table1[Unit Price],newestIdRow-offset+A14-1))</f>
        <v>6600</v>
      </c>
      <c r="I14" s="51">
        <f ca="1">IF(A14&gt;jumlahBarang,"",IF(INDEX(Table1[Disc 1],newestIdRow-offset+A14-1)="","",INDEX(Table1[Disc 1],newestIdRow-offset+A14-1)))</f>
        <v>0.14499999999999999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541728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12</v>
      </c>
      <c r="C15" s="45" t="str">
        <f ca="1">IF(A15&gt;jumlahBarang,"",UPPER((INDEX(Table1[Unit],newestIdRow-offset+A15-1))))</f>
        <v>PCS</v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>GARISAN BESI (STAINLESS STEEL) KENKO 15 CM</v>
      </c>
      <c r="F15" s="48"/>
      <c r="G15" s="49"/>
      <c r="H15" s="50">
        <f ca="1">IF(A15&gt;jumlahBarang,"",INDEX(Table1[Unit Price],newestIdRow-offset+A15-1))</f>
        <v>3150</v>
      </c>
      <c r="I15" s="51">
        <f ca="1">IF(A15&gt;jumlahBarang,"",IF(INDEX(Table1[Disc 1],newestIdRow-offset+A15-1)="","",INDEX(Table1[Disc 1],newestIdRow-offset+A15-1)))</f>
        <v>0.14499999999999999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32319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30</v>
      </c>
      <c r="C16" s="45" t="str">
        <f ca="1">IF(A16&gt;jumlahBarang,"",UPPER((INDEX(Table1[Unit],newestIdRow-offset+A16-1))))</f>
        <v>PCS</v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>GARISAN BESI (STAINLESS STEEL) KENKO 40 CM</v>
      </c>
      <c r="F16" s="48"/>
      <c r="G16" s="49"/>
      <c r="H16" s="50">
        <f ca="1">IF(A16&gt;jumlahBarang,"",INDEX(Table1[Unit Price],newestIdRow-offset+A16-1))</f>
        <v>13600</v>
      </c>
      <c r="I16" s="51">
        <f ca="1">IF(A16&gt;jumlahBarang,"",IF(INDEX(Table1[Disc 1],newestIdRow-offset+A16-1)="","",INDEX(Table1[Disc 1],newestIdRow-offset+A16-1)))</f>
        <v>0.14499999999999999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348840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36</v>
      </c>
      <c r="C17" s="45" t="str">
        <f ca="1">IF(A17&gt;jumlahBarang,"",UPPER((INDEX(Table1[Unit],newestIdRow-offset+A17-1))))</f>
        <v>PCS</v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>GARISAN BESI (STAINLESS STEEL) KENKO 50 CM</v>
      </c>
      <c r="F17" s="48"/>
      <c r="G17" s="49"/>
      <c r="H17" s="50">
        <f ca="1">IF(A17&gt;jumlahBarang,"",INDEX(Table1[Unit Price],newestIdRow-offset+A17-1))</f>
        <v>17950</v>
      </c>
      <c r="I17" s="51">
        <f ca="1">IF(A17&gt;jumlahBarang,"",IF(INDEX(Table1[Disc 1],newestIdRow-offset+A17-1)="","",INDEX(Table1[Disc 1],newestIdRow-offset+A17-1)))</f>
        <v>0.14499999999999999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552501</v>
      </c>
      <c r="L17" s="35"/>
    </row>
    <row r="18" spans="1:12" s="9" customFormat="1" ht="14.1" customHeight="1" x14ac:dyDescent="0.25">
      <c r="A18" s="44">
        <v>8</v>
      </c>
      <c r="B18" s="45">
        <f ca="1">IF(A18&gt;jumlahBarang,"",INDEX(Table1[Qty],newestIdRow-offset+A18-1))</f>
        <v>72</v>
      </c>
      <c r="C18" s="45" t="str">
        <f ca="1">IF(A18&gt;jumlahBarang,"",UPPER((INDEX(Table1[Unit],newestIdRow-offset+A18-1))))</f>
        <v>PCS</v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>STAMP PAD KENKO NO. 0</v>
      </c>
      <c r="F18" s="48"/>
      <c r="G18" s="49"/>
      <c r="H18" s="50">
        <f ca="1">IF(A18&gt;jumlahBarang,"",INDEX(Table1[Unit Price],newestIdRow-offset+A18-1))</f>
        <v>4950</v>
      </c>
      <c r="I18" s="51">
        <f ca="1">IF(A18&gt;jumlahBarang,"",IF(INDEX(Table1[Disc 1],newestIdRow-offset+A18-1)="","",INDEX(Table1[Disc 1],newestIdRow-offset+A18-1)))</f>
        <v>0.14499999999999999</v>
      </c>
      <c r="J18" s="51" t="str">
        <f ca="1">IF(A18&gt;jumlahBarang,"",IF(INDEX(Table1[Disc 2],newestIdRow-offset+A18-1)="","",INDEX(Table1[Disc 2],newestIdRow-offset+A18-1)))</f>
        <v/>
      </c>
      <c r="K18" s="52">
        <f ca="1">IF(A18&gt;jumlahBarang,"",INDEX(Table1[Amount],newestIdRow-offset+A18-1))</f>
        <v>304722</v>
      </c>
      <c r="L18" s="35"/>
    </row>
    <row r="19" spans="1:12" s="9" customFormat="1" ht="14.1" customHeight="1" x14ac:dyDescent="0.25">
      <c r="A19" s="44">
        <v>9</v>
      </c>
      <c r="B19" s="45">
        <f ca="1">IF(A19&gt;jumlahBarang,"",INDEX(Table1[Qty],newestIdRow-offset+A19-1))</f>
        <v>84</v>
      </c>
      <c r="C19" s="45" t="str">
        <f ca="1">IF(A19&gt;jumlahBarang,"",UPPER((INDEX(Table1[Unit],newestIdRow-offset+A19-1))))</f>
        <v>PCS</v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>STAMP PAD KENKO NO. 1</v>
      </c>
      <c r="F19" s="48"/>
      <c r="G19" s="49"/>
      <c r="H19" s="50">
        <f ca="1">IF(A19&gt;jumlahBarang,"",INDEX(Table1[Unit Price],newestIdRow-offset+A19-1))</f>
        <v>5900</v>
      </c>
      <c r="I19" s="51">
        <f ca="1">IF(A19&gt;jumlahBarang,"",IF(INDEX(Table1[Disc 1],newestIdRow-offset+A19-1)="","",INDEX(Table1[Disc 1],newestIdRow-offset+A19-1)))</f>
        <v>0.14499999999999999</v>
      </c>
      <c r="J19" s="51" t="str">
        <f ca="1">IF(A19&gt;jumlahBarang,"",IF(INDEX(Table1[Disc 2],newestIdRow-offset+A19-1)="","",INDEX(Table1[Disc 2],newestIdRow-offset+A19-1)))</f>
        <v/>
      </c>
      <c r="K19" s="52">
        <f ca="1">IF(A19&gt;jumlahBarang,"",INDEX(Table1[Amount],newestIdRow-offset+A19-1))</f>
        <v>423738</v>
      </c>
      <c r="L19" s="35"/>
    </row>
    <row r="20" spans="1:12" s="9" customFormat="1" ht="14.1" customHeight="1" x14ac:dyDescent="0.25">
      <c r="A20" s="44">
        <v>10</v>
      </c>
      <c r="B20" s="45">
        <f ca="1">IF(A20&gt;jumlahBarang,"",INDEX(Table1[Qty],newestIdRow-offset+A20-1))</f>
        <v>60</v>
      </c>
      <c r="C20" s="45" t="str">
        <f ca="1">IF(A20&gt;jumlahBarang,"",UPPER((INDEX(Table1[Unit],newestIdRow-offset+A20-1))))</f>
        <v>PCS</v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>DATE STAMP KENKO D-4 (Cap Tanggal 4 Mm)</v>
      </c>
      <c r="F20" s="48"/>
      <c r="G20" s="49"/>
      <c r="H20" s="50">
        <f ca="1">IF(A20&gt;jumlahBarang,"",INDEX(Table1[Unit Price],newestIdRow-offset+A20-1))</f>
        <v>6200</v>
      </c>
      <c r="I20" s="51">
        <f ca="1">IF(A20&gt;jumlahBarang,"",IF(INDEX(Table1[Disc 1],newestIdRow-offset+A20-1)="","",INDEX(Table1[Disc 1],newestIdRow-offset+A20-1)))</f>
        <v>0.14499999999999999</v>
      </c>
      <c r="J20" s="51" t="str">
        <f ca="1">IF(A20&gt;jumlahBarang,"",IF(INDEX(Table1[Disc 2],newestIdRow-offset+A20-1)="","",INDEX(Table1[Disc 2],newestIdRow-offset+A20-1)))</f>
        <v/>
      </c>
      <c r="K20" s="52">
        <f ca="1">IF(A20&gt;jumlahBarang,"",INDEX(Table1[Amount],newestIdRow-offset+A20-1))</f>
        <v>318060</v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11"/>
      <c r="K28" s="51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8">
        <f ca="1">INDEX(pajak[Sub Total],MATCH(newestIdRow,pajak[//],0))</f>
        <v>3588093</v>
      </c>
      <c r="K29" s="50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10"/>
      <c r="K30" s="51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11"/>
      <c r="K32" s="51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08">
        <f ca="1">INDEX(pajak[PPN 11%],MATCH(newestIdRow,pajak[//],0))</f>
        <v>355576.78378378373</v>
      </c>
      <c r="K33" s="50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11"/>
      <c r="K34" s="51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3588093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06" t="str">
        <f ca="1">INDEX(pajak[pembuat nota],MATCH(newestIdRow,pajak[//],0))</f>
        <v>NOVI / CONDRO</v>
      </c>
      <c r="K37" s="507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06" t="str">
        <f ca="1">INDEX(pajak[edited],MATCH(newestIdRow,pajak[//],0))</f>
        <v/>
      </c>
      <c r="K38" s="50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23120038</v>
      </c>
      <c r="F41" s="190"/>
      <c r="G41" s="191" t="s">
        <v>16</v>
      </c>
      <c r="H41" s="525" t="str">
        <f ca="1">H3</f>
        <v>CV RAINBOW NUSANTARA</v>
      </c>
      <c r="I41" s="525"/>
      <c r="J41" s="525"/>
      <c r="K41" s="526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9" t="s">
        <v>18</v>
      </c>
      <c r="G42" s="197"/>
      <c r="H42" s="527"/>
      <c r="I42" s="527"/>
      <c r="J42" s="527"/>
      <c r="K42" s="528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0">
        <f ca="1">D5</f>
        <v>45290</v>
      </c>
      <c r="E43" s="531"/>
      <c r="F43" s="529"/>
      <c r="G43" s="198"/>
      <c r="H43" s="532" t="str">
        <f ca="1">H5</f>
        <v/>
      </c>
      <c r="I43" s="532"/>
      <c r="J43" s="532"/>
      <c r="K43" s="533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9"/>
      <c r="G44" s="198"/>
      <c r="H44" s="534" t="str">
        <f ca="1">H6</f>
        <v>SIDOARJO</v>
      </c>
      <c r="I44" s="534"/>
      <c r="J44" s="534"/>
      <c r="K44" s="535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4967</v>
      </c>
      <c r="E45" s="189"/>
      <c r="F45" s="202"/>
      <c r="G45" s="203"/>
      <c r="H45" s="536"/>
      <c r="I45" s="536"/>
      <c r="J45" s="536"/>
      <c r="K45" s="537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23</v>
      </c>
      <c r="C49" s="229" t="str">
        <f t="shared" ca="1" si="0"/>
        <v>PCS</v>
      </c>
      <c r="D49" s="230" t="str">
        <f t="shared" ca="1" si="0"/>
        <v/>
      </c>
      <c r="E49" s="231" t="str">
        <f t="shared" ca="1" si="0"/>
        <v>HAND TALLY COUNTER KENKO HT-302</v>
      </c>
      <c r="F49" s="232"/>
      <c r="G49" s="233"/>
      <c r="H49" s="234">
        <f t="shared" ref="H49:K64" ca="1" si="1">H11</f>
        <v>19000</v>
      </c>
      <c r="I49" s="235">
        <f t="shared" ca="1" si="1"/>
        <v>0.14499999999999999</v>
      </c>
      <c r="J49" s="235" t="str">
        <f t="shared" ca="1" si="1"/>
        <v/>
      </c>
      <c r="K49" s="236">
        <f t="shared" ca="1" si="1"/>
        <v>373635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36</v>
      </c>
      <c r="C50" s="229" t="str">
        <f t="shared" ca="1" si="0"/>
        <v>PCS</v>
      </c>
      <c r="D50" s="230" t="str">
        <f t="shared" ca="1" si="0"/>
        <v/>
      </c>
      <c r="E50" s="231" t="str">
        <f t="shared" ca="1" si="0"/>
        <v>JANGKA (COMPASS SET) KENKO C-168 / MS-75</v>
      </c>
      <c r="F50" s="232"/>
      <c r="G50" s="233"/>
      <c r="H50" s="234">
        <f t="shared" ca="1" si="1"/>
        <v>7500</v>
      </c>
      <c r="I50" s="235">
        <f t="shared" ca="1" si="1"/>
        <v>0.14499999999999999</v>
      </c>
      <c r="J50" s="235" t="str">
        <f t="shared" ca="1" si="1"/>
        <v/>
      </c>
      <c r="K50" s="236">
        <f t="shared" ca="1" si="1"/>
        <v>230850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72</v>
      </c>
      <c r="C51" s="229" t="str">
        <f t="shared" ca="1" si="0"/>
        <v>PCS</v>
      </c>
      <c r="D51" s="230" t="str">
        <f t="shared" ca="1" si="0"/>
        <v/>
      </c>
      <c r="E51" s="231" t="str">
        <f t="shared" ca="1" si="0"/>
        <v>JANGKA (COMPASS SET) KENKO C-528 / MS-55</v>
      </c>
      <c r="F51" s="232"/>
      <c r="G51" s="233"/>
      <c r="H51" s="234">
        <f t="shared" ca="1" si="1"/>
        <v>7500</v>
      </c>
      <c r="I51" s="235">
        <f t="shared" ca="1" si="1"/>
        <v>0.14499999999999999</v>
      </c>
      <c r="J51" s="235" t="str">
        <f t="shared" ca="1" si="1"/>
        <v/>
      </c>
      <c r="K51" s="236">
        <f t="shared" ca="1" si="1"/>
        <v>461700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96</v>
      </c>
      <c r="C52" s="229" t="str">
        <f t="shared" ca="1" si="0"/>
        <v>PCS</v>
      </c>
      <c r="D52" s="230" t="str">
        <f t="shared" ca="1" si="0"/>
        <v/>
      </c>
      <c r="E52" s="231" t="str">
        <f t="shared" ca="1" si="0"/>
        <v>PENSIL WARNA KENKO CP-12HALF CLASSIC (PENDEK)</v>
      </c>
      <c r="F52" s="232"/>
      <c r="G52" s="233"/>
      <c r="H52" s="234">
        <f t="shared" ca="1" si="1"/>
        <v>6600</v>
      </c>
      <c r="I52" s="235">
        <f t="shared" ca="1" si="1"/>
        <v>0.14499999999999999</v>
      </c>
      <c r="J52" s="235" t="str">
        <f t="shared" ca="1" si="1"/>
        <v/>
      </c>
      <c r="K52" s="236">
        <f t="shared" ca="1" si="1"/>
        <v>541728</v>
      </c>
      <c r="L52" s="218"/>
    </row>
    <row r="53" spans="1:12" s="9" customFormat="1" ht="14.1" customHeight="1" x14ac:dyDescent="0.25">
      <c r="A53" s="227">
        <v>5</v>
      </c>
      <c r="B53" s="228">
        <f t="shared" ca="1" si="0"/>
        <v>12</v>
      </c>
      <c r="C53" s="229" t="str">
        <f t="shared" ca="1" si="0"/>
        <v>PCS</v>
      </c>
      <c r="D53" s="230" t="str">
        <f t="shared" ca="1" si="0"/>
        <v/>
      </c>
      <c r="E53" s="231" t="str">
        <f t="shared" ca="1" si="0"/>
        <v>GARISAN BESI (STAINLESS STEEL) KENKO 15 CM</v>
      </c>
      <c r="F53" s="232"/>
      <c r="G53" s="233"/>
      <c r="H53" s="234">
        <f t="shared" ca="1" si="1"/>
        <v>3150</v>
      </c>
      <c r="I53" s="235">
        <f t="shared" ca="1" si="1"/>
        <v>0.14499999999999999</v>
      </c>
      <c r="J53" s="235" t="str">
        <f t="shared" ca="1" si="1"/>
        <v/>
      </c>
      <c r="K53" s="236">
        <f t="shared" ca="1" si="1"/>
        <v>32319</v>
      </c>
      <c r="L53" s="218"/>
    </row>
    <row r="54" spans="1:12" s="9" customFormat="1" ht="14.1" customHeight="1" x14ac:dyDescent="0.25">
      <c r="A54" s="227">
        <v>6</v>
      </c>
      <c r="B54" s="228">
        <f t="shared" ca="1" si="0"/>
        <v>30</v>
      </c>
      <c r="C54" s="229" t="str">
        <f t="shared" ca="1" si="0"/>
        <v>PCS</v>
      </c>
      <c r="D54" s="230" t="str">
        <f t="shared" ca="1" si="0"/>
        <v/>
      </c>
      <c r="E54" s="231" t="str">
        <f t="shared" ca="1" si="0"/>
        <v>GARISAN BESI (STAINLESS STEEL) KENKO 40 CM</v>
      </c>
      <c r="F54" s="232"/>
      <c r="G54" s="233"/>
      <c r="H54" s="234">
        <f t="shared" ca="1" si="1"/>
        <v>13600</v>
      </c>
      <c r="I54" s="235">
        <f t="shared" ca="1" si="1"/>
        <v>0.14499999999999999</v>
      </c>
      <c r="J54" s="235" t="str">
        <f t="shared" ca="1" si="1"/>
        <v/>
      </c>
      <c r="K54" s="236">
        <f t="shared" ca="1" si="1"/>
        <v>348840</v>
      </c>
      <c r="L54" s="218"/>
    </row>
    <row r="55" spans="1:12" s="9" customFormat="1" ht="14.1" customHeight="1" x14ac:dyDescent="0.25">
      <c r="A55" s="227">
        <v>7</v>
      </c>
      <c r="B55" s="228">
        <f t="shared" ca="1" si="0"/>
        <v>36</v>
      </c>
      <c r="C55" s="229" t="str">
        <f t="shared" ca="1" si="0"/>
        <v>PCS</v>
      </c>
      <c r="D55" s="230" t="str">
        <f t="shared" ca="1" si="0"/>
        <v/>
      </c>
      <c r="E55" s="231" t="str">
        <f t="shared" ca="1" si="0"/>
        <v>GARISAN BESI (STAINLESS STEEL) KENKO 50 CM</v>
      </c>
      <c r="F55" s="232"/>
      <c r="G55" s="233"/>
      <c r="H55" s="234">
        <f t="shared" ca="1" si="1"/>
        <v>17950</v>
      </c>
      <c r="I55" s="235">
        <f t="shared" ca="1" si="1"/>
        <v>0.14499999999999999</v>
      </c>
      <c r="J55" s="235" t="str">
        <f t="shared" ca="1" si="1"/>
        <v/>
      </c>
      <c r="K55" s="236">
        <f t="shared" ca="1" si="1"/>
        <v>552501</v>
      </c>
      <c r="L55" s="218"/>
    </row>
    <row r="56" spans="1:12" s="9" customFormat="1" ht="14.1" customHeight="1" x14ac:dyDescent="0.25">
      <c r="A56" s="227">
        <v>8</v>
      </c>
      <c r="B56" s="228">
        <f t="shared" ca="1" si="0"/>
        <v>72</v>
      </c>
      <c r="C56" s="229" t="str">
        <f t="shared" ca="1" si="0"/>
        <v>PCS</v>
      </c>
      <c r="D56" s="230" t="str">
        <f t="shared" ca="1" si="0"/>
        <v/>
      </c>
      <c r="E56" s="231" t="str">
        <f t="shared" ca="1" si="0"/>
        <v>STAMP PAD KENKO NO. 0</v>
      </c>
      <c r="F56" s="232"/>
      <c r="G56" s="233"/>
      <c r="H56" s="234">
        <f t="shared" ca="1" si="1"/>
        <v>4950</v>
      </c>
      <c r="I56" s="235">
        <f t="shared" ca="1" si="1"/>
        <v>0.14499999999999999</v>
      </c>
      <c r="J56" s="235" t="str">
        <f t="shared" ca="1" si="1"/>
        <v/>
      </c>
      <c r="K56" s="236">
        <f t="shared" ca="1" si="1"/>
        <v>304722</v>
      </c>
      <c r="L56" s="218"/>
    </row>
    <row r="57" spans="1:12" s="9" customFormat="1" ht="14.1" customHeight="1" x14ac:dyDescent="0.25">
      <c r="A57" s="227">
        <v>9</v>
      </c>
      <c r="B57" s="228">
        <f t="shared" ca="1" si="0"/>
        <v>84</v>
      </c>
      <c r="C57" s="229" t="str">
        <f t="shared" ca="1" si="0"/>
        <v>PCS</v>
      </c>
      <c r="D57" s="230" t="str">
        <f t="shared" ca="1" si="0"/>
        <v/>
      </c>
      <c r="E57" s="231" t="str">
        <f t="shared" ca="1" si="0"/>
        <v>STAMP PAD KENKO NO. 1</v>
      </c>
      <c r="F57" s="232"/>
      <c r="G57" s="233"/>
      <c r="H57" s="234">
        <f t="shared" ca="1" si="1"/>
        <v>5900</v>
      </c>
      <c r="I57" s="235">
        <f t="shared" ca="1" si="1"/>
        <v>0.14499999999999999</v>
      </c>
      <c r="J57" s="235" t="str">
        <f t="shared" ca="1" si="1"/>
        <v/>
      </c>
      <c r="K57" s="236">
        <f t="shared" ca="1" si="1"/>
        <v>423738</v>
      </c>
      <c r="L57" s="218"/>
    </row>
    <row r="58" spans="1:12" s="9" customFormat="1" ht="14.1" customHeight="1" x14ac:dyDescent="0.25">
      <c r="A58" s="227">
        <v>10</v>
      </c>
      <c r="B58" s="228">
        <f t="shared" ca="1" si="0"/>
        <v>60</v>
      </c>
      <c r="C58" s="229" t="str">
        <f t="shared" ca="1" si="0"/>
        <v>PCS</v>
      </c>
      <c r="D58" s="230" t="str">
        <f t="shared" ca="1" si="0"/>
        <v/>
      </c>
      <c r="E58" s="231" t="str">
        <f t="shared" ca="1" si="0"/>
        <v>DATE STAMP KENKO D-4 (Cap Tanggal 4 Mm)</v>
      </c>
      <c r="F58" s="232"/>
      <c r="G58" s="233"/>
      <c r="H58" s="234">
        <f t="shared" ca="1" si="1"/>
        <v>6200</v>
      </c>
      <c r="I58" s="235">
        <f t="shared" ca="1" si="1"/>
        <v>0.14499999999999999</v>
      </c>
      <c r="J58" s="235" t="str">
        <f t="shared" ca="1" si="1"/>
        <v/>
      </c>
      <c r="K58" s="236">
        <f t="shared" ca="1" si="1"/>
        <v>318060</v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8"/>
      <c r="K66" s="538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9">
        <f ca="1">J29</f>
        <v>3588093</v>
      </c>
      <c r="K67" s="540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41"/>
      <c r="K68" s="541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8"/>
      <c r="K70" s="538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9">
        <f ca="1">J33</f>
        <v>355576.78378378373</v>
      </c>
      <c r="K71" s="540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8"/>
      <c r="K72" s="538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3588093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42" t="str">
        <f ca="1">J37</f>
        <v>NOVI / CONDRO</v>
      </c>
      <c r="K75" s="543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42" t="str">
        <f ca="1">J38</f>
        <v/>
      </c>
      <c r="K76" s="543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23120038</v>
      </c>
      <c r="F79" s="97"/>
      <c r="G79" s="98" t="s">
        <v>16</v>
      </c>
      <c r="H79" s="544" t="str">
        <f ca="1">H41</f>
        <v>CV RAINBOW NUSANTARA</v>
      </c>
      <c r="I79" s="544"/>
      <c r="J79" s="544"/>
      <c r="K79" s="545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8" t="s">
        <v>18</v>
      </c>
      <c r="G80" s="104"/>
      <c r="H80" s="546"/>
      <c r="I80" s="546"/>
      <c r="J80" s="546"/>
      <c r="K80" s="547"/>
      <c r="L80" s="99"/>
    </row>
    <row r="81" spans="1:12" s="9" customFormat="1" ht="16.5" customHeight="1" x14ac:dyDescent="0.3">
      <c r="A81" s="92"/>
      <c r="B81" s="93" t="s">
        <v>2</v>
      </c>
      <c r="C81" s="94"/>
      <c r="D81" s="549">
        <f ca="1">D43</f>
        <v>45290</v>
      </c>
      <c r="E81" s="550"/>
      <c r="F81" s="548"/>
      <c r="G81" s="105"/>
      <c r="H81" s="551" t="str">
        <f ca="1">H43</f>
        <v/>
      </c>
      <c r="I81" s="551"/>
      <c r="J81" s="551"/>
      <c r="K81" s="552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8"/>
      <c r="G82" s="105"/>
      <c r="H82" s="553" t="str">
        <f ca="1">H44</f>
        <v>SIDOARJO</v>
      </c>
      <c r="I82" s="553"/>
      <c r="J82" s="553"/>
      <c r="K82" s="554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4967</v>
      </c>
      <c r="E83" s="96"/>
      <c r="F83" s="109"/>
      <c r="G83" s="110"/>
      <c r="H83" s="555"/>
      <c r="I83" s="555"/>
      <c r="J83" s="555"/>
      <c r="K83" s="556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23</v>
      </c>
      <c r="C87" s="136" t="str">
        <f t="shared" ca="1" si="2"/>
        <v>PCS</v>
      </c>
      <c r="D87" s="137" t="str">
        <f t="shared" ca="1" si="2"/>
        <v/>
      </c>
      <c r="E87" s="138" t="str">
        <f t="shared" ca="1" si="2"/>
        <v>HAND TALLY COUNTER KENKO HT-302</v>
      </c>
      <c r="F87" s="139"/>
      <c r="G87" s="140"/>
      <c r="H87" s="141">
        <f t="shared" ref="H87:K102" ca="1" si="3">H49</f>
        <v>19000</v>
      </c>
      <c r="I87" s="142">
        <f t="shared" ca="1" si="3"/>
        <v>0.14499999999999999</v>
      </c>
      <c r="J87" s="142" t="str">
        <f t="shared" ca="1" si="3"/>
        <v/>
      </c>
      <c r="K87" s="143">
        <f t="shared" ca="1" si="3"/>
        <v>373635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36</v>
      </c>
      <c r="C88" s="136" t="str">
        <f t="shared" ca="1" si="2"/>
        <v>PCS</v>
      </c>
      <c r="D88" s="137" t="str">
        <f t="shared" ca="1" si="2"/>
        <v/>
      </c>
      <c r="E88" s="138" t="str">
        <f t="shared" ca="1" si="2"/>
        <v>JANGKA (COMPASS SET) KENKO C-168 / MS-75</v>
      </c>
      <c r="F88" s="139"/>
      <c r="G88" s="140"/>
      <c r="H88" s="141">
        <f t="shared" ca="1" si="3"/>
        <v>7500</v>
      </c>
      <c r="I88" s="142">
        <f t="shared" ca="1" si="3"/>
        <v>0.14499999999999999</v>
      </c>
      <c r="J88" s="142" t="str">
        <f t="shared" ca="1" si="3"/>
        <v/>
      </c>
      <c r="K88" s="143">
        <f t="shared" ca="1" si="3"/>
        <v>230850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72</v>
      </c>
      <c r="C89" s="136" t="str">
        <f t="shared" ca="1" si="2"/>
        <v>PCS</v>
      </c>
      <c r="D89" s="137" t="str">
        <f t="shared" ca="1" si="2"/>
        <v/>
      </c>
      <c r="E89" s="138" t="str">
        <f t="shared" ca="1" si="2"/>
        <v>JANGKA (COMPASS SET) KENKO C-528 / MS-55</v>
      </c>
      <c r="F89" s="139"/>
      <c r="G89" s="140"/>
      <c r="H89" s="141">
        <f t="shared" ca="1" si="3"/>
        <v>7500</v>
      </c>
      <c r="I89" s="142">
        <f t="shared" ca="1" si="3"/>
        <v>0.14499999999999999</v>
      </c>
      <c r="J89" s="142" t="str">
        <f t="shared" ca="1" si="3"/>
        <v/>
      </c>
      <c r="K89" s="143">
        <f t="shared" ca="1" si="3"/>
        <v>461700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96</v>
      </c>
      <c r="C90" s="136" t="str">
        <f t="shared" ca="1" si="2"/>
        <v>PCS</v>
      </c>
      <c r="D90" s="137" t="str">
        <f t="shared" ca="1" si="2"/>
        <v/>
      </c>
      <c r="E90" s="138" t="str">
        <f t="shared" ca="1" si="2"/>
        <v>PENSIL WARNA KENKO CP-12HALF CLASSIC (PENDEK)</v>
      </c>
      <c r="F90" s="139"/>
      <c r="G90" s="140"/>
      <c r="H90" s="141">
        <f t="shared" ca="1" si="3"/>
        <v>6600</v>
      </c>
      <c r="I90" s="142">
        <f t="shared" ca="1" si="3"/>
        <v>0.14499999999999999</v>
      </c>
      <c r="J90" s="142" t="str">
        <f t="shared" ca="1" si="3"/>
        <v/>
      </c>
      <c r="K90" s="143">
        <f t="shared" ca="1" si="3"/>
        <v>541728</v>
      </c>
      <c r="L90" s="125"/>
    </row>
    <row r="91" spans="1:12" s="9" customFormat="1" ht="14.1" customHeight="1" x14ac:dyDescent="0.25">
      <c r="A91" s="134">
        <v>5</v>
      </c>
      <c r="B91" s="135">
        <f t="shared" ca="1" si="2"/>
        <v>12</v>
      </c>
      <c r="C91" s="136" t="str">
        <f t="shared" ca="1" si="2"/>
        <v>PCS</v>
      </c>
      <c r="D91" s="137" t="str">
        <f t="shared" ca="1" si="2"/>
        <v/>
      </c>
      <c r="E91" s="138" t="str">
        <f t="shared" ca="1" si="2"/>
        <v>GARISAN BESI (STAINLESS STEEL) KENKO 15 CM</v>
      </c>
      <c r="F91" s="139"/>
      <c r="G91" s="140"/>
      <c r="H91" s="141">
        <f t="shared" ca="1" si="3"/>
        <v>3150</v>
      </c>
      <c r="I91" s="142">
        <f t="shared" ca="1" si="3"/>
        <v>0.14499999999999999</v>
      </c>
      <c r="J91" s="142" t="str">
        <f t="shared" ca="1" si="3"/>
        <v/>
      </c>
      <c r="K91" s="143">
        <f t="shared" ca="1" si="3"/>
        <v>32319</v>
      </c>
      <c r="L91" s="125"/>
    </row>
    <row r="92" spans="1:12" s="9" customFormat="1" ht="14.1" customHeight="1" x14ac:dyDescent="0.25">
      <c r="A92" s="134">
        <v>6</v>
      </c>
      <c r="B92" s="135">
        <f t="shared" ca="1" si="2"/>
        <v>30</v>
      </c>
      <c r="C92" s="136" t="str">
        <f t="shared" ca="1" si="2"/>
        <v>PCS</v>
      </c>
      <c r="D92" s="137" t="str">
        <f t="shared" ca="1" si="2"/>
        <v/>
      </c>
      <c r="E92" s="138" t="str">
        <f t="shared" ca="1" si="2"/>
        <v>GARISAN BESI (STAINLESS STEEL) KENKO 40 CM</v>
      </c>
      <c r="F92" s="139"/>
      <c r="G92" s="140"/>
      <c r="H92" s="141">
        <f t="shared" ca="1" si="3"/>
        <v>13600</v>
      </c>
      <c r="I92" s="142">
        <f t="shared" ca="1" si="3"/>
        <v>0.14499999999999999</v>
      </c>
      <c r="J92" s="142" t="str">
        <f t="shared" ca="1" si="3"/>
        <v/>
      </c>
      <c r="K92" s="143">
        <f t="shared" ca="1" si="3"/>
        <v>348840</v>
      </c>
      <c r="L92" s="125"/>
    </row>
    <row r="93" spans="1:12" s="9" customFormat="1" ht="14.1" customHeight="1" x14ac:dyDescent="0.25">
      <c r="A93" s="134">
        <v>7</v>
      </c>
      <c r="B93" s="135">
        <f t="shared" ca="1" si="2"/>
        <v>36</v>
      </c>
      <c r="C93" s="136" t="str">
        <f t="shared" ca="1" si="2"/>
        <v>PCS</v>
      </c>
      <c r="D93" s="137" t="str">
        <f t="shared" ca="1" si="2"/>
        <v/>
      </c>
      <c r="E93" s="138" t="str">
        <f t="shared" ca="1" si="2"/>
        <v>GARISAN BESI (STAINLESS STEEL) KENKO 50 CM</v>
      </c>
      <c r="F93" s="139"/>
      <c r="G93" s="140"/>
      <c r="H93" s="141">
        <f t="shared" ca="1" si="3"/>
        <v>17950</v>
      </c>
      <c r="I93" s="142">
        <f t="shared" ca="1" si="3"/>
        <v>0.14499999999999999</v>
      </c>
      <c r="J93" s="142" t="str">
        <f t="shared" ca="1" si="3"/>
        <v/>
      </c>
      <c r="K93" s="143">
        <f t="shared" ca="1" si="3"/>
        <v>552501</v>
      </c>
      <c r="L93" s="125"/>
    </row>
    <row r="94" spans="1:12" s="9" customFormat="1" ht="14.1" customHeight="1" x14ac:dyDescent="0.25">
      <c r="A94" s="134">
        <v>8</v>
      </c>
      <c r="B94" s="135">
        <f t="shared" ca="1" si="2"/>
        <v>72</v>
      </c>
      <c r="C94" s="136" t="str">
        <f t="shared" ca="1" si="2"/>
        <v>PCS</v>
      </c>
      <c r="D94" s="137" t="str">
        <f t="shared" ca="1" si="2"/>
        <v/>
      </c>
      <c r="E94" s="138" t="str">
        <f t="shared" ca="1" si="2"/>
        <v>STAMP PAD KENKO NO. 0</v>
      </c>
      <c r="F94" s="139"/>
      <c r="G94" s="140"/>
      <c r="H94" s="141">
        <f t="shared" ca="1" si="3"/>
        <v>4950</v>
      </c>
      <c r="I94" s="142">
        <f t="shared" ca="1" si="3"/>
        <v>0.14499999999999999</v>
      </c>
      <c r="J94" s="142" t="str">
        <f t="shared" ca="1" si="3"/>
        <v/>
      </c>
      <c r="K94" s="143">
        <f t="shared" ca="1" si="3"/>
        <v>304722</v>
      </c>
      <c r="L94" s="125"/>
    </row>
    <row r="95" spans="1:12" s="9" customFormat="1" ht="14.1" customHeight="1" x14ac:dyDescent="0.25">
      <c r="A95" s="134">
        <v>9</v>
      </c>
      <c r="B95" s="135">
        <f t="shared" ca="1" si="2"/>
        <v>84</v>
      </c>
      <c r="C95" s="136" t="str">
        <f t="shared" ca="1" si="2"/>
        <v>PCS</v>
      </c>
      <c r="D95" s="137" t="str">
        <f t="shared" ca="1" si="2"/>
        <v/>
      </c>
      <c r="E95" s="138" t="str">
        <f t="shared" ca="1" si="2"/>
        <v>STAMP PAD KENKO NO. 1</v>
      </c>
      <c r="F95" s="139"/>
      <c r="G95" s="140"/>
      <c r="H95" s="141">
        <f t="shared" ca="1" si="3"/>
        <v>5900</v>
      </c>
      <c r="I95" s="142">
        <f t="shared" ca="1" si="3"/>
        <v>0.14499999999999999</v>
      </c>
      <c r="J95" s="142" t="str">
        <f t="shared" ca="1" si="3"/>
        <v/>
      </c>
      <c r="K95" s="143">
        <f t="shared" ca="1" si="3"/>
        <v>423738</v>
      </c>
      <c r="L95" s="125"/>
    </row>
    <row r="96" spans="1:12" s="9" customFormat="1" ht="14.1" customHeight="1" x14ac:dyDescent="0.25">
      <c r="A96" s="134">
        <v>10</v>
      </c>
      <c r="B96" s="135">
        <f t="shared" ca="1" si="2"/>
        <v>60</v>
      </c>
      <c r="C96" s="136" t="str">
        <f t="shared" ca="1" si="2"/>
        <v>PCS</v>
      </c>
      <c r="D96" s="137" t="str">
        <f t="shared" ca="1" si="2"/>
        <v/>
      </c>
      <c r="E96" s="138" t="str">
        <f t="shared" ca="1" si="2"/>
        <v>DATE STAMP KENKO D-4 (Cap Tanggal 4 Mm)</v>
      </c>
      <c r="F96" s="139"/>
      <c r="G96" s="140"/>
      <c r="H96" s="141">
        <f t="shared" ca="1" si="3"/>
        <v>6200</v>
      </c>
      <c r="I96" s="142">
        <f t="shared" ca="1" si="3"/>
        <v>0.14499999999999999</v>
      </c>
      <c r="J96" s="142" t="str">
        <f t="shared" ca="1" si="3"/>
        <v/>
      </c>
      <c r="K96" s="143">
        <f t="shared" ca="1" si="3"/>
        <v>318060</v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7"/>
      <c r="K104" s="557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8">
        <f ca="1">J67</f>
        <v>3588093</v>
      </c>
      <c r="K105" s="559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62"/>
      <c r="K106" s="56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7"/>
      <c r="K108" s="557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8">
        <f ca="1">J71</f>
        <v>355576.78378378373</v>
      </c>
      <c r="K109" s="559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7"/>
      <c r="K110" s="557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3588093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60" t="str">
        <f ca="1">J75</f>
        <v>NOVI / CONDRO</v>
      </c>
      <c r="K113" s="56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60" t="str">
        <f ca="1">J76</f>
        <v/>
      </c>
      <c r="K114" s="56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view="pageLayout" topLeftCell="A5" zoomScaleNormal="85" workbookViewId="0">
      <selection activeCell="F10" sqref="F10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153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RAINBOW</v>
      </c>
      <c r="F1" t="s">
        <v>43</v>
      </c>
      <c r="G1">
        <f ca="1">INDEX(Table1[h_jumlahbarang],newestIdRow-offset)</f>
        <v>10</v>
      </c>
      <c r="I1" s="505" t="s">
        <v>71</v>
      </c>
      <c r="J1" s="505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23120038</v>
      </c>
      <c r="G3" s="10" t="s">
        <v>16</v>
      </c>
      <c r="H3" s="512" t="str">
        <f ca="1">INDEX(Table2[b],MATCH(kToko,Table2[a],0))</f>
        <v>CV RAINBOW NUSANTARA</v>
      </c>
      <c r="I3" s="512"/>
      <c r="J3" s="512"/>
      <c r="K3" s="51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6" t="s">
        <v>18</v>
      </c>
      <c r="G4" s="16"/>
      <c r="H4" s="514"/>
      <c r="I4" s="514"/>
      <c r="J4" s="514"/>
      <c r="K4" s="515"/>
      <c r="L4" s="11"/>
    </row>
    <row r="5" spans="1:12" s="9" customFormat="1" ht="16.5" customHeight="1" x14ac:dyDescent="0.3">
      <c r="A5" s="6"/>
      <c r="B5" s="1" t="s">
        <v>2</v>
      </c>
      <c r="C5" s="7"/>
      <c r="D5" s="517">
        <f ca="1">INDEX(Table1[Tgl Invoice :],newestIdRow-offset)</f>
        <v>45290</v>
      </c>
      <c r="E5" s="518"/>
      <c r="F5" s="516"/>
      <c r="G5" s="17"/>
      <c r="H5" s="519" t="str">
        <f ca="1">IF(INDEX(Table2[c],MATCH(kToko,Table2[a],0))="","",INDEX(Table2[c],MATCH(kToko,Table2[a],0)))</f>
        <v/>
      </c>
      <c r="I5" s="519"/>
      <c r="J5" s="519"/>
      <c r="K5" s="520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6"/>
      <c r="G6" s="17"/>
      <c r="H6" s="521" t="str">
        <f ca="1">INDEX(Table2[d],MATCH(kToko,Table2[a],0))</f>
        <v>SIDOARJO</v>
      </c>
      <c r="I6" s="521"/>
      <c r="J6" s="521"/>
      <c r="K6" s="522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4967</v>
      </c>
      <c r="E7" s="8"/>
      <c r="F7" s="20"/>
      <c r="G7" s="21"/>
      <c r="H7" s="523"/>
      <c r="I7" s="523"/>
      <c r="J7" s="523"/>
      <c r="K7" s="524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23</v>
      </c>
      <c r="C11" s="45" t="str">
        <f ca="1">IF(A11&gt;jumlahBarang,"",UPPER((INDEX(Table1[Unit],newestIdRow-offset+A11-1))))</f>
        <v>PCS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HAND TALLY COUNTER KENKO HT-302</v>
      </c>
      <c r="F11" s="48"/>
      <c r="G11" s="49"/>
      <c r="H11" s="50">
        <f ca="1">IF(A11&gt;jumlahBarang,"",INDEX(Table1[Unit Price],newestIdRow-offset+A11-1))</f>
        <v>19000</v>
      </c>
      <c r="I11" s="51">
        <f ca="1">IF(A11&gt;jumlahBarang,"",IF(INDEX(Table1[Disc 1],newestIdRow-offset+A11-1)="","",INDEX(Table1[Disc 1],newestIdRow-offset+A11-1)))</f>
        <v>0.14499999999999999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373635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36</v>
      </c>
      <c r="C12" s="45" t="str">
        <f ca="1">IF(A12&gt;jumlahBarang,"",UPPER((INDEX(Table1[Unit],newestIdRow-offset+A12-1))))</f>
        <v>PCS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JANGKA (COMPASS SET) KENKO C-168 / MS-75</v>
      </c>
      <c r="F12" s="48"/>
      <c r="G12" s="49"/>
      <c r="H12" s="50">
        <f ca="1">IF(A12&gt;jumlahBarang,"",INDEX(Table1[Unit Price],newestIdRow-offset+A12-1))</f>
        <v>7500</v>
      </c>
      <c r="I12" s="51">
        <f ca="1">IF(A12&gt;jumlahBarang,"",IF(INDEX(Table1[Disc 1],newestIdRow-offset+A12-1)="","",INDEX(Table1[Disc 1],newestIdRow-offset+A12-1)))</f>
        <v>0.14499999999999999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230850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72</v>
      </c>
      <c r="C13" s="45" t="str">
        <f ca="1">IF(A13&gt;jumlahBarang,"",UPPER((INDEX(Table1[Unit],newestIdRow-offset+A13-1))))</f>
        <v>PCS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JANGKA (COMPASS SET) KENKO C-528 / MS-55</v>
      </c>
      <c r="F13" s="48"/>
      <c r="G13" s="49"/>
      <c r="H13" s="50">
        <f ca="1">IF(A13&gt;jumlahBarang,"",INDEX(Table1[Unit Price],newestIdRow-offset+A13-1))</f>
        <v>7500</v>
      </c>
      <c r="I13" s="51">
        <f ca="1">IF(A13&gt;jumlahBarang,"",IF(INDEX(Table1[Disc 1],newestIdRow-offset+A13-1)="","",INDEX(Table1[Disc 1],newestIdRow-offset+A13-1)))</f>
        <v>0.14499999999999999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461700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96</v>
      </c>
      <c r="C14" s="45" t="str">
        <f ca="1">IF(A14&gt;jumlahBarang,"",UPPER((INDEX(Table1[Unit],newestIdRow-offset+A14-1))))</f>
        <v>PCS</v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>PENSIL WARNA KENKO CP-12HALF CLASSIC (PENDEK)</v>
      </c>
      <c r="F14" s="48"/>
      <c r="G14" s="49"/>
      <c r="H14" s="50">
        <f ca="1">IF(A14&gt;jumlahBarang,"",INDEX(Table1[Unit Price],newestIdRow-offset+A14-1))</f>
        <v>6600</v>
      </c>
      <c r="I14" s="51">
        <f ca="1">IF(A14&gt;jumlahBarang,"",IF(INDEX(Table1[Disc 1],newestIdRow-offset+A14-1)="","",INDEX(Table1[Disc 1],newestIdRow-offset+A14-1)))</f>
        <v>0.14499999999999999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541728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12</v>
      </c>
      <c r="C15" s="45" t="str">
        <f ca="1">IF(A15&gt;jumlahBarang,"",UPPER((INDEX(Table1[Unit],newestIdRow-offset+A15-1))))</f>
        <v>PCS</v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>GARISAN BESI (STAINLESS STEEL) KENKO 15 CM</v>
      </c>
      <c r="F15" s="48"/>
      <c r="G15" s="49"/>
      <c r="H15" s="50">
        <f ca="1">IF(A15&gt;jumlahBarang,"",INDEX(Table1[Unit Price],newestIdRow-offset+A15-1))</f>
        <v>3150</v>
      </c>
      <c r="I15" s="51">
        <f ca="1">IF(A15&gt;jumlahBarang,"",IF(INDEX(Table1[Disc 1],newestIdRow-offset+A15-1)="","",INDEX(Table1[Disc 1],newestIdRow-offset+A15-1)))</f>
        <v>0.14499999999999999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32319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30</v>
      </c>
      <c r="C16" s="45" t="str">
        <f ca="1">IF(A16&gt;jumlahBarang,"",UPPER((INDEX(Table1[Unit],newestIdRow-offset+A16-1))))</f>
        <v>PCS</v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>GARISAN BESI (STAINLESS STEEL) KENKO 40 CM</v>
      </c>
      <c r="F16" s="48"/>
      <c r="G16" s="49"/>
      <c r="H16" s="50">
        <f ca="1">IF(A16&gt;jumlahBarang,"",INDEX(Table1[Unit Price],newestIdRow-offset+A16-1))</f>
        <v>13600</v>
      </c>
      <c r="I16" s="51">
        <f ca="1">IF(A16&gt;jumlahBarang,"",IF(INDEX(Table1[Disc 1],newestIdRow-offset+A16-1)="","",INDEX(Table1[Disc 1],newestIdRow-offset+A16-1)))</f>
        <v>0.14499999999999999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348840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36</v>
      </c>
      <c r="C17" s="45" t="str">
        <f ca="1">IF(A17&gt;jumlahBarang,"",UPPER((INDEX(Table1[Unit],newestIdRow-offset+A17-1))))</f>
        <v>PCS</v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>GARISAN BESI (STAINLESS STEEL) KENKO 50 CM</v>
      </c>
      <c r="F17" s="48"/>
      <c r="G17" s="49"/>
      <c r="H17" s="50">
        <f ca="1">IF(A17&gt;jumlahBarang,"",INDEX(Table1[Unit Price],newestIdRow-offset+A17-1))</f>
        <v>17950</v>
      </c>
      <c r="I17" s="51">
        <f ca="1">IF(A17&gt;jumlahBarang,"",IF(INDEX(Table1[Disc 1],newestIdRow-offset+A17-1)="","",INDEX(Table1[Disc 1],newestIdRow-offset+A17-1)))</f>
        <v>0.14499999999999999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552501</v>
      </c>
      <c r="L17" s="35"/>
    </row>
    <row r="18" spans="1:12" s="9" customFormat="1" ht="14.1" customHeight="1" x14ac:dyDescent="0.25">
      <c r="A18" s="44">
        <v>8</v>
      </c>
      <c r="B18" s="45">
        <f ca="1">IF(A18&gt;jumlahBarang,"",INDEX(Table1[Qty],newestIdRow-offset+A18-1))</f>
        <v>72</v>
      </c>
      <c r="C18" s="45" t="str">
        <f ca="1">IF(A18&gt;jumlahBarang,"",UPPER((INDEX(Table1[Unit],newestIdRow-offset+A18-1))))</f>
        <v>PCS</v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>STAMP PAD KENKO NO. 0</v>
      </c>
      <c r="F18" s="48"/>
      <c r="G18" s="49"/>
      <c r="H18" s="50">
        <f ca="1">IF(A18&gt;jumlahBarang,"",INDEX(Table1[Unit Price],newestIdRow-offset+A18-1))</f>
        <v>4950</v>
      </c>
      <c r="I18" s="51">
        <f ca="1">IF(A18&gt;jumlahBarang,"",IF(INDEX(Table1[Disc 1],newestIdRow-offset+A18-1)="","",INDEX(Table1[Disc 1],newestIdRow-offset+A18-1)))</f>
        <v>0.14499999999999999</v>
      </c>
      <c r="J18" s="51" t="str">
        <f ca="1">IF(A18&gt;jumlahBarang,"",IF(INDEX(Table1[Disc 2],newestIdRow-offset+A18-1)="","",INDEX(Table1[Disc 2],newestIdRow-offset+A18-1)))</f>
        <v/>
      </c>
      <c r="K18" s="52">
        <f ca="1">IF(A18&gt;jumlahBarang,"",INDEX(Table1[Amount],newestIdRow-offset+A18-1))</f>
        <v>304722</v>
      </c>
      <c r="L18" s="35"/>
    </row>
    <row r="19" spans="1:12" s="9" customFormat="1" ht="14.1" customHeight="1" x14ac:dyDescent="0.25">
      <c r="A19" s="44">
        <v>9</v>
      </c>
      <c r="B19" s="45">
        <f ca="1">IF(A19&gt;jumlahBarang,"",INDEX(Table1[Qty],newestIdRow-offset+A19-1))</f>
        <v>84</v>
      </c>
      <c r="C19" s="45" t="str">
        <f ca="1">IF(A19&gt;jumlahBarang,"",UPPER((INDEX(Table1[Unit],newestIdRow-offset+A19-1))))</f>
        <v>PCS</v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>STAMP PAD KENKO NO. 1</v>
      </c>
      <c r="F19" s="48"/>
      <c r="G19" s="49"/>
      <c r="H19" s="50">
        <f ca="1">IF(A19&gt;jumlahBarang,"",INDEX(Table1[Unit Price],newestIdRow-offset+A19-1))</f>
        <v>5900</v>
      </c>
      <c r="I19" s="51">
        <f ca="1">IF(A19&gt;jumlahBarang,"",IF(INDEX(Table1[Disc 1],newestIdRow-offset+A19-1)="","",INDEX(Table1[Disc 1],newestIdRow-offset+A19-1)))</f>
        <v>0.14499999999999999</v>
      </c>
      <c r="J19" s="51" t="str">
        <f ca="1">IF(A19&gt;jumlahBarang,"",IF(INDEX(Table1[Disc 2],newestIdRow-offset+A19-1)="","",INDEX(Table1[Disc 2],newestIdRow-offset+A19-1)))</f>
        <v/>
      </c>
      <c r="K19" s="52">
        <f ca="1">IF(A19&gt;jumlahBarang,"",INDEX(Table1[Amount],newestIdRow-offset+A19-1))</f>
        <v>423738</v>
      </c>
      <c r="L19" s="35"/>
    </row>
    <row r="20" spans="1:12" s="9" customFormat="1" ht="14.1" customHeight="1" x14ac:dyDescent="0.25">
      <c r="A20" s="44">
        <v>10</v>
      </c>
      <c r="B20" s="45">
        <f ca="1">IF(A20&gt;jumlahBarang,"",INDEX(Table1[Qty],newestIdRow-offset+A20-1))</f>
        <v>60</v>
      </c>
      <c r="C20" s="45" t="str">
        <f ca="1">IF(A20&gt;jumlahBarang,"",UPPER((INDEX(Table1[Unit],newestIdRow-offset+A20-1))))</f>
        <v>PCS</v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>DATE STAMP KENKO D-4 (Cap Tanggal 4 Mm)</v>
      </c>
      <c r="F20" s="48"/>
      <c r="G20" s="49"/>
      <c r="H20" s="50">
        <f ca="1">IF(A20&gt;jumlahBarang,"",INDEX(Table1[Unit Price],newestIdRow-offset+A20-1))</f>
        <v>6200</v>
      </c>
      <c r="I20" s="51">
        <f ca="1">IF(A20&gt;jumlahBarang,"",IF(INDEX(Table1[Disc 1],newestIdRow-offset+A20-1)="","",INDEX(Table1[Disc 1],newestIdRow-offset+A20-1)))</f>
        <v>0.14499999999999999</v>
      </c>
      <c r="J20" s="51" t="str">
        <f ca="1">IF(A20&gt;jumlahBarang,"",IF(INDEX(Table1[Disc 2],newestIdRow-offset+A20-1)="","",INDEX(Table1[Disc 2],newestIdRow-offset+A20-1)))</f>
        <v/>
      </c>
      <c r="K20" s="52">
        <f ca="1">IF(A20&gt;jumlahBarang,"",INDEX(Table1[Amount],newestIdRow-offset+A20-1))</f>
        <v>318060</v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3"/>
      <c r="K28" s="564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8">
        <f ca="1">INDEX(pajak[Sub Total],MATCH(newestIdRow,pajak[//],0))</f>
        <v>3588093</v>
      </c>
      <c r="K29" s="565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6"/>
      <c r="K30" s="566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4"/>
      <c r="K32" s="564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7">
        <f ca="1">INDEX(pajak[PPN 11%],MATCH(newestIdRow,pajak[//],0))</f>
        <v>355576.78378378373</v>
      </c>
      <c r="K33" s="568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4"/>
      <c r="K34" s="564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3588093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9" t="str">
        <f ca="1">INDEX(pajak[pembuat nota],MATCH(newestIdRow,pajak[//],0))</f>
        <v>NOVI / CONDRO</v>
      </c>
      <c r="K37" s="570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9" t="str">
        <f ca="1">INDEX(pajak[edited],MATCH(newestIdRow,pajak[//],0))</f>
        <v/>
      </c>
      <c r="K38" s="570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23120038</v>
      </c>
      <c r="F41" s="190"/>
      <c r="G41" s="191" t="s">
        <v>16</v>
      </c>
      <c r="H41" s="525" t="str">
        <f ca="1">H3</f>
        <v>CV RAINBOW NUSANTARA</v>
      </c>
      <c r="I41" s="525"/>
      <c r="J41" s="525"/>
      <c r="K41" s="526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9" t="s">
        <v>18</v>
      </c>
      <c r="G42" s="197"/>
      <c r="H42" s="527"/>
      <c r="I42" s="527"/>
      <c r="J42" s="527"/>
      <c r="K42" s="528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0">
        <f ca="1">D5</f>
        <v>45290</v>
      </c>
      <c r="E43" s="531"/>
      <c r="F43" s="529"/>
      <c r="G43" s="198"/>
      <c r="H43" s="532" t="str">
        <f ca="1">H5</f>
        <v/>
      </c>
      <c r="I43" s="532"/>
      <c r="J43" s="532"/>
      <c r="K43" s="533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9"/>
      <c r="G44" s="198"/>
      <c r="H44" s="534" t="str">
        <f ca="1">H6</f>
        <v>SIDOARJO</v>
      </c>
      <c r="I44" s="534"/>
      <c r="J44" s="534"/>
      <c r="K44" s="535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4967</v>
      </c>
      <c r="E45" s="189"/>
      <c r="F45" s="202"/>
      <c r="G45" s="203"/>
      <c r="H45" s="536"/>
      <c r="I45" s="536"/>
      <c r="J45" s="536"/>
      <c r="K45" s="537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23</v>
      </c>
      <c r="C49" s="229" t="str">
        <f t="shared" ca="1" si="0"/>
        <v>PCS</v>
      </c>
      <c r="D49" s="230" t="str">
        <f t="shared" ca="1" si="0"/>
        <v/>
      </c>
      <c r="E49" s="231" t="str">
        <f t="shared" ca="1" si="0"/>
        <v>HAND TALLY COUNTER KENKO HT-302</v>
      </c>
      <c r="F49" s="232"/>
      <c r="G49" s="233"/>
      <c r="H49" s="234">
        <f t="shared" ref="H49:K64" ca="1" si="1">H11</f>
        <v>19000</v>
      </c>
      <c r="I49" s="235">
        <f t="shared" ca="1" si="1"/>
        <v>0.14499999999999999</v>
      </c>
      <c r="J49" s="235" t="str">
        <f t="shared" ca="1" si="1"/>
        <v/>
      </c>
      <c r="K49" s="236">
        <f t="shared" ca="1" si="1"/>
        <v>373635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36</v>
      </c>
      <c r="C50" s="229" t="str">
        <f t="shared" ca="1" si="0"/>
        <v>PCS</v>
      </c>
      <c r="D50" s="230" t="str">
        <f t="shared" ca="1" si="0"/>
        <v/>
      </c>
      <c r="E50" s="231" t="str">
        <f t="shared" ca="1" si="0"/>
        <v>JANGKA (COMPASS SET) KENKO C-168 / MS-75</v>
      </c>
      <c r="F50" s="232"/>
      <c r="G50" s="233"/>
      <c r="H50" s="234">
        <f t="shared" ca="1" si="1"/>
        <v>7500</v>
      </c>
      <c r="I50" s="235">
        <f t="shared" ca="1" si="1"/>
        <v>0.14499999999999999</v>
      </c>
      <c r="J50" s="235" t="str">
        <f t="shared" ca="1" si="1"/>
        <v/>
      </c>
      <c r="K50" s="236">
        <f t="shared" ca="1" si="1"/>
        <v>230850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72</v>
      </c>
      <c r="C51" s="229" t="str">
        <f t="shared" ca="1" si="0"/>
        <v>PCS</v>
      </c>
      <c r="D51" s="230" t="str">
        <f t="shared" ca="1" si="0"/>
        <v/>
      </c>
      <c r="E51" s="231" t="str">
        <f t="shared" ca="1" si="0"/>
        <v>JANGKA (COMPASS SET) KENKO C-528 / MS-55</v>
      </c>
      <c r="F51" s="232"/>
      <c r="G51" s="233"/>
      <c r="H51" s="234">
        <f t="shared" ca="1" si="1"/>
        <v>7500</v>
      </c>
      <c r="I51" s="235">
        <f t="shared" ca="1" si="1"/>
        <v>0.14499999999999999</v>
      </c>
      <c r="J51" s="235" t="str">
        <f t="shared" ca="1" si="1"/>
        <v/>
      </c>
      <c r="K51" s="236">
        <f t="shared" ca="1" si="1"/>
        <v>461700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96</v>
      </c>
      <c r="C52" s="229" t="str">
        <f t="shared" ca="1" si="0"/>
        <v>PCS</v>
      </c>
      <c r="D52" s="230" t="str">
        <f t="shared" ca="1" si="0"/>
        <v/>
      </c>
      <c r="E52" s="231" t="str">
        <f t="shared" ca="1" si="0"/>
        <v>PENSIL WARNA KENKO CP-12HALF CLASSIC (PENDEK)</v>
      </c>
      <c r="F52" s="232"/>
      <c r="G52" s="233"/>
      <c r="H52" s="234">
        <f t="shared" ca="1" si="1"/>
        <v>6600</v>
      </c>
      <c r="I52" s="235">
        <f t="shared" ca="1" si="1"/>
        <v>0.14499999999999999</v>
      </c>
      <c r="J52" s="235" t="str">
        <f t="shared" ca="1" si="1"/>
        <v/>
      </c>
      <c r="K52" s="236">
        <f t="shared" ca="1" si="1"/>
        <v>541728</v>
      </c>
      <c r="L52" s="218"/>
    </row>
    <row r="53" spans="1:12" s="9" customFormat="1" ht="14.1" customHeight="1" x14ac:dyDescent="0.25">
      <c r="A53" s="227">
        <v>5</v>
      </c>
      <c r="B53" s="228">
        <f t="shared" ca="1" si="0"/>
        <v>12</v>
      </c>
      <c r="C53" s="229" t="str">
        <f t="shared" ca="1" si="0"/>
        <v>PCS</v>
      </c>
      <c r="D53" s="230" t="str">
        <f t="shared" ca="1" si="0"/>
        <v/>
      </c>
      <c r="E53" s="231" t="str">
        <f t="shared" ca="1" si="0"/>
        <v>GARISAN BESI (STAINLESS STEEL) KENKO 15 CM</v>
      </c>
      <c r="F53" s="232"/>
      <c r="G53" s="233"/>
      <c r="H53" s="234">
        <f t="shared" ca="1" si="1"/>
        <v>3150</v>
      </c>
      <c r="I53" s="235">
        <f t="shared" ca="1" si="1"/>
        <v>0.14499999999999999</v>
      </c>
      <c r="J53" s="235" t="str">
        <f t="shared" ca="1" si="1"/>
        <v/>
      </c>
      <c r="K53" s="236">
        <f t="shared" ca="1" si="1"/>
        <v>32319</v>
      </c>
      <c r="L53" s="218"/>
    </row>
    <row r="54" spans="1:12" s="9" customFormat="1" ht="14.1" customHeight="1" x14ac:dyDescent="0.25">
      <c r="A54" s="227">
        <v>6</v>
      </c>
      <c r="B54" s="228">
        <f t="shared" ca="1" si="0"/>
        <v>30</v>
      </c>
      <c r="C54" s="229" t="str">
        <f t="shared" ca="1" si="0"/>
        <v>PCS</v>
      </c>
      <c r="D54" s="230" t="str">
        <f t="shared" ca="1" si="0"/>
        <v/>
      </c>
      <c r="E54" s="231" t="str">
        <f t="shared" ca="1" si="0"/>
        <v>GARISAN BESI (STAINLESS STEEL) KENKO 40 CM</v>
      </c>
      <c r="F54" s="232"/>
      <c r="G54" s="233"/>
      <c r="H54" s="234">
        <f t="shared" ca="1" si="1"/>
        <v>13600</v>
      </c>
      <c r="I54" s="235">
        <f t="shared" ca="1" si="1"/>
        <v>0.14499999999999999</v>
      </c>
      <c r="J54" s="235" t="str">
        <f t="shared" ca="1" si="1"/>
        <v/>
      </c>
      <c r="K54" s="236">
        <f t="shared" ca="1" si="1"/>
        <v>348840</v>
      </c>
      <c r="L54" s="218"/>
    </row>
    <row r="55" spans="1:12" s="9" customFormat="1" ht="14.1" customHeight="1" x14ac:dyDescent="0.25">
      <c r="A55" s="227">
        <v>7</v>
      </c>
      <c r="B55" s="228">
        <f t="shared" ca="1" si="0"/>
        <v>36</v>
      </c>
      <c r="C55" s="229" t="str">
        <f t="shared" ca="1" si="0"/>
        <v>PCS</v>
      </c>
      <c r="D55" s="230" t="str">
        <f t="shared" ca="1" si="0"/>
        <v/>
      </c>
      <c r="E55" s="231" t="str">
        <f t="shared" ca="1" si="0"/>
        <v>GARISAN BESI (STAINLESS STEEL) KENKO 50 CM</v>
      </c>
      <c r="F55" s="232"/>
      <c r="G55" s="233"/>
      <c r="H55" s="234">
        <f t="shared" ca="1" si="1"/>
        <v>17950</v>
      </c>
      <c r="I55" s="235">
        <f t="shared" ca="1" si="1"/>
        <v>0.14499999999999999</v>
      </c>
      <c r="J55" s="235" t="str">
        <f t="shared" ca="1" si="1"/>
        <v/>
      </c>
      <c r="K55" s="236">
        <f t="shared" ca="1" si="1"/>
        <v>552501</v>
      </c>
      <c r="L55" s="218"/>
    </row>
    <row r="56" spans="1:12" s="9" customFormat="1" ht="14.1" customHeight="1" x14ac:dyDescent="0.25">
      <c r="A56" s="227">
        <v>8</v>
      </c>
      <c r="B56" s="228">
        <f t="shared" ca="1" si="0"/>
        <v>72</v>
      </c>
      <c r="C56" s="229" t="str">
        <f t="shared" ca="1" si="0"/>
        <v>PCS</v>
      </c>
      <c r="D56" s="230" t="str">
        <f t="shared" ca="1" si="0"/>
        <v/>
      </c>
      <c r="E56" s="231" t="str">
        <f t="shared" ca="1" si="0"/>
        <v>STAMP PAD KENKO NO. 0</v>
      </c>
      <c r="F56" s="232"/>
      <c r="G56" s="233"/>
      <c r="H56" s="234">
        <f t="shared" ca="1" si="1"/>
        <v>4950</v>
      </c>
      <c r="I56" s="235">
        <f t="shared" ca="1" si="1"/>
        <v>0.14499999999999999</v>
      </c>
      <c r="J56" s="235" t="str">
        <f t="shared" ca="1" si="1"/>
        <v/>
      </c>
      <c r="K56" s="236">
        <f t="shared" ca="1" si="1"/>
        <v>304722</v>
      </c>
      <c r="L56" s="218"/>
    </row>
    <row r="57" spans="1:12" s="9" customFormat="1" ht="14.1" customHeight="1" x14ac:dyDescent="0.25">
      <c r="A57" s="227">
        <v>9</v>
      </c>
      <c r="B57" s="228">
        <f t="shared" ca="1" si="0"/>
        <v>84</v>
      </c>
      <c r="C57" s="229" t="str">
        <f t="shared" ca="1" si="0"/>
        <v>PCS</v>
      </c>
      <c r="D57" s="230" t="str">
        <f t="shared" ca="1" si="0"/>
        <v/>
      </c>
      <c r="E57" s="231" t="str">
        <f t="shared" ca="1" si="0"/>
        <v>STAMP PAD KENKO NO. 1</v>
      </c>
      <c r="F57" s="232"/>
      <c r="G57" s="233"/>
      <c r="H57" s="234">
        <f t="shared" ca="1" si="1"/>
        <v>5900</v>
      </c>
      <c r="I57" s="235">
        <f t="shared" ca="1" si="1"/>
        <v>0.14499999999999999</v>
      </c>
      <c r="J57" s="235" t="str">
        <f t="shared" ca="1" si="1"/>
        <v/>
      </c>
      <c r="K57" s="236">
        <f t="shared" ca="1" si="1"/>
        <v>423738</v>
      </c>
      <c r="L57" s="218"/>
    </row>
    <row r="58" spans="1:12" s="9" customFormat="1" ht="14.1" customHeight="1" x14ac:dyDescent="0.25">
      <c r="A58" s="227">
        <v>10</v>
      </c>
      <c r="B58" s="228">
        <f t="shared" ca="1" si="0"/>
        <v>60</v>
      </c>
      <c r="C58" s="229" t="str">
        <f t="shared" ca="1" si="0"/>
        <v>PCS</v>
      </c>
      <c r="D58" s="230" t="str">
        <f t="shared" ca="1" si="0"/>
        <v/>
      </c>
      <c r="E58" s="231" t="str">
        <f t="shared" ca="1" si="0"/>
        <v>DATE STAMP KENKO D-4 (Cap Tanggal 4 Mm)</v>
      </c>
      <c r="F58" s="232"/>
      <c r="G58" s="233"/>
      <c r="H58" s="234">
        <f t="shared" ca="1" si="1"/>
        <v>6200</v>
      </c>
      <c r="I58" s="235">
        <f t="shared" ca="1" si="1"/>
        <v>0.14499999999999999</v>
      </c>
      <c r="J58" s="235" t="str">
        <f t="shared" ca="1" si="1"/>
        <v/>
      </c>
      <c r="K58" s="236">
        <f t="shared" ca="1" si="1"/>
        <v>318060</v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8"/>
      <c r="K66" s="538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9">
        <f ca="1">J29</f>
        <v>3588093</v>
      </c>
      <c r="K67" s="540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41"/>
      <c r="K68" s="541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8"/>
      <c r="K70" s="538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9">
        <f ca="1">J33</f>
        <v>355576.78378378373</v>
      </c>
      <c r="K71" s="540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8"/>
      <c r="K72" s="538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3588093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42" t="str">
        <f ca="1">J37</f>
        <v>NOVI / CONDRO</v>
      </c>
      <c r="K75" s="543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42" t="str">
        <f ca="1">J38</f>
        <v/>
      </c>
      <c r="K76" s="543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23120038</v>
      </c>
      <c r="F79" s="97"/>
      <c r="G79" s="98" t="s">
        <v>16</v>
      </c>
      <c r="H79" s="544" t="str">
        <f ca="1">H41</f>
        <v>CV RAINBOW NUSANTARA</v>
      </c>
      <c r="I79" s="544"/>
      <c r="J79" s="544"/>
      <c r="K79" s="545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8" t="s">
        <v>18</v>
      </c>
      <c r="G80" s="104"/>
      <c r="H80" s="546"/>
      <c r="I80" s="546"/>
      <c r="J80" s="546"/>
      <c r="K80" s="547"/>
      <c r="L80" s="99"/>
    </row>
    <row r="81" spans="1:12" s="9" customFormat="1" ht="16.5" customHeight="1" x14ac:dyDescent="0.3">
      <c r="A81" s="92"/>
      <c r="B81" s="93" t="s">
        <v>2</v>
      </c>
      <c r="C81" s="94"/>
      <c r="D81" s="549">
        <f ca="1">D43</f>
        <v>45290</v>
      </c>
      <c r="E81" s="550"/>
      <c r="F81" s="548"/>
      <c r="G81" s="105"/>
      <c r="H81" s="551" t="str">
        <f ca="1">H43</f>
        <v/>
      </c>
      <c r="I81" s="551"/>
      <c r="J81" s="551"/>
      <c r="K81" s="552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8"/>
      <c r="G82" s="105"/>
      <c r="H82" s="553" t="str">
        <f ca="1">H44</f>
        <v>SIDOARJO</v>
      </c>
      <c r="I82" s="553"/>
      <c r="J82" s="553"/>
      <c r="K82" s="554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4967</v>
      </c>
      <c r="E83" s="96"/>
      <c r="F83" s="109"/>
      <c r="G83" s="110"/>
      <c r="H83" s="555"/>
      <c r="I83" s="555"/>
      <c r="J83" s="555"/>
      <c r="K83" s="556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23</v>
      </c>
      <c r="C87" s="136" t="str">
        <f t="shared" ca="1" si="2"/>
        <v>PCS</v>
      </c>
      <c r="D87" s="137" t="str">
        <f t="shared" ca="1" si="2"/>
        <v/>
      </c>
      <c r="E87" s="138" t="str">
        <f t="shared" ca="1" si="2"/>
        <v>HAND TALLY COUNTER KENKO HT-302</v>
      </c>
      <c r="F87" s="139"/>
      <c r="G87" s="140"/>
      <c r="H87" s="141">
        <f t="shared" ref="H87:K102" ca="1" si="3">H49</f>
        <v>19000</v>
      </c>
      <c r="I87" s="142">
        <f t="shared" ca="1" si="3"/>
        <v>0.14499999999999999</v>
      </c>
      <c r="J87" s="142" t="str">
        <f t="shared" ca="1" si="3"/>
        <v/>
      </c>
      <c r="K87" s="143">
        <f t="shared" ca="1" si="3"/>
        <v>373635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36</v>
      </c>
      <c r="C88" s="136" t="str">
        <f t="shared" ca="1" si="2"/>
        <v>PCS</v>
      </c>
      <c r="D88" s="137" t="str">
        <f t="shared" ca="1" si="2"/>
        <v/>
      </c>
      <c r="E88" s="138" t="str">
        <f t="shared" ca="1" si="2"/>
        <v>JANGKA (COMPASS SET) KENKO C-168 / MS-75</v>
      </c>
      <c r="F88" s="139"/>
      <c r="G88" s="140"/>
      <c r="H88" s="141">
        <f t="shared" ca="1" si="3"/>
        <v>7500</v>
      </c>
      <c r="I88" s="142">
        <f t="shared" ca="1" si="3"/>
        <v>0.14499999999999999</v>
      </c>
      <c r="J88" s="142" t="str">
        <f t="shared" ca="1" si="3"/>
        <v/>
      </c>
      <c r="K88" s="143">
        <f t="shared" ca="1" si="3"/>
        <v>230850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72</v>
      </c>
      <c r="C89" s="136" t="str">
        <f t="shared" ca="1" si="2"/>
        <v>PCS</v>
      </c>
      <c r="D89" s="137" t="str">
        <f t="shared" ca="1" si="2"/>
        <v/>
      </c>
      <c r="E89" s="138" t="str">
        <f t="shared" ca="1" si="2"/>
        <v>JANGKA (COMPASS SET) KENKO C-528 / MS-55</v>
      </c>
      <c r="F89" s="139"/>
      <c r="G89" s="140"/>
      <c r="H89" s="141">
        <f t="shared" ca="1" si="3"/>
        <v>7500</v>
      </c>
      <c r="I89" s="142">
        <f t="shared" ca="1" si="3"/>
        <v>0.14499999999999999</v>
      </c>
      <c r="J89" s="142" t="str">
        <f t="shared" ca="1" si="3"/>
        <v/>
      </c>
      <c r="K89" s="143">
        <f t="shared" ca="1" si="3"/>
        <v>461700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96</v>
      </c>
      <c r="C90" s="136" t="str">
        <f t="shared" ca="1" si="2"/>
        <v>PCS</v>
      </c>
      <c r="D90" s="137" t="str">
        <f t="shared" ca="1" si="2"/>
        <v/>
      </c>
      <c r="E90" s="138" t="str">
        <f t="shared" ca="1" si="2"/>
        <v>PENSIL WARNA KENKO CP-12HALF CLASSIC (PENDEK)</v>
      </c>
      <c r="F90" s="139"/>
      <c r="G90" s="140"/>
      <c r="H90" s="141">
        <f t="shared" ca="1" si="3"/>
        <v>6600</v>
      </c>
      <c r="I90" s="142">
        <f t="shared" ca="1" si="3"/>
        <v>0.14499999999999999</v>
      </c>
      <c r="J90" s="142" t="str">
        <f t="shared" ca="1" si="3"/>
        <v/>
      </c>
      <c r="K90" s="143">
        <f t="shared" ca="1" si="3"/>
        <v>541728</v>
      </c>
      <c r="L90" s="125"/>
    </row>
    <row r="91" spans="1:12" s="9" customFormat="1" ht="14.1" customHeight="1" x14ac:dyDescent="0.25">
      <c r="A91" s="134">
        <v>5</v>
      </c>
      <c r="B91" s="135">
        <f t="shared" ca="1" si="2"/>
        <v>12</v>
      </c>
      <c r="C91" s="136" t="str">
        <f t="shared" ca="1" si="2"/>
        <v>PCS</v>
      </c>
      <c r="D91" s="137" t="str">
        <f t="shared" ca="1" si="2"/>
        <v/>
      </c>
      <c r="E91" s="138" t="str">
        <f t="shared" ca="1" si="2"/>
        <v>GARISAN BESI (STAINLESS STEEL) KENKO 15 CM</v>
      </c>
      <c r="F91" s="139"/>
      <c r="G91" s="140"/>
      <c r="H91" s="141">
        <f t="shared" ca="1" si="3"/>
        <v>3150</v>
      </c>
      <c r="I91" s="142">
        <f t="shared" ca="1" si="3"/>
        <v>0.14499999999999999</v>
      </c>
      <c r="J91" s="142" t="str">
        <f t="shared" ca="1" si="3"/>
        <v/>
      </c>
      <c r="K91" s="143">
        <f t="shared" ca="1" si="3"/>
        <v>32319</v>
      </c>
      <c r="L91" s="125"/>
    </row>
    <row r="92" spans="1:12" s="9" customFormat="1" ht="14.1" customHeight="1" x14ac:dyDescent="0.25">
      <c r="A92" s="134">
        <v>6</v>
      </c>
      <c r="B92" s="135">
        <f t="shared" ca="1" si="2"/>
        <v>30</v>
      </c>
      <c r="C92" s="136" t="str">
        <f t="shared" ca="1" si="2"/>
        <v>PCS</v>
      </c>
      <c r="D92" s="137" t="str">
        <f t="shared" ca="1" si="2"/>
        <v/>
      </c>
      <c r="E92" s="138" t="str">
        <f t="shared" ca="1" si="2"/>
        <v>GARISAN BESI (STAINLESS STEEL) KENKO 40 CM</v>
      </c>
      <c r="F92" s="139"/>
      <c r="G92" s="140"/>
      <c r="H92" s="141">
        <f t="shared" ca="1" si="3"/>
        <v>13600</v>
      </c>
      <c r="I92" s="142">
        <f t="shared" ca="1" si="3"/>
        <v>0.14499999999999999</v>
      </c>
      <c r="J92" s="142" t="str">
        <f t="shared" ca="1" si="3"/>
        <v/>
      </c>
      <c r="K92" s="143">
        <f t="shared" ca="1" si="3"/>
        <v>348840</v>
      </c>
      <c r="L92" s="125"/>
    </row>
    <row r="93" spans="1:12" s="9" customFormat="1" ht="14.1" customHeight="1" x14ac:dyDescent="0.25">
      <c r="A93" s="134">
        <v>7</v>
      </c>
      <c r="B93" s="135">
        <f t="shared" ca="1" si="2"/>
        <v>36</v>
      </c>
      <c r="C93" s="136" t="str">
        <f t="shared" ca="1" si="2"/>
        <v>PCS</v>
      </c>
      <c r="D93" s="137" t="str">
        <f t="shared" ca="1" si="2"/>
        <v/>
      </c>
      <c r="E93" s="138" t="str">
        <f t="shared" ca="1" si="2"/>
        <v>GARISAN BESI (STAINLESS STEEL) KENKO 50 CM</v>
      </c>
      <c r="F93" s="139"/>
      <c r="G93" s="140"/>
      <c r="H93" s="141">
        <f t="shared" ca="1" si="3"/>
        <v>17950</v>
      </c>
      <c r="I93" s="142">
        <f t="shared" ca="1" si="3"/>
        <v>0.14499999999999999</v>
      </c>
      <c r="J93" s="142" t="str">
        <f t="shared" ca="1" si="3"/>
        <v/>
      </c>
      <c r="K93" s="143">
        <f t="shared" ca="1" si="3"/>
        <v>552501</v>
      </c>
      <c r="L93" s="125"/>
    </row>
    <row r="94" spans="1:12" s="9" customFormat="1" ht="14.1" customHeight="1" x14ac:dyDescent="0.25">
      <c r="A94" s="134">
        <v>8</v>
      </c>
      <c r="B94" s="135">
        <f t="shared" ca="1" si="2"/>
        <v>72</v>
      </c>
      <c r="C94" s="136" t="str">
        <f t="shared" ca="1" si="2"/>
        <v>PCS</v>
      </c>
      <c r="D94" s="137" t="str">
        <f t="shared" ca="1" si="2"/>
        <v/>
      </c>
      <c r="E94" s="138" t="str">
        <f t="shared" ca="1" si="2"/>
        <v>STAMP PAD KENKO NO. 0</v>
      </c>
      <c r="F94" s="139"/>
      <c r="G94" s="140"/>
      <c r="H94" s="141">
        <f t="shared" ca="1" si="3"/>
        <v>4950</v>
      </c>
      <c r="I94" s="142">
        <f t="shared" ca="1" si="3"/>
        <v>0.14499999999999999</v>
      </c>
      <c r="J94" s="142" t="str">
        <f t="shared" ca="1" si="3"/>
        <v/>
      </c>
      <c r="K94" s="143">
        <f t="shared" ca="1" si="3"/>
        <v>304722</v>
      </c>
      <c r="L94" s="125"/>
    </row>
    <row r="95" spans="1:12" s="9" customFormat="1" ht="14.1" customHeight="1" x14ac:dyDescent="0.25">
      <c r="A95" s="134">
        <v>9</v>
      </c>
      <c r="B95" s="135">
        <f t="shared" ca="1" si="2"/>
        <v>84</v>
      </c>
      <c r="C95" s="136" t="str">
        <f t="shared" ca="1" si="2"/>
        <v>PCS</v>
      </c>
      <c r="D95" s="137" t="str">
        <f t="shared" ca="1" si="2"/>
        <v/>
      </c>
      <c r="E95" s="138" t="str">
        <f t="shared" ca="1" si="2"/>
        <v>STAMP PAD KENKO NO. 1</v>
      </c>
      <c r="F95" s="139"/>
      <c r="G95" s="140"/>
      <c r="H95" s="141">
        <f t="shared" ca="1" si="3"/>
        <v>5900</v>
      </c>
      <c r="I95" s="142">
        <f t="shared" ca="1" si="3"/>
        <v>0.14499999999999999</v>
      </c>
      <c r="J95" s="142" t="str">
        <f t="shared" ca="1" si="3"/>
        <v/>
      </c>
      <c r="K95" s="143">
        <f t="shared" ca="1" si="3"/>
        <v>423738</v>
      </c>
      <c r="L95" s="125"/>
    </row>
    <row r="96" spans="1:12" s="9" customFormat="1" ht="14.1" customHeight="1" x14ac:dyDescent="0.25">
      <c r="A96" s="134">
        <v>10</v>
      </c>
      <c r="B96" s="135">
        <f t="shared" ca="1" si="2"/>
        <v>60</v>
      </c>
      <c r="C96" s="136" t="str">
        <f t="shared" ca="1" si="2"/>
        <v>PCS</v>
      </c>
      <c r="D96" s="137" t="str">
        <f t="shared" ca="1" si="2"/>
        <v/>
      </c>
      <c r="E96" s="138" t="str">
        <f t="shared" ca="1" si="2"/>
        <v>DATE STAMP KENKO D-4 (Cap Tanggal 4 Mm)</v>
      </c>
      <c r="F96" s="139"/>
      <c r="G96" s="140"/>
      <c r="H96" s="141">
        <f t="shared" ca="1" si="3"/>
        <v>6200</v>
      </c>
      <c r="I96" s="142">
        <f t="shared" ca="1" si="3"/>
        <v>0.14499999999999999</v>
      </c>
      <c r="J96" s="142" t="str">
        <f t="shared" ca="1" si="3"/>
        <v/>
      </c>
      <c r="K96" s="143">
        <f t="shared" ca="1" si="3"/>
        <v>318060</v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7"/>
      <c r="K104" s="557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8">
        <f ca="1">J67</f>
        <v>3588093</v>
      </c>
      <c r="K105" s="559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62"/>
      <c r="K106" s="56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7"/>
      <c r="K108" s="557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8">
        <f ca="1">J71</f>
        <v>355576.78378378373</v>
      </c>
      <c r="K109" s="559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7"/>
      <c r="K110" s="557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3588093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60" t="str">
        <f ca="1">J75</f>
        <v>NOVI / CONDRO</v>
      </c>
      <c r="K113" s="56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60" t="str">
        <f ca="1">J76</f>
        <v/>
      </c>
      <c r="K114" s="56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12" t="s">
        <v>17</v>
      </c>
      <c r="I2" s="512"/>
      <c r="J2" s="512"/>
      <c r="K2" s="513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71" t="s">
        <v>18</v>
      </c>
      <c r="G3" s="16"/>
      <c r="H3" s="514"/>
      <c r="I3" s="514"/>
      <c r="J3" s="514"/>
      <c r="K3" s="515"/>
      <c r="L3" s="11"/>
    </row>
    <row r="4" spans="1:12" s="9" customFormat="1" ht="16.5" customHeight="1" x14ac:dyDescent="0.3">
      <c r="A4" s="6"/>
      <c r="B4" s="1" t="s">
        <v>2</v>
      </c>
      <c r="C4" s="7"/>
      <c r="D4" s="517">
        <v>45232</v>
      </c>
      <c r="E4" s="518"/>
      <c r="F4" s="571"/>
      <c r="G4" s="17"/>
      <c r="H4" s="519" t="s">
        <v>138</v>
      </c>
      <c r="I4" s="519"/>
      <c r="J4" s="519"/>
      <c r="K4" s="520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71"/>
      <c r="G5" s="17"/>
      <c r="H5" s="521" t="s">
        <v>19</v>
      </c>
      <c r="I5" s="521"/>
      <c r="J5" s="521"/>
      <c r="K5" s="522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23"/>
      <c r="I6" s="523"/>
      <c r="J6" s="523"/>
      <c r="K6" s="524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3"/>
      <c r="K27" s="564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08">
        <f>SUM(K10:K25)</f>
        <v>750000</v>
      </c>
      <c r="K28" s="565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6"/>
      <c r="K29" s="566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4"/>
      <c r="K31" s="564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7">
        <f>((J28/1.11)+(K30/1.11))*11%</f>
        <v>74324.32432432432</v>
      </c>
      <c r="K32" s="568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4"/>
      <c r="K33" s="564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9" t="s">
        <v>130</v>
      </c>
      <c r="K36" s="570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9"/>
      <c r="K37" s="570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73" t="str">
        <f>H2</f>
        <v>CV TRINITY CENTRAAL</v>
      </c>
      <c r="I40" s="573"/>
      <c r="J40" s="573"/>
      <c r="K40" s="574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77" t="s">
        <v>18</v>
      </c>
      <c r="G41" s="321"/>
      <c r="H41" s="575"/>
      <c r="I41" s="575"/>
      <c r="J41" s="575"/>
      <c r="K41" s="576"/>
      <c r="L41" s="316"/>
    </row>
    <row r="42" spans="1:12" s="9" customFormat="1" ht="16.5" customHeight="1" x14ac:dyDescent="0.3">
      <c r="A42" s="309"/>
      <c r="B42" s="310" t="s">
        <v>2</v>
      </c>
      <c r="C42" s="311"/>
      <c r="D42" s="578">
        <f>D4</f>
        <v>45232</v>
      </c>
      <c r="E42" s="579"/>
      <c r="F42" s="577"/>
      <c r="G42" s="322"/>
      <c r="H42" s="580" t="str">
        <f>H4</f>
        <v/>
      </c>
      <c r="I42" s="580"/>
      <c r="J42" s="580"/>
      <c r="K42" s="581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77"/>
      <c r="G43" s="322"/>
      <c r="H43" s="582" t="str">
        <f>H5</f>
        <v>PURWOKERTO</v>
      </c>
      <c r="I43" s="582"/>
      <c r="J43" s="582"/>
      <c r="K43" s="583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584"/>
      <c r="I44" s="584"/>
      <c r="J44" s="584"/>
      <c r="K44" s="585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586"/>
      <c r="K65" s="572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587">
        <f>SUM(K48:K63)</f>
        <v>750000</v>
      </c>
      <c r="K66" s="588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589"/>
      <c r="K67" s="589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72"/>
      <c r="K69" s="572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590">
        <f>((J66/1.11)+(K68/1.11))*11%</f>
        <v>74324.32432432432</v>
      </c>
      <c r="K70" s="591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72"/>
      <c r="K71" s="572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92" t="str">
        <f>J36</f>
        <v>NOVI / CONDRO</v>
      </c>
      <c r="K74" s="593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92">
        <f>J37</f>
        <v>0</v>
      </c>
      <c r="K75" s="593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94" t="str">
        <f>H40</f>
        <v>CV TRINITY CENTRAAL</v>
      </c>
      <c r="I78" s="594"/>
      <c r="J78" s="594"/>
      <c r="K78" s="595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8" t="s">
        <v>18</v>
      </c>
      <c r="G79" s="409"/>
      <c r="H79" s="596"/>
      <c r="I79" s="596"/>
      <c r="J79" s="596"/>
      <c r="K79" s="597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9">
        <f>D42</f>
        <v>45232</v>
      </c>
      <c r="E80" s="600"/>
      <c r="F80" s="598"/>
      <c r="G80" s="410"/>
      <c r="H80" s="601" t="str">
        <f>H42</f>
        <v/>
      </c>
      <c r="I80" s="601"/>
      <c r="J80" s="601"/>
      <c r="K80" s="602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8"/>
      <c r="G81" s="410"/>
      <c r="H81" s="603" t="str">
        <f>H43</f>
        <v>PURWOKERTO</v>
      </c>
      <c r="I81" s="603"/>
      <c r="J81" s="603"/>
      <c r="K81" s="604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605"/>
      <c r="I82" s="605"/>
      <c r="J82" s="605"/>
      <c r="K82" s="606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609"/>
      <c r="K103" s="610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611">
        <f>SUM(K86:K101)</f>
        <v>750000</v>
      </c>
      <c r="K104" s="612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613"/>
      <c r="K105" s="613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610"/>
      <c r="K107" s="610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614">
        <f>((J104/1.11)+(K106/1.11))*11%</f>
        <v>74324.32432432432</v>
      </c>
      <c r="K108" s="615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610"/>
      <c r="K109" s="610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607" t="str">
        <f>J74</f>
        <v>NOVI / CONDRO</v>
      </c>
      <c r="K112" s="608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607">
        <f>J75</f>
        <v>0</v>
      </c>
      <c r="K113" s="608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_var</vt:lpstr>
      <vt:lpstr>PREVIEW BORDERLESS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2024-01-06T02:56:23Z</dcterms:modified>
</cp:coreProperties>
</file>