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"/>
    </mc:Choice>
  </mc:AlternateContent>
  <bookViews>
    <workbookView xWindow="0" yWindow="0" windowWidth="20490" windowHeight="7905"/>
  </bookViews>
  <sheets>
    <sheet name="2023" sheetId="1" r:id="rId1"/>
    <sheet name="Sheet1" sheetId="2" r:id="rId2"/>
  </sheets>
  <definedNames>
    <definedName name="_xlnm._FilterDatabase" localSheetId="0" hidden="1">'2023'!$E$4:$E$1459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81" i="1" l="1"/>
  <c r="N1370" i="1"/>
  <c r="N1368" i="1"/>
  <c r="N1359" i="1"/>
  <c r="N1311" i="1"/>
  <c r="N1309" i="1"/>
  <c r="N1263" i="1"/>
  <c r="N1249" i="1"/>
  <c r="N1244" i="1"/>
  <c r="N1241" i="1"/>
  <c r="N1205" i="1"/>
  <c r="N1134" i="1"/>
  <c r="N1131" i="1"/>
  <c r="N1095" i="1"/>
  <c r="N1089" i="1"/>
  <c r="N1085" i="1"/>
  <c r="N1084" i="1"/>
  <c r="N1082" i="1"/>
  <c r="N1081" i="1"/>
  <c r="N1080" i="1"/>
  <c r="N1079" i="1"/>
  <c r="N1078" i="1"/>
  <c r="N1076" i="1"/>
  <c r="N1075" i="1"/>
  <c r="N1074" i="1"/>
  <c r="N1073" i="1"/>
  <c r="N1072" i="1"/>
  <c r="N1071" i="1"/>
  <c r="N1070" i="1"/>
  <c r="N1069" i="1"/>
  <c r="N1068" i="1"/>
  <c r="N1017" i="1"/>
  <c r="N1016" i="1"/>
  <c r="C947" i="1"/>
  <c r="N949" i="1"/>
  <c r="N943" i="1"/>
  <c r="N942" i="1"/>
  <c r="N889" i="1"/>
  <c r="N833" i="1"/>
  <c r="N832" i="1"/>
  <c r="N831" i="1"/>
  <c r="N784" i="1"/>
  <c r="N773" i="1"/>
  <c r="N769" i="1"/>
  <c r="N766" i="1"/>
  <c r="C729" i="1"/>
  <c r="N727" i="1"/>
  <c r="N724" i="1"/>
  <c r="N694" i="1"/>
  <c r="N602" i="1"/>
  <c r="N592" i="1"/>
  <c r="N382" i="1"/>
  <c r="N369" i="1"/>
  <c r="N316" i="1"/>
  <c r="N298" i="1"/>
  <c r="N225" i="1"/>
  <c r="N162" i="1"/>
  <c r="N83" i="1"/>
  <c r="C878" i="1" l="1"/>
  <c r="C877" i="1"/>
  <c r="C889" i="1"/>
  <c r="C710" i="1"/>
  <c r="C709" i="1"/>
  <c r="P1207" i="1"/>
  <c r="J1207" i="1"/>
  <c r="R1207" i="1" l="1"/>
  <c r="S1207" i="1" s="1"/>
  <c r="P1222" i="1"/>
  <c r="J1222" i="1"/>
  <c r="J1213" i="1"/>
  <c r="P1213" i="1"/>
  <c r="P1211" i="1"/>
  <c r="R1211" i="1" s="1"/>
  <c r="S1211" i="1" s="1"/>
  <c r="P1209" i="1"/>
  <c r="R1209" i="1" s="1"/>
  <c r="S1209" i="1" s="1"/>
  <c r="P1192" i="1"/>
  <c r="R1192" i="1" s="1"/>
  <c r="S1192" i="1" s="1"/>
  <c r="P1325" i="1"/>
  <c r="J1325" i="1"/>
  <c r="P1019" i="1"/>
  <c r="J1019" i="1"/>
  <c r="P859" i="1"/>
  <c r="R859" i="1" s="1"/>
  <c r="S859" i="1" s="1"/>
  <c r="P858" i="1"/>
  <c r="R858" i="1" s="1"/>
  <c r="S858" i="1" s="1"/>
  <c r="P683" i="1"/>
  <c r="R683" i="1" s="1"/>
  <c r="S683" i="1" s="1"/>
  <c r="P1250" i="1"/>
  <c r="J1250" i="1"/>
  <c r="P380" i="1"/>
  <c r="J380" i="1"/>
  <c r="P383" i="1"/>
  <c r="J383" i="1"/>
  <c r="P1148" i="1"/>
  <c r="R1148" i="1" s="1"/>
  <c r="S1148" i="1" s="1"/>
  <c r="P1147" i="1"/>
  <c r="R1147" i="1" s="1"/>
  <c r="S1147" i="1" s="1"/>
  <c r="P471" i="1"/>
  <c r="R471" i="1" s="1"/>
  <c r="S471" i="1" s="1"/>
  <c r="P827" i="1"/>
  <c r="R827" i="1" s="1"/>
  <c r="S827" i="1" s="1"/>
  <c r="P784" i="1"/>
  <c r="J784" i="1"/>
  <c r="P758" i="1"/>
  <c r="R758" i="1" s="1"/>
  <c r="S758" i="1" s="1"/>
  <c r="P751" i="1"/>
  <c r="R751" i="1" s="1"/>
  <c r="S751" i="1" s="1"/>
  <c r="P748" i="1"/>
  <c r="R748" i="1" s="1"/>
  <c r="S748" i="1" s="1"/>
  <c r="P424" i="1"/>
  <c r="R424" i="1" s="1"/>
  <c r="S424" i="1" s="1"/>
  <c r="P421" i="1"/>
  <c r="R421" i="1" s="1"/>
  <c r="S421" i="1" s="1"/>
  <c r="P420" i="1"/>
  <c r="R420" i="1" s="1"/>
  <c r="S420" i="1" s="1"/>
  <c r="P360" i="1"/>
  <c r="R360" i="1" s="1"/>
  <c r="S360" i="1" s="1"/>
  <c r="P316" i="1"/>
  <c r="J316" i="1"/>
  <c r="P330" i="1"/>
  <c r="R330" i="1" s="1"/>
  <c r="S330" i="1" s="1"/>
  <c r="P327" i="1"/>
  <c r="R327" i="1" s="1"/>
  <c r="S327" i="1" s="1"/>
  <c r="P302" i="1"/>
  <c r="R302" i="1" s="1"/>
  <c r="S302" i="1" s="1"/>
  <c r="P269" i="1"/>
  <c r="R269" i="1" s="1"/>
  <c r="S269" i="1" s="1"/>
  <c r="P266" i="1"/>
  <c r="R266" i="1" s="1"/>
  <c r="S266" i="1" s="1"/>
  <c r="P220" i="1"/>
  <c r="J220" i="1"/>
  <c r="P181" i="1"/>
  <c r="R181" i="1" s="1"/>
  <c r="S181" i="1" s="1"/>
  <c r="P192" i="1"/>
  <c r="R192" i="1" s="1"/>
  <c r="S192" i="1" s="1"/>
  <c r="P202" i="1"/>
  <c r="R202" i="1" s="1"/>
  <c r="S202" i="1" s="1"/>
  <c r="P89" i="1"/>
  <c r="R89" i="1" s="1"/>
  <c r="S89" i="1" s="1"/>
  <c r="P86" i="1"/>
  <c r="R86" i="1" s="1"/>
  <c r="S86" i="1" s="1"/>
  <c r="P671" i="1"/>
  <c r="R671" i="1" s="1"/>
  <c r="S671" i="1" s="1"/>
  <c r="P670" i="1"/>
  <c r="R670" i="1" s="1"/>
  <c r="S670" i="1" s="1"/>
  <c r="P669" i="1"/>
  <c r="R669" i="1" s="1"/>
  <c r="S669" i="1" s="1"/>
  <c r="P668" i="1"/>
  <c r="R668" i="1" s="1"/>
  <c r="S668" i="1" s="1"/>
  <c r="P159" i="1"/>
  <c r="J159" i="1"/>
  <c r="P151" i="1"/>
  <c r="J151" i="1"/>
  <c r="P711" i="1"/>
  <c r="R711" i="1" s="1"/>
  <c r="S711" i="1" s="1"/>
  <c r="P710" i="1"/>
  <c r="R710" i="1" s="1"/>
  <c r="S710" i="1" s="1"/>
  <c r="P697" i="1"/>
  <c r="R697" i="1" s="1"/>
  <c r="S697" i="1" s="1"/>
  <c r="P696" i="1"/>
  <c r="R696" i="1" s="1"/>
  <c r="S696" i="1" s="1"/>
  <c r="P36" i="1"/>
  <c r="R36" i="1" s="1"/>
  <c r="S36" i="1" s="1"/>
  <c r="P35" i="1"/>
  <c r="R35" i="1" s="1"/>
  <c r="S35" i="1" s="1"/>
  <c r="R1019" i="1" l="1"/>
  <c r="S1019" i="1" s="1"/>
  <c r="R1222" i="1"/>
  <c r="S1222" i="1" s="1"/>
  <c r="R1325" i="1"/>
  <c r="S1325" i="1" s="1"/>
  <c r="R1213" i="1"/>
  <c r="S1213" i="1" s="1"/>
  <c r="R784" i="1"/>
  <c r="S784" i="1" s="1"/>
  <c r="R380" i="1"/>
  <c r="S380" i="1" s="1"/>
  <c r="R1250" i="1"/>
  <c r="S1250" i="1" s="1"/>
  <c r="R316" i="1"/>
  <c r="S316" i="1" s="1"/>
  <c r="R383" i="1"/>
  <c r="S383" i="1" s="1"/>
  <c r="R151" i="1"/>
  <c r="S151" i="1" s="1"/>
  <c r="R159" i="1"/>
  <c r="S159" i="1" s="1"/>
  <c r="R220" i="1"/>
  <c r="S220" i="1" s="1"/>
  <c r="P72" i="1"/>
  <c r="R72" i="1" s="1"/>
  <c r="S72" i="1" s="1"/>
  <c r="P111" i="1"/>
  <c r="R111" i="1" s="1"/>
  <c r="S111" i="1" s="1"/>
  <c r="P103" i="1"/>
  <c r="R103" i="1" s="1"/>
  <c r="S103" i="1" s="1"/>
  <c r="P969" i="1" l="1"/>
  <c r="R969" i="1" s="1"/>
  <c r="S969" i="1" s="1"/>
  <c r="C375" i="1" l="1"/>
  <c r="C708" i="1"/>
  <c r="C773" i="1"/>
  <c r="C326" i="1" l="1"/>
  <c r="C722" i="1"/>
  <c r="C766" i="1"/>
  <c r="C792" i="1"/>
  <c r="C803" i="1"/>
  <c r="C831" i="1"/>
  <c r="C1117" i="1"/>
  <c r="C1228" i="1"/>
  <c r="P869" i="1"/>
  <c r="R869" i="1" s="1"/>
  <c r="S869" i="1" s="1"/>
  <c r="P1375" i="1"/>
  <c r="R1375" i="1" s="1"/>
  <c r="S1375" i="1" s="1"/>
  <c r="P1370" i="1" l="1"/>
  <c r="R1370" i="1" s="1"/>
  <c r="S1370" i="1" s="1"/>
  <c r="P1369" i="1"/>
  <c r="R1369" i="1" s="1"/>
  <c r="S1369" i="1" s="1"/>
  <c r="P1198" i="1"/>
  <c r="R1198" i="1" s="1"/>
  <c r="S1198" i="1" s="1"/>
  <c r="P860" i="1"/>
  <c r="R860" i="1" s="1"/>
  <c r="S860" i="1" s="1"/>
  <c r="P857" i="1"/>
  <c r="R857" i="1" s="1"/>
  <c r="S857" i="1" s="1"/>
  <c r="P856" i="1"/>
  <c r="R856" i="1" s="1"/>
  <c r="S856" i="1" s="1"/>
  <c r="P825" i="1" l="1"/>
  <c r="R825" i="1" s="1"/>
  <c r="S825" i="1" s="1"/>
  <c r="P226" i="1" l="1"/>
  <c r="J226" i="1"/>
  <c r="R226" i="1" l="1"/>
  <c r="S226" i="1" s="1"/>
  <c r="P1368" i="1"/>
  <c r="R1368" i="1" s="1"/>
  <c r="S1368" i="1" s="1"/>
  <c r="P1347" i="1"/>
  <c r="R1347" i="1" s="1"/>
  <c r="S1347" i="1" s="1"/>
  <c r="P1342" i="1"/>
  <c r="R1342" i="1" s="1"/>
  <c r="S1342" i="1" s="1"/>
  <c r="P1263" i="1"/>
  <c r="R1263" i="1" s="1"/>
  <c r="S1263" i="1" s="1"/>
  <c r="P889" i="1"/>
  <c r="R889" i="1" s="1"/>
  <c r="S889" i="1" s="1"/>
  <c r="P888" i="1"/>
  <c r="R888" i="1" s="1"/>
  <c r="S888" i="1" s="1"/>
  <c r="P1016" i="1" l="1"/>
  <c r="J1016" i="1"/>
  <c r="P921" i="1"/>
  <c r="R921" i="1" s="1"/>
  <c r="S921" i="1" s="1"/>
  <c r="P682" i="1"/>
  <c r="R682" i="1" s="1"/>
  <c r="S682" i="1" s="1"/>
  <c r="P1099" i="1"/>
  <c r="R1099" i="1" s="1"/>
  <c r="S1099" i="1" s="1"/>
  <c r="P586" i="1"/>
  <c r="R586" i="1" s="1"/>
  <c r="S586" i="1" s="1"/>
  <c r="P572" i="1"/>
  <c r="R572" i="1" s="1"/>
  <c r="S572" i="1" s="1"/>
  <c r="P979" i="1"/>
  <c r="R979" i="1" s="1"/>
  <c r="S979" i="1" s="1"/>
  <c r="P582" i="1"/>
  <c r="R582" i="1" s="1"/>
  <c r="S582" i="1" s="1"/>
  <c r="P1141" i="1"/>
  <c r="R1141" i="1" s="1"/>
  <c r="S1141" i="1" s="1"/>
  <c r="P826" i="1"/>
  <c r="R826" i="1" s="1"/>
  <c r="S826" i="1" s="1"/>
  <c r="P779" i="1"/>
  <c r="R779" i="1" s="1"/>
  <c r="S779" i="1" s="1"/>
  <c r="P735" i="1"/>
  <c r="R735" i="1" s="1"/>
  <c r="S735" i="1" s="1"/>
  <c r="P265" i="1"/>
  <c r="R265" i="1" s="1"/>
  <c r="S265" i="1" s="1"/>
  <c r="P254" i="1"/>
  <c r="R254" i="1" s="1"/>
  <c r="S254" i="1" s="1"/>
  <c r="R1016" i="1" l="1"/>
  <c r="S1016" i="1" s="1"/>
  <c r="P225" i="1"/>
  <c r="R225" i="1" s="1"/>
  <c r="S225" i="1" s="1"/>
  <c r="P896" i="1" l="1"/>
  <c r="R896" i="1" s="1"/>
  <c r="S896" i="1" s="1"/>
  <c r="P146" i="1"/>
  <c r="R146" i="1" s="1"/>
  <c r="S146" i="1" s="1"/>
  <c r="P26" i="1"/>
  <c r="R26" i="1" s="1"/>
  <c r="S26" i="1" s="1"/>
  <c r="P7" i="1"/>
  <c r="R7" i="1" s="1"/>
  <c r="S7" i="1" s="1"/>
  <c r="P519" i="1" l="1"/>
  <c r="R519" i="1" s="1"/>
  <c r="S519" i="1" s="1"/>
  <c r="P518" i="1"/>
  <c r="R518" i="1" s="1"/>
  <c r="S518" i="1" s="1"/>
  <c r="P382" i="1" l="1"/>
  <c r="J382" i="1"/>
  <c r="P379" i="1"/>
  <c r="J379" i="1"/>
  <c r="R379" i="1" l="1"/>
  <c r="S379" i="1" s="1"/>
  <c r="R382" i="1"/>
  <c r="S382" i="1" s="1"/>
  <c r="P1346" i="1"/>
  <c r="R1346" i="1" s="1"/>
  <c r="S1346" i="1" s="1"/>
  <c r="P944" i="1"/>
  <c r="R944" i="1" s="1"/>
  <c r="S944" i="1" s="1"/>
  <c r="P692" i="1"/>
  <c r="R692" i="1" s="1"/>
  <c r="S692" i="1" s="1"/>
  <c r="P41" i="1" l="1"/>
  <c r="R41" i="1" s="1"/>
  <c r="S41" i="1" s="1"/>
  <c r="P354" i="1"/>
  <c r="R354" i="1" s="1"/>
  <c r="S354" i="1" s="1"/>
  <c r="P1011" i="1" l="1"/>
  <c r="R1011" i="1" s="1"/>
  <c r="S1011" i="1" s="1"/>
  <c r="P47" i="1"/>
  <c r="R47" i="1" s="1"/>
  <c r="S47" i="1" s="1"/>
  <c r="P1322" i="1"/>
  <c r="R1322" i="1" s="1"/>
  <c r="S1322" i="1" s="1"/>
  <c r="P724" i="1" l="1"/>
  <c r="R724" i="1" s="1"/>
  <c r="S724" i="1" s="1"/>
  <c r="P1142" i="1"/>
  <c r="R1142" i="1" s="1"/>
  <c r="S1142" i="1" s="1"/>
  <c r="P834" i="1"/>
  <c r="R834" i="1" s="1"/>
  <c r="S834" i="1" s="1"/>
  <c r="P756" i="1" l="1"/>
  <c r="R756" i="1" s="1"/>
  <c r="S756" i="1" s="1"/>
  <c r="P832" i="1"/>
  <c r="R832" i="1" s="1"/>
  <c r="S832" i="1" s="1"/>
  <c r="P833" i="1"/>
  <c r="R833" i="1" s="1"/>
  <c r="S833" i="1" s="1"/>
  <c r="P443" i="1"/>
  <c r="R443" i="1" s="1"/>
  <c r="S443" i="1" s="1"/>
  <c r="P444" i="1"/>
  <c r="R444" i="1" s="1"/>
  <c r="S444" i="1" s="1"/>
  <c r="P445" i="1"/>
  <c r="R445" i="1" s="1"/>
  <c r="S445" i="1" s="1"/>
  <c r="P446" i="1"/>
  <c r="R446" i="1" s="1"/>
  <c r="S446" i="1" s="1"/>
  <c r="P447" i="1"/>
  <c r="R447" i="1" s="1"/>
  <c r="S447" i="1" s="1"/>
  <c r="P357" i="1"/>
  <c r="R357" i="1" s="1"/>
  <c r="S357" i="1" s="1"/>
  <c r="J272" i="1"/>
  <c r="P271" i="1"/>
  <c r="J271" i="1"/>
  <c r="P268" i="1"/>
  <c r="J268" i="1"/>
  <c r="J270" i="1"/>
  <c r="P270" i="1"/>
  <c r="P264" i="1"/>
  <c r="J264" i="1"/>
  <c r="P257" i="1"/>
  <c r="J257" i="1"/>
  <c r="P247" i="1"/>
  <c r="J247" i="1"/>
  <c r="P248" i="1"/>
  <c r="R248" i="1" s="1"/>
  <c r="S248" i="1" s="1"/>
  <c r="P673" i="1"/>
  <c r="R673" i="1" s="1"/>
  <c r="S673" i="1" s="1"/>
  <c r="P674" i="1"/>
  <c r="R674" i="1" s="1"/>
  <c r="S674" i="1" s="1"/>
  <c r="P672" i="1"/>
  <c r="R672" i="1" s="1"/>
  <c r="S672" i="1" s="1"/>
  <c r="R257" i="1" l="1"/>
  <c r="S257" i="1" s="1"/>
  <c r="R264" i="1"/>
  <c r="S264" i="1" s="1"/>
  <c r="R270" i="1"/>
  <c r="S270" i="1" s="1"/>
  <c r="R268" i="1"/>
  <c r="S268" i="1" s="1"/>
  <c r="R271" i="1"/>
  <c r="S271" i="1" s="1"/>
  <c r="R247" i="1"/>
  <c r="S247" i="1" s="1"/>
  <c r="P667" i="1"/>
  <c r="R667" i="1" s="1"/>
  <c r="S667" i="1" s="1"/>
  <c r="P666" i="1"/>
  <c r="R666" i="1" s="1"/>
  <c r="S666" i="1" s="1"/>
  <c r="P1340" i="1" l="1"/>
  <c r="R1340" i="1" s="1"/>
  <c r="S1340" i="1" s="1"/>
  <c r="P1000" i="1"/>
  <c r="R1000" i="1" s="1"/>
  <c r="S1000" i="1" s="1"/>
  <c r="P305" i="1"/>
  <c r="R305" i="1" s="1"/>
  <c r="S305" i="1" s="1"/>
  <c r="P306" i="1"/>
  <c r="R306" i="1" s="1"/>
  <c r="S306" i="1" s="1"/>
  <c r="P303" i="1"/>
  <c r="R303" i="1" s="1"/>
  <c r="S303" i="1" s="1"/>
  <c r="P298" i="1"/>
  <c r="R298" i="1" s="1"/>
  <c r="S298" i="1" s="1"/>
  <c r="P292" i="1"/>
  <c r="R292" i="1" s="1"/>
  <c r="S292" i="1" s="1"/>
  <c r="P289" i="1"/>
  <c r="R289" i="1" s="1"/>
  <c r="S289" i="1" s="1"/>
  <c r="P230" i="1" l="1"/>
  <c r="J230" i="1"/>
  <c r="R230" i="1" l="1"/>
  <c r="S230" i="1" s="1"/>
  <c r="P1176" i="1" l="1"/>
  <c r="R1176" i="1" s="1"/>
  <c r="S1176" i="1" s="1"/>
  <c r="P609" i="1"/>
  <c r="R609" i="1" s="1"/>
  <c r="S609" i="1" s="1"/>
  <c r="P402" i="1" l="1"/>
  <c r="R402" i="1" s="1"/>
  <c r="S402" i="1" s="1"/>
  <c r="P297" i="1"/>
  <c r="R297" i="1" s="1"/>
  <c r="S297" i="1" s="1"/>
  <c r="P217" i="1" l="1"/>
  <c r="J217" i="1"/>
  <c r="P123" i="1"/>
  <c r="R123" i="1" s="1"/>
  <c r="S123" i="1" s="1"/>
  <c r="P722" i="1"/>
  <c r="R722" i="1" s="1"/>
  <c r="S722" i="1" s="1"/>
  <c r="P14" i="1"/>
  <c r="R14" i="1" s="1"/>
  <c r="S14" i="1" s="1"/>
  <c r="R217" i="1" l="1"/>
  <c r="S217" i="1" s="1"/>
  <c r="J1238" i="1"/>
  <c r="P1238" i="1"/>
  <c r="J1233" i="1"/>
  <c r="P1233" i="1"/>
  <c r="P1223" i="1"/>
  <c r="R1223" i="1" s="1"/>
  <c r="S1223" i="1" s="1"/>
  <c r="P1218" i="1"/>
  <c r="R1218" i="1" s="1"/>
  <c r="S1218" i="1" s="1"/>
  <c r="P1166" i="1"/>
  <c r="R1166" i="1" s="1"/>
  <c r="S1166" i="1" s="1"/>
  <c r="J883" i="1"/>
  <c r="P883" i="1"/>
  <c r="P1124" i="1"/>
  <c r="R1124" i="1" s="1"/>
  <c r="S1124" i="1" s="1"/>
  <c r="P1123" i="1"/>
  <c r="R1123" i="1" s="1"/>
  <c r="S1123" i="1" s="1"/>
  <c r="P937" i="1"/>
  <c r="R937" i="1" s="1"/>
  <c r="S937" i="1" s="1"/>
  <c r="P927" i="1"/>
  <c r="R927" i="1" s="1"/>
  <c r="S927" i="1" s="1"/>
  <c r="P1036" i="1"/>
  <c r="R1036" i="1" s="1"/>
  <c r="S1036" i="1" s="1"/>
  <c r="P1037" i="1"/>
  <c r="R1037" i="1" s="1"/>
  <c r="S1037" i="1" s="1"/>
  <c r="P1038" i="1"/>
  <c r="R1038" i="1" s="1"/>
  <c r="S1038" i="1" s="1"/>
  <c r="P1039" i="1"/>
  <c r="R1039" i="1" s="1"/>
  <c r="S1039" i="1" s="1"/>
  <c r="P1040" i="1"/>
  <c r="R1040" i="1" s="1"/>
  <c r="S1040" i="1" s="1"/>
  <c r="P1035" i="1"/>
  <c r="R1035" i="1" s="1"/>
  <c r="S1035" i="1" s="1"/>
  <c r="P1048" i="1"/>
  <c r="R1048" i="1" s="1"/>
  <c r="S1048" i="1" s="1"/>
  <c r="P1084" i="1"/>
  <c r="R1084" i="1" s="1"/>
  <c r="S1084" i="1" s="1"/>
  <c r="P1082" i="1"/>
  <c r="R1082" i="1" s="1"/>
  <c r="S1082" i="1" s="1"/>
  <c r="P1073" i="1"/>
  <c r="R1073" i="1" s="1"/>
  <c r="S1073" i="1" s="1"/>
  <c r="P972" i="1"/>
  <c r="R972" i="1" s="1"/>
  <c r="S972" i="1" s="1"/>
  <c r="P967" i="1"/>
  <c r="R967" i="1" s="1"/>
  <c r="S967" i="1" s="1"/>
  <c r="P1128" i="1"/>
  <c r="R1128" i="1" s="1"/>
  <c r="S1128" i="1" s="1"/>
  <c r="P600" i="1"/>
  <c r="R600" i="1" s="1"/>
  <c r="S600" i="1" s="1"/>
  <c r="R1238" i="1" l="1"/>
  <c r="S1238" i="1" s="1"/>
  <c r="R1233" i="1"/>
  <c r="S1233" i="1" s="1"/>
  <c r="R883" i="1"/>
  <c r="S883" i="1" s="1"/>
  <c r="P745" i="1" l="1"/>
  <c r="R745" i="1" s="1"/>
  <c r="S745" i="1" s="1"/>
  <c r="P430" i="1"/>
  <c r="R430" i="1" s="1"/>
  <c r="S430" i="1" s="1"/>
  <c r="P429" i="1"/>
  <c r="R429" i="1" s="1"/>
  <c r="S429" i="1" s="1"/>
  <c r="P367" i="1"/>
  <c r="R367" i="1" s="1"/>
  <c r="S367" i="1" s="1"/>
  <c r="P337" i="1"/>
  <c r="R337" i="1" s="1"/>
  <c r="S337" i="1" s="1"/>
  <c r="P164" i="1"/>
  <c r="R164" i="1" s="1"/>
  <c r="S164" i="1" s="1"/>
  <c r="P721" i="1" l="1"/>
  <c r="R721" i="1" s="1"/>
  <c r="S721" i="1" s="1"/>
  <c r="P693" i="1"/>
  <c r="R693" i="1" s="1"/>
  <c r="S693" i="1" s="1"/>
  <c r="P703" i="1"/>
  <c r="R703" i="1" s="1"/>
  <c r="S703" i="1" s="1"/>
  <c r="P707" i="1"/>
  <c r="R707" i="1" s="1"/>
  <c r="S707" i="1" s="1"/>
  <c r="P712" i="1"/>
  <c r="R712" i="1" s="1"/>
  <c r="S712" i="1" s="1"/>
  <c r="P30" i="1"/>
  <c r="R30" i="1" s="1"/>
  <c r="S30" i="1" s="1"/>
  <c r="P16" i="1"/>
  <c r="R16" i="1" s="1"/>
  <c r="S16" i="1" s="1"/>
  <c r="P451" i="1"/>
  <c r="R451" i="1" s="1"/>
  <c r="S451" i="1" s="1"/>
  <c r="P450" i="1"/>
  <c r="R450" i="1" s="1"/>
  <c r="S450" i="1" s="1"/>
  <c r="P442" i="1" l="1"/>
  <c r="R442" i="1" s="1"/>
  <c r="S442" i="1" s="1"/>
  <c r="P1334" i="1" l="1"/>
  <c r="R1334" i="1" s="1"/>
  <c r="S1334" i="1" s="1"/>
  <c r="P1275" i="1"/>
  <c r="R1275" i="1" s="1"/>
  <c r="S1275" i="1" s="1"/>
  <c r="P1274" i="1"/>
  <c r="R1274" i="1" s="1"/>
  <c r="S1274" i="1" s="1"/>
  <c r="P1193" i="1"/>
  <c r="R1193" i="1" s="1"/>
  <c r="S1193" i="1" s="1"/>
  <c r="P849" i="1" l="1"/>
  <c r="R849" i="1" s="1"/>
  <c r="S849" i="1" s="1"/>
  <c r="P1106" i="1"/>
  <c r="R1106" i="1" s="1"/>
  <c r="S1106" i="1" s="1"/>
  <c r="P1023" i="1"/>
  <c r="R1023" i="1" s="1"/>
  <c r="S1023" i="1" s="1"/>
  <c r="P1042" i="1"/>
  <c r="R1042" i="1" s="1"/>
  <c r="S1042" i="1" s="1"/>
  <c r="P932" i="1"/>
  <c r="P911" i="1"/>
  <c r="R911" i="1" s="1"/>
  <c r="S911" i="1" s="1"/>
  <c r="P1085" i="1"/>
  <c r="R1085" i="1" s="1"/>
  <c r="S1085" i="1" s="1"/>
  <c r="P1069" i="1"/>
  <c r="R1069" i="1" s="1"/>
  <c r="S1069" i="1" s="1"/>
  <c r="P1070" i="1"/>
  <c r="R1070" i="1" s="1"/>
  <c r="S1070" i="1" s="1"/>
  <c r="P1071" i="1"/>
  <c r="R1071" i="1" s="1"/>
  <c r="S1071" i="1" s="1"/>
  <c r="P1072" i="1"/>
  <c r="R1072" i="1" s="1"/>
  <c r="S1072" i="1" s="1"/>
  <c r="P1074" i="1"/>
  <c r="R1074" i="1" s="1"/>
  <c r="S1074" i="1" s="1"/>
  <c r="P1075" i="1"/>
  <c r="R1075" i="1" s="1"/>
  <c r="S1075" i="1" s="1"/>
  <c r="P1076" i="1"/>
  <c r="R1076" i="1" s="1"/>
  <c r="S1076" i="1" s="1"/>
  <c r="P1077" i="1"/>
  <c r="R1077" i="1" s="1"/>
  <c r="S1077" i="1" s="1"/>
  <c r="P1078" i="1"/>
  <c r="R1078" i="1" s="1"/>
  <c r="S1078" i="1" s="1"/>
  <c r="P1079" i="1"/>
  <c r="R1079" i="1" s="1"/>
  <c r="S1079" i="1" s="1"/>
  <c r="P1080" i="1"/>
  <c r="R1080" i="1" s="1"/>
  <c r="S1080" i="1" s="1"/>
  <c r="P1081" i="1"/>
  <c r="R1081" i="1" s="1"/>
  <c r="S1081" i="1" s="1"/>
  <c r="P1083" i="1"/>
  <c r="R1083" i="1" s="1"/>
  <c r="S1083" i="1" s="1"/>
  <c r="P1068" i="1"/>
  <c r="R1068" i="1" s="1"/>
  <c r="S1068" i="1" s="1"/>
  <c r="P980" i="1"/>
  <c r="R980" i="1" s="1"/>
  <c r="S980" i="1" s="1"/>
  <c r="P977" i="1"/>
  <c r="R977" i="1" s="1"/>
  <c r="S977" i="1" s="1"/>
  <c r="P614" i="1"/>
  <c r="R614" i="1" s="1"/>
  <c r="S614" i="1" s="1"/>
  <c r="P590" i="1"/>
  <c r="R590" i="1" s="1"/>
  <c r="S590" i="1" s="1"/>
  <c r="P535" i="1"/>
  <c r="R535" i="1" s="1"/>
  <c r="S535" i="1" s="1"/>
  <c r="P373" i="1"/>
  <c r="R373" i="1" s="1"/>
  <c r="S373" i="1" s="1"/>
  <c r="P1134" i="1"/>
  <c r="R1134" i="1" s="1"/>
  <c r="S1134" i="1" s="1"/>
  <c r="P465" i="1"/>
  <c r="R465" i="1" s="1"/>
  <c r="S465" i="1" s="1"/>
  <c r="P831" i="1"/>
  <c r="R831" i="1" s="1"/>
  <c r="S831" i="1" s="1"/>
  <c r="P822" i="1"/>
  <c r="R822" i="1" s="1"/>
  <c r="S822" i="1" s="1"/>
  <c r="R932" i="1" l="1"/>
  <c r="S932" i="1" s="1"/>
  <c r="P768" i="1"/>
  <c r="J768" i="1"/>
  <c r="P734" i="1"/>
  <c r="R734" i="1" s="1"/>
  <c r="S734" i="1" s="1"/>
  <c r="R768" i="1" l="1"/>
  <c r="S768" i="1" s="1"/>
  <c r="P441" i="1"/>
  <c r="R441" i="1" s="1"/>
  <c r="S441" i="1" s="1"/>
  <c r="P433" i="1"/>
  <c r="R433" i="1" s="1"/>
  <c r="S433" i="1" s="1"/>
  <c r="P275" i="1" l="1"/>
  <c r="R275" i="1" s="1"/>
  <c r="S275" i="1" s="1"/>
  <c r="P278" i="1"/>
  <c r="R278" i="1" s="1"/>
  <c r="S278" i="1" s="1"/>
  <c r="P198" i="1"/>
  <c r="R198" i="1" s="1"/>
  <c r="S198" i="1" s="1"/>
  <c r="P200" i="1"/>
  <c r="R200" i="1" s="1"/>
  <c r="S200" i="1" s="1"/>
  <c r="P203" i="1"/>
  <c r="R203" i="1" s="1"/>
  <c r="S203" i="1" s="1"/>
  <c r="P204" i="1"/>
  <c r="R204" i="1" s="1"/>
  <c r="S204" i="1" s="1"/>
  <c r="P205" i="1"/>
  <c r="R205" i="1" s="1"/>
  <c r="S205" i="1" s="1"/>
  <c r="P899" i="1"/>
  <c r="R899" i="1" s="1"/>
  <c r="S899" i="1" s="1"/>
  <c r="P108" i="1"/>
  <c r="R108" i="1" s="1"/>
  <c r="S108" i="1" s="1"/>
  <c r="P93" i="1"/>
  <c r="R93" i="1" s="1"/>
  <c r="S93" i="1" s="1"/>
  <c r="P651" i="1"/>
  <c r="R651" i="1" s="1"/>
  <c r="S651" i="1" s="1"/>
  <c r="P702" i="1"/>
  <c r="R702" i="1" s="1"/>
  <c r="S702" i="1" s="1"/>
  <c r="P12" i="1"/>
  <c r="R12" i="1" s="1"/>
  <c r="S12" i="1" s="1"/>
  <c r="P13" i="1"/>
  <c r="R13" i="1" s="1"/>
  <c r="S13" i="1" s="1"/>
  <c r="P15" i="1"/>
  <c r="R15" i="1" s="1"/>
  <c r="S15" i="1" s="1"/>
  <c r="P581" i="1" l="1"/>
  <c r="R581" i="1" s="1"/>
  <c r="S581" i="1" s="1"/>
  <c r="P492" i="1" l="1"/>
  <c r="R492" i="1" s="1"/>
  <c r="S492" i="1" s="1"/>
  <c r="P1174" i="1" l="1"/>
  <c r="R1174" i="1" s="1"/>
  <c r="S1174" i="1" s="1"/>
  <c r="P1377" i="1"/>
  <c r="R1377" i="1" s="1"/>
  <c r="S1377" i="1" s="1"/>
  <c r="P348" i="1"/>
  <c r="R348" i="1" s="1"/>
  <c r="S348" i="1" s="1"/>
  <c r="P347" i="1"/>
  <c r="R347" i="1" s="1"/>
  <c r="S347" i="1" s="1"/>
  <c r="P909" i="1"/>
  <c r="R909" i="1" s="1"/>
  <c r="S909" i="1" s="1"/>
  <c r="P1067" i="1"/>
  <c r="R1067" i="1" s="1"/>
  <c r="S1067" i="1" s="1"/>
  <c r="P1066" i="1"/>
  <c r="R1066" i="1" s="1"/>
  <c r="S1066" i="1" s="1"/>
  <c r="P1065" i="1"/>
  <c r="R1065" i="1" s="1"/>
  <c r="S1065" i="1" s="1"/>
  <c r="P1064" i="1"/>
  <c r="R1064" i="1" s="1"/>
  <c r="S1064" i="1" s="1"/>
  <c r="P821" i="1"/>
  <c r="R821" i="1" s="1"/>
  <c r="S821" i="1" s="1"/>
  <c r="P804" i="1"/>
  <c r="R804" i="1" s="1"/>
  <c r="S804" i="1" s="1"/>
  <c r="P943" i="1" l="1"/>
  <c r="R943" i="1" s="1"/>
  <c r="S943" i="1" s="1"/>
  <c r="P1329" i="1"/>
  <c r="R1329" i="1" s="1"/>
  <c r="S1329" i="1" s="1"/>
  <c r="P1335" i="1"/>
  <c r="R1335" i="1" s="1"/>
  <c r="S1335" i="1" s="1"/>
  <c r="P1116" i="1"/>
  <c r="R1116" i="1" s="1"/>
  <c r="S1116" i="1" s="1"/>
  <c r="P997" i="1"/>
  <c r="R997" i="1" s="1"/>
  <c r="S997" i="1" s="1"/>
  <c r="P916" i="1"/>
  <c r="R916" i="1" s="1"/>
  <c r="S916" i="1" s="1"/>
  <c r="P1050" i="1"/>
  <c r="R1050" i="1" s="1"/>
  <c r="S1050" i="1" s="1"/>
  <c r="P613" i="1"/>
  <c r="R613" i="1" s="1"/>
  <c r="S613" i="1" s="1"/>
  <c r="P543" i="1"/>
  <c r="R543" i="1" s="1"/>
  <c r="S543" i="1" s="1"/>
  <c r="P538" i="1"/>
  <c r="R538" i="1" s="1"/>
  <c r="S538" i="1" s="1"/>
  <c r="P523" i="1" l="1"/>
  <c r="R523" i="1" s="1"/>
  <c r="S523" i="1" s="1"/>
  <c r="P522" i="1"/>
  <c r="R522" i="1" s="1"/>
  <c r="S522" i="1" s="1"/>
  <c r="P491" i="1"/>
  <c r="R491" i="1" s="1"/>
  <c r="S491" i="1" s="1"/>
  <c r="P490" i="1"/>
  <c r="R490" i="1" s="1"/>
  <c r="S490" i="1" s="1"/>
  <c r="P481" i="1"/>
  <c r="R481" i="1" s="1"/>
  <c r="S481" i="1" s="1"/>
  <c r="P780" i="1"/>
  <c r="J780" i="1"/>
  <c r="J767" i="1"/>
  <c r="P767" i="1"/>
  <c r="R767" i="1" l="1"/>
  <c r="S767" i="1" s="1"/>
  <c r="R780" i="1"/>
  <c r="S780" i="1" s="1"/>
  <c r="P785" i="1"/>
  <c r="P777" i="1"/>
  <c r="R777" i="1" s="1"/>
  <c r="S777" i="1" s="1"/>
  <c r="P753" i="1"/>
  <c r="R753" i="1" s="1"/>
  <c r="S753" i="1" s="1"/>
  <c r="R785" i="1" l="1"/>
  <c r="S785" i="1" s="1"/>
  <c r="P461" i="1"/>
  <c r="R461" i="1" s="1"/>
  <c r="S461" i="1" s="1"/>
  <c r="P775" i="1"/>
  <c r="R775" i="1" s="1"/>
  <c r="S775" i="1" s="1"/>
  <c r="P741" i="1"/>
  <c r="R741" i="1" s="1"/>
  <c r="S741" i="1" s="1"/>
  <c r="P1379" i="1"/>
  <c r="R1379" i="1" s="1"/>
  <c r="S1379" i="1" s="1"/>
  <c r="P336" i="1"/>
  <c r="J336" i="1"/>
  <c r="P328" i="1"/>
  <c r="R328" i="1" s="1"/>
  <c r="S328" i="1" s="1"/>
  <c r="P286" i="1"/>
  <c r="R286" i="1" s="1"/>
  <c r="S286" i="1" s="1"/>
  <c r="P227" i="1"/>
  <c r="P193" i="1"/>
  <c r="R193" i="1" s="1"/>
  <c r="S193" i="1" s="1"/>
  <c r="P189" i="1"/>
  <c r="R189" i="1" s="1"/>
  <c r="S189" i="1" s="1"/>
  <c r="P904" i="1"/>
  <c r="R904" i="1" s="1"/>
  <c r="S904" i="1" s="1"/>
  <c r="P346" i="1"/>
  <c r="R346" i="1" s="1"/>
  <c r="S346" i="1" s="1"/>
  <c r="P345" i="1"/>
  <c r="R345" i="1" s="1"/>
  <c r="S345" i="1" s="1"/>
  <c r="P90" i="1"/>
  <c r="R90" i="1" s="1"/>
  <c r="S90" i="1" s="1"/>
  <c r="P87" i="1"/>
  <c r="R87" i="1" s="1"/>
  <c r="S87" i="1" s="1"/>
  <c r="P162" i="1"/>
  <c r="R162" i="1" s="1"/>
  <c r="S162" i="1" s="1"/>
  <c r="P152" i="1"/>
  <c r="R152" i="1" s="1"/>
  <c r="S152" i="1" s="1"/>
  <c r="P37" i="1"/>
  <c r="R37" i="1" s="1"/>
  <c r="S37" i="1" s="1"/>
  <c r="P38" i="1"/>
  <c r="R38" i="1" s="1"/>
  <c r="S38" i="1" s="1"/>
  <c r="R227" i="1" l="1"/>
  <c r="S227" i="1" s="1"/>
  <c r="R336" i="1"/>
  <c r="S336" i="1" s="1"/>
  <c r="P1265" i="1" l="1"/>
  <c r="R1265" i="1" s="1"/>
  <c r="S1265" i="1" s="1"/>
  <c r="P251" i="1"/>
  <c r="R251" i="1" s="1"/>
  <c r="S251" i="1" s="1"/>
  <c r="P252" i="1"/>
  <c r="R252" i="1" s="1"/>
  <c r="S252" i="1" s="1"/>
  <c r="P258" i="1"/>
  <c r="R258" i="1" s="1"/>
  <c r="S258" i="1" s="1"/>
  <c r="P238" i="1"/>
  <c r="P709" i="1"/>
  <c r="R709" i="1" s="1"/>
  <c r="S709" i="1" s="1"/>
  <c r="P708" i="1"/>
  <c r="R708" i="1" s="1"/>
  <c r="S708" i="1" s="1"/>
  <c r="P1225" i="1"/>
  <c r="R1225" i="1" s="1"/>
  <c r="S1225" i="1" s="1"/>
  <c r="R238" i="1" l="1"/>
  <c r="S238" i="1" s="1"/>
  <c r="P484" i="1"/>
  <c r="R484" i="1" s="1"/>
  <c r="S484" i="1" s="1"/>
  <c r="P299" i="1"/>
  <c r="R299" i="1" s="1"/>
  <c r="S299" i="1" s="1"/>
  <c r="P295" i="1"/>
  <c r="R295" i="1" s="1"/>
  <c r="S295" i="1" s="1"/>
  <c r="P293" i="1"/>
  <c r="R293" i="1" s="1"/>
  <c r="S293" i="1" s="1"/>
  <c r="P290" i="1"/>
  <c r="R290" i="1" s="1"/>
  <c r="S290" i="1" s="1"/>
  <c r="P291" i="1"/>
  <c r="R291" i="1" s="1"/>
  <c r="S291" i="1" s="1"/>
  <c r="P287" i="1"/>
  <c r="R287" i="1" s="1"/>
  <c r="S287" i="1" s="1"/>
  <c r="P285" i="1"/>
  <c r="R285" i="1" s="1"/>
  <c r="S285" i="1" s="1"/>
  <c r="P283" i="1"/>
  <c r="R283" i="1" s="1"/>
  <c r="S283" i="1" s="1"/>
  <c r="P179" i="1"/>
  <c r="R179" i="1" s="1"/>
  <c r="S179" i="1" s="1"/>
  <c r="P144" i="1"/>
  <c r="R144" i="1" s="1"/>
  <c r="S144" i="1" s="1"/>
  <c r="P1063" i="1" l="1"/>
  <c r="R1063" i="1" s="1"/>
  <c r="S1063" i="1" s="1"/>
  <c r="P488" i="1"/>
  <c r="R488" i="1" s="1"/>
  <c r="S488" i="1" s="1"/>
  <c r="P486" i="1"/>
  <c r="R486" i="1" s="1"/>
  <c r="S486" i="1" s="1"/>
  <c r="P487" i="1"/>
  <c r="R487" i="1" s="1"/>
  <c r="S487" i="1" s="1"/>
  <c r="P482" i="1"/>
  <c r="R482" i="1" s="1"/>
  <c r="S482" i="1" s="1"/>
  <c r="P991" i="1"/>
  <c r="R991" i="1" s="1"/>
  <c r="S991" i="1" s="1"/>
  <c r="J992" i="1"/>
  <c r="P992" i="1"/>
  <c r="P75" i="1"/>
  <c r="R75" i="1" s="1"/>
  <c r="S75" i="1" s="1"/>
  <c r="P119" i="1"/>
  <c r="R119" i="1" s="1"/>
  <c r="S119" i="1" s="1"/>
  <c r="P121" i="1"/>
  <c r="R121" i="1" s="1"/>
  <c r="S121" i="1" s="1"/>
  <c r="P124" i="1"/>
  <c r="R124" i="1" s="1"/>
  <c r="S124" i="1" s="1"/>
  <c r="P79" i="1"/>
  <c r="P80" i="1"/>
  <c r="R80" i="1" s="1"/>
  <c r="S80" i="1" s="1"/>
  <c r="P83" i="1"/>
  <c r="R83" i="1" s="1"/>
  <c r="S83" i="1" s="1"/>
  <c r="P88" i="1"/>
  <c r="R88" i="1" s="1"/>
  <c r="S88" i="1" s="1"/>
  <c r="P106" i="1"/>
  <c r="R106" i="1" s="1"/>
  <c r="S106" i="1" s="1"/>
  <c r="P113" i="1"/>
  <c r="R113" i="1" s="1"/>
  <c r="S113" i="1" s="1"/>
  <c r="P77" i="1"/>
  <c r="R77" i="1" s="1"/>
  <c r="S77" i="1" s="1"/>
  <c r="P58" i="1"/>
  <c r="R992" i="1" l="1"/>
  <c r="S992" i="1" s="1"/>
  <c r="P819" i="1" l="1"/>
  <c r="R819" i="1" s="1"/>
  <c r="S819" i="1" s="1"/>
  <c r="P818" i="1"/>
  <c r="R818" i="1" s="1"/>
  <c r="S818" i="1" s="1"/>
  <c r="P812" i="1"/>
  <c r="R812" i="1" s="1"/>
  <c r="S812" i="1" s="1"/>
  <c r="P813" i="1"/>
  <c r="R813" i="1" s="1"/>
  <c r="S813" i="1" s="1"/>
  <c r="P814" i="1"/>
  <c r="R814" i="1" s="1"/>
  <c r="S814" i="1" s="1"/>
  <c r="P815" i="1"/>
  <c r="R815" i="1" s="1"/>
  <c r="S815" i="1" s="1"/>
  <c r="P816" i="1"/>
  <c r="R816" i="1" s="1"/>
  <c r="S816" i="1" s="1"/>
  <c r="P817" i="1"/>
  <c r="R817" i="1" s="1"/>
  <c r="S817" i="1" s="1"/>
  <c r="P811" i="1"/>
  <c r="R811" i="1" s="1"/>
  <c r="S811" i="1" s="1"/>
  <c r="P1062" i="1" l="1"/>
  <c r="R1062" i="1" s="1"/>
  <c r="S1062" i="1" s="1"/>
  <c r="P276" i="1"/>
  <c r="R276" i="1" s="1"/>
  <c r="S276" i="1" s="1"/>
  <c r="P259" i="1"/>
  <c r="R259" i="1" s="1"/>
  <c r="S259" i="1" s="1"/>
  <c r="P806" i="1" l="1"/>
  <c r="R806" i="1" s="1"/>
  <c r="S806" i="1" s="1"/>
  <c r="P802" i="1"/>
  <c r="R802" i="1" s="1"/>
  <c r="S802" i="1" s="1"/>
  <c r="P805" i="1"/>
  <c r="R805" i="1" s="1"/>
  <c r="S805" i="1" s="1"/>
  <c r="P1144" i="1" l="1"/>
  <c r="R1144" i="1" s="1"/>
  <c r="S1144" i="1" s="1"/>
  <c r="P557" i="1"/>
  <c r="R557" i="1" s="1"/>
  <c r="S557" i="1" s="1"/>
  <c r="P1033" i="1"/>
  <c r="R1033" i="1" s="1"/>
  <c r="S1033" i="1" s="1"/>
  <c r="P1034" i="1"/>
  <c r="R1034" i="1" s="1"/>
  <c r="S1034" i="1" s="1"/>
  <c r="P1032" i="1"/>
  <c r="R1032" i="1" s="1"/>
  <c r="S1032" i="1" s="1"/>
  <c r="P1102" i="1"/>
  <c r="R1102" i="1" s="1"/>
  <c r="S1102" i="1" s="1"/>
  <c r="P1311" i="1"/>
  <c r="R1311" i="1" s="1"/>
  <c r="S1311" i="1" s="1"/>
  <c r="P1309" i="1"/>
  <c r="R1309" i="1" s="1"/>
  <c r="S1309" i="1" s="1"/>
  <c r="P1339" i="1" l="1"/>
  <c r="R1339" i="1" s="1"/>
  <c r="S1339" i="1" s="1"/>
  <c r="P867" i="1"/>
  <c r="R867" i="1" s="1"/>
  <c r="S867" i="1" s="1"/>
  <c r="P1137" i="1" l="1"/>
  <c r="R1137" i="1" s="1"/>
  <c r="S1137" i="1" s="1"/>
  <c r="P392" i="1" l="1"/>
  <c r="R392" i="1" s="1"/>
  <c r="S392" i="1" s="1"/>
  <c r="P1136" i="1"/>
  <c r="R1136" i="1" s="1"/>
  <c r="S1136" i="1" s="1"/>
  <c r="P1278" i="1" l="1"/>
  <c r="R1278" i="1" s="1"/>
  <c r="S1278" i="1" s="1"/>
  <c r="P1205" i="1"/>
  <c r="J1205" i="1"/>
  <c r="P1190" i="1"/>
  <c r="R1190" i="1" s="1"/>
  <c r="S1190" i="1" s="1"/>
  <c r="R1205" i="1" l="1"/>
  <c r="S1205" i="1" s="1"/>
  <c r="P1153" i="1"/>
  <c r="R1153" i="1" s="1"/>
  <c r="S1153" i="1" s="1"/>
  <c r="P112" i="1"/>
  <c r="R112" i="1" s="1"/>
  <c r="S112" i="1" s="1"/>
  <c r="P698" i="1"/>
  <c r="R698" i="1" s="1"/>
  <c r="S698" i="1" s="1"/>
  <c r="J239" i="1" l="1"/>
  <c r="H239" i="1"/>
  <c r="P239" i="1" s="1"/>
  <c r="R239" i="1" l="1"/>
  <c r="S239" i="1" s="1"/>
  <c r="P903" i="1"/>
  <c r="R903" i="1" s="1"/>
  <c r="S903" i="1" s="1"/>
  <c r="P1167" i="1" l="1"/>
  <c r="P1312" i="1"/>
  <c r="R1312" i="1" s="1"/>
  <c r="S1312" i="1" s="1"/>
  <c r="P1017" i="1"/>
  <c r="J1017" i="1"/>
  <c r="P580" i="1"/>
  <c r="R580" i="1" s="1"/>
  <c r="S580" i="1" s="1"/>
  <c r="R1017" i="1" l="1"/>
  <c r="S1017" i="1" s="1"/>
  <c r="P508" i="1"/>
  <c r="R508" i="1" s="1"/>
  <c r="S508" i="1" s="1"/>
  <c r="P776" i="1"/>
  <c r="R776" i="1" s="1"/>
  <c r="S776" i="1" s="1"/>
  <c r="P772" i="1"/>
  <c r="J772" i="1"/>
  <c r="P774" i="1"/>
  <c r="R774" i="1" s="1"/>
  <c r="S774" i="1" s="1"/>
  <c r="R772" i="1" l="1"/>
  <c r="S772" i="1" s="1"/>
  <c r="P55" i="1" l="1"/>
  <c r="R55" i="1" s="1"/>
  <c r="S55" i="1" s="1"/>
  <c r="P892" i="1" l="1"/>
  <c r="R892" i="1" s="1"/>
  <c r="S892" i="1" s="1"/>
  <c r="J771" i="1"/>
  <c r="P771" i="1"/>
  <c r="P746" i="1"/>
  <c r="R746" i="1" s="1"/>
  <c r="S746" i="1" s="1"/>
  <c r="R771" i="1" l="1"/>
  <c r="S771" i="1" s="1"/>
  <c r="P571" i="1"/>
  <c r="R571" i="1" s="1"/>
  <c r="S571" i="1" s="1"/>
  <c r="P551" i="1"/>
  <c r="R551" i="1" s="1"/>
  <c r="S551" i="1" s="1"/>
  <c r="P550" i="1"/>
  <c r="R550" i="1" s="1"/>
  <c r="S550" i="1" s="1"/>
  <c r="P549" i="1"/>
  <c r="R549" i="1" s="1"/>
  <c r="S549" i="1" s="1"/>
  <c r="P548" i="1"/>
  <c r="R548" i="1" s="1"/>
  <c r="S548" i="1" s="1"/>
  <c r="P547" i="1"/>
  <c r="R547" i="1" s="1"/>
  <c r="S547" i="1" s="1"/>
  <c r="P546" i="1"/>
  <c r="R546" i="1" s="1"/>
  <c r="S546" i="1" s="1"/>
  <c r="P545" i="1"/>
  <c r="R545" i="1" s="1"/>
  <c r="S545" i="1" s="1"/>
  <c r="P544" i="1"/>
  <c r="R544" i="1" s="1"/>
  <c r="S544" i="1" s="1"/>
  <c r="P542" i="1"/>
  <c r="R542" i="1" s="1"/>
  <c r="S542" i="1" s="1"/>
  <c r="P541" i="1"/>
  <c r="R541" i="1" s="1"/>
  <c r="S541" i="1" s="1"/>
  <c r="P540" i="1"/>
  <c r="R540" i="1" s="1"/>
  <c r="S540" i="1" s="1"/>
  <c r="P539" i="1"/>
  <c r="R539" i="1" s="1"/>
  <c r="S539" i="1" s="1"/>
  <c r="J256" i="1"/>
  <c r="P256" i="1"/>
  <c r="P235" i="1"/>
  <c r="J235" i="1"/>
  <c r="P233" i="1"/>
  <c r="J233" i="1"/>
  <c r="P232" i="1"/>
  <c r="J232" i="1"/>
  <c r="P228" i="1"/>
  <c r="R228" i="1" s="1"/>
  <c r="S228" i="1" s="1"/>
  <c r="P182" i="1"/>
  <c r="R182" i="1" s="1"/>
  <c r="S182" i="1" s="1"/>
  <c r="P115" i="1"/>
  <c r="R115" i="1" s="1"/>
  <c r="S115" i="1" s="1"/>
  <c r="P104" i="1"/>
  <c r="R104" i="1" s="1"/>
  <c r="S104" i="1" s="1"/>
  <c r="P99" i="1"/>
  <c r="R99" i="1" s="1"/>
  <c r="S99" i="1" s="1"/>
  <c r="P97" i="1"/>
  <c r="R97" i="1" s="1"/>
  <c r="S97" i="1" s="1"/>
  <c r="P95" i="1"/>
  <c r="R95" i="1" s="1"/>
  <c r="S95" i="1" s="1"/>
  <c r="P68" i="1"/>
  <c r="R68" i="1" s="1"/>
  <c r="S68" i="1" s="1"/>
  <c r="P67" i="1"/>
  <c r="R67" i="1" s="1"/>
  <c r="S67" i="1" s="1"/>
  <c r="P61" i="1"/>
  <c r="R61" i="1" s="1"/>
  <c r="S61" i="1" s="1"/>
  <c r="P44" i="1"/>
  <c r="J44" i="1"/>
  <c r="J43" i="1"/>
  <c r="P43" i="1"/>
  <c r="J42" i="1"/>
  <c r="P42" i="1"/>
  <c r="P32" i="1"/>
  <c r="R32" i="1" s="1"/>
  <c r="S32" i="1" s="1"/>
  <c r="R232" i="1" l="1"/>
  <c r="S232" i="1" s="1"/>
  <c r="R235" i="1"/>
  <c r="S235" i="1" s="1"/>
  <c r="R43" i="1"/>
  <c r="S43" i="1" s="1"/>
  <c r="R256" i="1"/>
  <c r="S256" i="1" s="1"/>
  <c r="R233" i="1"/>
  <c r="S233" i="1" s="1"/>
  <c r="R42" i="1"/>
  <c r="S42" i="1" s="1"/>
  <c r="R44" i="1"/>
  <c r="S44" i="1" s="1"/>
  <c r="P878" i="1"/>
  <c r="R878" i="1" s="1"/>
  <c r="S878" i="1" s="1"/>
  <c r="P1189" i="1" l="1"/>
  <c r="R1189" i="1" s="1"/>
  <c r="S1189" i="1" s="1"/>
  <c r="P684" i="1"/>
  <c r="R684" i="1" s="1"/>
  <c r="S684" i="1" s="1"/>
  <c r="P681" i="1"/>
  <c r="R681" i="1" s="1"/>
  <c r="S681" i="1" s="1"/>
  <c r="P463" i="1"/>
  <c r="R463" i="1" s="1"/>
  <c r="S463" i="1" s="1"/>
  <c r="P404" i="1"/>
  <c r="R404" i="1" s="1"/>
  <c r="S404" i="1" s="1"/>
  <c r="P700" i="1"/>
  <c r="R700" i="1" s="1"/>
  <c r="S700" i="1" s="1"/>
  <c r="P34" i="1"/>
  <c r="R34" i="1" s="1"/>
  <c r="S34" i="1" s="1"/>
  <c r="P1359" i="1" l="1"/>
  <c r="R1359" i="1" s="1"/>
  <c r="S1359" i="1" s="1"/>
  <c r="P1060" i="1"/>
  <c r="R1060" i="1" s="1"/>
  <c r="S1060" i="1" s="1"/>
  <c r="P602" i="1"/>
  <c r="R602" i="1" s="1"/>
  <c r="S602" i="1" s="1"/>
  <c r="P1140" i="1"/>
  <c r="R1140" i="1" s="1"/>
  <c r="S1140" i="1" s="1"/>
  <c r="P1331" i="1" l="1"/>
  <c r="R1331" i="1" s="1"/>
  <c r="S1331" i="1" s="1"/>
  <c r="P1061" i="1" l="1"/>
  <c r="R1061" i="1" s="1"/>
  <c r="S1061" i="1" s="1"/>
  <c r="P1330" i="1" l="1"/>
  <c r="R1330" i="1" s="1"/>
  <c r="S1330" i="1" s="1"/>
  <c r="P987" i="1"/>
  <c r="R987" i="1" s="1"/>
  <c r="S987" i="1" s="1"/>
  <c r="P128" i="1"/>
  <c r="R128" i="1" s="1"/>
  <c r="S128" i="1" s="1"/>
  <c r="P129" i="1"/>
  <c r="R129" i="1" s="1"/>
  <c r="S129" i="1" s="1"/>
  <c r="P1007" i="1" l="1"/>
  <c r="R1007" i="1" s="1"/>
  <c r="S1007" i="1" s="1"/>
  <c r="P1046" i="1"/>
  <c r="R1046" i="1" s="1"/>
  <c r="S1046" i="1" s="1"/>
  <c r="P963" i="1"/>
  <c r="R963" i="1" s="1"/>
  <c r="S963" i="1" s="1"/>
  <c r="P594" i="1"/>
  <c r="R594" i="1" s="1"/>
  <c r="S594" i="1" s="1"/>
  <c r="P455" i="1"/>
  <c r="R455" i="1" s="1"/>
  <c r="S455" i="1" s="1"/>
  <c r="P331" i="1"/>
  <c r="R331" i="1" s="1"/>
  <c r="S331" i="1" s="1"/>
  <c r="P153" i="1" l="1"/>
  <c r="R153" i="1" s="1"/>
  <c r="S153" i="1" s="1"/>
  <c r="P116" i="1"/>
  <c r="R116" i="1" s="1"/>
  <c r="S116" i="1" s="1"/>
  <c r="P105" i="1"/>
  <c r="R105" i="1" s="1"/>
  <c r="S105" i="1" s="1"/>
  <c r="P100" i="1"/>
  <c r="R100" i="1" s="1"/>
  <c r="S100" i="1" s="1"/>
  <c r="P375" i="1" l="1"/>
  <c r="R375" i="1" s="1"/>
  <c r="S375" i="1" s="1"/>
  <c r="R1167" i="1" l="1"/>
  <c r="S1167" i="1" s="1"/>
  <c r="P747" i="1" l="1"/>
  <c r="R747" i="1" s="1"/>
  <c r="S747" i="1" s="1"/>
  <c r="P274" i="1" l="1"/>
  <c r="R274" i="1" s="1"/>
  <c r="S274" i="1" s="1"/>
  <c r="P277" i="1"/>
  <c r="R277" i="1" s="1"/>
  <c r="S277" i="1" s="1"/>
  <c r="P808" i="1" l="1"/>
  <c r="R808" i="1" s="1"/>
  <c r="S808" i="1" s="1"/>
  <c r="P809" i="1"/>
  <c r="R809" i="1" s="1"/>
  <c r="S809" i="1" s="1"/>
  <c r="P810" i="1"/>
  <c r="R810" i="1" s="1"/>
  <c r="S810" i="1" s="1"/>
  <c r="P807" i="1"/>
  <c r="R807" i="1" s="1"/>
  <c r="S807" i="1" s="1"/>
  <c r="P1015" i="1" l="1"/>
  <c r="J1015" i="1"/>
  <c r="P919" i="1"/>
  <c r="R919" i="1" s="1"/>
  <c r="S919" i="1" s="1"/>
  <c r="J986" i="1"/>
  <c r="P986" i="1"/>
  <c r="P985" i="1"/>
  <c r="R985" i="1" s="1"/>
  <c r="S985" i="1" s="1"/>
  <c r="P1154" i="1"/>
  <c r="R1154" i="1" s="1"/>
  <c r="S1154" i="1" s="1"/>
  <c r="P472" i="1"/>
  <c r="R472" i="1" s="1"/>
  <c r="S472" i="1" s="1"/>
  <c r="P470" i="1"/>
  <c r="R470" i="1" s="1"/>
  <c r="S470" i="1" s="1"/>
  <c r="P469" i="1"/>
  <c r="R469" i="1" s="1"/>
  <c r="S469" i="1" s="1"/>
  <c r="J223" i="1"/>
  <c r="P223" i="1"/>
  <c r="P222" i="1"/>
  <c r="R222" i="1" s="1"/>
  <c r="S222" i="1" s="1"/>
  <c r="P114" i="1"/>
  <c r="R114" i="1" s="1"/>
  <c r="S114" i="1" s="1"/>
  <c r="P101" i="1"/>
  <c r="R101" i="1" s="1"/>
  <c r="S101" i="1" s="1"/>
  <c r="P98" i="1"/>
  <c r="R98" i="1" s="1"/>
  <c r="S98" i="1" s="1"/>
  <c r="P96" i="1"/>
  <c r="R96" i="1" s="1"/>
  <c r="S96" i="1" s="1"/>
  <c r="P78" i="1"/>
  <c r="R78" i="1" s="1"/>
  <c r="S78" i="1" s="1"/>
  <c r="P51" i="1"/>
  <c r="R51" i="1" s="1"/>
  <c r="S51" i="1" s="1"/>
  <c r="P705" i="1"/>
  <c r="R705" i="1" s="1"/>
  <c r="S705" i="1" s="1"/>
  <c r="P310" i="1"/>
  <c r="R310" i="1" s="1"/>
  <c r="S310" i="1" s="1"/>
  <c r="P311" i="1"/>
  <c r="R311" i="1" s="1"/>
  <c r="S311" i="1" s="1"/>
  <c r="J237" i="1"/>
  <c r="P237" i="1"/>
  <c r="P110" i="1"/>
  <c r="R110" i="1" s="1"/>
  <c r="S110" i="1" s="1"/>
  <c r="P109" i="1"/>
  <c r="R109" i="1" s="1"/>
  <c r="S109" i="1" s="1"/>
  <c r="P81" i="1"/>
  <c r="R81" i="1" s="1"/>
  <c r="S81" i="1" s="1"/>
  <c r="R986" i="1" l="1"/>
  <c r="S986" i="1" s="1"/>
  <c r="R1015" i="1"/>
  <c r="S1015" i="1" s="1"/>
  <c r="R223" i="1"/>
  <c r="S223" i="1" s="1"/>
  <c r="R237" i="1"/>
  <c r="S237" i="1" s="1"/>
  <c r="P654" i="1"/>
  <c r="J1310" i="1"/>
  <c r="P1310" i="1"/>
  <c r="P1373" i="1"/>
  <c r="R1373" i="1" s="1"/>
  <c r="S1373" i="1" s="1"/>
  <c r="P1365" i="1"/>
  <c r="R1365" i="1" s="1"/>
  <c r="S1365" i="1" s="1"/>
  <c r="P1361" i="1"/>
  <c r="R1361" i="1" s="1"/>
  <c r="S1361" i="1" s="1"/>
  <c r="P1357" i="1"/>
  <c r="J1357" i="1"/>
  <c r="P1356" i="1"/>
  <c r="J1356" i="1"/>
  <c r="P1355" i="1"/>
  <c r="J1355" i="1"/>
  <c r="P1354" i="1"/>
  <c r="J1354" i="1"/>
  <c r="P1353" i="1"/>
  <c r="R1353" i="1" s="1"/>
  <c r="S1353" i="1" s="1"/>
  <c r="P1352" i="1"/>
  <c r="J1352" i="1"/>
  <c r="P1351" i="1"/>
  <c r="J1351" i="1"/>
  <c r="P1350" i="1"/>
  <c r="J1350" i="1"/>
  <c r="P1349" i="1"/>
  <c r="J1349" i="1"/>
  <c r="P1345" i="1"/>
  <c r="R1345" i="1" s="1"/>
  <c r="S1345" i="1" s="1"/>
  <c r="P1344" i="1"/>
  <c r="R1344" i="1" s="1"/>
  <c r="S1344" i="1" s="1"/>
  <c r="P1343" i="1"/>
  <c r="R1343" i="1" s="1"/>
  <c r="S1343" i="1" s="1"/>
  <c r="P1341" i="1"/>
  <c r="R1341" i="1" s="1"/>
  <c r="S1341" i="1" s="1"/>
  <c r="P1338" i="1"/>
  <c r="R1338" i="1" s="1"/>
  <c r="S1338" i="1" s="1"/>
  <c r="P1337" i="1"/>
  <c r="R1337" i="1" s="1"/>
  <c r="S1337" i="1" s="1"/>
  <c r="P1336" i="1"/>
  <c r="R1336" i="1" s="1"/>
  <c r="S1336" i="1" s="1"/>
  <c r="P1333" i="1"/>
  <c r="R1333" i="1" s="1"/>
  <c r="S1333" i="1" s="1"/>
  <c r="P1332" i="1"/>
  <c r="R1332" i="1" s="1"/>
  <c r="S1332" i="1" s="1"/>
  <c r="P1324" i="1"/>
  <c r="J1324" i="1"/>
  <c r="P1323" i="1"/>
  <c r="J1323" i="1"/>
  <c r="P1321" i="1"/>
  <c r="J1321" i="1"/>
  <c r="P1320" i="1"/>
  <c r="J1320" i="1"/>
  <c r="P1319" i="1"/>
  <c r="J1319" i="1"/>
  <c r="P1317" i="1"/>
  <c r="R1317" i="1" s="1"/>
  <c r="S1317" i="1" s="1"/>
  <c r="S1316" i="1"/>
  <c r="P1314" i="1"/>
  <c r="J1314" i="1"/>
  <c r="P1313" i="1"/>
  <c r="J1313" i="1"/>
  <c r="P1306" i="1"/>
  <c r="R1306" i="1" s="1"/>
  <c r="S1306" i="1" s="1"/>
  <c r="S1305" i="1"/>
  <c r="P1303" i="1"/>
  <c r="R1303" i="1" s="1"/>
  <c r="S1303" i="1" s="1"/>
  <c r="P1302" i="1"/>
  <c r="R1302" i="1" s="1"/>
  <c r="S1302" i="1" s="1"/>
  <c r="P1301" i="1"/>
  <c r="J1301" i="1"/>
  <c r="P1300" i="1"/>
  <c r="J1300" i="1"/>
  <c r="P1298" i="1"/>
  <c r="R1298" i="1" s="1"/>
  <c r="S1298" i="1" s="1"/>
  <c r="P1297" i="1"/>
  <c r="R1297" i="1" s="1"/>
  <c r="S1297" i="1" s="1"/>
  <c r="P1295" i="1"/>
  <c r="R1295" i="1" s="1"/>
  <c r="S1295" i="1" s="1"/>
  <c r="P1294" i="1"/>
  <c r="R1294" i="1" s="1"/>
  <c r="S1294" i="1" s="1"/>
  <c r="P1293" i="1"/>
  <c r="R1293" i="1" s="1"/>
  <c r="S1293" i="1" s="1"/>
  <c r="P1289" i="1"/>
  <c r="J1289" i="1"/>
  <c r="P1286" i="1"/>
  <c r="J1286" i="1"/>
  <c r="P1285" i="1"/>
  <c r="J1285" i="1"/>
  <c r="P1284" i="1"/>
  <c r="R1284" i="1" s="1"/>
  <c r="S1284" i="1" s="1"/>
  <c r="P1283" i="1"/>
  <c r="R1283" i="1" s="1"/>
  <c r="S1283" i="1" s="1"/>
  <c r="J1282" i="1"/>
  <c r="P1282" i="1"/>
  <c r="J1281" i="1"/>
  <c r="P1281" i="1"/>
  <c r="P1279" i="1"/>
  <c r="R1279" i="1" s="1"/>
  <c r="S1279" i="1" s="1"/>
  <c r="P1277" i="1"/>
  <c r="R1277" i="1" s="1"/>
  <c r="S1277" i="1" s="1"/>
  <c r="P1276" i="1"/>
  <c r="R1276" i="1" s="1"/>
  <c r="S1276" i="1" s="1"/>
  <c r="P1273" i="1"/>
  <c r="R1273" i="1" s="1"/>
  <c r="S1273" i="1" s="1"/>
  <c r="P1272" i="1"/>
  <c r="R1272" i="1" s="1"/>
  <c r="S1272" i="1" s="1"/>
  <c r="P1270" i="1"/>
  <c r="R1270" i="1" s="1"/>
  <c r="S1270" i="1" s="1"/>
  <c r="P1269" i="1"/>
  <c r="R1269" i="1" s="1"/>
  <c r="S1269" i="1" s="1"/>
  <c r="P1268" i="1"/>
  <c r="R1268" i="1" s="1"/>
  <c r="S1268" i="1" s="1"/>
  <c r="P1267" i="1"/>
  <c r="R1267" i="1" s="1"/>
  <c r="S1267" i="1" s="1"/>
  <c r="P1266" i="1"/>
  <c r="R1266" i="1" s="1"/>
  <c r="S1266" i="1" s="1"/>
  <c r="P1262" i="1"/>
  <c r="R1262" i="1" s="1"/>
  <c r="S1262" i="1" s="1"/>
  <c r="P1259" i="1"/>
  <c r="R1259" i="1" s="1"/>
  <c r="S1259" i="1" s="1"/>
  <c r="P1256" i="1"/>
  <c r="R1256" i="1" s="1"/>
  <c r="S1256" i="1" s="1"/>
  <c r="P1255" i="1"/>
  <c r="R1255" i="1" s="1"/>
  <c r="S1255" i="1" s="1"/>
  <c r="P1254" i="1"/>
  <c r="R1254" i="1" s="1"/>
  <c r="S1254" i="1" s="1"/>
  <c r="P1252" i="1"/>
  <c r="J1252" i="1"/>
  <c r="P1251" i="1"/>
  <c r="J1251" i="1"/>
  <c r="P1249" i="1"/>
  <c r="J1249" i="1"/>
  <c r="P1247" i="1"/>
  <c r="R1247" i="1" s="1"/>
  <c r="S1247" i="1" s="1"/>
  <c r="P1245" i="1"/>
  <c r="R1245" i="1" s="1"/>
  <c r="S1245" i="1" s="1"/>
  <c r="P1244" i="1"/>
  <c r="R1244" i="1" s="1"/>
  <c r="S1244" i="1" s="1"/>
  <c r="P1241" i="1"/>
  <c r="R1241" i="1" s="1"/>
  <c r="S1241" i="1" s="1"/>
  <c r="P1239" i="1"/>
  <c r="R1239" i="1" s="1"/>
  <c r="S1239" i="1" s="1"/>
  <c r="P1237" i="1"/>
  <c r="R1237" i="1" s="1"/>
  <c r="S1237" i="1" s="1"/>
  <c r="P1236" i="1"/>
  <c r="R1236" i="1" s="1"/>
  <c r="S1236" i="1" s="1"/>
  <c r="P1235" i="1"/>
  <c r="R1235" i="1" s="1"/>
  <c r="S1235" i="1" s="1"/>
  <c r="P1234" i="1"/>
  <c r="R1234" i="1" s="1"/>
  <c r="S1234" i="1" s="1"/>
  <c r="P1231" i="1"/>
  <c r="J1231" i="1"/>
  <c r="P1230" i="1"/>
  <c r="J1230" i="1"/>
  <c r="J1229" i="1"/>
  <c r="P1229" i="1"/>
  <c r="P1228" i="1"/>
  <c r="J1228" i="1"/>
  <c r="P1227" i="1"/>
  <c r="R1227" i="1" s="1"/>
  <c r="S1227" i="1" s="1"/>
  <c r="P1226" i="1"/>
  <c r="J1226" i="1"/>
  <c r="P1224" i="1"/>
  <c r="J1224" i="1"/>
  <c r="J1221" i="1"/>
  <c r="P1221" i="1"/>
  <c r="P1220" i="1"/>
  <c r="J1220" i="1"/>
  <c r="P1219" i="1"/>
  <c r="J1219" i="1"/>
  <c r="P1217" i="1"/>
  <c r="R1217" i="1" s="1"/>
  <c r="S1217" i="1" s="1"/>
  <c r="P1216" i="1"/>
  <c r="J1216" i="1"/>
  <c r="P1215" i="1"/>
  <c r="J1215" i="1"/>
  <c r="P1214" i="1"/>
  <c r="J1214" i="1"/>
  <c r="P1212" i="1"/>
  <c r="J1212" i="1"/>
  <c r="P1210" i="1"/>
  <c r="J1210" i="1"/>
  <c r="P1208" i="1"/>
  <c r="J1208" i="1"/>
  <c r="P1206" i="1"/>
  <c r="J1206" i="1"/>
  <c r="P1203" i="1"/>
  <c r="R1203" i="1" s="1"/>
  <c r="S1203" i="1" s="1"/>
  <c r="P1202" i="1"/>
  <c r="R1202" i="1" s="1"/>
  <c r="S1202" i="1" s="1"/>
  <c r="P1201" i="1"/>
  <c r="R1201" i="1" s="1"/>
  <c r="S1201" i="1" s="1"/>
  <c r="P1200" i="1"/>
  <c r="R1200" i="1" s="1"/>
  <c r="S1200" i="1" s="1"/>
  <c r="P1199" i="1"/>
  <c r="R1199" i="1" s="1"/>
  <c r="S1199" i="1" s="1"/>
  <c r="P1197" i="1"/>
  <c r="R1197" i="1" s="1"/>
  <c r="S1197" i="1" s="1"/>
  <c r="P1196" i="1"/>
  <c r="R1196" i="1" s="1"/>
  <c r="S1196" i="1" s="1"/>
  <c r="P1195" i="1"/>
  <c r="R1195" i="1" s="1"/>
  <c r="S1195" i="1" s="1"/>
  <c r="P1194" i="1"/>
  <c r="R1194" i="1" s="1"/>
  <c r="S1194" i="1" s="1"/>
  <c r="P1191" i="1"/>
  <c r="J1191" i="1"/>
  <c r="P1188" i="1"/>
  <c r="R1188" i="1" s="1"/>
  <c r="S1188" i="1" s="1"/>
  <c r="P1187" i="1"/>
  <c r="R1187" i="1" s="1"/>
  <c r="S1187" i="1" s="1"/>
  <c r="P1186" i="1"/>
  <c r="R1186" i="1" s="1"/>
  <c r="S1186" i="1" s="1"/>
  <c r="P1183" i="1"/>
  <c r="J1183" i="1"/>
  <c r="P1181" i="1"/>
  <c r="R1181" i="1" s="1"/>
  <c r="S1181" i="1" s="1"/>
  <c r="P1180" i="1"/>
  <c r="R1180" i="1" s="1"/>
  <c r="S1180" i="1" s="1"/>
  <c r="P1171" i="1"/>
  <c r="J1171" i="1"/>
  <c r="P1170" i="1"/>
  <c r="J1170" i="1"/>
  <c r="P1168" i="1"/>
  <c r="R1168" i="1" s="1"/>
  <c r="S1168" i="1" s="1"/>
  <c r="P1165" i="1"/>
  <c r="J1165" i="1"/>
  <c r="P1164" i="1"/>
  <c r="J1164" i="1"/>
  <c r="P1161" i="1"/>
  <c r="J1161" i="1"/>
  <c r="P1160" i="1"/>
  <c r="J1160" i="1"/>
  <c r="P1159" i="1"/>
  <c r="R1159" i="1" s="1"/>
  <c r="S1159" i="1" s="1"/>
  <c r="P1158" i="1"/>
  <c r="R1158" i="1" s="1"/>
  <c r="S1158" i="1" s="1"/>
  <c r="P1157" i="1"/>
  <c r="J1157" i="1"/>
  <c r="P1156" i="1"/>
  <c r="J1156" i="1"/>
  <c r="P1152" i="1"/>
  <c r="R1152" i="1" s="1"/>
  <c r="S1152" i="1" s="1"/>
  <c r="P1145" i="1"/>
  <c r="R1145" i="1" s="1"/>
  <c r="S1145" i="1" s="1"/>
  <c r="P1139" i="1"/>
  <c r="R1139" i="1" s="1"/>
  <c r="S1139" i="1" s="1"/>
  <c r="P1133" i="1"/>
  <c r="R1133" i="1" s="1"/>
  <c r="S1133" i="1" s="1"/>
  <c r="P1132" i="1"/>
  <c r="J1132" i="1"/>
  <c r="P1131" i="1"/>
  <c r="J1131" i="1"/>
  <c r="P1129" i="1"/>
  <c r="R1129" i="1" s="1"/>
  <c r="S1129" i="1" s="1"/>
  <c r="P1127" i="1"/>
  <c r="R1127" i="1" s="1"/>
  <c r="S1127" i="1" s="1"/>
  <c r="P1120" i="1"/>
  <c r="J1120" i="1"/>
  <c r="P1119" i="1"/>
  <c r="J1119" i="1"/>
  <c r="P1118" i="1"/>
  <c r="J1118" i="1"/>
  <c r="P1117" i="1"/>
  <c r="J1117" i="1"/>
  <c r="P1115" i="1"/>
  <c r="J1115" i="1"/>
  <c r="P1114" i="1"/>
  <c r="J1114" i="1"/>
  <c r="P1113" i="1"/>
  <c r="J1113" i="1"/>
  <c r="J1112" i="1"/>
  <c r="P1112" i="1"/>
  <c r="P1111" i="1"/>
  <c r="J1111" i="1"/>
  <c r="P1109" i="1"/>
  <c r="R1109" i="1" s="1"/>
  <c r="S1109" i="1" s="1"/>
  <c r="P1108" i="1"/>
  <c r="R1108" i="1" s="1"/>
  <c r="S1108" i="1" s="1"/>
  <c r="P1107" i="1"/>
  <c r="R1107" i="1" s="1"/>
  <c r="S1107" i="1" s="1"/>
  <c r="P1105" i="1"/>
  <c r="R1105" i="1" s="1"/>
  <c r="S1105" i="1" s="1"/>
  <c r="P1104" i="1"/>
  <c r="R1104" i="1" s="1"/>
  <c r="S1104" i="1" s="1"/>
  <c r="P1103" i="1"/>
  <c r="R1103" i="1" s="1"/>
  <c r="S1103" i="1" s="1"/>
  <c r="P1097" i="1"/>
  <c r="J1097" i="1"/>
  <c r="P1095" i="1"/>
  <c r="R1095" i="1" s="1"/>
  <c r="S1095" i="1" s="1"/>
  <c r="P1091" i="1"/>
  <c r="R1091" i="1" s="1"/>
  <c r="S1091" i="1" s="1"/>
  <c r="P1090" i="1"/>
  <c r="R1090" i="1" s="1"/>
  <c r="S1090" i="1" s="1"/>
  <c r="P1089" i="1"/>
  <c r="R1089" i="1" s="1"/>
  <c r="S1089" i="1" s="1"/>
  <c r="P1088" i="1"/>
  <c r="R1088" i="1" s="1"/>
  <c r="S1088" i="1" s="1"/>
  <c r="P1087" i="1"/>
  <c r="R1087" i="1" s="1"/>
  <c r="S1087" i="1" s="1"/>
  <c r="P1059" i="1"/>
  <c r="R1059" i="1" s="1"/>
  <c r="S1059" i="1" s="1"/>
  <c r="P1058" i="1"/>
  <c r="R1058" i="1" s="1"/>
  <c r="S1058" i="1" s="1"/>
  <c r="P1057" i="1"/>
  <c r="R1057" i="1" s="1"/>
  <c r="S1057" i="1" s="1"/>
  <c r="P1056" i="1"/>
  <c r="R1056" i="1" s="1"/>
  <c r="S1056" i="1" s="1"/>
  <c r="P1055" i="1"/>
  <c r="R1055" i="1" s="1"/>
  <c r="S1055" i="1" s="1"/>
  <c r="P1054" i="1"/>
  <c r="R1054" i="1" s="1"/>
  <c r="S1054" i="1" s="1"/>
  <c r="P1052" i="1"/>
  <c r="J1052" i="1"/>
  <c r="P1049" i="1"/>
  <c r="R1049" i="1" s="1"/>
  <c r="S1049" i="1" s="1"/>
  <c r="P1047" i="1"/>
  <c r="R1047" i="1" s="1"/>
  <c r="S1047" i="1" s="1"/>
  <c r="P1045" i="1"/>
  <c r="R1045" i="1" s="1"/>
  <c r="S1045" i="1" s="1"/>
  <c r="P1030" i="1"/>
  <c r="R1030" i="1" s="1"/>
  <c r="S1030" i="1" s="1"/>
  <c r="P1029" i="1"/>
  <c r="J1029" i="1"/>
  <c r="P1028" i="1"/>
  <c r="J1028" i="1"/>
  <c r="P1027" i="1"/>
  <c r="J1027" i="1"/>
  <c r="P1026" i="1"/>
  <c r="J1026" i="1"/>
  <c r="P1025" i="1"/>
  <c r="J1025" i="1"/>
  <c r="P1024" i="1"/>
  <c r="J1024" i="1"/>
  <c r="P1022" i="1"/>
  <c r="J1022" i="1"/>
  <c r="P1021" i="1"/>
  <c r="J1021" i="1"/>
  <c r="J1020" i="1"/>
  <c r="P1020" i="1"/>
  <c r="J1018" i="1"/>
  <c r="P1018" i="1"/>
  <c r="P1013" i="1"/>
  <c r="R1013" i="1" s="1"/>
  <c r="S1013" i="1" s="1"/>
  <c r="P1012" i="1"/>
  <c r="R1012" i="1" s="1"/>
  <c r="S1012" i="1" s="1"/>
  <c r="P1010" i="1"/>
  <c r="R1010" i="1" s="1"/>
  <c r="S1010" i="1" s="1"/>
  <c r="P1009" i="1"/>
  <c r="R1009" i="1" s="1"/>
  <c r="S1009" i="1" s="1"/>
  <c r="P1008" i="1"/>
  <c r="R1008" i="1" s="1"/>
  <c r="S1008" i="1" s="1"/>
  <c r="P1006" i="1"/>
  <c r="R1006" i="1" s="1"/>
  <c r="S1006" i="1" s="1"/>
  <c r="P1005" i="1"/>
  <c r="R1005" i="1" s="1"/>
  <c r="S1005" i="1" s="1"/>
  <c r="P1004" i="1"/>
  <c r="R1004" i="1" s="1"/>
  <c r="S1004" i="1" s="1"/>
  <c r="P1003" i="1"/>
  <c r="R1003" i="1" s="1"/>
  <c r="S1003" i="1" s="1"/>
  <c r="P1002" i="1"/>
  <c r="R1002" i="1" s="1"/>
  <c r="S1002" i="1" s="1"/>
  <c r="P1001" i="1"/>
  <c r="R1001" i="1" s="1"/>
  <c r="S1001" i="1" s="1"/>
  <c r="P999" i="1"/>
  <c r="R999" i="1" s="1"/>
  <c r="S999" i="1" s="1"/>
  <c r="P998" i="1"/>
  <c r="R998" i="1" s="1"/>
  <c r="S998" i="1" s="1"/>
  <c r="H994" i="1"/>
  <c r="P994" i="1" s="1"/>
  <c r="R994" i="1" s="1"/>
  <c r="S994" i="1" s="1"/>
  <c r="P990" i="1"/>
  <c r="J990" i="1"/>
  <c r="P988" i="1"/>
  <c r="R988" i="1" s="1"/>
  <c r="S988" i="1" s="1"/>
  <c r="P984" i="1"/>
  <c r="R984" i="1" s="1"/>
  <c r="S984" i="1" s="1"/>
  <c r="P983" i="1"/>
  <c r="R983" i="1" s="1"/>
  <c r="S983" i="1" s="1"/>
  <c r="P978" i="1"/>
  <c r="R978" i="1" s="1"/>
  <c r="S978" i="1" s="1"/>
  <c r="P976" i="1"/>
  <c r="R976" i="1" s="1"/>
  <c r="S976" i="1" s="1"/>
  <c r="P975" i="1"/>
  <c r="R975" i="1" s="1"/>
  <c r="S975" i="1" s="1"/>
  <c r="P973" i="1"/>
  <c r="J973" i="1"/>
  <c r="P971" i="1"/>
  <c r="J971" i="1"/>
  <c r="P970" i="1"/>
  <c r="R970" i="1" s="1"/>
  <c r="S970" i="1" s="1"/>
  <c r="P968" i="1"/>
  <c r="J968" i="1"/>
  <c r="P966" i="1"/>
  <c r="J966" i="1"/>
  <c r="P964" i="1"/>
  <c r="R964" i="1" s="1"/>
  <c r="S964" i="1" s="1"/>
  <c r="P962" i="1"/>
  <c r="R962" i="1" s="1"/>
  <c r="S962" i="1" s="1"/>
  <c r="P961" i="1"/>
  <c r="R961" i="1" s="1"/>
  <c r="S961" i="1" s="1"/>
  <c r="P960" i="1"/>
  <c r="R960" i="1" s="1"/>
  <c r="S960" i="1" s="1"/>
  <c r="P959" i="1"/>
  <c r="R959" i="1" s="1"/>
  <c r="S959" i="1" s="1"/>
  <c r="P958" i="1"/>
  <c r="R958" i="1" s="1"/>
  <c r="S958" i="1" s="1"/>
  <c r="P955" i="1"/>
  <c r="R955" i="1" s="1"/>
  <c r="S955" i="1" s="1"/>
  <c r="P954" i="1"/>
  <c r="R954" i="1" s="1"/>
  <c r="S954" i="1" s="1"/>
  <c r="P951" i="1"/>
  <c r="R951" i="1" s="1"/>
  <c r="S951" i="1" s="1"/>
  <c r="P950" i="1"/>
  <c r="R950" i="1" s="1"/>
  <c r="S950" i="1" s="1"/>
  <c r="P949" i="1"/>
  <c r="R949" i="1" s="1"/>
  <c r="S949" i="1" s="1"/>
  <c r="P948" i="1"/>
  <c r="R948" i="1" s="1"/>
  <c r="S948" i="1" s="1"/>
  <c r="P947" i="1"/>
  <c r="R947" i="1" s="1"/>
  <c r="S947" i="1" s="1"/>
  <c r="P942" i="1"/>
  <c r="R942" i="1" s="1"/>
  <c r="S942" i="1" s="1"/>
  <c r="P940" i="1"/>
  <c r="J940" i="1"/>
  <c r="P939" i="1"/>
  <c r="J939" i="1"/>
  <c r="P938" i="1"/>
  <c r="J938" i="1"/>
  <c r="P936" i="1"/>
  <c r="J936" i="1"/>
  <c r="P935" i="1"/>
  <c r="J935" i="1"/>
  <c r="P934" i="1"/>
  <c r="J934" i="1"/>
  <c r="P933" i="1"/>
  <c r="J933" i="1"/>
  <c r="P931" i="1"/>
  <c r="J931" i="1"/>
  <c r="J930" i="1"/>
  <c r="P930" i="1"/>
  <c r="P929" i="1"/>
  <c r="J929" i="1"/>
  <c r="P928" i="1"/>
  <c r="R928" i="1" s="1"/>
  <c r="S928" i="1" s="1"/>
  <c r="P926" i="1"/>
  <c r="J926" i="1"/>
  <c r="P925" i="1"/>
  <c r="J925" i="1"/>
  <c r="J924" i="1"/>
  <c r="P924" i="1"/>
  <c r="J923" i="1"/>
  <c r="P923" i="1"/>
  <c r="P922" i="1"/>
  <c r="J922" i="1"/>
  <c r="P920" i="1"/>
  <c r="J920" i="1"/>
  <c r="P918" i="1"/>
  <c r="J918" i="1"/>
  <c r="P915" i="1"/>
  <c r="R915" i="1" s="1"/>
  <c r="S915" i="1" s="1"/>
  <c r="P914" i="1"/>
  <c r="R914" i="1" s="1"/>
  <c r="S914" i="1" s="1"/>
  <c r="P913" i="1"/>
  <c r="R913" i="1" s="1"/>
  <c r="S913" i="1" s="1"/>
  <c r="P912" i="1"/>
  <c r="R912" i="1" s="1"/>
  <c r="S912" i="1" s="1"/>
  <c r="P910" i="1"/>
  <c r="R910" i="1" s="1"/>
  <c r="S910" i="1" s="1"/>
  <c r="P908" i="1"/>
  <c r="R908" i="1" s="1"/>
  <c r="S908" i="1" s="1"/>
  <c r="P901" i="1"/>
  <c r="R901" i="1" s="1"/>
  <c r="S901" i="1" s="1"/>
  <c r="P900" i="1"/>
  <c r="R900" i="1" s="1"/>
  <c r="S900" i="1" s="1"/>
  <c r="P898" i="1"/>
  <c r="R898" i="1" s="1"/>
  <c r="S898" i="1" s="1"/>
  <c r="P897" i="1"/>
  <c r="R897" i="1" s="1"/>
  <c r="S897" i="1" s="1"/>
  <c r="P895" i="1"/>
  <c r="R895" i="1" s="1"/>
  <c r="S895" i="1" s="1"/>
  <c r="P891" i="1"/>
  <c r="R891" i="1" s="1"/>
  <c r="S891" i="1" s="1"/>
  <c r="P886" i="1"/>
  <c r="J886" i="1"/>
  <c r="P881" i="1"/>
  <c r="J881" i="1"/>
  <c r="P880" i="1"/>
  <c r="J880" i="1"/>
  <c r="P877" i="1"/>
  <c r="R877" i="1" s="1"/>
  <c r="S877" i="1" s="1"/>
  <c r="P874" i="1"/>
  <c r="R874" i="1" s="1"/>
  <c r="S874" i="1" s="1"/>
  <c r="P872" i="1"/>
  <c r="J872" i="1"/>
  <c r="P871" i="1"/>
  <c r="P866" i="1"/>
  <c r="R866" i="1" s="1"/>
  <c r="S866" i="1" s="1"/>
  <c r="P864" i="1"/>
  <c r="R864" i="1" s="1"/>
  <c r="S864" i="1" s="1"/>
  <c r="P863" i="1"/>
  <c r="J863" i="1"/>
  <c r="P853" i="1"/>
  <c r="J853" i="1"/>
  <c r="P852" i="1"/>
  <c r="J852" i="1"/>
  <c r="P851" i="1"/>
  <c r="J851" i="1"/>
  <c r="P848" i="1"/>
  <c r="R848" i="1" s="1"/>
  <c r="S848" i="1" s="1"/>
  <c r="P845" i="1"/>
  <c r="J845" i="1"/>
  <c r="P844" i="1"/>
  <c r="J844" i="1"/>
  <c r="P842" i="1"/>
  <c r="R842" i="1" s="1"/>
  <c r="S842" i="1" s="1"/>
  <c r="P841" i="1"/>
  <c r="R841" i="1" s="1"/>
  <c r="S841" i="1" s="1"/>
  <c r="P840" i="1"/>
  <c r="R840" i="1" s="1"/>
  <c r="S840" i="1" s="1"/>
  <c r="P839" i="1"/>
  <c r="R839" i="1" s="1"/>
  <c r="S839" i="1" s="1"/>
  <c r="P838" i="1"/>
  <c r="R838" i="1" s="1"/>
  <c r="S838" i="1" s="1"/>
  <c r="P837" i="1"/>
  <c r="R837" i="1" s="1"/>
  <c r="S837" i="1" s="1"/>
  <c r="P830" i="1"/>
  <c r="R830" i="1" s="1"/>
  <c r="S830" i="1" s="1"/>
  <c r="P829" i="1"/>
  <c r="R829" i="1" s="1"/>
  <c r="S829" i="1" s="1"/>
  <c r="P824" i="1"/>
  <c r="R824" i="1" s="1"/>
  <c r="S824" i="1" s="1"/>
  <c r="P803" i="1"/>
  <c r="R803" i="1" s="1"/>
  <c r="S803" i="1" s="1"/>
  <c r="P801" i="1"/>
  <c r="J801" i="1"/>
  <c r="P800" i="1"/>
  <c r="R800" i="1" s="1"/>
  <c r="S800" i="1" s="1"/>
  <c r="P799" i="1"/>
  <c r="R799" i="1" s="1"/>
  <c r="S799" i="1" s="1"/>
  <c r="P798" i="1"/>
  <c r="R798" i="1" s="1"/>
  <c r="S798" i="1" s="1"/>
  <c r="P796" i="1"/>
  <c r="J796" i="1"/>
  <c r="P795" i="1"/>
  <c r="J795" i="1"/>
  <c r="P794" i="1"/>
  <c r="J794" i="1"/>
  <c r="P793" i="1"/>
  <c r="J793" i="1"/>
  <c r="J792" i="1"/>
  <c r="P792" i="1"/>
  <c r="P791" i="1"/>
  <c r="J791" i="1"/>
  <c r="P790" i="1"/>
  <c r="J790" i="1"/>
  <c r="P789" i="1"/>
  <c r="J789" i="1"/>
  <c r="P788" i="1"/>
  <c r="R788" i="1" s="1"/>
  <c r="S788" i="1" s="1"/>
  <c r="P787" i="1"/>
  <c r="J787" i="1"/>
  <c r="J786" i="1"/>
  <c r="P786" i="1"/>
  <c r="P783" i="1"/>
  <c r="J783" i="1"/>
  <c r="P782" i="1"/>
  <c r="J782" i="1"/>
  <c r="P781" i="1"/>
  <c r="J781" i="1"/>
  <c r="P778" i="1"/>
  <c r="J778" i="1"/>
  <c r="P773" i="1"/>
  <c r="J773" i="1"/>
  <c r="P770" i="1"/>
  <c r="J770" i="1"/>
  <c r="P769" i="1"/>
  <c r="J769" i="1"/>
  <c r="P766" i="1"/>
  <c r="J766" i="1"/>
  <c r="P765" i="1"/>
  <c r="J765" i="1"/>
  <c r="P764" i="1"/>
  <c r="R764" i="1" s="1"/>
  <c r="S764" i="1" s="1"/>
  <c r="P763" i="1"/>
  <c r="J763" i="1"/>
  <c r="P762" i="1"/>
  <c r="J762" i="1"/>
  <c r="P761" i="1"/>
  <c r="R761" i="1" s="1"/>
  <c r="S761" i="1" s="1"/>
  <c r="P759" i="1"/>
  <c r="R759" i="1" s="1"/>
  <c r="S759" i="1" s="1"/>
  <c r="P757" i="1"/>
  <c r="R757" i="1" s="1"/>
  <c r="S757" i="1" s="1"/>
  <c r="P755" i="1"/>
  <c r="R755" i="1" s="1"/>
  <c r="S755" i="1" s="1"/>
  <c r="P754" i="1"/>
  <c r="R754" i="1" s="1"/>
  <c r="S754" i="1" s="1"/>
  <c r="P752" i="1"/>
  <c r="R752" i="1" s="1"/>
  <c r="S752" i="1" s="1"/>
  <c r="P750" i="1"/>
  <c r="R750" i="1" s="1"/>
  <c r="S750" i="1" s="1"/>
  <c r="P749" i="1"/>
  <c r="R749" i="1" s="1"/>
  <c r="S749" i="1" s="1"/>
  <c r="P744" i="1"/>
  <c r="R744" i="1" s="1"/>
  <c r="S744" i="1" s="1"/>
  <c r="P743" i="1"/>
  <c r="R743" i="1" s="1"/>
  <c r="S743" i="1" s="1"/>
  <c r="P742" i="1"/>
  <c r="R742" i="1" s="1"/>
  <c r="S742" i="1" s="1"/>
  <c r="P740" i="1"/>
  <c r="R740" i="1" s="1"/>
  <c r="S740" i="1" s="1"/>
  <c r="P739" i="1"/>
  <c r="R739" i="1" s="1"/>
  <c r="S739" i="1" s="1"/>
  <c r="P738" i="1"/>
  <c r="R738" i="1" s="1"/>
  <c r="S738" i="1" s="1"/>
  <c r="P737" i="1"/>
  <c r="R737" i="1" s="1"/>
  <c r="S737" i="1" s="1"/>
  <c r="P733" i="1"/>
  <c r="R733" i="1" s="1"/>
  <c r="S733" i="1" s="1"/>
  <c r="P732" i="1"/>
  <c r="R732" i="1" s="1"/>
  <c r="S732" i="1" s="1"/>
  <c r="P730" i="1"/>
  <c r="R730" i="1" s="1"/>
  <c r="S730" i="1" s="1"/>
  <c r="P729" i="1"/>
  <c r="R729" i="1" s="1"/>
  <c r="S729" i="1" s="1"/>
  <c r="P728" i="1"/>
  <c r="R728" i="1" s="1"/>
  <c r="S728" i="1" s="1"/>
  <c r="P727" i="1"/>
  <c r="R727" i="1" s="1"/>
  <c r="S727" i="1" s="1"/>
  <c r="P720" i="1"/>
  <c r="J720" i="1"/>
  <c r="P719" i="1"/>
  <c r="J719" i="1"/>
  <c r="P718" i="1"/>
  <c r="R718" i="1" s="1"/>
  <c r="S718" i="1" s="1"/>
  <c r="P717" i="1"/>
  <c r="R717" i="1" s="1"/>
  <c r="S717" i="1" s="1"/>
  <c r="P716" i="1"/>
  <c r="R716" i="1" s="1"/>
  <c r="S716" i="1" s="1"/>
  <c r="P715" i="1"/>
  <c r="J715" i="1"/>
  <c r="P714" i="1"/>
  <c r="R714" i="1" s="1"/>
  <c r="S714" i="1" s="1"/>
  <c r="P706" i="1"/>
  <c r="R706" i="1" s="1"/>
  <c r="S706" i="1" s="1"/>
  <c r="P704" i="1"/>
  <c r="R704" i="1" s="1"/>
  <c r="S704" i="1" s="1"/>
  <c r="P701" i="1"/>
  <c r="R701" i="1" s="1"/>
  <c r="S701" i="1" s="1"/>
  <c r="P699" i="1"/>
  <c r="R699" i="1" s="1"/>
  <c r="S699" i="1" s="1"/>
  <c r="P695" i="1"/>
  <c r="R695" i="1" s="1"/>
  <c r="S695" i="1" s="1"/>
  <c r="P694" i="1"/>
  <c r="R694" i="1" s="1"/>
  <c r="S694" i="1" s="1"/>
  <c r="P691" i="1"/>
  <c r="R691" i="1" s="1"/>
  <c r="S691" i="1" s="1"/>
  <c r="P687" i="1"/>
  <c r="J687" i="1"/>
  <c r="P686" i="1"/>
  <c r="J686" i="1"/>
  <c r="P678" i="1"/>
  <c r="R678" i="1" s="1"/>
  <c r="S678" i="1" s="1"/>
  <c r="P677" i="1"/>
  <c r="R677" i="1" s="1"/>
  <c r="S677" i="1" s="1"/>
  <c r="J664" i="1"/>
  <c r="P664" i="1"/>
  <c r="J663" i="1"/>
  <c r="P663" i="1"/>
  <c r="P662" i="1"/>
  <c r="J662" i="1"/>
  <c r="P660" i="1"/>
  <c r="R660" i="1" s="1"/>
  <c r="S660" i="1" s="1"/>
  <c r="P659" i="1"/>
  <c r="R659" i="1" s="1"/>
  <c r="S659" i="1" s="1"/>
  <c r="P656" i="1"/>
  <c r="R656" i="1" s="1"/>
  <c r="S656" i="1" s="1"/>
  <c r="J655" i="1"/>
  <c r="P655" i="1"/>
  <c r="J654" i="1"/>
  <c r="J653" i="1"/>
  <c r="P653" i="1"/>
  <c r="P650" i="1"/>
  <c r="R650" i="1" s="1"/>
  <c r="S650" i="1" s="1"/>
  <c r="P649" i="1"/>
  <c r="R649" i="1" s="1"/>
  <c r="S649" i="1" s="1"/>
  <c r="P648" i="1"/>
  <c r="R648" i="1" s="1"/>
  <c r="S648" i="1" s="1"/>
  <c r="P647" i="1"/>
  <c r="R647" i="1" s="1"/>
  <c r="S647" i="1" s="1"/>
  <c r="P646" i="1"/>
  <c r="R646" i="1" s="1"/>
  <c r="S646" i="1" s="1"/>
  <c r="P642" i="1"/>
  <c r="R642" i="1" s="1"/>
  <c r="S642" i="1" s="1"/>
  <c r="J639" i="1"/>
  <c r="P639" i="1"/>
  <c r="P638" i="1"/>
  <c r="J638" i="1"/>
  <c r="P637" i="1"/>
  <c r="J637" i="1"/>
  <c r="P636" i="1"/>
  <c r="J636" i="1"/>
  <c r="P634" i="1"/>
  <c r="R634" i="1" s="1"/>
  <c r="S634" i="1" s="1"/>
  <c r="P633" i="1"/>
  <c r="R633" i="1" s="1"/>
  <c r="S633" i="1" s="1"/>
  <c r="P632" i="1"/>
  <c r="R632" i="1" s="1"/>
  <c r="S632" i="1" s="1"/>
  <c r="P631" i="1"/>
  <c r="R631" i="1" s="1"/>
  <c r="S631" i="1" s="1"/>
  <c r="P630" i="1"/>
  <c r="R630" i="1" s="1"/>
  <c r="S630" i="1" s="1"/>
  <c r="P629" i="1"/>
  <c r="R629" i="1" s="1"/>
  <c r="S629" i="1" s="1"/>
  <c r="P626" i="1"/>
  <c r="R626" i="1" s="1"/>
  <c r="S626" i="1" s="1"/>
  <c r="P623" i="1"/>
  <c r="R623" i="1" s="1"/>
  <c r="S623" i="1" s="1"/>
  <c r="P621" i="1"/>
  <c r="R621" i="1" s="1"/>
  <c r="S621" i="1" s="1"/>
  <c r="J618" i="1"/>
  <c r="P618" i="1"/>
  <c r="J617" i="1"/>
  <c r="P617" i="1"/>
  <c r="P616" i="1"/>
  <c r="J616" i="1"/>
  <c r="J612" i="1"/>
  <c r="P612" i="1"/>
  <c r="P611" i="1"/>
  <c r="J611" i="1"/>
  <c r="P610" i="1"/>
  <c r="J610" i="1"/>
  <c r="P608" i="1"/>
  <c r="J608" i="1"/>
  <c r="P607" i="1"/>
  <c r="J607" i="1"/>
  <c r="J606" i="1"/>
  <c r="P606" i="1"/>
  <c r="P605" i="1"/>
  <c r="J605" i="1"/>
  <c r="S604" i="1"/>
  <c r="P599" i="1"/>
  <c r="J599" i="1"/>
  <c r="P598" i="1"/>
  <c r="J598" i="1"/>
  <c r="J597" i="1"/>
  <c r="P597" i="1"/>
  <c r="P595" i="1"/>
  <c r="J595" i="1"/>
  <c r="P593" i="1"/>
  <c r="J593" i="1"/>
  <c r="P592" i="1"/>
  <c r="J592" i="1"/>
  <c r="P591" i="1"/>
  <c r="J591" i="1"/>
  <c r="P584" i="1"/>
  <c r="J584" i="1"/>
  <c r="P579" i="1"/>
  <c r="R579" i="1" s="1"/>
  <c r="S579" i="1" s="1"/>
  <c r="P576" i="1"/>
  <c r="J576" i="1"/>
  <c r="P575" i="1"/>
  <c r="J575" i="1"/>
  <c r="P574" i="1"/>
  <c r="J574" i="1"/>
  <c r="P567" i="1"/>
  <c r="J567" i="1"/>
  <c r="P566" i="1"/>
  <c r="J566" i="1"/>
  <c r="P564" i="1"/>
  <c r="R564" i="1" s="1"/>
  <c r="S564" i="1" s="1"/>
  <c r="P563" i="1"/>
  <c r="R563" i="1" s="1"/>
  <c r="S563" i="1" s="1"/>
  <c r="P562" i="1"/>
  <c r="R562" i="1" s="1"/>
  <c r="S562" i="1" s="1"/>
  <c r="P561" i="1"/>
  <c r="R561" i="1" s="1"/>
  <c r="S561" i="1" s="1"/>
  <c r="P560" i="1"/>
  <c r="R560" i="1" s="1"/>
  <c r="S560" i="1" s="1"/>
  <c r="P559" i="1"/>
  <c r="R559" i="1" s="1"/>
  <c r="S559" i="1" s="1"/>
  <c r="P558" i="1"/>
  <c r="R558" i="1" s="1"/>
  <c r="S558" i="1" s="1"/>
  <c r="P556" i="1"/>
  <c r="R556" i="1" s="1"/>
  <c r="S556" i="1" s="1"/>
  <c r="P555" i="1"/>
  <c r="R555" i="1" s="1"/>
  <c r="S555" i="1" s="1"/>
  <c r="P537" i="1"/>
  <c r="R537" i="1" s="1"/>
  <c r="S537" i="1" s="1"/>
  <c r="P536" i="1"/>
  <c r="R536" i="1" s="1"/>
  <c r="S536" i="1" s="1"/>
  <c r="P534" i="1"/>
  <c r="R534" i="1" s="1"/>
  <c r="S534" i="1" s="1"/>
  <c r="P533" i="1"/>
  <c r="R533" i="1" s="1"/>
  <c r="S533" i="1" s="1"/>
  <c r="P532" i="1"/>
  <c r="R532" i="1" s="1"/>
  <c r="S532" i="1" s="1"/>
  <c r="P531" i="1"/>
  <c r="R531" i="1" s="1"/>
  <c r="S531" i="1" s="1"/>
  <c r="P530" i="1"/>
  <c r="R530" i="1" s="1"/>
  <c r="S530" i="1" s="1"/>
  <c r="P527" i="1"/>
  <c r="R527" i="1" s="1"/>
  <c r="S527" i="1" s="1"/>
  <c r="P526" i="1"/>
  <c r="R526" i="1" s="1"/>
  <c r="S526" i="1" s="1"/>
  <c r="P524" i="1"/>
  <c r="R524" i="1" s="1"/>
  <c r="S524" i="1" s="1"/>
  <c r="P515" i="1"/>
  <c r="R515" i="1" s="1"/>
  <c r="S515" i="1" s="1"/>
  <c r="P512" i="1"/>
  <c r="J512" i="1"/>
  <c r="P507" i="1"/>
  <c r="J507" i="1"/>
  <c r="P506" i="1"/>
  <c r="J506" i="1"/>
  <c r="P503" i="1"/>
  <c r="J503" i="1"/>
  <c r="P502" i="1"/>
  <c r="J502" i="1"/>
  <c r="P501" i="1"/>
  <c r="J501" i="1"/>
  <c r="P500" i="1"/>
  <c r="J500" i="1"/>
  <c r="P498" i="1"/>
  <c r="R498" i="1" s="1"/>
  <c r="S498" i="1" s="1"/>
  <c r="P497" i="1"/>
  <c r="R497" i="1" s="1"/>
  <c r="S497" i="1" s="1"/>
  <c r="P496" i="1"/>
  <c r="R496" i="1" s="1"/>
  <c r="S496" i="1" s="1"/>
  <c r="P495" i="1"/>
  <c r="R495" i="1" s="1"/>
  <c r="S495" i="1" s="1"/>
  <c r="P494" i="1"/>
  <c r="R494" i="1" s="1"/>
  <c r="S494" i="1" s="1"/>
  <c r="P493" i="1"/>
  <c r="R493" i="1" s="1"/>
  <c r="S493" i="1" s="1"/>
  <c r="P489" i="1"/>
  <c r="R489" i="1" s="1"/>
  <c r="S489" i="1" s="1"/>
  <c r="P485" i="1"/>
  <c r="R485" i="1" s="1"/>
  <c r="S485" i="1" s="1"/>
  <c r="P483" i="1"/>
  <c r="R483" i="1" s="1"/>
  <c r="S483" i="1" s="1"/>
  <c r="P478" i="1"/>
  <c r="J478" i="1"/>
  <c r="P477" i="1"/>
  <c r="J477" i="1"/>
  <c r="P474" i="1"/>
  <c r="J474" i="1"/>
  <c r="P473" i="1"/>
  <c r="J473" i="1"/>
  <c r="P467" i="1"/>
  <c r="R467" i="1" s="1"/>
  <c r="S467" i="1" s="1"/>
  <c r="P466" i="1"/>
  <c r="R466" i="1" s="1"/>
  <c r="S466" i="1" s="1"/>
  <c r="P464" i="1"/>
  <c r="R464" i="1" s="1"/>
  <c r="S464" i="1" s="1"/>
  <c r="P462" i="1"/>
  <c r="R462" i="1" s="1"/>
  <c r="S462" i="1" s="1"/>
  <c r="P460" i="1"/>
  <c r="R460" i="1" s="1"/>
  <c r="S460" i="1" s="1"/>
  <c r="P459" i="1"/>
  <c r="R459" i="1" s="1"/>
  <c r="S459" i="1" s="1"/>
  <c r="P458" i="1"/>
  <c r="R458" i="1" s="1"/>
  <c r="S458" i="1" s="1"/>
  <c r="P457" i="1"/>
  <c r="R457" i="1" s="1"/>
  <c r="S457" i="1" s="1"/>
  <c r="P456" i="1"/>
  <c r="R456" i="1" s="1"/>
  <c r="S456" i="1" s="1"/>
  <c r="P454" i="1"/>
  <c r="J454" i="1"/>
  <c r="P439" i="1"/>
  <c r="J439" i="1"/>
  <c r="P436" i="1"/>
  <c r="J436" i="1"/>
  <c r="P435" i="1"/>
  <c r="J435" i="1"/>
  <c r="P434" i="1"/>
  <c r="J434" i="1"/>
  <c r="P432" i="1"/>
  <c r="J432" i="1"/>
  <c r="P431" i="1"/>
  <c r="J431" i="1"/>
  <c r="P428" i="1"/>
  <c r="J428" i="1"/>
  <c r="P417" i="1"/>
  <c r="R417" i="1" s="1"/>
  <c r="S417" i="1" s="1"/>
  <c r="P414" i="1"/>
  <c r="R414" i="1" s="1"/>
  <c r="S414" i="1" s="1"/>
  <c r="P411" i="1"/>
  <c r="R411" i="1" s="1"/>
  <c r="S411" i="1" s="1"/>
  <c r="P407" i="1"/>
  <c r="J407" i="1"/>
  <c r="P406" i="1"/>
  <c r="J406" i="1"/>
  <c r="P403" i="1"/>
  <c r="R403" i="1" s="1"/>
  <c r="S403" i="1" s="1"/>
  <c r="P401" i="1"/>
  <c r="R401" i="1" s="1"/>
  <c r="S401" i="1" s="1"/>
  <c r="P400" i="1"/>
  <c r="R400" i="1" s="1"/>
  <c r="S400" i="1" s="1"/>
  <c r="P397" i="1"/>
  <c r="R397" i="1" s="1"/>
  <c r="S397" i="1" s="1"/>
  <c r="P394" i="1"/>
  <c r="J394" i="1"/>
  <c r="P393" i="1"/>
  <c r="J393" i="1"/>
  <c r="P391" i="1"/>
  <c r="J391" i="1"/>
  <c r="P389" i="1"/>
  <c r="R389" i="1" s="1"/>
  <c r="S389" i="1" s="1"/>
  <c r="P388" i="1"/>
  <c r="R388" i="1" s="1"/>
  <c r="S388" i="1" s="1"/>
  <c r="P387" i="1"/>
  <c r="R387" i="1" s="1"/>
  <c r="S387" i="1" s="1"/>
  <c r="P386" i="1"/>
  <c r="R386" i="1" s="1"/>
  <c r="S386" i="1" s="1"/>
  <c r="P381" i="1"/>
  <c r="J381" i="1"/>
  <c r="P378" i="1"/>
  <c r="J378" i="1"/>
  <c r="P376" i="1"/>
  <c r="R376" i="1" s="1"/>
  <c r="S376" i="1" s="1"/>
  <c r="P374" i="1"/>
  <c r="R374" i="1" s="1"/>
  <c r="S374" i="1" s="1"/>
  <c r="P370" i="1"/>
  <c r="J370" i="1"/>
  <c r="P369" i="1"/>
  <c r="R369" i="1" s="1"/>
  <c r="S369" i="1" s="1"/>
  <c r="P366" i="1"/>
  <c r="R366" i="1" s="1"/>
  <c r="S366" i="1" s="1"/>
  <c r="J364" i="1"/>
  <c r="P364" i="1"/>
  <c r="J363" i="1"/>
  <c r="J362" i="1"/>
  <c r="P362" i="1"/>
  <c r="P359" i="1"/>
  <c r="R359" i="1" s="1"/>
  <c r="S359" i="1" s="1"/>
  <c r="J358" i="1"/>
  <c r="H358" i="1"/>
  <c r="P358" i="1" s="1"/>
  <c r="P356" i="1"/>
  <c r="R356" i="1" s="1"/>
  <c r="S356" i="1" s="1"/>
  <c r="P355" i="1"/>
  <c r="R355" i="1" s="1"/>
  <c r="S355" i="1" s="1"/>
  <c r="P353" i="1"/>
  <c r="R353" i="1" s="1"/>
  <c r="S353" i="1" s="1"/>
  <c r="P352" i="1"/>
  <c r="R352" i="1" s="1"/>
  <c r="S352" i="1" s="1"/>
  <c r="P344" i="1"/>
  <c r="R344" i="1" s="1"/>
  <c r="S344" i="1" s="1"/>
  <c r="P343" i="1"/>
  <c r="R343" i="1" s="1"/>
  <c r="S343" i="1" s="1"/>
  <c r="P341" i="1"/>
  <c r="R341" i="1" s="1"/>
  <c r="S341" i="1" s="1"/>
  <c r="P338" i="1"/>
  <c r="R338" i="1" s="1"/>
  <c r="S338" i="1" s="1"/>
  <c r="P335" i="1"/>
  <c r="J335" i="1"/>
  <c r="P334" i="1"/>
  <c r="R334" i="1" s="1"/>
  <c r="S334" i="1" s="1"/>
  <c r="P333" i="1"/>
  <c r="J333" i="1"/>
  <c r="P329" i="1"/>
  <c r="R329" i="1" s="1"/>
  <c r="S329" i="1" s="1"/>
  <c r="P326" i="1"/>
  <c r="R326" i="1" s="1"/>
  <c r="S326" i="1" s="1"/>
  <c r="P324" i="1"/>
  <c r="R324" i="1" s="1"/>
  <c r="S324" i="1" s="1"/>
  <c r="P321" i="1"/>
  <c r="J321" i="1"/>
  <c r="P320" i="1"/>
  <c r="J320" i="1"/>
  <c r="J319" i="1"/>
  <c r="P319" i="1"/>
  <c r="J318" i="1"/>
  <c r="P318" i="1"/>
  <c r="P317" i="1"/>
  <c r="J317" i="1"/>
  <c r="P315" i="1"/>
  <c r="J315" i="1"/>
  <c r="P314" i="1"/>
  <c r="R314" i="1" s="1"/>
  <c r="S314" i="1" s="1"/>
  <c r="P313" i="1"/>
  <c r="R313" i="1" s="1"/>
  <c r="S313" i="1" s="1"/>
  <c r="P309" i="1"/>
  <c r="J309" i="1"/>
  <c r="P308" i="1"/>
  <c r="J308" i="1"/>
  <c r="P304" i="1"/>
  <c r="R304" i="1" s="1"/>
  <c r="S304" i="1" s="1"/>
  <c r="P301" i="1"/>
  <c r="R301" i="1" s="1"/>
  <c r="S301" i="1" s="1"/>
  <c r="P300" i="1"/>
  <c r="R300" i="1" s="1"/>
  <c r="S300" i="1" s="1"/>
  <c r="P296" i="1"/>
  <c r="R296" i="1" s="1"/>
  <c r="S296" i="1" s="1"/>
  <c r="P294" i="1"/>
  <c r="R294" i="1" s="1"/>
  <c r="S294" i="1" s="1"/>
  <c r="P288" i="1"/>
  <c r="R288" i="1" s="1"/>
  <c r="S288" i="1" s="1"/>
  <c r="P284" i="1"/>
  <c r="R284" i="1" s="1"/>
  <c r="S284" i="1" s="1"/>
  <c r="J280" i="1"/>
  <c r="P280" i="1"/>
  <c r="P279" i="1"/>
  <c r="J279" i="1"/>
  <c r="P273" i="1"/>
  <c r="J273" i="1"/>
  <c r="P272" i="1"/>
  <c r="P267" i="1"/>
  <c r="J267" i="1"/>
  <c r="J263" i="1"/>
  <c r="P263" i="1"/>
  <c r="P262" i="1"/>
  <c r="J262" i="1"/>
  <c r="P261" i="1"/>
  <c r="J261" i="1"/>
  <c r="P260" i="1"/>
  <c r="J260" i="1"/>
  <c r="P255" i="1"/>
  <c r="J255" i="1"/>
  <c r="P253" i="1"/>
  <c r="J253" i="1"/>
  <c r="P250" i="1"/>
  <c r="J250" i="1"/>
  <c r="P249" i="1"/>
  <c r="J249" i="1"/>
  <c r="P246" i="1"/>
  <c r="J246" i="1"/>
  <c r="P245" i="1"/>
  <c r="J245" i="1"/>
  <c r="P244" i="1"/>
  <c r="J244" i="1"/>
  <c r="P243" i="1"/>
  <c r="J243" i="1"/>
  <c r="J241" i="1"/>
  <c r="H241" i="1"/>
  <c r="P241" i="1" s="1"/>
  <c r="J240" i="1"/>
  <c r="H240" i="1"/>
  <c r="P240" i="1" s="1"/>
  <c r="P236" i="1"/>
  <c r="J236" i="1"/>
  <c r="P234" i="1"/>
  <c r="J234" i="1"/>
  <c r="P231" i="1"/>
  <c r="J231" i="1"/>
  <c r="P229" i="1"/>
  <c r="J229" i="1"/>
  <c r="J224" i="1"/>
  <c r="P224" i="1"/>
  <c r="P221" i="1"/>
  <c r="J221" i="1"/>
  <c r="J219" i="1"/>
  <c r="P219" i="1"/>
  <c r="P218" i="1"/>
  <c r="J218" i="1"/>
  <c r="P214" i="1"/>
  <c r="J214" i="1"/>
  <c r="J213" i="1"/>
  <c r="P213" i="1"/>
  <c r="P212" i="1"/>
  <c r="J212" i="1"/>
  <c r="P211" i="1"/>
  <c r="J211" i="1"/>
  <c r="J210" i="1"/>
  <c r="P210" i="1"/>
  <c r="J209" i="1"/>
  <c r="P208" i="1"/>
  <c r="J208" i="1"/>
  <c r="P207" i="1"/>
  <c r="J207" i="1"/>
  <c r="P201" i="1"/>
  <c r="R201" i="1" s="1"/>
  <c r="S201" i="1" s="1"/>
  <c r="P199" i="1"/>
  <c r="R199" i="1" s="1"/>
  <c r="S199" i="1" s="1"/>
  <c r="P197" i="1"/>
  <c r="J197" i="1"/>
  <c r="P196" i="1"/>
  <c r="R196" i="1" s="1"/>
  <c r="S196" i="1" s="1"/>
  <c r="P195" i="1"/>
  <c r="J195" i="1"/>
  <c r="P194" i="1"/>
  <c r="J194" i="1"/>
  <c r="P191" i="1"/>
  <c r="R191" i="1" s="1"/>
  <c r="S191" i="1" s="1"/>
  <c r="P190" i="1"/>
  <c r="R190" i="1" s="1"/>
  <c r="S190" i="1" s="1"/>
  <c r="P188" i="1"/>
  <c r="R188" i="1" s="1"/>
  <c r="S188" i="1" s="1"/>
  <c r="P187" i="1"/>
  <c r="R187" i="1" s="1"/>
  <c r="S187" i="1" s="1"/>
  <c r="P186" i="1"/>
  <c r="R186" i="1" s="1"/>
  <c r="S186" i="1" s="1"/>
  <c r="P185" i="1"/>
  <c r="R185" i="1" s="1"/>
  <c r="S185" i="1" s="1"/>
  <c r="P184" i="1"/>
  <c r="R184" i="1" s="1"/>
  <c r="S184" i="1" s="1"/>
  <c r="P183" i="1"/>
  <c r="R183" i="1" s="1"/>
  <c r="S183" i="1" s="1"/>
  <c r="P180" i="1"/>
  <c r="R180" i="1" s="1"/>
  <c r="S180" i="1" s="1"/>
  <c r="P175" i="1"/>
  <c r="J175" i="1"/>
  <c r="J174" i="1"/>
  <c r="P174" i="1"/>
  <c r="P173" i="1"/>
  <c r="J173" i="1"/>
  <c r="P172" i="1"/>
  <c r="J172" i="1"/>
  <c r="P170" i="1"/>
  <c r="R170" i="1" s="1"/>
  <c r="S170" i="1" s="1"/>
  <c r="P169" i="1"/>
  <c r="R169" i="1" s="1"/>
  <c r="S169" i="1" s="1"/>
  <c r="P168" i="1"/>
  <c r="R168" i="1" s="1"/>
  <c r="S168" i="1" s="1"/>
  <c r="P167" i="1"/>
  <c r="R167" i="1" s="1"/>
  <c r="S167" i="1" s="1"/>
  <c r="P163" i="1"/>
  <c r="J163" i="1"/>
  <c r="J161" i="1"/>
  <c r="P160" i="1"/>
  <c r="J160" i="1"/>
  <c r="J158" i="1"/>
  <c r="P158" i="1"/>
  <c r="J157" i="1"/>
  <c r="J156" i="1"/>
  <c r="P156" i="1"/>
  <c r="J155" i="1"/>
  <c r="P150" i="1"/>
  <c r="J150" i="1"/>
  <c r="P149" i="1"/>
  <c r="R149" i="1" s="1"/>
  <c r="S149" i="1" s="1"/>
  <c r="P148" i="1"/>
  <c r="R148" i="1" s="1"/>
  <c r="S148" i="1" s="1"/>
  <c r="P147" i="1"/>
  <c r="R147" i="1" s="1"/>
  <c r="S147" i="1" s="1"/>
  <c r="P145" i="1"/>
  <c r="R145" i="1" s="1"/>
  <c r="S145" i="1" s="1"/>
  <c r="P143" i="1"/>
  <c r="R143" i="1" s="1"/>
  <c r="S143" i="1" s="1"/>
  <c r="P142" i="1"/>
  <c r="R142" i="1" s="1"/>
  <c r="S142" i="1" s="1"/>
  <c r="P141" i="1"/>
  <c r="R141" i="1" s="1"/>
  <c r="S141" i="1" s="1"/>
  <c r="P140" i="1"/>
  <c r="R140" i="1" s="1"/>
  <c r="S140" i="1" s="1"/>
  <c r="P139" i="1"/>
  <c r="R139" i="1" s="1"/>
  <c r="S139" i="1" s="1"/>
  <c r="P138" i="1"/>
  <c r="R138" i="1" s="1"/>
  <c r="S138" i="1" s="1"/>
  <c r="P137" i="1"/>
  <c r="R137" i="1" s="1"/>
  <c r="S137" i="1" s="1"/>
  <c r="P136" i="1"/>
  <c r="R136" i="1" s="1"/>
  <c r="S136" i="1" s="1"/>
  <c r="P135" i="1"/>
  <c r="R135" i="1" s="1"/>
  <c r="S135" i="1" s="1"/>
  <c r="P131" i="1"/>
  <c r="R131" i="1" s="1"/>
  <c r="S131" i="1" s="1"/>
  <c r="P130" i="1"/>
  <c r="R130" i="1" s="1"/>
  <c r="S130" i="1" s="1"/>
  <c r="P125" i="1"/>
  <c r="R125" i="1" s="1"/>
  <c r="S125" i="1" s="1"/>
  <c r="P122" i="1"/>
  <c r="R122" i="1" s="1"/>
  <c r="S122" i="1" s="1"/>
  <c r="P120" i="1"/>
  <c r="R120" i="1" s="1"/>
  <c r="S120" i="1" s="1"/>
  <c r="P118" i="1"/>
  <c r="R118" i="1" s="1"/>
  <c r="S118" i="1" s="1"/>
  <c r="P117" i="1"/>
  <c r="R117" i="1" s="1"/>
  <c r="S117" i="1" s="1"/>
  <c r="P107" i="1"/>
  <c r="R107" i="1" s="1"/>
  <c r="S107" i="1" s="1"/>
  <c r="P102" i="1"/>
  <c r="R102" i="1" s="1"/>
  <c r="S102" i="1" s="1"/>
  <c r="P94" i="1"/>
  <c r="R94" i="1" s="1"/>
  <c r="S94" i="1" s="1"/>
  <c r="P92" i="1"/>
  <c r="R92" i="1" s="1"/>
  <c r="S92" i="1" s="1"/>
  <c r="P91" i="1"/>
  <c r="R91" i="1" s="1"/>
  <c r="S91" i="1" s="1"/>
  <c r="P85" i="1"/>
  <c r="R85" i="1" s="1"/>
  <c r="S85" i="1" s="1"/>
  <c r="P84" i="1"/>
  <c r="R84" i="1" s="1"/>
  <c r="S84" i="1" s="1"/>
  <c r="P82" i="1"/>
  <c r="R82" i="1" s="1"/>
  <c r="S82" i="1" s="1"/>
  <c r="R79" i="1"/>
  <c r="S79" i="1" s="1"/>
  <c r="P76" i="1"/>
  <c r="R76" i="1" s="1"/>
  <c r="S76" i="1" s="1"/>
  <c r="P74" i="1"/>
  <c r="R74" i="1" s="1"/>
  <c r="S74" i="1" s="1"/>
  <c r="P73" i="1"/>
  <c r="R73" i="1" s="1"/>
  <c r="S73" i="1" s="1"/>
  <c r="P71" i="1"/>
  <c r="R71" i="1" s="1"/>
  <c r="S71" i="1" s="1"/>
  <c r="P64" i="1"/>
  <c r="R64" i="1" s="1"/>
  <c r="S64" i="1" s="1"/>
  <c r="P63" i="1"/>
  <c r="R63" i="1" s="1"/>
  <c r="S63" i="1" s="1"/>
  <c r="P62" i="1"/>
  <c r="R62" i="1" s="1"/>
  <c r="S62" i="1" s="1"/>
  <c r="J58" i="1"/>
  <c r="R58" i="1" s="1"/>
  <c r="S58" i="1" s="1"/>
  <c r="P57" i="1"/>
  <c r="J57" i="1"/>
  <c r="P56" i="1"/>
  <c r="J56" i="1"/>
  <c r="P54" i="1"/>
  <c r="J54" i="1"/>
  <c r="P52" i="1"/>
  <c r="R52" i="1" s="1"/>
  <c r="S52" i="1" s="1"/>
  <c r="P40" i="1"/>
  <c r="J40" i="1"/>
  <c r="P33" i="1"/>
  <c r="R33" i="1" s="1"/>
  <c r="S33" i="1" s="1"/>
  <c r="P31" i="1"/>
  <c r="R31" i="1" s="1"/>
  <c r="S31" i="1" s="1"/>
  <c r="P29" i="1"/>
  <c r="R29" i="1" s="1"/>
  <c r="S29" i="1" s="1"/>
  <c r="P24" i="1"/>
  <c r="R24" i="1" s="1"/>
  <c r="S24" i="1" s="1"/>
  <c r="P23" i="1"/>
  <c r="R23" i="1" s="1"/>
  <c r="S23" i="1" s="1"/>
  <c r="P22" i="1"/>
  <c r="R22" i="1" s="1"/>
  <c r="S22" i="1" s="1"/>
  <c r="P21" i="1"/>
  <c r="J21" i="1"/>
  <c r="P20" i="1"/>
  <c r="R20" i="1" s="1"/>
  <c r="S20" i="1" s="1"/>
  <c r="P19" i="1"/>
  <c r="J19" i="1"/>
  <c r="P18" i="1"/>
  <c r="R18" i="1" s="1"/>
  <c r="S18" i="1" s="1"/>
  <c r="P11" i="1"/>
  <c r="R11" i="1" s="1"/>
  <c r="S11" i="1" s="1"/>
  <c r="P10" i="1"/>
  <c r="R10" i="1" s="1"/>
  <c r="S10" i="1" s="1"/>
  <c r="P9" i="1"/>
  <c r="R9" i="1" s="1"/>
  <c r="S9" i="1" s="1"/>
  <c r="P8" i="1"/>
  <c r="R8" i="1" s="1"/>
  <c r="S8" i="1" s="1"/>
  <c r="P6" i="1"/>
  <c r="R6" i="1" s="1"/>
  <c r="S6" i="1" s="1"/>
  <c r="R150" i="1" l="1"/>
  <c r="S150" i="1" s="1"/>
  <c r="R1310" i="1"/>
  <c r="S1310" i="1" s="1"/>
  <c r="R654" i="1"/>
  <c r="S654" i="1" s="1"/>
  <c r="R1349" i="1"/>
  <c r="S1349" i="1" s="1"/>
  <c r="R1351" i="1"/>
  <c r="S1351" i="1" s="1"/>
  <c r="R1313" i="1"/>
  <c r="S1313" i="1" s="1"/>
  <c r="R1320" i="1"/>
  <c r="S1320" i="1" s="1"/>
  <c r="R1323" i="1"/>
  <c r="S1323" i="1" s="1"/>
  <c r="R1355" i="1"/>
  <c r="S1355" i="1" s="1"/>
  <c r="R1357" i="1"/>
  <c r="S1357" i="1" s="1"/>
  <c r="R1301" i="1"/>
  <c r="S1301" i="1" s="1"/>
  <c r="R1231" i="1"/>
  <c r="S1231" i="1" s="1"/>
  <c r="R1286" i="1"/>
  <c r="S1286" i="1" s="1"/>
  <c r="R1131" i="1"/>
  <c r="S1131" i="1" s="1"/>
  <c r="R1160" i="1"/>
  <c r="S1160" i="1" s="1"/>
  <c r="R1164" i="1"/>
  <c r="S1164" i="1" s="1"/>
  <c r="R687" i="1"/>
  <c r="S687" i="1" s="1"/>
  <c r="R719" i="1"/>
  <c r="S719" i="1" s="1"/>
  <c r="R844" i="1"/>
  <c r="S844" i="1" s="1"/>
  <c r="R973" i="1"/>
  <c r="S973" i="1" s="1"/>
  <c r="R1018" i="1"/>
  <c r="S1018" i="1" s="1"/>
  <c r="R606" i="1"/>
  <c r="S606" i="1" s="1"/>
  <c r="R617" i="1"/>
  <c r="S617" i="1" s="1"/>
  <c r="R655" i="1"/>
  <c r="S655" i="1" s="1"/>
  <c r="R662" i="1"/>
  <c r="S662" i="1" s="1"/>
  <c r="R686" i="1"/>
  <c r="S686" i="1" s="1"/>
  <c r="R720" i="1"/>
  <c r="S720" i="1" s="1"/>
  <c r="R1132" i="1"/>
  <c r="S1132" i="1" s="1"/>
  <c r="R1161" i="1"/>
  <c r="S1161" i="1" s="1"/>
  <c r="R762" i="1"/>
  <c r="S762" i="1" s="1"/>
  <c r="R1025" i="1"/>
  <c r="S1025" i="1" s="1"/>
  <c r="R236" i="1"/>
  <c r="S236" i="1" s="1"/>
  <c r="R364" i="1"/>
  <c r="S364" i="1" s="1"/>
  <c r="R782" i="1"/>
  <c r="S782" i="1" s="1"/>
  <c r="R500" i="1"/>
  <c r="S500" i="1" s="1"/>
  <c r="R501" i="1"/>
  <c r="S501" i="1" s="1"/>
  <c r="R503" i="1"/>
  <c r="S503" i="1" s="1"/>
  <c r="R507" i="1"/>
  <c r="S507" i="1" s="1"/>
  <c r="R783" i="1"/>
  <c r="S783" i="1" s="1"/>
  <c r="R358" i="1"/>
  <c r="S358" i="1" s="1"/>
  <c r="R406" i="1"/>
  <c r="S406" i="1" s="1"/>
  <c r="R926" i="1"/>
  <c r="S926" i="1" s="1"/>
  <c r="R158" i="1"/>
  <c r="S158" i="1" s="1"/>
  <c r="R263" i="1"/>
  <c r="S263" i="1" s="1"/>
  <c r="R272" i="1"/>
  <c r="S272" i="1" s="1"/>
  <c r="R279" i="1"/>
  <c r="S279" i="1" s="1"/>
  <c r="R428" i="1"/>
  <c r="S428" i="1" s="1"/>
  <c r="R591" i="1"/>
  <c r="S591" i="1" s="1"/>
  <c r="R593" i="1"/>
  <c r="S593" i="1" s="1"/>
  <c r="R234" i="1"/>
  <c r="S234" i="1" s="1"/>
  <c r="R502" i="1"/>
  <c r="S502" i="1" s="1"/>
  <c r="R506" i="1"/>
  <c r="S506" i="1" s="1"/>
  <c r="R512" i="1"/>
  <c r="S512" i="1" s="1"/>
  <c r="R863" i="1"/>
  <c r="S863" i="1" s="1"/>
  <c r="R871" i="1"/>
  <c r="S871" i="1" s="1"/>
  <c r="R881" i="1"/>
  <c r="S881" i="1" s="1"/>
  <c r="R923" i="1"/>
  <c r="S923" i="1" s="1"/>
  <c r="R930" i="1"/>
  <c r="S930" i="1" s="1"/>
  <c r="R971" i="1"/>
  <c r="S971" i="1" s="1"/>
  <c r="R172" i="1"/>
  <c r="S172" i="1" s="1"/>
  <c r="R163" i="1"/>
  <c r="S163" i="1" s="1"/>
  <c r="R173" i="1"/>
  <c r="S173" i="1" s="1"/>
  <c r="R231" i="1"/>
  <c r="S231" i="1" s="1"/>
  <c r="R241" i="1"/>
  <c r="S241" i="1" s="1"/>
  <c r="R280" i="1"/>
  <c r="S280" i="1" s="1"/>
  <c r="R431" i="1"/>
  <c r="S431" i="1" s="1"/>
  <c r="R592" i="1"/>
  <c r="S592" i="1" s="1"/>
  <c r="R595" i="1"/>
  <c r="S595" i="1" s="1"/>
  <c r="R612" i="1"/>
  <c r="S612" i="1" s="1"/>
  <c r="R618" i="1"/>
  <c r="S618" i="1" s="1"/>
  <c r="R924" i="1"/>
  <c r="S924" i="1" s="1"/>
  <c r="R1224" i="1"/>
  <c r="S1224" i="1" s="1"/>
  <c r="R19" i="1"/>
  <c r="S19" i="1" s="1"/>
  <c r="R212" i="1"/>
  <c r="S212" i="1" s="1"/>
  <c r="R214" i="1"/>
  <c r="S214" i="1" s="1"/>
  <c r="R243" i="1"/>
  <c r="S243" i="1" s="1"/>
  <c r="R245" i="1"/>
  <c r="S245" i="1" s="1"/>
  <c r="R653" i="1"/>
  <c r="S653" i="1" s="1"/>
  <c r="R853" i="1"/>
  <c r="S853" i="1" s="1"/>
  <c r="R880" i="1"/>
  <c r="S880" i="1" s="1"/>
  <c r="R886" i="1"/>
  <c r="S886" i="1" s="1"/>
  <c r="R933" i="1"/>
  <c r="S933" i="1" s="1"/>
  <c r="R938" i="1"/>
  <c r="S938" i="1" s="1"/>
  <c r="R1024" i="1"/>
  <c r="S1024" i="1" s="1"/>
  <c r="R1026" i="1"/>
  <c r="S1026" i="1" s="1"/>
  <c r="R1028" i="1"/>
  <c r="S1028" i="1" s="1"/>
  <c r="R1097" i="1"/>
  <c r="S1097" i="1" s="1"/>
  <c r="R1113" i="1"/>
  <c r="S1113" i="1" s="1"/>
  <c r="R1117" i="1"/>
  <c r="S1117" i="1" s="1"/>
  <c r="R1171" i="1"/>
  <c r="S1171" i="1" s="1"/>
  <c r="R1183" i="1"/>
  <c r="S1183" i="1" s="1"/>
  <c r="R1300" i="1"/>
  <c r="S1300" i="1" s="1"/>
  <c r="R1314" i="1"/>
  <c r="S1314" i="1" s="1"/>
  <c r="R1319" i="1"/>
  <c r="S1319" i="1" s="1"/>
  <c r="R1321" i="1"/>
  <c r="S1321" i="1" s="1"/>
  <c r="R1324" i="1"/>
  <c r="S1324" i="1" s="1"/>
  <c r="R763" i="1"/>
  <c r="S763" i="1" s="1"/>
  <c r="R845" i="1"/>
  <c r="S845" i="1" s="1"/>
  <c r="R852" i="1"/>
  <c r="S852" i="1" s="1"/>
  <c r="R1020" i="1"/>
  <c r="S1020" i="1" s="1"/>
  <c r="R1228" i="1"/>
  <c r="S1228" i="1" s="1"/>
  <c r="R1230" i="1"/>
  <c r="S1230" i="1" s="1"/>
  <c r="R1285" i="1"/>
  <c r="S1285" i="1" s="1"/>
  <c r="R211" i="1"/>
  <c r="S211" i="1" s="1"/>
  <c r="R218" i="1"/>
  <c r="S218" i="1" s="1"/>
  <c r="R240" i="1"/>
  <c r="S240" i="1" s="1"/>
  <c r="R244" i="1"/>
  <c r="S244" i="1" s="1"/>
  <c r="R246" i="1"/>
  <c r="S246" i="1" s="1"/>
  <c r="R319" i="1"/>
  <c r="S319" i="1" s="1"/>
  <c r="R333" i="1"/>
  <c r="S333" i="1" s="1"/>
  <c r="R584" i="1"/>
  <c r="S584" i="1" s="1"/>
  <c r="R792" i="1"/>
  <c r="S792" i="1" s="1"/>
  <c r="R934" i="1"/>
  <c r="S934" i="1" s="1"/>
  <c r="R1027" i="1"/>
  <c r="S1027" i="1" s="1"/>
  <c r="R1029" i="1"/>
  <c r="S1029" i="1" s="1"/>
  <c r="R1114" i="1"/>
  <c r="S1114" i="1" s="1"/>
  <c r="R1118" i="1"/>
  <c r="S1118" i="1" s="1"/>
  <c r="R1170" i="1"/>
  <c r="S1170" i="1" s="1"/>
  <c r="R21" i="1"/>
  <c r="S21" i="1" s="1"/>
  <c r="R56" i="1"/>
  <c r="S56" i="1" s="1"/>
  <c r="R160" i="1"/>
  <c r="S160" i="1" s="1"/>
  <c r="R174" i="1"/>
  <c r="S174" i="1" s="1"/>
  <c r="R195" i="1"/>
  <c r="S195" i="1" s="1"/>
  <c r="R207" i="1"/>
  <c r="S207" i="1" s="1"/>
  <c r="R210" i="1"/>
  <c r="S210" i="1" s="1"/>
  <c r="R219" i="1"/>
  <c r="S219" i="1" s="1"/>
  <c r="R224" i="1"/>
  <c r="S224" i="1" s="1"/>
  <c r="R229" i="1"/>
  <c r="S229" i="1" s="1"/>
  <c r="R249" i="1"/>
  <c r="S249" i="1" s="1"/>
  <c r="R255" i="1"/>
  <c r="S255" i="1" s="1"/>
  <c r="R261" i="1"/>
  <c r="S261" i="1" s="1"/>
  <c r="R317" i="1"/>
  <c r="S317" i="1" s="1"/>
  <c r="R321" i="1"/>
  <c r="S321" i="1" s="1"/>
  <c r="R362" i="1"/>
  <c r="S362" i="1" s="1"/>
  <c r="R391" i="1"/>
  <c r="S391" i="1" s="1"/>
  <c r="R394" i="1"/>
  <c r="S394" i="1" s="1"/>
  <c r="R432" i="1"/>
  <c r="S432" i="1" s="1"/>
  <c r="R436" i="1"/>
  <c r="S436" i="1" s="1"/>
  <c r="R454" i="1"/>
  <c r="S454" i="1" s="1"/>
  <c r="R473" i="1"/>
  <c r="S473" i="1" s="1"/>
  <c r="R477" i="1"/>
  <c r="S477" i="1" s="1"/>
  <c r="R597" i="1"/>
  <c r="S597" i="1" s="1"/>
  <c r="R599" i="1"/>
  <c r="S599" i="1" s="1"/>
  <c r="R605" i="1"/>
  <c r="S605" i="1" s="1"/>
  <c r="R616" i="1"/>
  <c r="S616" i="1" s="1"/>
  <c r="R637" i="1"/>
  <c r="S637" i="1" s="1"/>
  <c r="R664" i="1"/>
  <c r="S664" i="1" s="1"/>
  <c r="R769" i="1"/>
  <c r="S769" i="1" s="1"/>
  <c r="R773" i="1"/>
  <c r="S773" i="1" s="1"/>
  <c r="R778" i="1"/>
  <c r="S778" i="1" s="1"/>
  <c r="R786" i="1"/>
  <c r="S786" i="1" s="1"/>
  <c r="R790" i="1"/>
  <c r="S790" i="1" s="1"/>
  <c r="R794" i="1"/>
  <c r="S794" i="1" s="1"/>
  <c r="R796" i="1"/>
  <c r="S796" i="1" s="1"/>
  <c r="R920" i="1"/>
  <c r="S920" i="1" s="1"/>
  <c r="R939" i="1"/>
  <c r="S939" i="1" s="1"/>
  <c r="R966" i="1"/>
  <c r="S966" i="1" s="1"/>
  <c r="R1022" i="1"/>
  <c r="S1022" i="1" s="1"/>
  <c r="R1112" i="1"/>
  <c r="S1112" i="1" s="1"/>
  <c r="R1119" i="1"/>
  <c r="S1119" i="1" s="1"/>
  <c r="R1191" i="1"/>
  <c r="S1191" i="1" s="1"/>
  <c r="R1210" i="1"/>
  <c r="S1210" i="1" s="1"/>
  <c r="R1215" i="1"/>
  <c r="S1215" i="1" s="1"/>
  <c r="R1221" i="1"/>
  <c r="S1221" i="1" s="1"/>
  <c r="R1229" i="1"/>
  <c r="S1229" i="1" s="1"/>
  <c r="R1249" i="1"/>
  <c r="S1249" i="1" s="1"/>
  <c r="R1252" i="1"/>
  <c r="S1252" i="1" s="1"/>
  <c r="R1289" i="1"/>
  <c r="S1289" i="1" s="1"/>
  <c r="R1354" i="1"/>
  <c r="S1354" i="1" s="1"/>
  <c r="R1356" i="1"/>
  <c r="S1356" i="1" s="1"/>
  <c r="R1350" i="1"/>
  <c r="S1350" i="1" s="1"/>
  <c r="R1352" i="1"/>
  <c r="S1352" i="1" s="1"/>
  <c r="R57" i="1"/>
  <c r="S57" i="1" s="1"/>
  <c r="R156" i="1"/>
  <c r="S156" i="1" s="1"/>
  <c r="R194" i="1"/>
  <c r="S194" i="1" s="1"/>
  <c r="R208" i="1"/>
  <c r="S208" i="1" s="1"/>
  <c r="R213" i="1"/>
  <c r="S213" i="1" s="1"/>
  <c r="R250" i="1"/>
  <c r="S250" i="1" s="1"/>
  <c r="R253" i="1"/>
  <c r="S253" i="1" s="1"/>
  <c r="R260" i="1"/>
  <c r="S260" i="1" s="1"/>
  <c r="R262" i="1"/>
  <c r="S262" i="1" s="1"/>
  <c r="R315" i="1"/>
  <c r="S315" i="1" s="1"/>
  <c r="R320" i="1"/>
  <c r="S320" i="1" s="1"/>
  <c r="R393" i="1"/>
  <c r="S393" i="1" s="1"/>
  <c r="R439" i="1"/>
  <c r="S439" i="1" s="1"/>
  <c r="R474" i="1"/>
  <c r="S474" i="1" s="1"/>
  <c r="R478" i="1"/>
  <c r="S478" i="1" s="1"/>
  <c r="R566" i="1"/>
  <c r="S566" i="1" s="1"/>
  <c r="R567" i="1"/>
  <c r="S567" i="1" s="1"/>
  <c r="R636" i="1"/>
  <c r="S636" i="1" s="1"/>
  <c r="R638" i="1"/>
  <c r="S638" i="1" s="1"/>
  <c r="R770" i="1"/>
  <c r="S770" i="1" s="1"/>
  <c r="R781" i="1"/>
  <c r="S781" i="1" s="1"/>
  <c r="R789" i="1"/>
  <c r="S789" i="1" s="1"/>
  <c r="R791" i="1"/>
  <c r="S791" i="1" s="1"/>
  <c r="R793" i="1"/>
  <c r="S793" i="1" s="1"/>
  <c r="R851" i="1"/>
  <c r="S851" i="1" s="1"/>
  <c r="R922" i="1"/>
  <c r="S922" i="1" s="1"/>
  <c r="R929" i="1"/>
  <c r="S929" i="1" s="1"/>
  <c r="R931" i="1"/>
  <c r="S931" i="1" s="1"/>
  <c r="R1021" i="1"/>
  <c r="S1021" i="1" s="1"/>
  <c r="R1120" i="1"/>
  <c r="S1120" i="1" s="1"/>
  <c r="R1206" i="1"/>
  <c r="S1206" i="1" s="1"/>
  <c r="R1208" i="1"/>
  <c r="S1208" i="1" s="1"/>
  <c r="R1214" i="1"/>
  <c r="S1214" i="1" s="1"/>
  <c r="R1216" i="1"/>
  <c r="S1216" i="1" s="1"/>
  <c r="R1226" i="1"/>
  <c r="S1226" i="1" s="1"/>
  <c r="R1251" i="1"/>
  <c r="S1251" i="1" s="1"/>
  <c r="R1282" i="1"/>
  <c r="S1282" i="1" s="1"/>
  <c r="R1052" i="1"/>
  <c r="S1052" i="1" s="1"/>
  <c r="R175" i="1"/>
  <c r="S175" i="1" s="1"/>
  <c r="R607" i="1"/>
  <c r="S607" i="1" s="1"/>
  <c r="R610" i="1"/>
  <c r="S610" i="1" s="1"/>
  <c r="R787" i="1"/>
  <c r="S787" i="1" s="1"/>
  <c r="R308" i="1"/>
  <c r="S308" i="1" s="1"/>
  <c r="R1156" i="1"/>
  <c r="S1156" i="1" s="1"/>
  <c r="R1220" i="1"/>
  <c r="S1220" i="1" s="1"/>
  <c r="R598" i="1"/>
  <c r="S598" i="1" s="1"/>
  <c r="R40" i="1"/>
  <c r="S40" i="1" s="1"/>
  <c r="R197" i="1"/>
  <c r="S197" i="1" s="1"/>
  <c r="R221" i="1"/>
  <c r="S221" i="1" s="1"/>
  <c r="R434" i="1"/>
  <c r="S434" i="1" s="1"/>
  <c r="R608" i="1"/>
  <c r="S608" i="1" s="1"/>
  <c r="R611" i="1"/>
  <c r="S611" i="1" s="1"/>
  <c r="R267" i="1"/>
  <c r="S267" i="1" s="1"/>
  <c r="R273" i="1"/>
  <c r="S273" i="1" s="1"/>
  <c r="R309" i="1"/>
  <c r="S309" i="1" s="1"/>
  <c r="R335" i="1"/>
  <c r="S335" i="1" s="1"/>
  <c r="R407" i="1"/>
  <c r="S407" i="1" s="1"/>
  <c r="R574" i="1"/>
  <c r="S574" i="1" s="1"/>
  <c r="R576" i="1"/>
  <c r="S576" i="1" s="1"/>
  <c r="R918" i="1"/>
  <c r="S918" i="1" s="1"/>
  <c r="R935" i="1"/>
  <c r="S935" i="1" s="1"/>
  <c r="R1111" i="1"/>
  <c r="S1111" i="1" s="1"/>
  <c r="R1157" i="1"/>
  <c r="S1157" i="1" s="1"/>
  <c r="R1219" i="1"/>
  <c r="S1219" i="1" s="1"/>
  <c r="R370" i="1"/>
  <c r="S370" i="1" s="1"/>
  <c r="R575" i="1"/>
  <c r="S575" i="1" s="1"/>
  <c r="R715" i="1"/>
  <c r="S715" i="1" s="1"/>
  <c r="R795" i="1"/>
  <c r="S795" i="1" s="1"/>
  <c r="R925" i="1"/>
  <c r="S925" i="1" s="1"/>
  <c r="R936" i="1"/>
  <c r="S936" i="1" s="1"/>
  <c r="R940" i="1"/>
  <c r="S940" i="1" s="1"/>
  <c r="R968" i="1"/>
  <c r="S968" i="1" s="1"/>
  <c r="R1165" i="1"/>
  <c r="S1165" i="1" s="1"/>
  <c r="P209" i="1"/>
  <c r="R209" i="1" s="1"/>
  <c r="S209" i="1" s="1"/>
  <c r="R318" i="1"/>
  <c r="S318" i="1" s="1"/>
  <c r="P155" i="1"/>
  <c r="R155" i="1" s="1"/>
  <c r="S155" i="1" s="1"/>
  <c r="P363" i="1"/>
  <c r="R363" i="1" s="1"/>
  <c r="S363" i="1" s="1"/>
  <c r="R54" i="1"/>
  <c r="S54" i="1" s="1"/>
  <c r="P157" i="1"/>
  <c r="R157" i="1" s="1"/>
  <c r="S157" i="1" s="1"/>
  <c r="P161" i="1"/>
  <c r="R161" i="1" s="1"/>
  <c r="S161" i="1" s="1"/>
  <c r="R378" i="1"/>
  <c r="S378" i="1" s="1"/>
  <c r="R435" i="1"/>
  <c r="S435" i="1" s="1"/>
  <c r="P570" i="1"/>
  <c r="R570" i="1" s="1"/>
  <c r="S570" i="1" s="1"/>
  <c r="R663" i="1"/>
  <c r="S663" i="1" s="1"/>
  <c r="R381" i="1"/>
  <c r="S381" i="1" s="1"/>
  <c r="R639" i="1"/>
  <c r="S639" i="1" s="1"/>
  <c r="R766" i="1"/>
  <c r="S766" i="1" s="1"/>
  <c r="R765" i="1"/>
  <c r="S765" i="1" s="1"/>
  <c r="P907" i="1"/>
  <c r="R907" i="1" s="1"/>
  <c r="S907" i="1" s="1"/>
  <c r="R990" i="1"/>
  <c r="S990" i="1" s="1"/>
  <c r="R1115" i="1"/>
  <c r="S1115" i="1" s="1"/>
  <c r="R801" i="1"/>
  <c r="S801" i="1" s="1"/>
  <c r="R872" i="1"/>
  <c r="S872" i="1" s="1"/>
  <c r="R1281" i="1"/>
  <c r="S1281" i="1" s="1"/>
  <c r="R1212" i="1"/>
  <c r="S1212" i="1" s="1"/>
  <c r="P1271" i="1"/>
  <c r="R1271" i="1" s="1"/>
  <c r="S1271" i="1" s="1"/>
</calcChain>
</file>

<file path=xl/sharedStrings.xml><?xml version="1.0" encoding="utf-8"?>
<sst xmlns="http://schemas.openxmlformats.org/spreadsheetml/2006/main" count="11681" uniqueCount="1098">
  <si>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</si>
  <si>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</si>
  <si>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</si>
  <si>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</si>
  <si>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</si>
  <si>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</si>
  <si>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</si>
  <si>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</si>
  <si>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</si>
  <si>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</si>
  <si>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</si>
  <si>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</si>
  <si>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</si>
  <si>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</si>
  <si>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</si>
  <si>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</si>
  <si>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</si>
  <si>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</si>
  <si>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</si>
  <si>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</si>
  <si>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</si>
  <si>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</si>
  <si>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</si>
  <si>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</si>
  <si>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</si>
  <si>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</si>
  <si>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</si>
  <si>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</si>
  <si>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</si>
  <si>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</si>
  <si>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</si>
  <si>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</si>
  <si>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</si>
  <si>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</si>
  <si>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</si>
  <si>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</si>
  <si>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</si>
  <si>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</si>
  <si>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</si>
  <si>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</si>
  <si>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</si>
  <si>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</si>
  <si>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</si>
  <si>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</si>
  <si>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</si>
  <si>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</si>
  <si>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</si>
  <si>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</si>
  <si>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</si>
  <si>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</si>
  <si>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</si>
  <si>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</si>
  <si>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</si>
  <si>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</si>
  <si>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</si>
  <si>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</si>
  <si>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</si>
  <si>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</si>
  <si>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</si>
  <si>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</si>
  <si>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</si>
  <si>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</si>
  <si>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</si>
  <si>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</si>
  <si>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</si>
  <si>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</si>
  <si>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</si>
  <si>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</si>
  <si>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</si>
  <si>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</si>
  <si>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</si>
  <si>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</si>
  <si>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</si>
  <si>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</si>
  <si>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</si>
  <si>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</si>
  <si>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</si>
  <si>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</si>
  <si>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</si>
  <si>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</si>
  <si>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</si>
  <si>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</si>
  <si>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</si>
  <si>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</si>
  <si>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</si>
  <si>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</si>
  <si>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</si>
  <si>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</si>
  <si>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</si>
  <si>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</si>
  <si>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</si>
  <si>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</si>
  <si>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</si>
  <si>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</si>
  <si>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</si>
  <si>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</si>
  <si>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</si>
  <si>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</si>
  <si>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</si>
  <si>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</si>
  <si>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</si>
  <si>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</si>
  <si>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</si>
  <si>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</si>
  <si>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</si>
  <si>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</si>
  <si>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</si>
  <si>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</si>
  <si>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</si>
  <si>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</si>
  <si>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</si>
  <si>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</si>
  <si>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</si>
  <si>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</si>
  <si>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</si>
  <si>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</si>
  <si>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</si>
  <si>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</si>
  <si>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</si>
  <si>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</si>
  <si>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</si>
  <si>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</si>
  <si>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</si>
  <si>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</si>
  <si>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</si>
  <si>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</si>
  <si>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</si>
  <si>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</si>
  <si>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</si>
  <si>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</si>
  <si>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</si>
  <si>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</si>
  <si>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</si>
  <si>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</si>
  <si>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</si>
  <si>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</si>
  <si>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</si>
  <si>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</si>
  <si>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</si>
  <si>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</si>
  <si>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</si>
  <si>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</si>
  <si>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</si>
  <si>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</si>
  <si>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</si>
  <si>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</si>
  <si>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</si>
  <si>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</si>
  <si>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</si>
  <si>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</si>
  <si>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</si>
  <si>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</si>
  <si>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</si>
  <si>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</si>
  <si>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</si>
  <si>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</si>
  <si>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</si>
  <si>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</si>
  <si>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</si>
  <si>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</si>
  <si>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</si>
  <si>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</si>
  <si>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</si>
  <si>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</si>
  <si>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</si>
  <si>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</si>
  <si>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</si>
  <si>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</si>
  <si>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</si>
  <si>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</si>
  <si>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</si>
  <si>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</si>
  <si>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</si>
  <si>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</si>
  <si>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</si>
  <si>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</si>
  <si>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</si>
  <si>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</si>
  <si>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</si>
  <si>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</si>
  <si>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</si>
  <si>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</si>
  <si>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</si>
  <si>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</si>
  <si>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</si>
  <si>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</si>
  <si>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</si>
  <si>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</si>
  <si>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</si>
  <si>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</si>
  <si>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</si>
  <si>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</si>
  <si>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</si>
  <si>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</si>
  <si>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</si>
  <si>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</si>
  <si>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</si>
  <si>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</si>
  <si>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</si>
  <si>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</si>
  <si>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</si>
  <si>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</si>
  <si>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</si>
  <si>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</si>
  <si>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</si>
  <si>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</si>
  <si>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</si>
  <si>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</si>
  <si>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</si>
  <si>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</si>
  <si>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</si>
  <si>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</si>
  <si>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</si>
  <si>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</si>
  <si>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</si>
  <si>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</si>
  <si>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</si>
  <si>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</si>
  <si>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</si>
  <si>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</si>
  <si>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</si>
  <si>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</si>
  <si>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</si>
  <si>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</si>
  <si>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</si>
  <si>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</si>
  <si>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</si>
  <si>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</si>
  <si>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</si>
  <si>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</si>
  <si>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</si>
  <si>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</si>
  <si>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</si>
  <si>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</si>
  <si>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</si>
  <si>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</si>
  <si>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</si>
  <si>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</si>
  <si>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</si>
  <si>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</si>
  <si>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</si>
  <si>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</si>
  <si>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</si>
  <si>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</si>
  <si>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</si>
  <si>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</si>
  <si>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</si>
  <si>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</si>
  <si>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</si>
  <si>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</si>
  <si>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</si>
  <si>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</si>
  <si>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</si>
  <si>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</si>
  <si>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</si>
  <si>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</si>
  <si>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</si>
  <si>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</si>
  <si>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</si>
  <si>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</si>
  <si>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</si>
  <si>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</si>
  <si>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</si>
  <si>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</si>
  <si>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</si>
  <si>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</si>
  <si>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</si>
  <si>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</si>
  <si>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</si>
  <si>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</si>
  <si>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</si>
  <si>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</si>
  <si>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</si>
  <si>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</si>
  <si>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</si>
  <si>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</si>
  <si>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</si>
  <si>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</si>
  <si>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</si>
  <si>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</si>
  <si>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</si>
  <si>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</si>
  <si>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</si>
  <si>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</si>
  <si>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</si>
  <si>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</si>
  <si>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</si>
  <si>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</si>
  <si>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</si>
  <si>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</si>
  <si>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</si>
  <si>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</si>
  <si>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</si>
  <si>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</si>
  <si>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</si>
  <si>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</si>
  <si>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</si>
  <si>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</si>
  <si>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</si>
  <si>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</si>
  <si>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</si>
  <si>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</si>
  <si>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</si>
  <si>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</si>
  <si>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</si>
  <si>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</si>
  <si>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</si>
  <si>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</si>
  <si>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</si>
  <si>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</si>
  <si>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</si>
  <si>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</si>
  <si>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</si>
  <si>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</si>
  <si>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</si>
  <si>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</si>
  <si>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</si>
  <si>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</si>
  <si>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</si>
  <si>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</si>
  <si>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</si>
  <si>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</si>
  <si>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</si>
  <si>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</si>
  <si>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</si>
  <si>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</si>
  <si>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</si>
  <si>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</si>
  <si>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</si>
  <si>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</si>
  <si>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</si>
  <si>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</si>
  <si>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</si>
  <si>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</si>
  <si>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</si>
  <si>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</si>
  <si>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</si>
  <si>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</si>
  <si>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</si>
  <si>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</si>
  <si>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</si>
  <si>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</si>
  <si>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</si>
  <si>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</si>
  <si>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</si>
  <si>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</si>
  <si>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</si>
  <si>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</si>
  <si>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</si>
  <si>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</si>
  <si>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</si>
  <si>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</si>
  <si>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</si>
  <si>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</si>
  <si>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</si>
  <si>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</si>
  <si>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</si>
  <si>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</si>
  <si>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</si>
  <si>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</si>
  <si>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</si>
  <si>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</si>
  <si>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</si>
  <si>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</si>
  <si>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</si>
  <si>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</si>
  <si>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</si>
  <si>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</si>
  <si>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</si>
  <si>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</si>
  <si>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</si>
  <si>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</si>
  <si>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</si>
  <si>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</si>
  <si>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</si>
  <si>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</si>
  <si>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</si>
  <si>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</si>
  <si>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</si>
  <si>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</si>
  <si>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</si>
  <si>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</si>
  <si>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</si>
  <si>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</si>
  <si>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</si>
  <si>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</si>
  <si>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</si>
  <si>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</si>
  <si>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</si>
  <si>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</si>
  <si>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</si>
  <si>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</si>
  <si>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</si>
  <si>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</si>
  <si>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</si>
  <si>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</si>
  <si>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</si>
  <si>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</si>
  <si>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</si>
  <si>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</si>
  <si>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</si>
  <si>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</si>
  <si>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</si>
  <si>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</si>
  <si>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</si>
  <si>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</si>
  <si>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</si>
  <si>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</si>
  <si>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</si>
  <si>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</si>
  <si>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</si>
  <si>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</si>
  <si>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</si>
  <si>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</si>
  <si>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</si>
  <si>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</si>
  <si>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</si>
  <si>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</si>
  <si>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</si>
  <si>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</si>
  <si>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</si>
  <si>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</si>
  <si>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</si>
  <si>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</si>
  <si>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</si>
  <si>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</si>
  <si>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</si>
  <si>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</si>
  <si>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</si>
  <si>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</si>
  <si>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</si>
  <si>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</si>
  <si>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</si>
  <si>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</si>
  <si>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</si>
  <si>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</si>
  <si>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</si>
  <si>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</si>
  <si>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</si>
  <si>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</si>
  <si>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</si>
  <si>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</si>
  <si>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</si>
  <si>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</si>
  <si>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</si>
  <si>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</si>
  <si>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</si>
  <si>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</si>
  <si>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</si>
  <si>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</si>
  <si>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</si>
  <si>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</si>
  <si>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</si>
  <si>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</si>
  <si>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</si>
  <si>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</si>
  <si>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</si>
  <si>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</si>
  <si>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</si>
  <si>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</si>
  <si>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</si>
  <si>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</si>
  <si>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</si>
  <si>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</si>
  <si>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</si>
  <si>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</si>
  <si>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</si>
  <si>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</si>
  <si>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</si>
  <si>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</si>
  <si>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</si>
  <si>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</si>
  <si>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</si>
  <si>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</si>
  <si>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</si>
  <si>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</si>
  <si>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</si>
  <si>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</si>
  <si>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</si>
  <si>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</si>
  <si>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</si>
  <si>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</si>
  <si>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</si>
  <si>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</si>
  <si>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</si>
  <si>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</si>
  <si>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</si>
  <si>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</si>
  <si>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</si>
  <si>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</si>
  <si>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</si>
  <si>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</si>
  <si>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</si>
  <si>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</si>
  <si>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</si>
  <si>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</si>
  <si>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</si>
  <si>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</si>
  <si>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</si>
  <si>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</si>
  <si>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</si>
  <si>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</si>
  <si>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</si>
  <si>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</si>
  <si>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</si>
  <si>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</si>
  <si>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</si>
  <si>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</si>
  <si>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</si>
  <si>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</si>
  <si>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</si>
  <si>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</si>
  <si>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</si>
  <si>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</si>
  <si>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</si>
  <si>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</si>
  <si>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</si>
  <si>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</si>
  <si>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</si>
  <si>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</si>
  <si>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</si>
  <si>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</si>
  <si>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</si>
  <si>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</si>
  <si>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</si>
  <si>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</si>
  <si>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</si>
  <si>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</si>
  <si>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</si>
  <si>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</si>
  <si>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</si>
  <si>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</si>
  <si>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</si>
  <si>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</si>
  <si>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</si>
  <si>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</si>
  <si>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</si>
  <si>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</si>
  <si>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</si>
  <si>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</si>
  <si>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</si>
  <si>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</si>
  <si>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</si>
  <si>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</si>
  <si>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</si>
  <si>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</si>
  <si>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</si>
  <si>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</si>
  <si>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</si>
  <si>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</si>
  <si>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</si>
  <si>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</si>
  <si>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</si>
  <si>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</si>
  <si>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</si>
  <si>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</si>
  <si>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</si>
  <si>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</si>
  <si>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</si>
  <si>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</si>
  <si>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</si>
  <si>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</si>
  <si>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</si>
  <si>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</si>
  <si>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</si>
  <si>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</si>
  <si>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</si>
  <si>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</si>
  <si>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</si>
  <si>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</si>
  <si>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</si>
  <si>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</si>
  <si>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</si>
  <si>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</si>
  <si>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</si>
  <si>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</si>
  <si>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</si>
  <si>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</si>
  <si>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</si>
  <si>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</si>
  <si>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</si>
  <si>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</si>
  <si>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</si>
  <si>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</si>
  <si>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</si>
  <si>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</si>
  <si>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</si>
  <si>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</si>
  <si>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</si>
  <si>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</si>
  <si>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</si>
  <si>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</si>
  <si>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</si>
  <si>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</si>
  <si>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</si>
  <si>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</si>
  <si>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</si>
  <si>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</si>
  <si>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</si>
  <si>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</si>
  <si>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</si>
  <si>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</si>
  <si>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</si>
  <si>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</si>
  <si>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</si>
  <si>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</si>
  <si>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</si>
  <si>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</si>
  <si>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</si>
  <si>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</si>
  <si>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</si>
  <si>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</si>
  <si>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</si>
  <si>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</si>
  <si>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</si>
  <si>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</si>
  <si>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</si>
  <si>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</si>
  <si>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</si>
  <si>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</si>
  <si>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</si>
  <si>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</si>
  <si>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</si>
  <si>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</si>
  <si>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</si>
  <si>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</si>
  <si>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</si>
  <si>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</si>
  <si>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</si>
  <si>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</si>
  <si>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</si>
  <si>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</si>
  <si>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</si>
  <si>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</si>
  <si>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</si>
  <si>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</si>
  <si>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</si>
  <si>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</si>
  <si>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</si>
  <si>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</si>
  <si>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</si>
  <si>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</si>
  <si>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</si>
  <si>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</si>
  <si>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</si>
  <si>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</si>
  <si>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</si>
  <si>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</si>
  <si>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</si>
  <si>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</si>
  <si>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</si>
  <si>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</si>
  <si>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</si>
  <si>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</si>
  <si>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</si>
  <si>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</si>
  <si>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</si>
  <si>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</si>
  <si>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</si>
  <si>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</si>
  <si>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</si>
  <si>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</si>
  <si>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</si>
  <si>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</si>
  <si>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</si>
  <si>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</si>
  <si>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</si>
  <si>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</si>
  <si>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</si>
  <si>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</si>
  <si>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</si>
  <si>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</si>
  <si>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</si>
  <si>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</si>
  <si>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</si>
  <si>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</si>
  <si>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</si>
  <si>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</si>
  <si>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</si>
  <si>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</si>
  <si>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</si>
  <si>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</si>
  <si>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</si>
  <si>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</si>
  <si>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</si>
  <si>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</si>
  <si>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</si>
  <si>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</si>
  <si>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</si>
  <si>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</si>
  <si>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</si>
  <si>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</si>
  <si>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</si>
  <si>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</si>
  <si>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</si>
  <si>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</si>
  <si>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</si>
  <si>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</si>
  <si>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</si>
  <si>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</si>
  <si>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</si>
  <si>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</si>
  <si>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</si>
  <si>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</si>
  <si>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</si>
  <si>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</si>
  <si>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</si>
  <si>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</si>
  <si>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</si>
  <si>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</si>
  <si>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</si>
  <si>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</si>
  <si>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</si>
  <si>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</si>
  <si>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</si>
  <si>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</si>
  <si>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</si>
  <si>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</si>
  <si>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</si>
  <si>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</si>
  <si>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</si>
  <si>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</si>
  <si>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</si>
  <si>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</si>
  <si>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</si>
  <si>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</si>
  <si>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</si>
  <si>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</si>
  <si>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</si>
  <si>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</si>
  <si>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</si>
  <si>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</si>
  <si>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</si>
  <si>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</si>
  <si>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</si>
  <si>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</si>
  <si>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</si>
  <si>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</si>
  <si>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</si>
  <si>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</si>
  <si>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</si>
  <si>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</si>
  <si>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</si>
  <si>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</si>
  <si>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</si>
  <si>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</si>
  <si>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</si>
  <si>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</si>
  <si>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</si>
  <si>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</si>
  <si>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</si>
  <si>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</si>
  <si>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</si>
  <si>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</si>
  <si>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</si>
  <si>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</si>
  <si>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</si>
  <si>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</si>
  <si>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</si>
  <si>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</si>
  <si>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</si>
  <si>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</si>
  <si>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</si>
  <si>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</si>
  <si>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</si>
  <si>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</si>
  <si>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</si>
  <si>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</si>
  <si>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</si>
  <si>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</si>
  <si>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</si>
  <si>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</si>
  <si>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</si>
  <si>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</si>
  <si>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</si>
  <si>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</si>
  <si>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</si>
  <si>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</si>
  <si>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</si>
  <si>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</si>
  <si>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</si>
  <si>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</si>
  <si>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</si>
  <si>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</si>
  <si>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</si>
  <si>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</si>
  <si>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</si>
  <si>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</si>
  <si>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</si>
  <si>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</si>
  <si>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</si>
  <si>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</si>
  <si>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</si>
  <si>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</si>
  <si>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</si>
  <si>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</si>
  <si>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</si>
  <si>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</si>
  <si>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</si>
  <si>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</si>
  <si>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</si>
  <si>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</si>
  <si>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</si>
  <si>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</si>
  <si>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</si>
  <si>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</si>
  <si>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</si>
  <si>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</si>
  <si>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</si>
  <si>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</si>
  <si>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</si>
  <si>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</si>
  <si>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</si>
  <si>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</si>
  <si>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</si>
  <si>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</si>
  <si>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</si>
  <si>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</si>
  <si>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</si>
  <si>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</si>
  <si>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</si>
  <si>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</si>
  <si>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</si>
  <si>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</si>
  <si>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</si>
  <si>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</si>
  <si>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</si>
  <si>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</si>
  <si>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</si>
  <si>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</si>
  <si>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</si>
  <si>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</si>
  <si>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</si>
  <si>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</si>
  <si>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</si>
  <si>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</si>
  <si>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</si>
  <si>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</si>
  <si>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</si>
  <si>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</si>
  <si>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</si>
  <si>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</si>
  <si>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</si>
  <si>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</si>
  <si>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</si>
  <si>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</si>
  <si>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</si>
  <si>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</si>
  <si>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</si>
  <si>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</si>
  <si>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</si>
  <si>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</si>
  <si>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</si>
  <si>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</si>
  <si>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</si>
  <si>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</si>
  <si>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</si>
  <si>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</si>
  <si>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</si>
  <si>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</si>
  <si>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</si>
  <si>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</si>
  <si>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</si>
  <si>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</si>
  <si>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t>GEL PEN KENKO HIGHLIGHTER GP-20 HL</t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</si>
  <si>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</si>
  <si>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</si>
  <si>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</si>
  <si>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</si>
  <si>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</si>
  <si>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</si>
  <si>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</si>
  <si>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</si>
  <si>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</si>
  <si>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</si>
  <si>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</si>
  <si>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</si>
  <si>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</si>
  <si>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</si>
  <si>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</si>
  <si>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</si>
  <si>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</si>
  <si>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</si>
  <si>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</si>
  <si>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</si>
  <si>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</si>
  <si>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</si>
  <si>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</si>
  <si>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</si>
  <si>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</si>
  <si>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</si>
  <si>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</si>
  <si>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</si>
  <si>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</si>
  <si>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</si>
  <si>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</si>
  <si>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</si>
  <si>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</si>
  <si>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</si>
  <si>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</si>
  <si>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</si>
  <si>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</si>
  <si>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</si>
  <si>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</si>
  <si>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</si>
  <si>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</si>
  <si>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</si>
  <si>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</si>
  <si>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</si>
  <si>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</si>
  <si>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</si>
  <si>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</si>
  <si>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</si>
  <si>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</si>
  <si>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</si>
  <si>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</si>
  <si>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</si>
  <si>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</si>
  <si>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</si>
  <si>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</si>
  <si>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</si>
  <si>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</si>
  <si>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</si>
  <si>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</si>
  <si>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</si>
  <si>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</si>
  <si>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</si>
  <si>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</si>
  <si>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</si>
  <si>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</si>
  <si>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KAOS</t>
  </si>
  <si>
    <t>KAOS JOYKO (Bonus)</t>
  </si>
  <si>
    <t>TINTA / INK</t>
  </si>
  <si>
    <t>TINTA HERO K 1054</t>
  </si>
  <si>
    <t>JANGKA (MATH SET) JOYKO MS-100</t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</si>
  <si>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</si>
  <si>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</si>
  <si>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</si>
  <si>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</si>
  <si>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</si>
  <si>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</si>
  <si>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</si>
  <si>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</si>
  <si>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</si>
  <si>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</si>
  <si>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</si>
  <si>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</si>
  <si>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</si>
  <si>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</si>
  <si>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</si>
  <si>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</si>
  <si>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</si>
  <si>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</si>
  <si>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</si>
  <si>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</si>
  <si>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</si>
  <si>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</si>
  <si>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</si>
  <si>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</si>
  <si>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</si>
  <si>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</si>
  <si>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</si>
  <si>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</si>
  <si>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</si>
  <si>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</si>
  <si>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</si>
  <si>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</si>
  <si>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</si>
  <si>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</si>
  <si>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</si>
  <si>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</si>
  <si>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</si>
  <si>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</si>
  <si>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</si>
  <si>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</si>
  <si>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</si>
  <si>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</si>
  <si>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</si>
  <si>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</si>
  <si>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</si>
  <si>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</si>
  <si>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</si>
  <si>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</si>
  <si>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</si>
  <si>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</si>
  <si>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</si>
  <si>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</si>
  <si>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</si>
  <si>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</si>
  <si>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</si>
  <si>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</si>
  <si>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</si>
  <si>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</si>
  <si>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</si>
  <si>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</si>
  <si>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</si>
  <si>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</si>
  <si>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</si>
  <si>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</si>
  <si>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</si>
  <si>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</si>
  <si>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</si>
  <si>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</si>
  <si>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</si>
  <si>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</si>
  <si>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</si>
  <si>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</si>
  <si>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</si>
  <si>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</si>
  <si>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</si>
  <si>
    <t>BUKU KANCING 32K1008-21 (A5)</t>
  </si>
  <si>
    <t>BUKU KANCING 32K1008-22 (A5)</t>
  </si>
  <si>
    <t>BUKU KANCING</t>
  </si>
  <si>
    <t>BUKU SPIRAL</t>
  </si>
  <si>
    <t>BUKU SPIRAL 016-19 (80L) (A5) PVC</t>
  </si>
  <si>
    <t>BUKU SPIRAL 016-20 (80L) (A5)</t>
  </si>
  <si>
    <t>BUKU SPIRAL 016-21 (80L) (A5) PVC</t>
  </si>
  <si>
    <t>CUTTER 9 MM JOYKO A-300 SG (KECIL)</t>
  </si>
  <si>
    <t>GARISAN SET PVC HZ-5012</t>
  </si>
  <si>
    <t>GARISAN SET PVC HZ-5013</t>
  </si>
  <si>
    <t>GARISAN SET PVC ZO-239</t>
  </si>
  <si>
    <t>GARISAN SET PVC ZX-6116</t>
  </si>
  <si>
    <t>GEL PEN EG-V (MIKA) (EG-225)</t>
  </si>
  <si>
    <t>GEL PEN IPEN VC-8100 VANCO</t>
  </si>
  <si>
    <t>GEL PEN JOYKO GP-346 MY TEAM</t>
  </si>
  <si>
    <t>GEL PEN KLIK GP-96129 (9W/ PVC)</t>
  </si>
  <si>
    <t>HIGHLIGHTER / STABILLO VANCO HL-521</t>
  </si>
  <si>
    <t>BALON</t>
  </si>
  <si>
    <t>BALON MACARON 1022 20 X 5 LKM 2200</t>
  </si>
  <si>
    <t>NATURAL CAHAYA LESTARI</t>
  </si>
  <si>
    <t>LPG</t>
  </si>
  <si>
    <t>PENSIL WARNA JOYKO CP-812</t>
  </si>
  <si>
    <t>BALLPEN JOYKO BP-199 TRICO (3 COLOR)</t>
  </si>
  <si>
    <t>KERTAS LIPAT</t>
  </si>
  <si>
    <t>ORIGAMI FLUORESCENT ALFA 14X14</t>
  </si>
  <si>
    <t>ORIGAMI FLUORESCENT ALFA 16X16</t>
  </si>
  <si>
    <t>BALLPEN VANCO 4W VC-6201</t>
  </si>
  <si>
    <t>ASAHAN MEJA JOYKO A-5L</t>
  </si>
  <si>
    <t>ASAHAN MEJA KLM-873 ROBOT</t>
  </si>
  <si>
    <t>BINDER CLIP JOYKO 111 CO</t>
  </si>
  <si>
    <t>GEL PEN DEBOZZ CLICK 0.28 DB-G028</t>
  </si>
  <si>
    <t>GEL PEN TRIFELLO HI-TECH TF-1191</t>
  </si>
  <si>
    <t>MECHANICAL PENCIL 2.0 MM TIZO TM-030-H</t>
  </si>
  <si>
    <t>MESIN LABEL HARGA JOYKO MX-6600N (10 DIGITS, 2 LINE)</t>
  </si>
  <si>
    <t>MIKA LAMINATING VANCO LF-100 (225 X 340)</t>
  </si>
  <si>
    <t>PAKU PAYUNG JOYKO TT-11</t>
  </si>
  <si>
    <t>PENSIL JOYKO 2B P-99 ANIMAL KINGDOM</t>
  </si>
  <si>
    <t>PENSIL KENKO 2B-6363 HITAM MATTE</t>
  </si>
  <si>
    <t>PENSIL KENKO 2B-2282 HITAM BINTANG</t>
  </si>
  <si>
    <t>SPIDOL / MARKER WB JOYKO WM-65 (BONUS)</t>
  </si>
  <si>
    <t>STIP/ PENGHAPUS B-24 M MACARON</t>
  </si>
  <si>
    <t>TAPE CUTTER JOYKO TC-119</t>
  </si>
  <si>
    <t>TAS KARUNG</t>
  </si>
  <si>
    <t>TAS KARUNG V (35 X 40)</t>
  </si>
  <si>
    <t>PEN ULIR</t>
  </si>
  <si>
    <t>PEN ULIR KENKO PU-1</t>
  </si>
  <si>
    <t>PEN ULIR KENKO PU-2</t>
  </si>
  <si>
    <t>PEN ULIR KENKO PU-3</t>
  </si>
  <si>
    <t>PEN ULIR KENKO PU-4</t>
  </si>
  <si>
    <t>TAS KARUNG V (45 X 50)</t>
  </si>
  <si>
    <t>TAS KARUNG V (55 X 65)</t>
  </si>
  <si>
    <t>VACUUM</t>
  </si>
  <si>
    <t>MINI DESK VACUUM JOYKO MDV-9701 (BONUS)</t>
  </si>
  <si>
    <t>ISI GEL / REFILL GP-559</t>
  </si>
  <si>
    <t>CV. SAMUDERA ANGKASA JAYA</t>
  </si>
  <si>
    <t>CALCULATOR JOYKO CC-45</t>
  </si>
  <si>
    <t>PREMIUM OIL COLOR PENCIL CP-TC126-48 JK</t>
  </si>
  <si>
    <t>ISI CUTTER 18 MM JOYKO A-100 AM/MH (KECIL)</t>
  </si>
  <si>
    <t>GARISAN SET</t>
  </si>
  <si>
    <t>BALLPEN JOYKO BP-349-12 VOKUS TRANS HITAM</t>
  </si>
  <si>
    <t>SPIDOL PERMANENT JOYKO PM-34</t>
  </si>
  <si>
    <t>SPIDOL / MARKER WB JOYKO WM-65</t>
  </si>
  <si>
    <t>FLASHLIGHT FL-91 JK</t>
  </si>
  <si>
    <r>
      <t xml:space="preserve">TIMBANGAN / DIGITAL SCALE JOYKO DSL-A3 (Kitchen Scale) </t>
    </r>
    <r>
      <rPr>
        <sz val="11"/>
        <color rgb="FFFF0000"/>
        <rFont val="Arial Narrow"/>
        <family val="2"/>
      </rPr>
      <t>(bonus)</t>
    </r>
  </si>
  <si>
    <t>CV PARAMA CREATIVINDO</t>
  </si>
  <si>
    <t>STAMP INK / TINTA</t>
  </si>
  <si>
    <t>TAS BELANJA</t>
  </si>
  <si>
    <t>ASAHAN JOYKO B-129</t>
  </si>
  <si>
    <t>ASAHAN JOYKO B-88</t>
  </si>
  <si>
    <t>BUKU KANCING 32K1008-23 (A5)</t>
  </si>
  <si>
    <t>BUKU KANCING 32K1008-30 (A5)</t>
  </si>
  <si>
    <t>CALCULATOR JOYKO CC-25CO</t>
  </si>
  <si>
    <t>CORRECTION FLUID JOYKO CF-P236</t>
  </si>
  <si>
    <t>DOKUMEN BAG 1935/ 1937 MIX (A4)</t>
  </si>
  <si>
    <t>DOKUMEN BAG A5-7517/ 8517</t>
  </si>
  <si>
    <t>DOKUMEN BAG</t>
  </si>
  <si>
    <t>ELEVATED TRAY</t>
  </si>
  <si>
    <t>ELEVATED TRAY SUSUN 5 (2005)</t>
  </si>
  <si>
    <t>HIGHLIGHTER HOLDER TY-SP 28</t>
  </si>
  <si>
    <t>HIGHLIGHTER TY-SP 25</t>
  </si>
  <si>
    <t>ISI CUTTER 18 MM JOYKO L-150 AM/MH (BESAR) (BONUS)</t>
  </si>
  <si>
    <t>BALLPEN JOYKO BP-338 VOCUS (bonus)</t>
  </si>
  <si>
    <t>GEL PEN JOYKO GP-265 Q-GEL (bonus)</t>
  </si>
  <si>
    <t>SPIDOL PERMANENT JOYKO PM-34 (bonus)</t>
  </si>
  <si>
    <t>SPIDOL WHITEBOARD SDI S530VP  (bonus)</t>
  </si>
  <si>
    <t>TIMBANGAN / DIGITAL SCALE JOYKO DSL-A3 (Kitchen Scale) (bonus)</t>
  </si>
  <si>
    <t>MINI DESK VACUUM JOYKO MDV-9701 (Bonus)</t>
  </si>
  <si>
    <t>FLASHLIGHT FL-91 JK (Bonus)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</si>
</sst>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"/>
    <numFmt numFmtId="165" formatCode="0.0"/>
    <numFmt numFmtId="166" formatCode="0.000%"/>
    <numFmt numFmtId="167" formatCode="#,##0.000"/>
    <numFmt numFmtId="168" formatCode="0.000000"/>
  </numFmts>
  <fonts count="22" x14ac:knownFonts="1"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rgb="FFFF0000"/>
      <name val="Calibri"/>
      <family val="2"/>
      <scheme val="minor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218">
    <xf numFmtId="0" fontId="0" fillId="0" borderId="0" xfId="0"/>
    <xf numFmtId="0" fontId="1" fillId="0" borderId="0" xfId="0" quotePrefix="1" applyFont="1" applyBorder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0" fontId="2" fillId="0" borderId="0" xfId="0" applyFont="1" applyAlignment="1"/>
    <xf numFmtId="4" fontId="2" fillId="0" borderId="0" xfId="0" applyNumberFormat="1" applyFont="1"/>
    <xf numFmtId="10" fontId="2" fillId="0" borderId="0" xfId="0" applyNumberFormat="1" applyFont="1" applyAlignment="1">
      <alignment horizontal="center"/>
    </xf>
    <xf numFmtId="0" fontId="5" fillId="0" borderId="0" xfId="0" applyFont="1" applyFill="1"/>
    <xf numFmtId="4" fontId="4" fillId="2" borderId="2" xfId="0" quotePrefix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0" fontId="7" fillId="2" borderId="2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3" fillId="0" borderId="0" xfId="0" applyFont="1" applyBorder="1"/>
    <xf numFmtId="4" fontId="9" fillId="0" borderId="0" xfId="0" applyNumberFormat="1" applyFon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/>
    <xf numFmtId="3" fontId="2" fillId="0" borderId="0" xfId="0" applyNumberFormat="1" applyFont="1" applyFill="1"/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/>
    <xf numFmtId="0" fontId="2" fillId="0" borderId="0" xfId="0" applyFont="1" applyFill="1" applyAlignment="1"/>
    <xf numFmtId="4" fontId="2" fillId="0" borderId="0" xfId="0" applyNumberFormat="1" applyFont="1" applyFill="1"/>
    <xf numFmtId="10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4" fontId="2" fillId="0" borderId="0" xfId="0" applyNumberFormat="1" applyFont="1" applyFill="1" applyBorder="1"/>
    <xf numFmtId="0" fontId="2" fillId="3" borderId="0" xfId="0" applyFont="1" applyFill="1" applyBorder="1"/>
    <xf numFmtId="4" fontId="2" fillId="3" borderId="0" xfId="0" applyNumberFormat="1" applyFont="1" applyFill="1"/>
    <xf numFmtId="10" fontId="2" fillId="3" borderId="0" xfId="0" applyNumberFormat="1" applyFont="1" applyFill="1" applyAlignment="1">
      <alignment horizontal="center"/>
    </xf>
    <xf numFmtId="10" fontId="2" fillId="0" borderId="0" xfId="0" applyNumberFormat="1" applyFont="1" applyBorder="1"/>
    <xf numFmtId="3" fontId="3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43" fontId="2" fillId="0" borderId="0" xfId="0" applyNumberFormat="1" applyFont="1"/>
    <xf numFmtId="0" fontId="8" fillId="0" borderId="0" xfId="0" applyFont="1" applyFill="1" applyBorder="1"/>
    <xf numFmtId="165" fontId="2" fillId="0" borderId="0" xfId="0" applyNumberFormat="1" applyFont="1" applyFill="1" applyAlignment="1"/>
    <xf numFmtId="0" fontId="2" fillId="0" borderId="0" xfId="0" applyFont="1" applyFill="1" applyBorder="1" applyAlignment="1"/>
    <xf numFmtId="0" fontId="2" fillId="0" borderId="0" xfId="1" applyFont="1" applyFill="1" applyBorder="1"/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0" fontId="2" fillId="0" borderId="9" xfId="1" applyFont="1" applyFill="1" applyBorder="1"/>
    <xf numFmtId="0" fontId="2" fillId="0" borderId="9" xfId="0" applyFont="1" applyFill="1" applyBorder="1" applyAlignment="1"/>
    <xf numFmtId="3" fontId="3" fillId="0" borderId="0" xfId="0" applyNumberFormat="1" applyFont="1" applyFill="1"/>
    <xf numFmtId="0" fontId="2" fillId="0" borderId="0" xfId="0" applyFont="1" applyFill="1" applyBorder="1" applyAlignment="1">
      <alignment vertical="center"/>
    </xf>
    <xf numFmtId="3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/>
    <xf numFmtId="0" fontId="2" fillId="0" borderId="0" xfId="0" applyFont="1" applyBorder="1" applyAlignment="1"/>
    <xf numFmtId="4" fontId="2" fillId="0" borderId="0" xfId="0" applyNumberFormat="1" applyFont="1" applyBorder="1"/>
    <xf numFmtId="10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/>
    <xf numFmtId="43" fontId="9" fillId="0" borderId="0" xfId="0" applyNumberFormat="1" applyFont="1" applyFill="1"/>
    <xf numFmtId="4" fontId="9" fillId="0" borderId="0" xfId="0" applyNumberFormat="1" applyFont="1" applyFill="1" applyBorder="1"/>
    <xf numFmtId="0" fontId="3" fillId="0" borderId="0" xfId="0" applyFont="1" applyFill="1" applyBorder="1"/>
    <xf numFmtId="0" fontId="11" fillId="0" borderId="0" xfId="0" applyFont="1" applyFill="1" applyBorder="1"/>
    <xf numFmtId="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/>
    <xf numFmtId="164" fontId="2" fillId="0" borderId="0" xfId="0" applyNumberFormat="1" applyFont="1" applyFill="1" applyAlignment="1"/>
    <xf numFmtId="166" fontId="2" fillId="0" borderId="0" xfId="0" applyNumberFormat="1" applyFont="1" applyFill="1" applyAlignment="1">
      <alignment horizontal="center"/>
    </xf>
    <xf numFmtId="0" fontId="9" fillId="0" borderId="0" xfId="0" applyFont="1" applyBorder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9" fillId="0" borderId="0" xfId="0" applyNumberFormat="1" applyFont="1" applyAlignment="1"/>
    <xf numFmtId="0" fontId="9" fillId="0" borderId="0" xfId="0" applyFont="1" applyAlignment="1"/>
    <xf numFmtId="10" fontId="9" fillId="0" borderId="0" xfId="0" applyNumberFormat="1" applyFont="1" applyAlignment="1">
      <alignment horizontal="center"/>
    </xf>
    <xf numFmtId="3" fontId="9" fillId="0" borderId="0" xfId="0" applyNumberFormat="1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3" fontId="12" fillId="0" borderId="0" xfId="0" applyNumberFormat="1" applyFont="1" applyFill="1" applyAlignment="1">
      <alignment horizontal="center"/>
    </xf>
    <xf numFmtId="3" fontId="9" fillId="0" borderId="0" xfId="0" applyNumberFormat="1" applyFont="1" applyFill="1" applyAlignment="1"/>
    <xf numFmtId="0" fontId="9" fillId="0" borderId="0" xfId="0" applyFont="1" applyFill="1" applyAlignment="1"/>
    <xf numFmtId="4" fontId="9" fillId="0" borderId="0" xfId="0" applyNumberFormat="1" applyFont="1" applyFill="1"/>
    <xf numFmtId="10" fontId="9" fillId="0" borderId="0" xfId="0" applyNumberFormat="1" applyFont="1" applyFill="1" applyAlignment="1">
      <alignment horizontal="center"/>
    </xf>
    <xf numFmtId="0" fontId="13" fillId="0" borderId="0" xfId="0" applyFont="1"/>
    <xf numFmtId="165" fontId="9" fillId="0" borderId="0" xfId="0" applyNumberFormat="1" applyFont="1" applyFill="1" applyAlignment="1"/>
    <xf numFmtId="0" fontId="13" fillId="0" borderId="0" xfId="0" applyFont="1" applyFill="1" applyBorder="1"/>
    <xf numFmtId="3" fontId="13" fillId="0" borderId="0" xfId="0" applyNumberFormat="1" applyFont="1"/>
    <xf numFmtId="0" fontId="13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3" fontId="13" fillId="0" borderId="0" xfId="0" applyNumberFormat="1" applyFont="1" applyAlignment="1"/>
    <xf numFmtId="0" fontId="13" fillId="0" borderId="0" xfId="0" applyFont="1" applyAlignment="1"/>
    <xf numFmtId="4" fontId="13" fillId="0" borderId="0" xfId="0" applyNumberFormat="1" applyFont="1"/>
    <xf numFmtId="10" fontId="13" fillId="0" borderId="0" xfId="0" applyNumberFormat="1" applyFont="1" applyAlignment="1">
      <alignment horizontal="center"/>
    </xf>
    <xf numFmtId="0" fontId="13" fillId="0" borderId="0" xfId="0" applyFont="1" applyFill="1"/>
    <xf numFmtId="3" fontId="13" fillId="0" borderId="0" xfId="0" applyNumberFormat="1" applyFont="1" applyFill="1"/>
    <xf numFmtId="0" fontId="13" fillId="0" borderId="0" xfId="0" applyFont="1" applyFill="1" applyAlignment="1">
      <alignment horizontal="center"/>
    </xf>
    <xf numFmtId="3" fontId="14" fillId="0" borderId="0" xfId="0" applyNumberFormat="1" applyFont="1" applyFill="1" applyAlignment="1">
      <alignment horizontal="center"/>
    </xf>
    <xf numFmtId="3" fontId="13" fillId="0" borderId="0" xfId="0" applyNumberFormat="1" applyFont="1" applyFill="1" applyAlignment="1"/>
    <xf numFmtId="0" fontId="13" fillId="0" borderId="0" xfId="0" applyFont="1" applyFill="1" applyAlignment="1"/>
    <xf numFmtId="4" fontId="13" fillId="0" borderId="0" xfId="0" applyNumberFormat="1" applyFont="1" applyFill="1"/>
    <xf numFmtId="10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/>
    <xf numFmtId="0" fontId="13" fillId="0" borderId="0" xfId="0" applyFont="1" applyBorder="1"/>
    <xf numFmtId="0" fontId="13" fillId="3" borderId="0" xfId="0" applyFont="1" applyFill="1" applyBorder="1"/>
    <xf numFmtId="10" fontId="13" fillId="3" borderId="0" xfId="0" applyNumberFormat="1" applyFont="1" applyFill="1" applyAlignment="1">
      <alignment horizontal="center"/>
    </xf>
    <xf numFmtId="0" fontId="9" fillId="0" borderId="0" xfId="1" applyFont="1" applyFill="1" applyBorder="1" applyAlignment="1">
      <alignment horizontal="left"/>
    </xf>
    <xf numFmtId="0" fontId="9" fillId="0" borderId="0" xfId="0" applyFont="1" applyFill="1" applyBorder="1" applyAlignment="1"/>
    <xf numFmtId="0" fontId="9" fillId="0" borderId="0" xfId="1" applyFont="1" applyFill="1" applyBorder="1"/>
    <xf numFmtId="0" fontId="9" fillId="0" borderId="9" xfId="0" applyFont="1" applyFill="1" applyBorder="1" applyAlignment="1"/>
    <xf numFmtId="0" fontId="9" fillId="0" borderId="9" xfId="1" applyFont="1" applyFill="1" applyBorder="1"/>
    <xf numFmtId="3" fontId="12" fillId="0" borderId="0" xfId="0" applyNumberFormat="1" applyFont="1" applyFill="1"/>
    <xf numFmtId="0" fontId="9" fillId="0" borderId="9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/>
    <xf numFmtId="0" fontId="9" fillId="0" borderId="0" xfId="0" applyFont="1" applyBorder="1" applyAlignment="1"/>
    <xf numFmtId="4" fontId="9" fillId="0" borderId="0" xfId="0" applyNumberFormat="1" applyFont="1" applyBorder="1"/>
    <xf numFmtId="10" fontId="9" fillId="0" borderId="0" xfId="0" applyNumberFormat="1" applyFont="1" applyBorder="1" applyAlignment="1">
      <alignment horizontal="center"/>
    </xf>
    <xf numFmtId="3" fontId="9" fillId="0" borderId="0" xfId="0" applyNumberFormat="1" applyFont="1" applyFill="1" applyBorder="1"/>
    <xf numFmtId="0" fontId="13" fillId="0" borderId="0" xfId="1" applyFont="1" applyFill="1" applyBorder="1"/>
    <xf numFmtId="0" fontId="13" fillId="0" borderId="9" xfId="0" applyFont="1" applyFill="1" applyBorder="1" applyAlignment="1"/>
    <xf numFmtId="10" fontId="2" fillId="4" borderId="0" xfId="0" applyNumberFormat="1" applyFont="1" applyFill="1" applyAlignment="1">
      <alignment horizontal="center"/>
    </xf>
    <xf numFmtId="0" fontId="2" fillId="4" borderId="0" xfId="0" applyFont="1" applyFill="1" applyBorder="1"/>
    <xf numFmtId="4" fontId="2" fillId="4" borderId="0" xfId="0" applyNumberFormat="1" applyFont="1" applyFill="1"/>
    <xf numFmtId="0" fontId="2" fillId="4" borderId="0" xfId="1" applyFont="1" applyFill="1" applyBorder="1"/>
    <xf numFmtId="0" fontId="2" fillId="5" borderId="0" xfId="0" applyFont="1" applyFill="1" applyBorder="1"/>
    <xf numFmtId="0" fontId="2" fillId="5" borderId="0" xfId="0" applyFont="1" applyFill="1"/>
    <xf numFmtId="3" fontId="2" fillId="5" borderId="0" xfId="0" applyNumberFormat="1" applyFont="1" applyFill="1"/>
    <xf numFmtId="0" fontId="2" fillId="5" borderId="0" xfId="0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3" fontId="2" fillId="5" borderId="0" xfId="0" applyNumberFormat="1" applyFont="1" applyFill="1" applyAlignment="1"/>
    <xf numFmtId="0" fontId="2" fillId="5" borderId="0" xfId="0" applyFont="1" applyFill="1" applyAlignment="1"/>
    <xf numFmtId="4" fontId="2" fillId="5" borderId="0" xfId="0" applyNumberFormat="1" applyFont="1" applyFill="1"/>
    <xf numFmtId="10" fontId="2" fillId="5" borderId="0" xfId="0" applyNumberFormat="1" applyFont="1" applyFill="1" applyAlignment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2" fillId="6" borderId="0" xfId="1" applyFont="1" applyFill="1" applyBorder="1"/>
    <xf numFmtId="0" fontId="2" fillId="6" borderId="0" xfId="0" applyFont="1" applyFill="1" applyBorder="1" applyAlignment="1"/>
    <xf numFmtId="0" fontId="2" fillId="3" borderId="0" xfId="1" applyFont="1" applyFill="1" applyBorder="1"/>
    <xf numFmtId="4" fontId="2" fillId="3" borderId="0" xfId="0" applyNumberFormat="1" applyFont="1" applyFill="1" applyBorder="1"/>
    <xf numFmtId="0" fontId="13" fillId="6" borderId="9" xfId="1" applyFont="1" applyFill="1" applyBorder="1"/>
    <xf numFmtId="0" fontId="15" fillId="0" borderId="0" xfId="0" applyFont="1"/>
    <xf numFmtId="0" fontId="15" fillId="0" borderId="0" xfId="0" applyFont="1" applyFill="1"/>
    <xf numFmtId="3" fontId="16" fillId="0" borderId="10" xfId="0" quotePrefix="1" applyNumberFormat="1" applyFont="1" applyFill="1" applyBorder="1"/>
    <xf numFmtId="0" fontId="17" fillId="0" borderId="10" xfId="0" applyFont="1" applyFill="1" applyBorder="1"/>
    <xf numFmtId="0" fontId="15" fillId="0" borderId="10" xfId="0" applyFont="1" applyFill="1" applyBorder="1"/>
    <xf numFmtId="3" fontId="15" fillId="0" borderId="10" xfId="0" applyNumberFormat="1" applyFont="1" applyFill="1" applyBorder="1"/>
    <xf numFmtId="0" fontId="15" fillId="0" borderId="10" xfId="0" applyFont="1" applyFill="1" applyBorder="1" applyAlignment="1">
      <alignment horizontal="center"/>
    </xf>
    <xf numFmtId="0" fontId="16" fillId="0" borderId="10" xfId="0" applyFont="1" applyFill="1" applyBorder="1"/>
    <xf numFmtId="3" fontId="16" fillId="0" borderId="10" xfId="0" applyNumberFormat="1" applyFont="1" applyFill="1" applyBorder="1"/>
    <xf numFmtId="0" fontId="16" fillId="0" borderId="10" xfId="0" applyFont="1" applyFill="1" applyBorder="1" applyAlignment="1">
      <alignment horizontal="center"/>
    </xf>
    <xf numFmtId="0" fontId="18" fillId="0" borderId="10" xfId="0" applyFont="1" applyFill="1" applyBorder="1"/>
    <xf numFmtId="3" fontId="18" fillId="0" borderId="10" xfId="0" applyNumberFormat="1" applyFont="1" applyFill="1" applyBorder="1"/>
    <xf numFmtId="0" fontId="18" fillId="0" borderId="10" xfId="0" applyFont="1" applyFill="1" applyBorder="1" applyAlignment="1">
      <alignment horizontal="center"/>
    </xf>
    <xf numFmtId="0" fontId="16" fillId="0" borderId="10" xfId="1" applyFont="1" applyFill="1" applyBorder="1" applyAlignment="1">
      <alignment horizontal="left"/>
    </xf>
    <xf numFmtId="0" fontId="18" fillId="0" borderId="10" xfId="1" applyFont="1" applyFill="1" applyBorder="1" applyAlignment="1">
      <alignment horizontal="left"/>
    </xf>
    <xf numFmtId="0" fontId="18" fillId="0" borderId="10" xfId="0" applyFont="1" applyFill="1" applyBorder="1" applyAlignment="1"/>
    <xf numFmtId="0" fontId="16" fillId="0" borderId="10" xfId="0" applyFont="1" applyFill="1" applyBorder="1" applyAlignment="1"/>
    <xf numFmtId="0" fontId="16" fillId="0" borderId="10" xfId="1" applyFont="1" applyFill="1" applyBorder="1"/>
    <xf numFmtId="0" fontId="15" fillId="0" borderId="10" xfId="1" applyFont="1" applyFill="1" applyBorder="1"/>
    <xf numFmtId="0" fontId="18" fillId="0" borderId="10" xfId="1" applyFont="1" applyFill="1" applyBorder="1"/>
    <xf numFmtId="0" fontId="15" fillId="0" borderId="10" xfId="0" applyFont="1" applyFill="1" applyBorder="1" applyAlignment="1">
      <alignment horizontal="left"/>
    </xf>
    <xf numFmtId="0" fontId="15" fillId="0" borderId="10" xfId="0" applyFont="1" applyFill="1" applyBorder="1" applyAlignment="1"/>
    <xf numFmtId="3" fontId="17" fillId="0" borderId="10" xfId="0" applyNumberFormat="1" applyFont="1" applyFill="1" applyBorder="1"/>
    <xf numFmtId="3" fontId="19" fillId="0" borderId="10" xfId="0" applyNumberFormat="1" applyFont="1" applyFill="1" applyBorder="1"/>
    <xf numFmtId="0" fontId="18" fillId="0" borderId="10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5" fillId="0" borderId="0" xfId="0" applyFont="1" applyFill="1" applyBorder="1"/>
    <xf numFmtId="3" fontId="15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3" fillId="6" borderId="9" xfId="0" applyFont="1" applyFill="1" applyBorder="1" applyAlignment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 wrapText="1"/>
    </xf>
    <xf numFmtId="0" fontId="14" fillId="0" borderId="0" xfId="0" applyFont="1" applyBorder="1"/>
    <xf numFmtId="0" fontId="9" fillId="6" borderId="0" xfId="0" applyFont="1" applyFill="1" applyBorder="1"/>
    <xf numFmtId="0" fontId="9" fillId="3" borderId="0" xfId="0" applyFont="1" applyFill="1" applyBorder="1"/>
    <xf numFmtId="4" fontId="9" fillId="3" borderId="0" xfId="0" applyNumberFormat="1" applyFont="1" applyFill="1"/>
    <xf numFmtId="0" fontId="9" fillId="4" borderId="0" xfId="0" applyFont="1" applyFill="1" applyBorder="1"/>
    <xf numFmtId="10" fontId="9" fillId="4" borderId="0" xfId="0" applyNumberFormat="1" applyFont="1" applyFill="1" applyAlignment="1">
      <alignment horizontal="center"/>
    </xf>
    <xf numFmtId="10" fontId="9" fillId="3" borderId="0" xfId="0" applyNumberFormat="1" applyFont="1" applyFill="1" applyAlignment="1">
      <alignment horizontal="center"/>
    </xf>
    <xf numFmtId="4" fontId="9" fillId="4" borderId="0" xfId="0" applyNumberFormat="1" applyFont="1" applyFill="1"/>
    <xf numFmtId="0" fontId="9" fillId="4" borderId="0" xfId="1" applyFont="1" applyFill="1" applyBorder="1"/>
    <xf numFmtId="0" fontId="9" fillId="3" borderId="0" xfId="1" applyFont="1" applyFill="1" applyBorder="1"/>
    <xf numFmtId="0" fontId="9" fillId="0" borderId="0" xfId="0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/>
    <xf numFmtId="10" fontId="9" fillId="0" borderId="0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1" fillId="0" borderId="0" xfId="0" applyFont="1" applyBorder="1"/>
    <xf numFmtId="0" fontId="14" fillId="0" borderId="0" xfId="0" applyFont="1" applyFill="1" applyBorder="1"/>
    <xf numFmtId="0" fontId="21" fillId="0" borderId="0" xfId="0" applyFont="1" applyFill="1" applyBorder="1"/>
    <xf numFmtId="3" fontId="20" fillId="0" borderId="0" xfId="0" quotePrefix="1" applyNumberFormat="1" applyFont="1" applyFill="1"/>
    <xf numFmtId="0" fontId="9" fillId="0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6" borderId="0" xfId="1" applyFont="1" applyFill="1" applyBorder="1"/>
    <xf numFmtId="1" fontId="9" fillId="0" borderId="0" xfId="0" applyNumberFormat="1" applyFont="1" applyFill="1" applyAlignment="1"/>
    <xf numFmtId="168" fontId="9" fillId="0" borderId="0" xfId="0" applyNumberFormat="1" applyFont="1" applyFill="1"/>
    <xf numFmtId="167" fontId="9" fillId="0" borderId="0" xfId="0" applyNumberFormat="1" applyFont="1"/>
    <xf numFmtId="0" fontId="9" fillId="6" borderId="9" xfId="0" applyFont="1" applyFill="1" applyBorder="1" applyAlignment="1">
      <alignment vertical="center"/>
    </xf>
    <xf numFmtId="0" fontId="9" fillId="6" borderId="9" xfId="1" applyFont="1" applyFill="1" applyBorder="1"/>
    <xf numFmtId="164" fontId="9" fillId="0" borderId="0" xfId="0" applyNumberFormat="1" applyFont="1" applyBorder="1" applyAlignment="1"/>
    <xf numFmtId="164" fontId="9" fillId="0" borderId="0" xfId="0" applyNumberFormat="1" applyFont="1" applyFill="1" applyBorder="1" applyAlignment="1"/>
    <xf numFmtId="4" fontId="9" fillId="3" borderId="0" xfId="0" applyNumberFormat="1" applyFont="1" applyFill="1" applyBorder="1"/>
    <xf numFmtId="0" fontId="9" fillId="6" borderId="0" xfId="0" applyFont="1" applyFill="1" applyBorder="1" applyAlignment="1"/>
    <xf numFmtId="3" fontId="9" fillId="0" borderId="0" xfId="0" applyNumberFormat="1" applyFont="1" applyBorder="1" applyAlignment="1">
      <alignment horizontal="center"/>
    </xf>
    <xf numFmtId="10" fontId="9" fillId="0" borderId="0" xfId="0" applyNumberFormat="1" applyFont="1" applyBorder="1"/>
    <xf numFmtId="164" fontId="9" fillId="0" borderId="0" xfId="0" applyNumberFormat="1" applyFont="1" applyFill="1" applyAlignment="1"/>
    <xf numFmtId="0" fontId="9" fillId="6" borderId="0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0000"/>
      <color rgb="FFFF6464"/>
      <color rgb="FFFF3232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1"/>
  <sheetViews>
    <sheetView tabSelected="1" zoomScaleNormal="100" workbookViewId="0">
      <pane xSplit="1" ySplit="3" topLeftCell="F1360" activePane="bottomRight" state="frozen"/>
      <selection pane="topRight" activeCell="B1" sqref="B1"/>
      <selection pane="bottomLeft" activeCell="A4" sqref="A4"/>
      <selection pane="bottomRight" activeCell="S1381" sqref="S1381"/>
    </sheetView>
  </sheetViews>
  <sheetFormatPr defaultRowHeight="12.75" x14ac:dyDescent="0.2"/>
  <cols>
    <col min="1" max="1" width="51.85546875" style="17" bestFit="1" customWidth="1"/>
    <col min="2" max="2" width="30.140625" style="2" bestFit="1" customWidth="1"/>
    <col min="3" max="3" width="6.570312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3" x14ac:dyDescent="0.6">
      <c r="A1" s="1" t="s">
        <v>802</v>
      </c>
    </row>
    <row r="2" spans="1:19" s="10" customFormat="1" x14ac:dyDescent="0.2">
      <c r="A2" s="181" t="s">
        <v>0</v>
      </c>
      <c r="B2" s="180" t="s">
        <v>1</v>
      </c>
      <c r="C2" s="175" t="s">
        <v>2</v>
      </c>
      <c r="D2" s="175"/>
      <c r="E2" s="182" t="s">
        <v>647</v>
      </c>
      <c r="F2" s="177" t="s">
        <v>3</v>
      </c>
      <c r="G2" s="177"/>
      <c r="H2" s="177"/>
      <c r="I2" s="177"/>
      <c r="J2" s="178" t="s">
        <v>4</v>
      </c>
      <c r="K2" s="179"/>
      <c r="L2" s="179"/>
      <c r="M2" s="180"/>
      <c r="N2" s="171" t="s">
        <v>5</v>
      </c>
      <c r="O2" s="172"/>
      <c r="P2" s="175" t="s">
        <v>6</v>
      </c>
      <c r="Q2" s="175"/>
      <c r="R2" s="176" t="s">
        <v>7</v>
      </c>
      <c r="S2" s="176" t="s">
        <v>8</v>
      </c>
    </row>
    <row r="3" spans="1:19" s="10" customFormat="1" x14ac:dyDescent="0.2">
      <c r="A3" s="181"/>
      <c r="B3" s="180"/>
      <c r="C3" s="175"/>
      <c r="D3" s="175"/>
      <c r="E3" s="182"/>
      <c r="F3" s="177" t="s">
        <v>9</v>
      </c>
      <c r="G3" s="177"/>
      <c r="H3" s="177" t="s">
        <v>10</v>
      </c>
      <c r="I3" s="177"/>
      <c r="J3" s="11" t="s">
        <v>11</v>
      </c>
      <c r="K3" s="12" t="s">
        <v>12</v>
      </c>
      <c r="L3" s="13" t="s">
        <v>13</v>
      </c>
      <c r="M3" s="13" t="s">
        <v>14</v>
      </c>
      <c r="N3" s="173"/>
      <c r="O3" s="174"/>
      <c r="P3" s="175"/>
      <c r="Q3" s="175"/>
      <c r="R3" s="176"/>
      <c r="S3" s="176"/>
    </row>
    <row r="4" spans="1:19" ht="15.75" x14ac:dyDescent="0.25">
      <c r="A4" s="14" t="s">
        <v>15</v>
      </c>
    </row>
    <row r="5" spans="1:19" x14ac:dyDescent="0.2">
      <c r="A5" s="15" t="s">
        <v>16</v>
      </c>
    </row>
    <row r="6" spans="1:19" s="64" customFormat="1" x14ac:dyDescent="0.2">
      <c r="A6" s="63" t="s">
        <v>17</v>
      </c>
      <c r="B6" s="64" t="s">
        <v>18</v>
      </c>
      <c r="C6" s="65"/>
      <c r="D6" s="66" t="s">
        <v>19</v>
      </c>
      <c r="E6" s="67">
        <v>1</v>
      </c>
      <c r="F6" s="68">
        <v>1</v>
      </c>
      <c r="G6" s="69" t="s">
        <v>20</v>
      </c>
      <c r="H6" s="68">
        <v>60</v>
      </c>
      <c r="I6" s="69" t="s">
        <v>19</v>
      </c>
      <c r="J6" s="16">
        <v>45500</v>
      </c>
      <c r="K6" s="66" t="s">
        <v>19</v>
      </c>
      <c r="L6" s="70">
        <v>0.125</v>
      </c>
      <c r="M6" s="70">
        <v>0.05</v>
      </c>
      <c r="N6" s="68">
        <v>60</v>
      </c>
      <c r="O6" s="69" t="s">
        <v>19</v>
      </c>
      <c r="P6" s="65">
        <f t="shared" ref="P6:P11" si="0">(C6+(E6*F6*H6))-N6</f>
        <v>0</v>
      </c>
      <c r="Q6" s="69" t="s">
        <v>19</v>
      </c>
      <c r="R6" s="16">
        <f t="shared" ref="R6:R11" si="1">P6*(J6-(J6*L6)-((J6-(J6*L6))*M6))</f>
        <v>0</v>
      </c>
      <c r="S6" s="16">
        <f>R6/1.11</f>
        <v>0</v>
      </c>
    </row>
    <row r="7" spans="1:19" s="64" customFormat="1" x14ac:dyDescent="0.2">
      <c r="A7" s="184" t="s">
        <v>1037</v>
      </c>
      <c r="B7" s="64" t="s">
        <v>18</v>
      </c>
      <c r="C7" s="65"/>
      <c r="D7" s="66" t="s">
        <v>19</v>
      </c>
      <c r="E7" s="67">
        <v>1</v>
      </c>
      <c r="F7" s="68">
        <v>1</v>
      </c>
      <c r="G7" s="69" t="s">
        <v>20</v>
      </c>
      <c r="H7" s="68">
        <v>60</v>
      </c>
      <c r="I7" s="69" t="s">
        <v>19</v>
      </c>
      <c r="J7" s="16">
        <v>60000</v>
      </c>
      <c r="K7" s="66" t="s">
        <v>19</v>
      </c>
      <c r="L7" s="70">
        <v>0.125</v>
      </c>
      <c r="M7" s="70">
        <v>0.05</v>
      </c>
      <c r="N7" s="68">
        <v>60</v>
      </c>
      <c r="O7" s="69" t="s">
        <v>19</v>
      </c>
      <c r="P7" s="65">
        <f t="shared" si="0"/>
        <v>0</v>
      </c>
      <c r="Q7" s="69" t="s">
        <v>19</v>
      </c>
      <c r="R7" s="16">
        <f t="shared" si="1"/>
        <v>0</v>
      </c>
      <c r="S7" s="16">
        <f>R7/1.11</f>
        <v>0</v>
      </c>
    </row>
    <row r="8" spans="1:19" s="64" customFormat="1" x14ac:dyDescent="0.2">
      <c r="A8" s="63" t="s">
        <v>731</v>
      </c>
      <c r="B8" s="64" t="s">
        <v>18</v>
      </c>
      <c r="C8" s="65"/>
      <c r="D8" s="66" t="s">
        <v>19</v>
      </c>
      <c r="E8" s="67"/>
      <c r="F8" s="68">
        <v>1</v>
      </c>
      <c r="G8" s="69" t="s">
        <v>20</v>
      </c>
      <c r="H8" s="68">
        <v>48</v>
      </c>
      <c r="I8" s="69" t="s">
        <v>19</v>
      </c>
      <c r="J8" s="16">
        <v>26000</v>
      </c>
      <c r="K8" s="66" t="s">
        <v>19</v>
      </c>
      <c r="L8" s="70">
        <v>0.125</v>
      </c>
      <c r="M8" s="70">
        <v>0.05</v>
      </c>
      <c r="N8" s="68"/>
      <c r="O8" s="69" t="s">
        <v>19</v>
      </c>
      <c r="P8" s="65">
        <f t="shared" si="0"/>
        <v>0</v>
      </c>
      <c r="Q8" s="69" t="s">
        <v>19</v>
      </c>
      <c r="R8" s="16">
        <f t="shared" si="1"/>
        <v>0</v>
      </c>
      <c r="S8" s="16">
        <f t="shared" ref="S8:S141" si="2">R8/1.11</f>
        <v>0</v>
      </c>
    </row>
    <row r="9" spans="1:19" s="64" customFormat="1" x14ac:dyDescent="0.2">
      <c r="A9" s="63" t="s">
        <v>21</v>
      </c>
      <c r="B9" s="64" t="s">
        <v>18</v>
      </c>
      <c r="C9" s="65"/>
      <c r="D9" s="66" t="s">
        <v>19</v>
      </c>
      <c r="E9" s="67"/>
      <c r="F9" s="68">
        <v>1</v>
      </c>
      <c r="G9" s="69" t="s">
        <v>20</v>
      </c>
      <c r="H9" s="68">
        <v>48</v>
      </c>
      <c r="I9" s="69" t="s">
        <v>19</v>
      </c>
      <c r="J9" s="16">
        <v>28000</v>
      </c>
      <c r="K9" s="66" t="s">
        <v>19</v>
      </c>
      <c r="L9" s="70">
        <v>0.125</v>
      </c>
      <c r="M9" s="70">
        <v>0.05</v>
      </c>
      <c r="N9" s="68"/>
      <c r="O9" s="69" t="s">
        <v>19</v>
      </c>
      <c r="P9" s="65">
        <f t="shared" si="0"/>
        <v>0</v>
      </c>
      <c r="Q9" s="69" t="s">
        <v>19</v>
      </c>
      <c r="R9" s="16">
        <f t="shared" si="1"/>
        <v>0</v>
      </c>
      <c r="S9" s="16">
        <f t="shared" si="2"/>
        <v>0</v>
      </c>
    </row>
    <row r="10" spans="1:19" s="64" customFormat="1" x14ac:dyDescent="0.2">
      <c r="A10" s="63" t="s">
        <v>22</v>
      </c>
      <c r="B10" s="64" t="s">
        <v>18</v>
      </c>
      <c r="C10" s="65"/>
      <c r="D10" s="66" t="s">
        <v>19</v>
      </c>
      <c r="E10" s="67"/>
      <c r="F10" s="68">
        <v>1</v>
      </c>
      <c r="G10" s="69" t="s">
        <v>20</v>
      </c>
      <c r="H10" s="68">
        <v>48</v>
      </c>
      <c r="I10" s="69" t="s">
        <v>19</v>
      </c>
      <c r="J10" s="16">
        <v>31700</v>
      </c>
      <c r="K10" s="66" t="s">
        <v>19</v>
      </c>
      <c r="L10" s="70">
        <v>0.125</v>
      </c>
      <c r="M10" s="70">
        <v>0.05</v>
      </c>
      <c r="N10" s="68"/>
      <c r="O10" s="69" t="s">
        <v>19</v>
      </c>
      <c r="P10" s="65">
        <f t="shared" si="0"/>
        <v>0</v>
      </c>
      <c r="Q10" s="69" t="s">
        <v>19</v>
      </c>
      <c r="R10" s="16">
        <f t="shared" si="1"/>
        <v>0</v>
      </c>
      <c r="S10" s="16">
        <f t="shared" si="2"/>
        <v>0</v>
      </c>
    </row>
    <row r="11" spans="1:19" s="64" customFormat="1" x14ac:dyDescent="0.2">
      <c r="A11" s="63" t="s">
        <v>23</v>
      </c>
      <c r="B11" s="64" t="s">
        <v>18</v>
      </c>
      <c r="C11" s="65"/>
      <c r="D11" s="66" t="s">
        <v>19</v>
      </c>
      <c r="E11" s="67"/>
      <c r="F11" s="68">
        <v>1</v>
      </c>
      <c r="G11" s="69" t="s">
        <v>20</v>
      </c>
      <c r="H11" s="68">
        <v>48</v>
      </c>
      <c r="I11" s="69" t="s">
        <v>19</v>
      </c>
      <c r="J11" s="16">
        <v>25000</v>
      </c>
      <c r="K11" s="66" t="s">
        <v>19</v>
      </c>
      <c r="L11" s="70">
        <v>0.125</v>
      </c>
      <c r="M11" s="70">
        <v>0.05</v>
      </c>
      <c r="N11" s="68"/>
      <c r="O11" s="69" t="s">
        <v>19</v>
      </c>
      <c r="P11" s="65">
        <f t="shared" si="0"/>
        <v>0</v>
      </c>
      <c r="Q11" s="69" t="s">
        <v>19</v>
      </c>
      <c r="R11" s="16">
        <f t="shared" si="1"/>
        <v>0</v>
      </c>
      <c r="S11" s="16">
        <f t="shared" si="2"/>
        <v>0</v>
      </c>
    </row>
    <row r="12" spans="1:19" s="64" customFormat="1" x14ac:dyDescent="0.2">
      <c r="A12" s="63" t="s">
        <v>938</v>
      </c>
      <c r="B12" s="64" t="s">
        <v>18</v>
      </c>
      <c r="C12" s="65"/>
      <c r="D12" s="66" t="s">
        <v>19</v>
      </c>
      <c r="E12" s="67">
        <v>1</v>
      </c>
      <c r="F12" s="68">
        <v>1</v>
      </c>
      <c r="G12" s="69" t="s">
        <v>20</v>
      </c>
      <c r="H12" s="68">
        <v>48</v>
      </c>
      <c r="I12" s="69" t="s">
        <v>19</v>
      </c>
      <c r="J12" s="16">
        <v>27500</v>
      </c>
      <c r="K12" s="66" t="s">
        <v>19</v>
      </c>
      <c r="L12" s="70">
        <v>0.125</v>
      </c>
      <c r="M12" s="70">
        <v>0.05</v>
      </c>
      <c r="N12" s="68">
        <v>48</v>
      </c>
      <c r="O12" s="69" t="s">
        <v>19</v>
      </c>
      <c r="P12" s="65">
        <f t="shared" ref="P12:P15" si="3">(C12+(E12*F12*H12))-N12</f>
        <v>0</v>
      </c>
      <c r="Q12" s="69" t="s">
        <v>19</v>
      </c>
      <c r="R12" s="16">
        <f t="shared" ref="R12:R15" si="4">P12*(J12-(J12*L12)-((J12-(J12*L12))*M12))</f>
        <v>0</v>
      </c>
      <c r="S12" s="16">
        <f t="shared" ref="S12:S15" si="5">R12/1.11</f>
        <v>0</v>
      </c>
    </row>
    <row r="13" spans="1:19" s="64" customFormat="1" x14ac:dyDescent="0.2">
      <c r="A13" s="63" t="s">
        <v>939</v>
      </c>
      <c r="B13" s="64" t="s">
        <v>18</v>
      </c>
      <c r="C13" s="65"/>
      <c r="D13" s="66" t="s">
        <v>19</v>
      </c>
      <c r="E13" s="67">
        <v>1</v>
      </c>
      <c r="F13" s="68">
        <v>1</v>
      </c>
      <c r="G13" s="69" t="s">
        <v>20</v>
      </c>
      <c r="H13" s="68">
        <v>48</v>
      </c>
      <c r="I13" s="69" t="s">
        <v>19</v>
      </c>
      <c r="J13" s="16">
        <v>26600</v>
      </c>
      <c r="K13" s="66" t="s">
        <v>19</v>
      </c>
      <c r="L13" s="70">
        <v>0.125</v>
      </c>
      <c r="M13" s="70">
        <v>0.05</v>
      </c>
      <c r="N13" s="68">
        <v>48</v>
      </c>
      <c r="O13" s="69" t="s">
        <v>19</v>
      </c>
      <c r="P13" s="65">
        <f t="shared" si="3"/>
        <v>0</v>
      </c>
      <c r="Q13" s="69" t="s">
        <v>19</v>
      </c>
      <c r="R13" s="16">
        <f t="shared" si="4"/>
        <v>0</v>
      </c>
      <c r="S13" s="16">
        <f t="shared" si="5"/>
        <v>0</v>
      </c>
    </row>
    <row r="14" spans="1:19" s="64" customFormat="1" x14ac:dyDescent="0.2">
      <c r="A14" s="63" t="s">
        <v>1007</v>
      </c>
      <c r="B14" s="64" t="s">
        <v>18</v>
      </c>
      <c r="C14" s="65"/>
      <c r="D14" s="66" t="s">
        <v>19</v>
      </c>
      <c r="E14" s="67">
        <v>1</v>
      </c>
      <c r="F14" s="68">
        <v>1</v>
      </c>
      <c r="G14" s="69" t="s">
        <v>20</v>
      </c>
      <c r="H14" s="68">
        <v>60</v>
      </c>
      <c r="I14" s="69" t="s">
        <v>19</v>
      </c>
      <c r="J14" s="16">
        <v>27500</v>
      </c>
      <c r="K14" s="66" t="s">
        <v>19</v>
      </c>
      <c r="L14" s="70">
        <v>0.125</v>
      </c>
      <c r="M14" s="70">
        <v>0.05</v>
      </c>
      <c r="N14" s="68">
        <v>60</v>
      </c>
      <c r="O14" s="69" t="s">
        <v>19</v>
      </c>
      <c r="P14" s="65">
        <f t="shared" ref="P14" si="6">(C14+(E14*F14*H14))-N14</f>
        <v>0</v>
      </c>
      <c r="Q14" s="69" t="s">
        <v>19</v>
      </c>
      <c r="R14" s="16">
        <f t="shared" ref="R14" si="7">P14*(J14-(J14*L14)-((J14-(J14*L14))*M14))</f>
        <v>0</v>
      </c>
      <c r="S14" s="16">
        <f t="shared" ref="S14" si="8">R14/1.11</f>
        <v>0</v>
      </c>
    </row>
    <row r="15" spans="1:19" s="64" customFormat="1" x14ac:dyDescent="0.2">
      <c r="A15" s="63" t="s">
        <v>940</v>
      </c>
      <c r="B15" s="64" t="s">
        <v>18</v>
      </c>
      <c r="C15" s="65"/>
      <c r="D15" s="66" t="s">
        <v>19</v>
      </c>
      <c r="E15" s="67">
        <v>1</v>
      </c>
      <c r="F15" s="68">
        <v>1</v>
      </c>
      <c r="G15" s="69" t="s">
        <v>20</v>
      </c>
      <c r="H15" s="68">
        <v>96</v>
      </c>
      <c r="I15" s="69" t="s">
        <v>19</v>
      </c>
      <c r="J15" s="16">
        <v>26500</v>
      </c>
      <c r="K15" s="66" t="s">
        <v>19</v>
      </c>
      <c r="L15" s="70">
        <v>0.125</v>
      </c>
      <c r="M15" s="70">
        <v>0.05</v>
      </c>
      <c r="N15" s="68">
        <v>96</v>
      </c>
      <c r="O15" s="69" t="s">
        <v>19</v>
      </c>
      <c r="P15" s="65">
        <f t="shared" si="3"/>
        <v>0</v>
      </c>
      <c r="Q15" s="69" t="s">
        <v>19</v>
      </c>
      <c r="R15" s="16">
        <f t="shared" si="4"/>
        <v>0</v>
      </c>
      <c r="S15" s="16">
        <f t="shared" si="5"/>
        <v>0</v>
      </c>
    </row>
    <row r="16" spans="1:19" s="73" customFormat="1" x14ac:dyDescent="0.2">
      <c r="A16" s="72" t="s">
        <v>979</v>
      </c>
      <c r="B16" s="73" t="s">
        <v>18</v>
      </c>
      <c r="C16" s="71"/>
      <c r="D16" s="74" t="s">
        <v>19</v>
      </c>
      <c r="E16" s="75">
        <v>1</v>
      </c>
      <c r="F16" s="76">
        <v>1</v>
      </c>
      <c r="G16" s="77" t="s">
        <v>20</v>
      </c>
      <c r="H16" s="76">
        <v>72</v>
      </c>
      <c r="I16" s="77" t="s">
        <v>19</v>
      </c>
      <c r="J16" s="78">
        <v>46000</v>
      </c>
      <c r="K16" s="74" t="s">
        <v>19</v>
      </c>
      <c r="L16" s="79">
        <v>0.125</v>
      </c>
      <c r="M16" s="79">
        <v>0.05</v>
      </c>
      <c r="N16" s="76">
        <v>72</v>
      </c>
      <c r="O16" s="77" t="s">
        <v>19</v>
      </c>
      <c r="P16" s="71">
        <f t="shared" ref="P16" si="9">(C16+(E16*F16*H16))-N16</f>
        <v>0</v>
      </c>
      <c r="Q16" s="77" t="s">
        <v>19</v>
      </c>
      <c r="R16" s="78">
        <f t="shared" ref="R16" si="10">P16*(J16-(J16*L16)-((J16-(J16*L16))*M16))</f>
        <v>0</v>
      </c>
      <c r="S16" s="78">
        <f t="shared" ref="S16" si="11">R16/1.11</f>
        <v>0</v>
      </c>
    </row>
    <row r="17" spans="1:19" s="64" customFormat="1" x14ac:dyDescent="0.2">
      <c r="A17" s="63"/>
      <c r="C17" s="65"/>
      <c r="D17" s="66"/>
      <c r="E17" s="67"/>
      <c r="F17" s="68"/>
      <c r="G17" s="69"/>
      <c r="H17" s="68"/>
      <c r="I17" s="69"/>
      <c r="J17" s="16"/>
      <c r="K17" s="66"/>
      <c r="L17" s="70"/>
      <c r="M17" s="70"/>
      <c r="N17" s="68"/>
      <c r="O17" s="69"/>
      <c r="P17" s="65"/>
      <c r="Q17" s="69"/>
      <c r="R17" s="16"/>
      <c r="S17" s="16"/>
    </row>
    <row r="18" spans="1:19" s="64" customFormat="1" x14ac:dyDescent="0.2">
      <c r="A18" s="63" t="s">
        <v>24</v>
      </c>
      <c r="B18" s="64" t="s">
        <v>25</v>
      </c>
      <c r="C18" s="65"/>
      <c r="D18" s="66" t="s">
        <v>19</v>
      </c>
      <c r="E18" s="67"/>
      <c r="F18" s="68">
        <v>1</v>
      </c>
      <c r="G18" s="69" t="s">
        <v>20</v>
      </c>
      <c r="H18" s="68">
        <v>60</v>
      </c>
      <c r="I18" s="69" t="s">
        <v>19</v>
      </c>
      <c r="J18" s="16">
        <v>23800</v>
      </c>
      <c r="K18" s="66" t="s">
        <v>19</v>
      </c>
      <c r="L18" s="70"/>
      <c r="M18" s="70">
        <v>0.17</v>
      </c>
      <c r="N18" s="68"/>
      <c r="O18" s="69" t="s">
        <v>19</v>
      </c>
      <c r="P18" s="65">
        <f t="shared" ref="P18:P24" si="12">(C18+(E18*F18*H18))-N18</f>
        <v>0</v>
      </c>
      <c r="Q18" s="69" t="s">
        <v>19</v>
      </c>
      <c r="R18" s="16">
        <f t="shared" ref="R18:R24" si="13">P18*(J18-(J18*L18)-((J18-(J18*L18))*M18))</f>
        <v>0</v>
      </c>
      <c r="S18" s="16">
        <f t="shared" si="2"/>
        <v>0</v>
      </c>
    </row>
    <row r="19" spans="1:19" s="64" customFormat="1" x14ac:dyDescent="0.2">
      <c r="A19" s="63" t="s">
        <v>26</v>
      </c>
      <c r="B19" s="64" t="s">
        <v>25</v>
      </c>
      <c r="C19" s="65">
        <v>42</v>
      </c>
      <c r="D19" s="66" t="s">
        <v>19</v>
      </c>
      <c r="E19" s="67"/>
      <c r="F19" s="68">
        <v>1</v>
      </c>
      <c r="G19" s="69" t="s">
        <v>20</v>
      </c>
      <c r="H19" s="68">
        <v>60</v>
      </c>
      <c r="I19" s="69" t="s">
        <v>19</v>
      </c>
      <c r="J19" s="16">
        <f>1500000/60</f>
        <v>25000</v>
      </c>
      <c r="K19" s="66" t="s">
        <v>19</v>
      </c>
      <c r="L19" s="70"/>
      <c r="M19" s="70">
        <v>0.17</v>
      </c>
      <c r="N19" s="68">
        <v>42</v>
      </c>
      <c r="O19" s="69" t="s">
        <v>19</v>
      </c>
      <c r="P19" s="65">
        <f t="shared" si="12"/>
        <v>0</v>
      </c>
      <c r="Q19" s="69" t="s">
        <v>19</v>
      </c>
      <c r="R19" s="16">
        <f t="shared" si="13"/>
        <v>0</v>
      </c>
      <c r="S19" s="16">
        <f t="shared" si="2"/>
        <v>0</v>
      </c>
    </row>
    <row r="20" spans="1:19" s="64" customFormat="1" x14ac:dyDescent="0.2">
      <c r="A20" s="63" t="s">
        <v>27</v>
      </c>
      <c r="B20" s="64" t="s">
        <v>25</v>
      </c>
      <c r="C20" s="71"/>
      <c r="D20" s="66" t="s">
        <v>19</v>
      </c>
      <c r="E20" s="67"/>
      <c r="F20" s="68">
        <v>1</v>
      </c>
      <c r="G20" s="69" t="s">
        <v>20</v>
      </c>
      <c r="H20" s="68">
        <v>60</v>
      </c>
      <c r="I20" s="69" t="s">
        <v>19</v>
      </c>
      <c r="J20" s="16">
        <v>27500</v>
      </c>
      <c r="K20" s="66" t="s">
        <v>19</v>
      </c>
      <c r="L20" s="70"/>
      <c r="M20" s="70">
        <v>0.17</v>
      </c>
      <c r="N20" s="68"/>
      <c r="O20" s="69" t="s">
        <v>19</v>
      </c>
      <c r="P20" s="65">
        <f t="shared" si="12"/>
        <v>0</v>
      </c>
      <c r="Q20" s="69" t="s">
        <v>19</v>
      </c>
      <c r="R20" s="16">
        <f t="shared" si="13"/>
        <v>0</v>
      </c>
      <c r="S20" s="16">
        <f t="shared" si="2"/>
        <v>0</v>
      </c>
    </row>
    <row r="21" spans="1:19" s="64" customFormat="1" x14ac:dyDescent="0.2">
      <c r="A21" s="63" t="s">
        <v>705</v>
      </c>
      <c r="B21" s="64" t="s">
        <v>25</v>
      </c>
      <c r="C21" s="71"/>
      <c r="D21" s="66" t="s">
        <v>19</v>
      </c>
      <c r="E21" s="67">
        <v>1</v>
      </c>
      <c r="F21" s="68">
        <v>1</v>
      </c>
      <c r="G21" s="69" t="s">
        <v>20</v>
      </c>
      <c r="H21" s="68">
        <v>36</v>
      </c>
      <c r="I21" s="69" t="s">
        <v>19</v>
      </c>
      <c r="J21" s="16">
        <f>2520000/36</f>
        <v>70000</v>
      </c>
      <c r="K21" s="66" t="s">
        <v>19</v>
      </c>
      <c r="L21" s="70"/>
      <c r="M21" s="70">
        <v>0.17</v>
      </c>
      <c r="N21" s="68">
        <v>36</v>
      </c>
      <c r="O21" s="69" t="s">
        <v>19</v>
      </c>
      <c r="P21" s="65">
        <f t="shared" si="12"/>
        <v>0</v>
      </c>
      <c r="Q21" s="69" t="s">
        <v>19</v>
      </c>
      <c r="R21" s="16">
        <f t="shared" si="13"/>
        <v>0</v>
      </c>
      <c r="S21" s="16">
        <f t="shared" si="2"/>
        <v>0</v>
      </c>
    </row>
    <row r="22" spans="1:19" s="64" customFormat="1" x14ac:dyDescent="0.2">
      <c r="A22" s="63" t="s">
        <v>28</v>
      </c>
      <c r="B22" s="64" t="s">
        <v>25</v>
      </c>
      <c r="C22" s="71"/>
      <c r="D22" s="66" t="s">
        <v>19</v>
      </c>
      <c r="E22" s="67"/>
      <c r="F22" s="68">
        <v>1</v>
      </c>
      <c r="G22" s="69" t="s">
        <v>20</v>
      </c>
      <c r="H22" s="68">
        <v>36</v>
      </c>
      <c r="I22" s="69" t="s">
        <v>19</v>
      </c>
      <c r="J22" s="16">
        <v>50500</v>
      </c>
      <c r="K22" s="66" t="s">
        <v>19</v>
      </c>
      <c r="L22" s="70"/>
      <c r="M22" s="70">
        <v>0.17</v>
      </c>
      <c r="N22" s="68"/>
      <c r="O22" s="69" t="s">
        <v>19</v>
      </c>
      <c r="P22" s="65">
        <f t="shared" si="12"/>
        <v>0</v>
      </c>
      <c r="Q22" s="69" t="s">
        <v>19</v>
      </c>
      <c r="R22" s="16">
        <f t="shared" si="13"/>
        <v>0</v>
      </c>
      <c r="S22" s="16">
        <f t="shared" si="2"/>
        <v>0</v>
      </c>
    </row>
    <row r="23" spans="1:19" s="73" customFormat="1" x14ac:dyDescent="0.2">
      <c r="A23" s="72" t="s">
        <v>29</v>
      </c>
      <c r="B23" s="73" t="s">
        <v>25</v>
      </c>
      <c r="C23" s="71"/>
      <c r="D23" s="74" t="s">
        <v>19</v>
      </c>
      <c r="E23" s="75"/>
      <c r="F23" s="76">
        <v>1</v>
      </c>
      <c r="G23" s="77" t="s">
        <v>20</v>
      </c>
      <c r="H23" s="76">
        <v>72</v>
      </c>
      <c r="I23" s="77" t="s">
        <v>19</v>
      </c>
      <c r="J23" s="78">
        <v>37000</v>
      </c>
      <c r="K23" s="74" t="s">
        <v>19</v>
      </c>
      <c r="L23" s="79"/>
      <c r="M23" s="79">
        <v>0.17</v>
      </c>
      <c r="N23" s="76"/>
      <c r="O23" s="77" t="s">
        <v>19</v>
      </c>
      <c r="P23" s="71">
        <f t="shared" si="12"/>
        <v>0</v>
      </c>
      <c r="Q23" s="77" t="s">
        <v>19</v>
      </c>
      <c r="R23" s="78">
        <f t="shared" si="13"/>
        <v>0</v>
      </c>
      <c r="S23" s="78">
        <f t="shared" si="2"/>
        <v>0</v>
      </c>
    </row>
    <row r="24" spans="1:19" s="64" customFormat="1" x14ac:dyDescent="0.2">
      <c r="A24" s="63" t="s">
        <v>30</v>
      </c>
      <c r="B24" s="64" t="s">
        <v>25</v>
      </c>
      <c r="C24" s="71"/>
      <c r="D24" s="66" t="s">
        <v>19</v>
      </c>
      <c r="E24" s="67"/>
      <c r="F24" s="68">
        <v>1</v>
      </c>
      <c r="G24" s="69" t="s">
        <v>20</v>
      </c>
      <c r="H24" s="68">
        <v>72</v>
      </c>
      <c r="I24" s="69" t="s">
        <v>19</v>
      </c>
      <c r="J24" s="16">
        <v>30000</v>
      </c>
      <c r="K24" s="66" t="s">
        <v>19</v>
      </c>
      <c r="L24" s="70"/>
      <c r="M24" s="70">
        <v>0.17</v>
      </c>
      <c r="N24" s="68"/>
      <c r="O24" s="69" t="s">
        <v>19</v>
      </c>
      <c r="P24" s="65">
        <f t="shared" si="12"/>
        <v>0</v>
      </c>
      <c r="Q24" s="69" t="s">
        <v>19</v>
      </c>
      <c r="R24" s="16">
        <f t="shared" si="13"/>
        <v>0</v>
      </c>
      <c r="S24" s="16">
        <f t="shared" si="2"/>
        <v>0</v>
      </c>
    </row>
    <row r="25" spans="1:19" s="64" customFormat="1" x14ac:dyDescent="0.2">
      <c r="A25" s="63"/>
      <c r="C25" s="71"/>
      <c r="D25" s="66"/>
      <c r="E25" s="67"/>
      <c r="F25" s="68"/>
      <c r="G25" s="69"/>
      <c r="H25" s="68"/>
      <c r="I25" s="69"/>
      <c r="J25" s="16"/>
      <c r="K25" s="66"/>
      <c r="L25" s="70"/>
      <c r="M25" s="70"/>
      <c r="N25" s="68"/>
      <c r="O25" s="69"/>
      <c r="P25" s="65"/>
      <c r="Q25" s="69"/>
      <c r="R25" s="16"/>
      <c r="S25" s="16"/>
    </row>
    <row r="26" spans="1:19" s="64" customFormat="1" x14ac:dyDescent="0.2">
      <c r="A26" s="184" t="s">
        <v>1038</v>
      </c>
      <c r="B26" s="64" t="s">
        <v>171</v>
      </c>
      <c r="C26" s="65"/>
      <c r="D26" s="66" t="s">
        <v>19</v>
      </c>
      <c r="E26" s="67">
        <v>3</v>
      </c>
      <c r="F26" s="68">
        <v>1</v>
      </c>
      <c r="G26" s="69" t="s">
        <v>20</v>
      </c>
      <c r="H26" s="68">
        <v>84</v>
      </c>
      <c r="I26" s="69" t="s">
        <v>19</v>
      </c>
      <c r="J26" s="16">
        <v>23500</v>
      </c>
      <c r="K26" s="66" t="s">
        <v>19</v>
      </c>
      <c r="L26" s="70">
        <v>7.0000000000000007E-2</v>
      </c>
      <c r="M26" s="70"/>
      <c r="N26" s="68">
        <v>252</v>
      </c>
      <c r="O26" s="69" t="s">
        <v>19</v>
      </c>
      <c r="P26" s="65">
        <f>(C26+(E26*F26*H26))-N26</f>
        <v>0</v>
      </c>
      <c r="Q26" s="69" t="s">
        <v>19</v>
      </c>
      <c r="R26" s="16">
        <f>P26*(J26-(J26*L26)-((J26-(J26*L26))*M26))</f>
        <v>0</v>
      </c>
      <c r="S26" s="16">
        <f t="shared" ref="S26" si="14">R26/1.11</f>
        <v>0</v>
      </c>
    </row>
    <row r="27" spans="1:19" s="64" customFormat="1" x14ac:dyDescent="0.2">
      <c r="A27" s="63"/>
      <c r="C27" s="65"/>
      <c r="D27" s="66"/>
      <c r="E27" s="67"/>
      <c r="F27" s="68"/>
      <c r="G27" s="69"/>
      <c r="H27" s="68"/>
      <c r="I27" s="69"/>
      <c r="J27" s="16"/>
      <c r="K27" s="66"/>
      <c r="L27" s="70"/>
      <c r="M27" s="70"/>
      <c r="N27" s="68"/>
      <c r="O27" s="69"/>
      <c r="P27" s="65"/>
      <c r="Q27" s="69"/>
      <c r="R27" s="16"/>
      <c r="S27" s="16"/>
    </row>
    <row r="28" spans="1:19" s="80" customFormat="1" x14ac:dyDescent="0.2">
      <c r="A28" s="183" t="s">
        <v>31</v>
      </c>
      <c r="C28" s="83"/>
      <c r="D28" s="84"/>
      <c r="E28" s="85"/>
      <c r="F28" s="86"/>
      <c r="G28" s="87"/>
      <c r="H28" s="86"/>
      <c r="I28" s="87"/>
      <c r="J28" s="88"/>
      <c r="K28" s="84"/>
      <c r="L28" s="89"/>
      <c r="M28" s="89"/>
      <c r="N28" s="86"/>
      <c r="O28" s="87"/>
      <c r="P28" s="83"/>
      <c r="Q28" s="87"/>
      <c r="R28" s="88"/>
      <c r="S28" s="88"/>
    </row>
    <row r="29" spans="1:19" s="64" customFormat="1" x14ac:dyDescent="0.2">
      <c r="A29" s="63" t="s">
        <v>32</v>
      </c>
      <c r="B29" s="64" t="s">
        <v>18</v>
      </c>
      <c r="C29" s="65">
        <v>117</v>
      </c>
      <c r="D29" s="66" t="s">
        <v>33</v>
      </c>
      <c r="E29" s="67">
        <v>6</v>
      </c>
      <c r="F29" s="68">
        <v>1</v>
      </c>
      <c r="G29" s="69" t="s">
        <v>20</v>
      </c>
      <c r="H29" s="68">
        <v>60</v>
      </c>
      <c r="I29" s="69" t="s">
        <v>33</v>
      </c>
      <c r="J29" s="16">
        <v>22200</v>
      </c>
      <c r="K29" s="66" t="s">
        <v>33</v>
      </c>
      <c r="L29" s="70">
        <v>0.125</v>
      </c>
      <c r="M29" s="70">
        <v>0.05</v>
      </c>
      <c r="N29" s="68">
        <v>477</v>
      </c>
      <c r="O29" s="69" t="s">
        <v>33</v>
      </c>
      <c r="P29" s="65">
        <f t="shared" ref="P29:P38" si="15">(C29+(E29*F29*H29))-N29</f>
        <v>0</v>
      </c>
      <c r="Q29" s="69" t="s">
        <v>33</v>
      </c>
      <c r="R29" s="16">
        <f t="shared" ref="R29:R38" si="16">P29*(J29-(J29*L29)-((J29-(J29*L29))*M29))</f>
        <v>0</v>
      </c>
      <c r="S29" s="16">
        <f t="shared" si="2"/>
        <v>0</v>
      </c>
    </row>
    <row r="30" spans="1:19" s="73" customFormat="1" x14ac:dyDescent="0.2">
      <c r="A30" s="72" t="s">
        <v>980</v>
      </c>
      <c r="B30" s="73" t="s">
        <v>18</v>
      </c>
      <c r="C30" s="71"/>
      <c r="D30" s="74" t="s">
        <v>33</v>
      </c>
      <c r="E30" s="75">
        <v>2</v>
      </c>
      <c r="F30" s="76">
        <v>1</v>
      </c>
      <c r="G30" s="77" t="s">
        <v>20</v>
      </c>
      <c r="H30" s="76">
        <v>60</v>
      </c>
      <c r="I30" s="77" t="s">
        <v>33</v>
      </c>
      <c r="J30" s="78">
        <v>31500</v>
      </c>
      <c r="K30" s="74" t="s">
        <v>33</v>
      </c>
      <c r="L30" s="79">
        <v>0.125</v>
      </c>
      <c r="M30" s="79">
        <v>0.05</v>
      </c>
      <c r="N30" s="76">
        <v>120</v>
      </c>
      <c r="O30" s="77" t="s">
        <v>33</v>
      </c>
      <c r="P30" s="71">
        <f t="shared" ref="P30" si="17">(C30+(E30*F30*H30))-N30</f>
        <v>0</v>
      </c>
      <c r="Q30" s="77" t="s">
        <v>33</v>
      </c>
      <c r="R30" s="78">
        <f t="shared" ref="R30" si="18">P30*(J30-(J30*L30)-((J30-(J30*L30))*M30))</f>
        <v>0</v>
      </c>
      <c r="S30" s="78">
        <f t="shared" ref="S30" si="19">R30/1.11</f>
        <v>0</v>
      </c>
    </row>
    <row r="31" spans="1:19" s="64" customFormat="1" x14ac:dyDescent="0.2">
      <c r="A31" s="63" t="s">
        <v>824</v>
      </c>
      <c r="B31" s="64" t="s">
        <v>18</v>
      </c>
      <c r="C31" s="65">
        <v>60</v>
      </c>
      <c r="D31" s="66" t="s">
        <v>33</v>
      </c>
      <c r="E31" s="67">
        <v>3</v>
      </c>
      <c r="F31" s="68">
        <v>1</v>
      </c>
      <c r="G31" s="69" t="s">
        <v>20</v>
      </c>
      <c r="H31" s="68">
        <v>60</v>
      </c>
      <c r="I31" s="69" t="s">
        <v>33</v>
      </c>
      <c r="J31" s="16">
        <v>31500</v>
      </c>
      <c r="K31" s="66" t="s">
        <v>33</v>
      </c>
      <c r="L31" s="70">
        <v>0.125</v>
      </c>
      <c r="M31" s="70">
        <v>0.05</v>
      </c>
      <c r="N31" s="68">
        <v>240</v>
      </c>
      <c r="O31" s="69" t="s">
        <v>33</v>
      </c>
      <c r="P31" s="65">
        <f t="shared" si="15"/>
        <v>0</v>
      </c>
      <c r="Q31" s="69" t="s">
        <v>33</v>
      </c>
      <c r="R31" s="16">
        <f t="shared" si="16"/>
        <v>0</v>
      </c>
      <c r="S31" s="16">
        <f t="shared" si="2"/>
        <v>0</v>
      </c>
    </row>
    <row r="32" spans="1:19" s="64" customFormat="1" x14ac:dyDescent="0.2">
      <c r="A32" s="63" t="s">
        <v>836</v>
      </c>
      <c r="B32" s="64" t="s">
        <v>18</v>
      </c>
      <c r="C32" s="65"/>
      <c r="D32" s="66" t="s">
        <v>33</v>
      </c>
      <c r="E32" s="67">
        <v>1</v>
      </c>
      <c r="F32" s="68">
        <v>1</v>
      </c>
      <c r="G32" s="69" t="s">
        <v>20</v>
      </c>
      <c r="H32" s="68">
        <v>60</v>
      </c>
      <c r="I32" s="69" t="s">
        <v>33</v>
      </c>
      <c r="J32" s="16">
        <v>31200</v>
      </c>
      <c r="K32" s="66" t="s">
        <v>33</v>
      </c>
      <c r="L32" s="70">
        <v>0.125</v>
      </c>
      <c r="M32" s="70">
        <v>0.05</v>
      </c>
      <c r="N32" s="68">
        <v>60</v>
      </c>
      <c r="O32" s="69" t="s">
        <v>33</v>
      </c>
      <c r="P32" s="65">
        <f t="shared" si="15"/>
        <v>0</v>
      </c>
      <c r="Q32" s="69" t="s">
        <v>33</v>
      </c>
      <c r="R32" s="16">
        <f t="shared" si="16"/>
        <v>0</v>
      </c>
      <c r="S32" s="16">
        <f t="shared" si="2"/>
        <v>0</v>
      </c>
    </row>
    <row r="33" spans="1:21" s="64" customFormat="1" x14ac:dyDescent="0.2">
      <c r="A33" s="63" t="s">
        <v>693</v>
      </c>
      <c r="B33" s="64" t="s">
        <v>18</v>
      </c>
      <c r="C33" s="65"/>
      <c r="D33" s="66" t="s">
        <v>33</v>
      </c>
      <c r="E33" s="67"/>
      <c r="F33" s="68">
        <v>1</v>
      </c>
      <c r="G33" s="69" t="s">
        <v>20</v>
      </c>
      <c r="H33" s="68">
        <v>50</v>
      </c>
      <c r="I33" s="69" t="s">
        <v>33</v>
      </c>
      <c r="J33" s="16">
        <v>66000</v>
      </c>
      <c r="K33" s="66" t="s">
        <v>33</v>
      </c>
      <c r="L33" s="70">
        <v>0.125</v>
      </c>
      <c r="M33" s="70">
        <v>0.05</v>
      </c>
      <c r="N33" s="68"/>
      <c r="O33" s="69" t="s">
        <v>33</v>
      </c>
      <c r="P33" s="65">
        <f t="shared" si="15"/>
        <v>0</v>
      </c>
      <c r="Q33" s="69" t="s">
        <v>33</v>
      </c>
      <c r="R33" s="16">
        <f t="shared" si="16"/>
        <v>0</v>
      </c>
      <c r="S33" s="16">
        <f t="shared" si="2"/>
        <v>0</v>
      </c>
    </row>
    <row r="34" spans="1:21" s="73" customFormat="1" x14ac:dyDescent="0.2">
      <c r="A34" s="72" t="s">
        <v>832</v>
      </c>
      <c r="B34" s="73" t="s">
        <v>18</v>
      </c>
      <c r="C34" s="71"/>
      <c r="D34" s="74" t="s">
        <v>33</v>
      </c>
      <c r="E34" s="75">
        <v>2</v>
      </c>
      <c r="F34" s="76">
        <v>1</v>
      </c>
      <c r="G34" s="77" t="s">
        <v>20</v>
      </c>
      <c r="H34" s="76">
        <v>60</v>
      </c>
      <c r="I34" s="77" t="s">
        <v>33</v>
      </c>
      <c r="J34" s="78">
        <v>31800</v>
      </c>
      <c r="K34" s="74" t="s">
        <v>33</v>
      </c>
      <c r="L34" s="79">
        <v>0.125</v>
      </c>
      <c r="M34" s="79">
        <v>0.05</v>
      </c>
      <c r="N34" s="76">
        <v>120</v>
      </c>
      <c r="O34" s="77" t="s">
        <v>33</v>
      </c>
      <c r="P34" s="71">
        <f t="shared" ref="P34:P36" si="20">(C34+(E34*F34*H34))-N34</f>
        <v>0</v>
      </c>
      <c r="Q34" s="77" t="s">
        <v>33</v>
      </c>
      <c r="R34" s="78">
        <f t="shared" ref="R34:R36" si="21">P34*(J34-(J34*L34)-((J34-(J34*L34))*M34))</f>
        <v>0</v>
      </c>
      <c r="S34" s="78">
        <f t="shared" ref="S34:S36" si="22">R34/1.11</f>
        <v>0</v>
      </c>
    </row>
    <row r="35" spans="1:21" s="64" customFormat="1" x14ac:dyDescent="0.2">
      <c r="A35" s="184" t="s">
        <v>1077</v>
      </c>
      <c r="B35" s="64" t="s">
        <v>18</v>
      </c>
      <c r="C35" s="65"/>
      <c r="D35" s="66" t="s">
        <v>33</v>
      </c>
      <c r="E35" s="67">
        <v>1</v>
      </c>
      <c r="F35" s="68">
        <v>1</v>
      </c>
      <c r="G35" s="69" t="s">
        <v>20</v>
      </c>
      <c r="H35" s="68">
        <v>60</v>
      </c>
      <c r="I35" s="69" t="s">
        <v>33</v>
      </c>
      <c r="J35" s="16">
        <v>19200</v>
      </c>
      <c r="K35" s="66" t="s">
        <v>33</v>
      </c>
      <c r="L35" s="70">
        <v>0.125</v>
      </c>
      <c r="M35" s="70">
        <v>0.1</v>
      </c>
      <c r="N35" s="68">
        <v>60</v>
      </c>
      <c r="O35" s="69" t="s">
        <v>33</v>
      </c>
      <c r="P35" s="65">
        <f t="shared" si="20"/>
        <v>0</v>
      </c>
      <c r="Q35" s="69" t="s">
        <v>33</v>
      </c>
      <c r="R35" s="16">
        <f t="shared" si="21"/>
        <v>0</v>
      </c>
      <c r="S35" s="16">
        <f t="shared" si="22"/>
        <v>0</v>
      </c>
    </row>
    <row r="36" spans="1:21" s="64" customFormat="1" x14ac:dyDescent="0.2">
      <c r="A36" s="184" t="s">
        <v>1078</v>
      </c>
      <c r="B36" s="64" t="s">
        <v>18</v>
      </c>
      <c r="C36" s="65"/>
      <c r="D36" s="69" t="s">
        <v>76</v>
      </c>
      <c r="E36" s="67">
        <v>1</v>
      </c>
      <c r="F36" s="68">
        <v>1</v>
      </c>
      <c r="G36" s="69" t="s">
        <v>20</v>
      </c>
      <c r="H36" s="68">
        <v>24</v>
      </c>
      <c r="I36" s="69" t="s">
        <v>76</v>
      </c>
      <c r="J36" s="16">
        <v>46500</v>
      </c>
      <c r="K36" s="69" t="s">
        <v>76</v>
      </c>
      <c r="L36" s="70">
        <v>0.125</v>
      </c>
      <c r="M36" s="70">
        <v>0.1</v>
      </c>
      <c r="N36" s="68">
        <v>24</v>
      </c>
      <c r="O36" s="69" t="s">
        <v>76</v>
      </c>
      <c r="P36" s="65">
        <f t="shared" si="20"/>
        <v>0</v>
      </c>
      <c r="Q36" s="69" t="s">
        <v>76</v>
      </c>
      <c r="R36" s="16">
        <f t="shared" si="21"/>
        <v>0</v>
      </c>
      <c r="S36" s="16">
        <f t="shared" si="22"/>
        <v>0</v>
      </c>
    </row>
    <row r="37" spans="1:21" s="73" customFormat="1" x14ac:dyDescent="0.2">
      <c r="A37" s="72" t="s">
        <v>34</v>
      </c>
      <c r="B37" s="73" t="s">
        <v>18</v>
      </c>
      <c r="C37" s="71"/>
      <c r="D37" s="74" t="s">
        <v>33</v>
      </c>
      <c r="E37" s="75">
        <v>3</v>
      </c>
      <c r="F37" s="76">
        <v>1</v>
      </c>
      <c r="G37" s="77" t="s">
        <v>20</v>
      </c>
      <c r="H37" s="76">
        <v>180</v>
      </c>
      <c r="I37" s="77" t="s">
        <v>33</v>
      </c>
      <c r="J37" s="78">
        <v>9000</v>
      </c>
      <c r="K37" s="74" t="s">
        <v>33</v>
      </c>
      <c r="L37" s="79">
        <v>0.125</v>
      </c>
      <c r="M37" s="79">
        <v>0.05</v>
      </c>
      <c r="N37" s="76">
        <v>540</v>
      </c>
      <c r="O37" s="77" t="s">
        <v>33</v>
      </c>
      <c r="P37" s="71">
        <f t="shared" ref="P37" si="23">(C37+(E37*F37*H37))-N37</f>
        <v>0</v>
      </c>
      <c r="Q37" s="77" t="s">
        <v>33</v>
      </c>
      <c r="R37" s="78">
        <f t="shared" ref="R37" si="24">P37*(J37-(J37*L37)-((J37-(J37*L37))*M37))</f>
        <v>0</v>
      </c>
      <c r="S37" s="78">
        <f t="shared" ref="S37" si="25">R37/1.11</f>
        <v>0</v>
      </c>
    </row>
    <row r="38" spans="1:21" s="64" customFormat="1" x14ac:dyDescent="0.2">
      <c r="A38" s="63" t="s">
        <v>35</v>
      </c>
      <c r="B38" s="64" t="s">
        <v>18</v>
      </c>
      <c r="C38" s="65"/>
      <c r="D38" s="66" t="s">
        <v>33</v>
      </c>
      <c r="E38" s="67"/>
      <c r="F38" s="68">
        <v>1</v>
      </c>
      <c r="G38" s="69" t="s">
        <v>20</v>
      </c>
      <c r="H38" s="68">
        <v>32</v>
      </c>
      <c r="I38" s="69" t="s">
        <v>33</v>
      </c>
      <c r="J38" s="16">
        <v>64800</v>
      </c>
      <c r="K38" s="66" t="s">
        <v>33</v>
      </c>
      <c r="L38" s="70">
        <v>0.125</v>
      </c>
      <c r="M38" s="70">
        <v>0.05</v>
      </c>
      <c r="N38" s="68"/>
      <c r="O38" s="69" t="s">
        <v>33</v>
      </c>
      <c r="P38" s="65">
        <f t="shared" si="15"/>
        <v>0</v>
      </c>
      <c r="Q38" s="69" t="s">
        <v>33</v>
      </c>
      <c r="R38" s="16">
        <f t="shared" si="16"/>
        <v>0</v>
      </c>
      <c r="S38" s="16">
        <f t="shared" si="2"/>
        <v>0</v>
      </c>
    </row>
    <row r="39" spans="1:21" s="64" customFormat="1" x14ac:dyDescent="0.2">
      <c r="A39" s="63"/>
      <c r="C39" s="65"/>
      <c r="D39" s="66"/>
      <c r="E39" s="67"/>
      <c r="F39" s="68"/>
      <c r="G39" s="69"/>
      <c r="H39" s="68"/>
      <c r="I39" s="69"/>
      <c r="J39" s="16"/>
      <c r="K39" s="66"/>
      <c r="L39" s="70"/>
      <c r="M39" s="70"/>
      <c r="N39" s="68"/>
      <c r="O39" s="69"/>
      <c r="P39" s="65"/>
      <c r="Q39" s="69"/>
      <c r="R39" s="16"/>
      <c r="S39" s="16"/>
    </row>
    <row r="40" spans="1:21" s="64" customFormat="1" x14ac:dyDescent="0.2">
      <c r="A40" s="63" t="s">
        <v>761</v>
      </c>
      <c r="B40" s="64" t="s">
        <v>25</v>
      </c>
      <c r="C40" s="65">
        <v>60</v>
      </c>
      <c r="D40" s="66" t="s">
        <v>33</v>
      </c>
      <c r="E40" s="67"/>
      <c r="F40" s="68">
        <v>2</v>
      </c>
      <c r="G40" s="69" t="s">
        <v>98</v>
      </c>
      <c r="H40" s="68">
        <v>30</v>
      </c>
      <c r="I40" s="69" t="s">
        <v>33</v>
      </c>
      <c r="J40" s="16">
        <f>1800000/2/30</f>
        <v>30000</v>
      </c>
      <c r="K40" s="66" t="s">
        <v>33</v>
      </c>
      <c r="L40" s="70"/>
      <c r="M40" s="70">
        <v>0.17</v>
      </c>
      <c r="N40" s="68">
        <v>60</v>
      </c>
      <c r="O40" s="69" t="s">
        <v>33</v>
      </c>
      <c r="P40" s="65">
        <f t="shared" ref="P40:P44" si="26">(C40+(E40*F40*H40))-N40</f>
        <v>0</v>
      </c>
      <c r="Q40" s="69" t="s">
        <v>33</v>
      </c>
      <c r="R40" s="16">
        <f t="shared" ref="R40:R44" si="27">P40*(J40-(J40*L40)-((J40-(J40*L40))*M40))</f>
        <v>0</v>
      </c>
      <c r="S40" s="16">
        <f t="shared" ref="S40:S44" si="28">R40/1.11</f>
        <v>0</v>
      </c>
    </row>
    <row r="41" spans="1:21" s="73" customFormat="1" x14ac:dyDescent="0.2">
      <c r="A41" s="72" t="s">
        <v>750</v>
      </c>
      <c r="B41" s="73" t="s">
        <v>25</v>
      </c>
      <c r="C41" s="71"/>
      <c r="D41" s="74" t="s">
        <v>40</v>
      </c>
      <c r="E41" s="75">
        <v>1</v>
      </c>
      <c r="F41" s="76">
        <v>1</v>
      </c>
      <c r="G41" s="77" t="s">
        <v>20</v>
      </c>
      <c r="H41" s="76">
        <v>60</v>
      </c>
      <c r="I41" s="77" t="s">
        <v>40</v>
      </c>
      <c r="J41" s="78">
        <v>19200</v>
      </c>
      <c r="K41" s="74" t="s">
        <v>40</v>
      </c>
      <c r="L41" s="79"/>
      <c r="M41" s="79">
        <v>0.17</v>
      </c>
      <c r="N41" s="76">
        <v>60</v>
      </c>
      <c r="O41" s="77" t="s">
        <v>33</v>
      </c>
      <c r="P41" s="71">
        <f t="shared" si="26"/>
        <v>0</v>
      </c>
      <c r="Q41" s="77" t="s">
        <v>40</v>
      </c>
      <c r="R41" s="78">
        <f t="shared" si="27"/>
        <v>0</v>
      </c>
      <c r="S41" s="78">
        <f t="shared" ref="S41" si="29">R41/1.11</f>
        <v>0</v>
      </c>
    </row>
    <row r="42" spans="1:21" s="64" customFormat="1" x14ac:dyDescent="0.2">
      <c r="A42" s="63" t="s">
        <v>837</v>
      </c>
      <c r="B42" s="64" t="s">
        <v>25</v>
      </c>
      <c r="C42" s="65"/>
      <c r="D42" s="66" t="s">
        <v>40</v>
      </c>
      <c r="E42" s="67"/>
      <c r="F42" s="68">
        <v>1</v>
      </c>
      <c r="G42" s="69" t="s">
        <v>20</v>
      </c>
      <c r="H42" s="68">
        <v>120</v>
      </c>
      <c r="I42" s="69" t="s">
        <v>40</v>
      </c>
      <c r="J42" s="16">
        <f>1908000/120</f>
        <v>15900</v>
      </c>
      <c r="K42" s="66" t="s">
        <v>40</v>
      </c>
      <c r="L42" s="70"/>
      <c r="M42" s="70">
        <v>0.17</v>
      </c>
      <c r="N42" s="68"/>
      <c r="O42" s="69" t="s">
        <v>33</v>
      </c>
      <c r="P42" s="65">
        <f t="shared" si="26"/>
        <v>0</v>
      </c>
      <c r="Q42" s="69" t="s">
        <v>40</v>
      </c>
      <c r="R42" s="16">
        <f t="shared" si="27"/>
        <v>0</v>
      </c>
      <c r="S42" s="16">
        <f t="shared" si="28"/>
        <v>0</v>
      </c>
    </row>
    <row r="43" spans="1:21" s="64" customFormat="1" x14ac:dyDescent="0.2">
      <c r="A43" s="63" t="s">
        <v>838</v>
      </c>
      <c r="B43" s="64" t="s">
        <v>25</v>
      </c>
      <c r="C43" s="65"/>
      <c r="D43" s="66" t="s">
        <v>40</v>
      </c>
      <c r="E43" s="67"/>
      <c r="F43" s="68">
        <v>1</v>
      </c>
      <c r="G43" s="69" t="s">
        <v>20</v>
      </c>
      <c r="H43" s="68">
        <v>60</v>
      </c>
      <c r="I43" s="69" t="s">
        <v>40</v>
      </c>
      <c r="J43" s="16">
        <f>1728000/60</f>
        <v>28800</v>
      </c>
      <c r="K43" s="66" t="s">
        <v>40</v>
      </c>
      <c r="L43" s="70"/>
      <c r="M43" s="70">
        <v>0.17</v>
      </c>
      <c r="N43" s="68"/>
      <c r="O43" s="69" t="s">
        <v>33</v>
      </c>
      <c r="P43" s="65">
        <f t="shared" si="26"/>
        <v>0</v>
      </c>
      <c r="Q43" s="69" t="s">
        <v>40</v>
      </c>
      <c r="R43" s="16">
        <f t="shared" si="27"/>
        <v>0</v>
      </c>
      <c r="S43" s="16">
        <f t="shared" si="28"/>
        <v>0</v>
      </c>
    </row>
    <row r="44" spans="1:21" s="64" customFormat="1" x14ac:dyDescent="0.2">
      <c r="A44" s="63" t="s">
        <v>678</v>
      </c>
      <c r="B44" s="64" t="s">
        <v>25</v>
      </c>
      <c r="C44" s="65"/>
      <c r="D44" s="66" t="s">
        <v>33</v>
      </c>
      <c r="E44" s="67"/>
      <c r="F44" s="68">
        <v>1</v>
      </c>
      <c r="G44" s="69" t="s">
        <v>20</v>
      </c>
      <c r="H44" s="68">
        <v>32</v>
      </c>
      <c r="I44" s="69" t="s">
        <v>33</v>
      </c>
      <c r="J44" s="16">
        <f>1113600/32</f>
        <v>34800</v>
      </c>
      <c r="K44" s="66" t="s">
        <v>33</v>
      </c>
      <c r="L44" s="70"/>
      <c r="M44" s="70">
        <v>0.17</v>
      </c>
      <c r="N44" s="68"/>
      <c r="O44" s="69" t="s">
        <v>33</v>
      </c>
      <c r="P44" s="65">
        <f t="shared" si="26"/>
        <v>0</v>
      </c>
      <c r="Q44" s="69" t="s">
        <v>33</v>
      </c>
      <c r="R44" s="16">
        <f t="shared" si="27"/>
        <v>0</v>
      </c>
      <c r="S44" s="16">
        <f t="shared" si="28"/>
        <v>0</v>
      </c>
    </row>
    <row r="45" spans="1:21" x14ac:dyDescent="0.2">
      <c r="R45" s="56"/>
      <c r="S45" s="55"/>
      <c r="U45" s="34"/>
    </row>
    <row r="46" spans="1:21" ht="15.75" x14ac:dyDescent="0.25">
      <c r="A46" s="14" t="s">
        <v>1027</v>
      </c>
      <c r="R46" s="16"/>
      <c r="S46" s="16"/>
    </row>
    <row r="47" spans="1:21" s="64" customFormat="1" x14ac:dyDescent="0.2">
      <c r="A47" s="184" t="s">
        <v>1028</v>
      </c>
      <c r="B47" s="64" t="s">
        <v>1029</v>
      </c>
      <c r="C47" s="65"/>
      <c r="D47" s="66" t="s">
        <v>1030</v>
      </c>
      <c r="E47" s="67">
        <v>1</v>
      </c>
      <c r="F47" s="68">
        <v>1</v>
      </c>
      <c r="G47" s="69" t="s">
        <v>20</v>
      </c>
      <c r="H47" s="68">
        <v>60</v>
      </c>
      <c r="I47" s="69" t="s">
        <v>1030</v>
      </c>
      <c r="J47" s="78">
        <v>60811</v>
      </c>
      <c r="K47" s="74" t="s">
        <v>1030</v>
      </c>
      <c r="L47" s="79">
        <v>0.2</v>
      </c>
      <c r="M47" s="79"/>
      <c r="N47" s="76">
        <v>60</v>
      </c>
      <c r="O47" s="77" t="s">
        <v>1030</v>
      </c>
      <c r="P47" s="71">
        <f>(C47+(E47*F47*H47))-N47</f>
        <v>0</v>
      </c>
      <c r="Q47" s="77" t="s">
        <v>1030</v>
      </c>
      <c r="R47" s="78">
        <f>P47*(J47-(J47*L47)-((J47-(J47*L47))*M47))</f>
        <v>0</v>
      </c>
      <c r="S47" s="78">
        <f t="shared" ref="S47" si="30">R47/1.11</f>
        <v>0</v>
      </c>
    </row>
    <row r="48" spans="1:21" s="64" customFormat="1" x14ac:dyDescent="0.2">
      <c r="A48" s="63"/>
      <c r="C48" s="65"/>
      <c r="D48" s="66"/>
      <c r="E48" s="67"/>
      <c r="F48" s="68"/>
      <c r="G48" s="69"/>
      <c r="H48" s="68"/>
      <c r="I48" s="69"/>
      <c r="J48" s="16"/>
      <c r="K48" s="66"/>
      <c r="L48" s="70"/>
      <c r="M48" s="70"/>
      <c r="N48" s="68"/>
      <c r="O48" s="69"/>
      <c r="P48" s="65"/>
      <c r="Q48" s="69"/>
      <c r="R48" s="16"/>
      <c r="S48" s="16"/>
    </row>
    <row r="49" spans="1:19" s="80" customFormat="1" ht="15.75" x14ac:dyDescent="0.25">
      <c r="A49" s="198" t="s">
        <v>36</v>
      </c>
      <c r="C49" s="83"/>
      <c r="D49" s="84"/>
      <c r="E49" s="85"/>
      <c r="F49" s="86"/>
      <c r="G49" s="87"/>
      <c r="H49" s="86"/>
      <c r="I49" s="87"/>
      <c r="J49" s="88"/>
      <c r="K49" s="84"/>
      <c r="L49" s="89"/>
      <c r="M49" s="89"/>
      <c r="N49" s="86"/>
      <c r="O49" s="87"/>
      <c r="P49" s="83"/>
      <c r="Q49" s="87"/>
      <c r="R49" s="88"/>
      <c r="S49" s="88"/>
    </row>
    <row r="50" spans="1:19" s="80" customFormat="1" x14ac:dyDescent="0.2">
      <c r="A50" s="183" t="s">
        <v>37</v>
      </c>
      <c r="C50" s="83"/>
      <c r="D50" s="84"/>
      <c r="E50" s="85"/>
      <c r="F50" s="86"/>
      <c r="G50" s="87"/>
      <c r="H50" s="86"/>
      <c r="I50" s="87"/>
      <c r="J50" s="88"/>
      <c r="K50" s="84"/>
      <c r="L50" s="89"/>
      <c r="M50" s="89"/>
      <c r="N50" s="86"/>
      <c r="O50" s="87"/>
      <c r="P50" s="83"/>
      <c r="Q50" s="87"/>
      <c r="R50" s="88"/>
      <c r="S50" s="88"/>
    </row>
    <row r="51" spans="1:19" s="73" customFormat="1" x14ac:dyDescent="0.2">
      <c r="A51" s="72" t="s">
        <v>807</v>
      </c>
      <c r="B51" s="73" t="s">
        <v>18</v>
      </c>
      <c r="C51" s="71"/>
      <c r="D51" s="74" t="s">
        <v>19</v>
      </c>
      <c r="E51" s="75">
        <v>2</v>
      </c>
      <c r="F51" s="76">
        <v>1</v>
      </c>
      <c r="G51" s="77" t="s">
        <v>20</v>
      </c>
      <c r="H51" s="76">
        <v>60</v>
      </c>
      <c r="I51" s="77" t="s">
        <v>19</v>
      </c>
      <c r="J51" s="78">
        <v>20800</v>
      </c>
      <c r="K51" s="74" t="s">
        <v>19</v>
      </c>
      <c r="L51" s="79">
        <v>0.125</v>
      </c>
      <c r="M51" s="79">
        <v>0.05</v>
      </c>
      <c r="N51" s="76">
        <v>120</v>
      </c>
      <c r="O51" s="77" t="s">
        <v>19</v>
      </c>
      <c r="P51" s="71">
        <f>(C51+(E51*F51*H51))-N51</f>
        <v>0</v>
      </c>
      <c r="Q51" s="77" t="s">
        <v>19</v>
      </c>
      <c r="R51" s="78">
        <f>P51*(J51-(J51*L51)-((J51-(J51*L51))*M51))</f>
        <v>0</v>
      </c>
      <c r="S51" s="78">
        <f t="shared" ref="S51" si="31">R51/1.11</f>
        <v>0</v>
      </c>
    </row>
    <row r="52" spans="1:19" s="64" customFormat="1" x14ac:dyDescent="0.2">
      <c r="A52" s="63" t="s">
        <v>38</v>
      </c>
      <c r="B52" s="64" t="s">
        <v>18</v>
      </c>
      <c r="C52" s="65"/>
      <c r="D52" s="66" t="s">
        <v>19</v>
      </c>
      <c r="E52" s="67"/>
      <c r="F52" s="68">
        <v>1</v>
      </c>
      <c r="G52" s="69" t="s">
        <v>20</v>
      </c>
      <c r="H52" s="68">
        <v>60</v>
      </c>
      <c r="I52" s="69" t="s">
        <v>19</v>
      </c>
      <c r="J52" s="16">
        <v>18500</v>
      </c>
      <c r="K52" s="66" t="s">
        <v>19</v>
      </c>
      <c r="L52" s="70">
        <v>0.125</v>
      </c>
      <c r="M52" s="70">
        <v>0.05</v>
      </c>
      <c r="N52" s="68"/>
      <c r="O52" s="69" t="s">
        <v>19</v>
      </c>
      <c r="P52" s="65">
        <f>(C52+(E52*F52*H52))-N52</f>
        <v>0</v>
      </c>
      <c r="Q52" s="69" t="s">
        <v>19</v>
      </c>
      <c r="R52" s="16">
        <f>P52*(J52-(J52*L52)-((J52-(J52*L52))*M52))</f>
        <v>0</v>
      </c>
      <c r="S52" s="16">
        <f t="shared" si="2"/>
        <v>0</v>
      </c>
    </row>
    <row r="53" spans="1:19" s="64" customFormat="1" x14ac:dyDescent="0.2">
      <c r="A53" s="63"/>
      <c r="C53" s="65"/>
      <c r="D53" s="66"/>
      <c r="E53" s="67"/>
      <c r="F53" s="68"/>
      <c r="G53" s="69"/>
      <c r="H53" s="68"/>
      <c r="I53" s="69"/>
      <c r="J53" s="16"/>
      <c r="K53" s="66"/>
      <c r="L53" s="70"/>
      <c r="M53" s="70"/>
      <c r="N53" s="68"/>
      <c r="O53" s="69"/>
      <c r="P53" s="65"/>
      <c r="Q53" s="69"/>
      <c r="R53" s="16"/>
      <c r="S53" s="16"/>
    </row>
    <row r="54" spans="1:19" s="73" customFormat="1" x14ac:dyDescent="0.2">
      <c r="A54" s="72" t="s">
        <v>39</v>
      </c>
      <c r="B54" s="73" t="s">
        <v>25</v>
      </c>
      <c r="C54" s="71"/>
      <c r="D54" s="74" t="s">
        <v>40</v>
      </c>
      <c r="E54" s="75">
        <v>6</v>
      </c>
      <c r="F54" s="76">
        <v>1</v>
      </c>
      <c r="G54" s="77" t="s">
        <v>20</v>
      </c>
      <c r="H54" s="76">
        <v>5</v>
      </c>
      <c r="I54" s="77" t="s">
        <v>40</v>
      </c>
      <c r="J54" s="78">
        <f>780000/5</f>
        <v>156000</v>
      </c>
      <c r="K54" s="74" t="s">
        <v>40</v>
      </c>
      <c r="L54" s="79"/>
      <c r="M54" s="79">
        <v>0.17</v>
      </c>
      <c r="N54" s="76">
        <v>30</v>
      </c>
      <c r="O54" s="81" t="s">
        <v>40</v>
      </c>
      <c r="P54" s="71">
        <f t="shared" ref="P54:P57" si="32">(C54+(E54*F54*H54))-N54</f>
        <v>0</v>
      </c>
      <c r="Q54" s="77" t="s">
        <v>40</v>
      </c>
      <c r="R54" s="78">
        <f t="shared" ref="R54:R57" si="33">P54*(J54-(J54*L54)-((J54-(J54*L54))*M54))</f>
        <v>0</v>
      </c>
      <c r="S54" s="78">
        <f t="shared" si="2"/>
        <v>0</v>
      </c>
    </row>
    <row r="55" spans="1:19" s="73" customFormat="1" x14ac:dyDescent="0.2">
      <c r="A55" s="185" t="s">
        <v>41</v>
      </c>
      <c r="B55" s="73" t="s">
        <v>25</v>
      </c>
      <c r="C55" s="71"/>
      <c r="D55" s="74" t="s">
        <v>40</v>
      </c>
      <c r="E55" s="75">
        <v>5</v>
      </c>
      <c r="F55" s="76">
        <v>1</v>
      </c>
      <c r="G55" s="77" t="s">
        <v>20</v>
      </c>
      <c r="H55" s="76">
        <v>5</v>
      </c>
      <c r="I55" s="77" t="s">
        <v>40</v>
      </c>
      <c r="J55" s="186">
        <v>153600</v>
      </c>
      <c r="K55" s="74" t="s">
        <v>40</v>
      </c>
      <c r="L55" s="79"/>
      <c r="M55" s="79">
        <v>0.17</v>
      </c>
      <c r="N55" s="76">
        <v>25</v>
      </c>
      <c r="O55" s="81" t="s">
        <v>40</v>
      </c>
      <c r="P55" s="71">
        <f t="shared" ref="P55" si="34">(C55+(E55*F55*H55))-N55</f>
        <v>0</v>
      </c>
      <c r="Q55" s="77" t="s">
        <v>40</v>
      </c>
      <c r="R55" s="78">
        <f t="shared" ref="R55" si="35">P55*(J55-(J55*L55)-((J55-(J55*L55))*M55))</f>
        <v>0</v>
      </c>
      <c r="S55" s="78">
        <f t="shared" ref="S55" si="36">R55/1.11</f>
        <v>0</v>
      </c>
    </row>
    <row r="56" spans="1:19" s="73" customFormat="1" x14ac:dyDescent="0.2">
      <c r="A56" s="185" t="s">
        <v>41</v>
      </c>
      <c r="B56" s="73" t="s">
        <v>25</v>
      </c>
      <c r="C56" s="71">
        <v>17</v>
      </c>
      <c r="D56" s="74" t="s">
        <v>40</v>
      </c>
      <c r="E56" s="75"/>
      <c r="F56" s="76">
        <v>1</v>
      </c>
      <c r="G56" s="77" t="s">
        <v>20</v>
      </c>
      <c r="H56" s="76">
        <v>5</v>
      </c>
      <c r="I56" s="77" t="s">
        <v>40</v>
      </c>
      <c r="J56" s="186">
        <f>708000/5</f>
        <v>141600</v>
      </c>
      <c r="K56" s="74" t="s">
        <v>40</v>
      </c>
      <c r="L56" s="79"/>
      <c r="M56" s="79">
        <v>0.17</v>
      </c>
      <c r="N56" s="76">
        <v>17</v>
      </c>
      <c r="O56" s="81" t="s">
        <v>40</v>
      </c>
      <c r="P56" s="71">
        <f t="shared" si="32"/>
        <v>0</v>
      </c>
      <c r="Q56" s="77" t="s">
        <v>40</v>
      </c>
      <c r="R56" s="78">
        <f t="shared" si="33"/>
        <v>0</v>
      </c>
      <c r="S56" s="78">
        <f t="shared" si="2"/>
        <v>0</v>
      </c>
    </row>
    <row r="57" spans="1:19" s="73" customFormat="1" x14ac:dyDescent="0.2">
      <c r="A57" s="72" t="s">
        <v>897</v>
      </c>
      <c r="B57" s="73" t="s">
        <v>25</v>
      </c>
      <c r="C57" s="71"/>
      <c r="D57" s="74" t="s">
        <v>40</v>
      </c>
      <c r="E57" s="75">
        <v>3</v>
      </c>
      <c r="F57" s="76">
        <v>1</v>
      </c>
      <c r="G57" s="77" t="s">
        <v>20</v>
      </c>
      <c r="H57" s="76">
        <v>5</v>
      </c>
      <c r="I57" s="77" t="s">
        <v>40</v>
      </c>
      <c r="J57" s="78">
        <f>990000/5</f>
        <v>198000</v>
      </c>
      <c r="K57" s="74" t="s">
        <v>40</v>
      </c>
      <c r="L57" s="79"/>
      <c r="M57" s="79">
        <v>0.17</v>
      </c>
      <c r="N57" s="76">
        <v>15</v>
      </c>
      <c r="O57" s="81" t="s">
        <v>40</v>
      </c>
      <c r="P57" s="71">
        <f t="shared" si="32"/>
        <v>0</v>
      </c>
      <c r="Q57" s="77" t="s">
        <v>40</v>
      </c>
      <c r="R57" s="78">
        <f t="shared" si="33"/>
        <v>0</v>
      </c>
      <c r="S57" s="78">
        <f t="shared" si="2"/>
        <v>0</v>
      </c>
    </row>
    <row r="58" spans="1:19" s="73" customFormat="1" x14ac:dyDescent="0.2">
      <c r="A58" s="72" t="s">
        <v>42</v>
      </c>
      <c r="B58" s="73" t="s">
        <v>25</v>
      </c>
      <c r="C58" s="71"/>
      <c r="D58" s="74" t="s">
        <v>40</v>
      </c>
      <c r="E58" s="75">
        <v>2</v>
      </c>
      <c r="F58" s="76">
        <v>1</v>
      </c>
      <c r="G58" s="77" t="s">
        <v>20</v>
      </c>
      <c r="H58" s="76">
        <v>5</v>
      </c>
      <c r="I58" s="77" t="s">
        <v>40</v>
      </c>
      <c r="J58" s="78">
        <f>975000/5</f>
        <v>195000</v>
      </c>
      <c r="K58" s="74" t="s">
        <v>40</v>
      </c>
      <c r="L58" s="79"/>
      <c r="M58" s="79">
        <v>0.17</v>
      </c>
      <c r="N58" s="76">
        <v>10</v>
      </c>
      <c r="O58" s="81" t="s">
        <v>40</v>
      </c>
      <c r="P58" s="71">
        <f t="shared" ref="P58" si="37">(C58+(E58*F58*H58))-N58</f>
        <v>0</v>
      </c>
      <c r="Q58" s="77" t="s">
        <v>40</v>
      </c>
      <c r="R58" s="78">
        <f t="shared" ref="R58" si="38">P58*(J58-(J58*L58)-((J58-(J58*L58))*M58))</f>
        <v>0</v>
      </c>
      <c r="S58" s="78">
        <f t="shared" ref="S58" si="39">R58/1.11</f>
        <v>0</v>
      </c>
    </row>
    <row r="59" spans="1:19" s="19" customFormat="1" x14ac:dyDescent="0.2">
      <c r="A59" s="18"/>
      <c r="C59" s="20"/>
      <c r="D59" s="21"/>
      <c r="E59" s="26"/>
      <c r="F59" s="22"/>
      <c r="G59" s="23"/>
      <c r="H59" s="22"/>
      <c r="I59" s="23"/>
      <c r="J59" s="24"/>
      <c r="K59" s="21"/>
      <c r="L59" s="25"/>
      <c r="M59" s="25"/>
      <c r="N59" s="22"/>
      <c r="O59" s="36"/>
      <c r="P59" s="20"/>
      <c r="Q59" s="23"/>
      <c r="R59" s="24"/>
      <c r="S59" s="24"/>
    </row>
    <row r="60" spans="1:19" s="19" customFormat="1" x14ac:dyDescent="0.2">
      <c r="A60" s="57" t="s">
        <v>696</v>
      </c>
      <c r="C60" s="20"/>
      <c r="D60" s="21"/>
      <c r="E60" s="26"/>
      <c r="F60" s="22"/>
      <c r="G60" s="23"/>
      <c r="H60" s="22"/>
      <c r="I60" s="23"/>
      <c r="J60" s="24"/>
      <c r="K60" s="21"/>
      <c r="L60" s="25"/>
      <c r="M60" s="25"/>
      <c r="N60" s="22"/>
      <c r="O60" s="23"/>
      <c r="P60" s="20"/>
      <c r="Q60" s="23"/>
      <c r="R60" s="24"/>
      <c r="S60" s="24"/>
    </row>
    <row r="61" spans="1:19" s="80" customFormat="1" x14ac:dyDescent="0.2">
      <c r="A61" s="82" t="s">
        <v>839</v>
      </c>
      <c r="B61" s="80" t="s">
        <v>699</v>
      </c>
      <c r="C61" s="83">
        <v>520</v>
      </c>
      <c r="D61" s="84" t="s">
        <v>19</v>
      </c>
      <c r="E61" s="85">
        <v>36</v>
      </c>
      <c r="F61" s="86">
        <v>1</v>
      </c>
      <c r="G61" s="87" t="s">
        <v>20</v>
      </c>
      <c r="H61" s="86">
        <v>100</v>
      </c>
      <c r="I61" s="87" t="s">
        <v>19</v>
      </c>
      <c r="J61" s="88">
        <v>6610</v>
      </c>
      <c r="K61" s="84" t="s">
        <v>19</v>
      </c>
      <c r="L61" s="89"/>
      <c r="M61" s="89"/>
      <c r="N61" s="86">
        <v>3520</v>
      </c>
      <c r="O61" s="87" t="s">
        <v>19</v>
      </c>
      <c r="P61" s="83">
        <f>(C61+(E61*F61*H61))-N61</f>
        <v>600</v>
      </c>
      <c r="Q61" s="87" t="s">
        <v>19</v>
      </c>
      <c r="R61" s="88">
        <f>P61*(J61-(J61*L61)-((J61-(J61*L61))*M61))</f>
        <v>3966000</v>
      </c>
      <c r="S61" s="88">
        <f t="shared" ref="S61" si="40">R61/1.11</f>
        <v>3572972.9729729728</v>
      </c>
    </row>
    <row r="62" spans="1:19" s="19" customFormat="1" x14ac:dyDescent="0.2">
      <c r="A62" s="18" t="s">
        <v>756</v>
      </c>
      <c r="B62" s="19" t="s">
        <v>699</v>
      </c>
      <c r="C62" s="20">
        <v>75</v>
      </c>
      <c r="D62" s="21" t="s">
        <v>19</v>
      </c>
      <c r="E62" s="26">
        <v>29</v>
      </c>
      <c r="F62" s="22">
        <v>1</v>
      </c>
      <c r="G62" s="23" t="s">
        <v>20</v>
      </c>
      <c r="H62" s="22">
        <v>50</v>
      </c>
      <c r="I62" s="23" t="s">
        <v>19</v>
      </c>
      <c r="J62" s="24">
        <v>12870</v>
      </c>
      <c r="K62" s="21" t="s">
        <v>19</v>
      </c>
      <c r="L62" s="25"/>
      <c r="M62" s="25"/>
      <c r="N62" s="22">
        <v>1275</v>
      </c>
      <c r="O62" s="23" t="s">
        <v>19</v>
      </c>
      <c r="P62" s="20">
        <f>(C62+(E62*F62*H62))-N62</f>
        <v>250</v>
      </c>
      <c r="Q62" s="23" t="s">
        <v>19</v>
      </c>
      <c r="R62" s="24">
        <f>P62*(J62-(J62*L62)-((J62-(J62*L62))*M62))</f>
        <v>3217500</v>
      </c>
      <c r="S62" s="24">
        <f t="shared" ref="S62:S64" si="41">R62/1.11</f>
        <v>2898648.6486486485</v>
      </c>
    </row>
    <row r="63" spans="1:19" s="73" customFormat="1" x14ac:dyDescent="0.2">
      <c r="A63" s="72" t="s">
        <v>697</v>
      </c>
      <c r="B63" s="73" t="s">
        <v>699</v>
      </c>
      <c r="C63" s="71"/>
      <c r="D63" s="74" t="s">
        <v>19</v>
      </c>
      <c r="E63" s="75"/>
      <c r="F63" s="76">
        <v>1</v>
      </c>
      <c r="G63" s="77" t="s">
        <v>20</v>
      </c>
      <c r="H63" s="76">
        <v>50</v>
      </c>
      <c r="I63" s="77" t="s">
        <v>19</v>
      </c>
      <c r="J63" s="78">
        <v>12870</v>
      </c>
      <c r="K63" s="74" t="s">
        <v>19</v>
      </c>
      <c r="L63" s="79"/>
      <c r="M63" s="79"/>
      <c r="N63" s="76"/>
      <c r="O63" s="77" t="s">
        <v>19</v>
      </c>
      <c r="P63" s="71">
        <f>(C63+(E63*F63*H63))-N63</f>
        <v>0</v>
      </c>
      <c r="Q63" s="77" t="s">
        <v>19</v>
      </c>
      <c r="R63" s="78">
        <f>P63*(J63-(J63*L63)-((J63-(J63*L63))*M63))</f>
        <v>0</v>
      </c>
      <c r="S63" s="78">
        <f t="shared" si="41"/>
        <v>0</v>
      </c>
    </row>
    <row r="64" spans="1:19" s="73" customFormat="1" x14ac:dyDescent="0.2">
      <c r="A64" s="72" t="s">
        <v>698</v>
      </c>
      <c r="B64" s="73" t="s">
        <v>699</v>
      </c>
      <c r="C64" s="71">
        <v>5</v>
      </c>
      <c r="D64" s="74" t="s">
        <v>19</v>
      </c>
      <c r="E64" s="75"/>
      <c r="F64" s="76">
        <v>1</v>
      </c>
      <c r="G64" s="77" t="s">
        <v>20</v>
      </c>
      <c r="H64" s="76">
        <v>50</v>
      </c>
      <c r="I64" s="77" t="s">
        <v>19</v>
      </c>
      <c r="J64" s="78">
        <v>12870</v>
      </c>
      <c r="K64" s="74" t="s">
        <v>19</v>
      </c>
      <c r="L64" s="79"/>
      <c r="M64" s="79"/>
      <c r="N64" s="76">
        <v>5</v>
      </c>
      <c r="O64" s="77" t="s">
        <v>19</v>
      </c>
      <c r="P64" s="71">
        <f>(C64+(E64*F64*H64))-N64</f>
        <v>0</v>
      </c>
      <c r="Q64" s="77" t="s">
        <v>19</v>
      </c>
      <c r="R64" s="78">
        <f>P64*(J64-(J64*L64)-((J64-(J64*L64))*M64))</f>
        <v>0</v>
      </c>
      <c r="S64" s="78">
        <f t="shared" si="41"/>
        <v>0</v>
      </c>
    </row>
    <row r="65" spans="1:21" s="90" customFormat="1" x14ac:dyDescent="0.2">
      <c r="A65" s="82"/>
      <c r="C65" s="91"/>
      <c r="D65" s="92"/>
      <c r="E65" s="93"/>
      <c r="F65" s="94"/>
      <c r="G65" s="95"/>
      <c r="H65" s="94"/>
      <c r="I65" s="95"/>
      <c r="J65" s="96"/>
      <c r="K65" s="92"/>
      <c r="L65" s="97"/>
      <c r="M65" s="97"/>
      <c r="N65" s="94"/>
      <c r="O65" s="98"/>
      <c r="P65" s="91"/>
      <c r="Q65" s="95"/>
      <c r="R65" s="96"/>
      <c r="S65" s="96"/>
    </row>
    <row r="66" spans="1:21" x14ac:dyDescent="0.2">
      <c r="A66" s="15" t="s">
        <v>840</v>
      </c>
      <c r="S66" s="16"/>
    </row>
    <row r="67" spans="1:21" s="80" customFormat="1" x14ac:dyDescent="0.2">
      <c r="A67" s="82" t="s">
        <v>841</v>
      </c>
      <c r="B67" s="80" t="s">
        <v>699</v>
      </c>
      <c r="C67" s="83">
        <v>80</v>
      </c>
      <c r="D67" s="84" t="s">
        <v>98</v>
      </c>
      <c r="E67" s="85">
        <v>87</v>
      </c>
      <c r="F67" s="86">
        <v>1</v>
      </c>
      <c r="G67" s="87" t="s">
        <v>20</v>
      </c>
      <c r="H67" s="86">
        <v>20</v>
      </c>
      <c r="I67" s="87" t="s">
        <v>98</v>
      </c>
      <c r="J67" s="88">
        <v>14900</v>
      </c>
      <c r="K67" s="84" t="s">
        <v>98</v>
      </c>
      <c r="L67" s="89"/>
      <c r="M67" s="89"/>
      <c r="N67" s="86">
        <v>1660</v>
      </c>
      <c r="O67" s="87" t="s">
        <v>98</v>
      </c>
      <c r="P67" s="83">
        <f>(C67+(E67*F67*H67))-N67</f>
        <v>160</v>
      </c>
      <c r="Q67" s="87" t="s">
        <v>98</v>
      </c>
      <c r="R67" s="88">
        <f>P67*(J67-(J67*L67)-((J67-(J67*L67))*M67))</f>
        <v>2384000</v>
      </c>
      <c r="S67" s="88">
        <f t="shared" ref="S67:S68" si="42">R67/1.11</f>
        <v>2147747.7477477477</v>
      </c>
    </row>
    <row r="68" spans="1:21" s="80" customFormat="1" x14ac:dyDescent="0.2">
      <c r="A68" s="82" t="s">
        <v>842</v>
      </c>
      <c r="B68" s="80" t="s">
        <v>699</v>
      </c>
      <c r="C68" s="83">
        <v>20</v>
      </c>
      <c r="D68" s="84" t="s">
        <v>98</v>
      </c>
      <c r="E68" s="85">
        <v>56</v>
      </c>
      <c r="F68" s="86">
        <v>1</v>
      </c>
      <c r="G68" s="87" t="s">
        <v>20</v>
      </c>
      <c r="H68" s="86">
        <v>10</v>
      </c>
      <c r="I68" s="87" t="s">
        <v>98</v>
      </c>
      <c r="J68" s="88">
        <v>29900</v>
      </c>
      <c r="K68" s="84" t="s">
        <v>98</v>
      </c>
      <c r="L68" s="89"/>
      <c r="M68" s="89"/>
      <c r="N68" s="86">
        <v>70</v>
      </c>
      <c r="O68" s="87" t="s">
        <v>98</v>
      </c>
      <c r="P68" s="83">
        <f>(C68+(E68*F68*H68))-N68</f>
        <v>510</v>
      </c>
      <c r="Q68" s="87" t="s">
        <v>98</v>
      </c>
      <c r="R68" s="88">
        <f>P68*(J68-(J68*L68)-((J68-(J68*L68))*M68))</f>
        <v>15249000</v>
      </c>
      <c r="S68" s="88">
        <f t="shared" si="42"/>
        <v>13737837.837837836</v>
      </c>
    </row>
    <row r="69" spans="1:21" s="80" customFormat="1" x14ac:dyDescent="0.2">
      <c r="A69" s="82"/>
      <c r="C69" s="83"/>
      <c r="D69" s="84"/>
      <c r="E69" s="85"/>
      <c r="F69" s="86"/>
      <c r="G69" s="87"/>
      <c r="H69" s="86"/>
      <c r="I69" s="87"/>
      <c r="J69" s="88"/>
      <c r="K69" s="84"/>
      <c r="L69" s="89"/>
      <c r="M69" s="89"/>
      <c r="N69" s="86"/>
      <c r="O69" s="87"/>
      <c r="P69" s="83"/>
      <c r="Q69" s="87"/>
      <c r="R69" s="88"/>
      <c r="S69" s="88"/>
    </row>
    <row r="70" spans="1:21" s="19" customFormat="1" ht="15.75" x14ac:dyDescent="0.25">
      <c r="A70" s="35" t="s">
        <v>43</v>
      </c>
      <c r="C70" s="20"/>
      <c r="D70" s="21"/>
      <c r="E70" s="26"/>
      <c r="F70" s="22"/>
      <c r="G70" s="23"/>
      <c r="H70" s="22"/>
      <c r="I70" s="23"/>
      <c r="J70" s="24"/>
      <c r="K70" s="21"/>
      <c r="L70" s="25"/>
      <c r="M70" s="25"/>
      <c r="N70" s="22"/>
      <c r="O70" s="23"/>
      <c r="P70" s="20"/>
      <c r="Q70" s="23"/>
      <c r="R70" s="24"/>
      <c r="S70" s="24"/>
    </row>
    <row r="71" spans="1:21" s="19" customFormat="1" x14ac:dyDescent="0.2">
      <c r="A71" s="72" t="s">
        <v>44</v>
      </c>
      <c r="B71" s="73" t="s">
        <v>45</v>
      </c>
      <c r="C71" s="71"/>
      <c r="D71" s="74" t="s">
        <v>19</v>
      </c>
      <c r="E71" s="75"/>
      <c r="F71" s="76">
        <v>2</v>
      </c>
      <c r="G71" s="77" t="s">
        <v>33</v>
      </c>
      <c r="H71" s="76">
        <v>20</v>
      </c>
      <c r="I71" s="77" t="s">
        <v>19</v>
      </c>
      <c r="J71" s="78">
        <v>64000</v>
      </c>
      <c r="K71" s="74" t="s">
        <v>19</v>
      </c>
      <c r="L71" s="79">
        <v>0.125</v>
      </c>
      <c r="M71" s="79">
        <v>0.05</v>
      </c>
      <c r="N71" s="76"/>
      <c r="O71" s="77" t="s">
        <v>19</v>
      </c>
      <c r="P71" s="71">
        <f t="shared" ref="P71:P125" si="43">(C71+(E71*F71*H71))-N71</f>
        <v>0</v>
      </c>
      <c r="Q71" s="77" t="s">
        <v>19</v>
      </c>
      <c r="R71" s="78">
        <f t="shared" ref="R71:R125" si="44">P71*(J71-(J71*L71)-((J71-(J71*L71))*M71))</f>
        <v>0</v>
      </c>
      <c r="S71" s="78">
        <f t="shared" ref="S71:S125" si="45">R71/1.11</f>
        <v>0</v>
      </c>
      <c r="T71" s="73"/>
      <c r="U71" s="73"/>
    </row>
    <row r="72" spans="1:21" s="90" customFormat="1" x14ac:dyDescent="0.2">
      <c r="A72" s="134" t="s">
        <v>46</v>
      </c>
      <c r="B72" s="19" t="s">
        <v>45</v>
      </c>
      <c r="C72" s="20"/>
      <c r="D72" s="21" t="s">
        <v>19</v>
      </c>
      <c r="E72" s="26">
        <v>2</v>
      </c>
      <c r="F72" s="22">
        <v>6</v>
      </c>
      <c r="G72" s="23" t="s">
        <v>33</v>
      </c>
      <c r="H72" s="22">
        <v>20</v>
      </c>
      <c r="I72" s="23" t="s">
        <v>19</v>
      </c>
      <c r="J72" s="24">
        <v>47000</v>
      </c>
      <c r="K72" s="21" t="s">
        <v>19</v>
      </c>
      <c r="L72" s="25">
        <v>0.125</v>
      </c>
      <c r="M72" s="25">
        <v>0.1</v>
      </c>
      <c r="N72" s="22">
        <v>120</v>
      </c>
      <c r="O72" s="23" t="s">
        <v>19</v>
      </c>
      <c r="P72" s="20">
        <f t="shared" ref="P72" si="46">(C72+(E72*F72*H72))-N72</f>
        <v>120</v>
      </c>
      <c r="Q72" s="23" t="s">
        <v>19</v>
      </c>
      <c r="R72" s="24">
        <f t="shared" ref="R72" si="47">P72*(J72-(J72*L72)-((J72-(J72*L72))*M72))</f>
        <v>4441500</v>
      </c>
      <c r="S72" s="24">
        <f t="shared" ref="S72" si="48">R72/1.11</f>
        <v>4001351.351351351</v>
      </c>
      <c r="T72" s="19"/>
      <c r="U72" s="19"/>
    </row>
    <row r="73" spans="1:21" s="73" customFormat="1" x14ac:dyDescent="0.2">
      <c r="A73" s="72" t="s">
        <v>46</v>
      </c>
      <c r="B73" s="73" t="s">
        <v>45</v>
      </c>
      <c r="C73" s="71">
        <v>35</v>
      </c>
      <c r="D73" s="74" t="s">
        <v>19</v>
      </c>
      <c r="E73" s="75">
        <v>5</v>
      </c>
      <c r="F73" s="76">
        <v>6</v>
      </c>
      <c r="G73" s="77" t="s">
        <v>33</v>
      </c>
      <c r="H73" s="76">
        <v>20</v>
      </c>
      <c r="I73" s="77" t="s">
        <v>19</v>
      </c>
      <c r="J73" s="78">
        <v>47000</v>
      </c>
      <c r="K73" s="74" t="s">
        <v>19</v>
      </c>
      <c r="L73" s="79">
        <v>0.125</v>
      </c>
      <c r="M73" s="79">
        <v>0.05</v>
      </c>
      <c r="N73" s="76">
        <v>635</v>
      </c>
      <c r="O73" s="77" t="s">
        <v>19</v>
      </c>
      <c r="P73" s="71">
        <f t="shared" si="43"/>
        <v>0</v>
      </c>
      <c r="Q73" s="77" t="s">
        <v>19</v>
      </c>
      <c r="R73" s="78">
        <f t="shared" si="44"/>
        <v>0</v>
      </c>
      <c r="S73" s="78">
        <f t="shared" si="45"/>
        <v>0</v>
      </c>
    </row>
    <row r="74" spans="1:21" s="73" customFormat="1" x14ac:dyDescent="0.2">
      <c r="A74" s="187" t="s">
        <v>47</v>
      </c>
      <c r="B74" s="73" t="s">
        <v>45</v>
      </c>
      <c r="C74" s="71"/>
      <c r="D74" s="74" t="s">
        <v>19</v>
      </c>
      <c r="E74" s="75">
        <v>7</v>
      </c>
      <c r="F74" s="76">
        <v>6</v>
      </c>
      <c r="G74" s="77" t="s">
        <v>33</v>
      </c>
      <c r="H74" s="76">
        <v>20</v>
      </c>
      <c r="I74" s="77" t="s">
        <v>19</v>
      </c>
      <c r="J74" s="78">
        <v>47000</v>
      </c>
      <c r="K74" s="74" t="s">
        <v>19</v>
      </c>
      <c r="L74" s="79">
        <v>0.125</v>
      </c>
      <c r="M74" s="188">
        <v>0.05</v>
      </c>
      <c r="N74" s="76">
        <v>840</v>
      </c>
      <c r="O74" s="77" t="s">
        <v>19</v>
      </c>
      <c r="P74" s="71">
        <f t="shared" si="43"/>
        <v>0</v>
      </c>
      <c r="Q74" s="77" t="s">
        <v>19</v>
      </c>
      <c r="R74" s="78">
        <f t="shared" si="44"/>
        <v>0</v>
      </c>
      <c r="S74" s="78">
        <f t="shared" si="45"/>
        <v>0</v>
      </c>
    </row>
    <row r="75" spans="1:21" s="73" customFormat="1" x14ac:dyDescent="0.2">
      <c r="A75" s="187" t="s">
        <v>47</v>
      </c>
      <c r="B75" s="73" t="s">
        <v>45</v>
      </c>
      <c r="C75" s="71"/>
      <c r="D75" s="74" t="s">
        <v>19</v>
      </c>
      <c r="E75" s="75">
        <v>5</v>
      </c>
      <c r="F75" s="76">
        <v>6</v>
      </c>
      <c r="G75" s="77" t="s">
        <v>33</v>
      </c>
      <c r="H75" s="76">
        <v>20</v>
      </c>
      <c r="I75" s="77" t="s">
        <v>19</v>
      </c>
      <c r="J75" s="78">
        <v>47000</v>
      </c>
      <c r="K75" s="74" t="s">
        <v>19</v>
      </c>
      <c r="L75" s="79">
        <v>0.125</v>
      </c>
      <c r="M75" s="188">
        <v>0.1</v>
      </c>
      <c r="N75" s="76">
        <v>600</v>
      </c>
      <c r="O75" s="77" t="s">
        <v>19</v>
      </c>
      <c r="P75" s="71">
        <f t="shared" si="43"/>
        <v>0</v>
      </c>
      <c r="Q75" s="77" t="s">
        <v>19</v>
      </c>
      <c r="R75" s="78">
        <f t="shared" si="44"/>
        <v>0</v>
      </c>
      <c r="S75" s="78">
        <f t="shared" si="45"/>
        <v>0</v>
      </c>
    </row>
    <row r="76" spans="1:21" s="73" customFormat="1" x14ac:dyDescent="0.2">
      <c r="A76" s="72" t="s">
        <v>48</v>
      </c>
      <c r="B76" s="73" t="s">
        <v>45</v>
      </c>
      <c r="C76" s="71"/>
      <c r="D76" s="74" t="s">
        <v>19</v>
      </c>
      <c r="E76" s="75">
        <v>1</v>
      </c>
      <c r="F76" s="76">
        <v>6</v>
      </c>
      <c r="G76" s="77" t="s">
        <v>33</v>
      </c>
      <c r="H76" s="76">
        <v>20</v>
      </c>
      <c r="I76" s="77" t="s">
        <v>19</v>
      </c>
      <c r="J76" s="78">
        <v>49000</v>
      </c>
      <c r="K76" s="74" t="s">
        <v>19</v>
      </c>
      <c r="L76" s="79">
        <v>0.125</v>
      </c>
      <c r="M76" s="79">
        <v>0.05</v>
      </c>
      <c r="N76" s="76">
        <v>120</v>
      </c>
      <c r="O76" s="77" t="s">
        <v>19</v>
      </c>
      <c r="P76" s="71">
        <f t="shared" si="43"/>
        <v>0</v>
      </c>
      <c r="Q76" s="77" t="s">
        <v>19</v>
      </c>
      <c r="R76" s="78">
        <f t="shared" si="44"/>
        <v>0</v>
      </c>
      <c r="S76" s="78">
        <f t="shared" si="45"/>
        <v>0</v>
      </c>
    </row>
    <row r="77" spans="1:21" s="73" customFormat="1" x14ac:dyDescent="0.2">
      <c r="A77" s="187" t="s">
        <v>49</v>
      </c>
      <c r="B77" s="73" t="s">
        <v>45</v>
      </c>
      <c r="C77" s="71"/>
      <c r="D77" s="74" t="s">
        <v>19</v>
      </c>
      <c r="E77" s="75">
        <v>8</v>
      </c>
      <c r="F77" s="76">
        <v>4</v>
      </c>
      <c r="G77" s="77" t="s">
        <v>33</v>
      </c>
      <c r="H77" s="76">
        <v>20</v>
      </c>
      <c r="I77" s="77" t="s">
        <v>19</v>
      </c>
      <c r="J77" s="78">
        <v>56000</v>
      </c>
      <c r="K77" s="74" t="s">
        <v>19</v>
      </c>
      <c r="L77" s="79">
        <v>0.125</v>
      </c>
      <c r="M77" s="188">
        <v>0.1</v>
      </c>
      <c r="N77" s="76">
        <v>640</v>
      </c>
      <c r="O77" s="77" t="s">
        <v>19</v>
      </c>
      <c r="P77" s="71">
        <f t="shared" si="43"/>
        <v>0</v>
      </c>
      <c r="Q77" s="77" t="s">
        <v>19</v>
      </c>
      <c r="R77" s="78">
        <f t="shared" si="44"/>
        <v>0</v>
      </c>
      <c r="S77" s="78">
        <f t="shared" si="45"/>
        <v>0</v>
      </c>
    </row>
    <row r="78" spans="1:21" s="19" customFormat="1" x14ac:dyDescent="0.2">
      <c r="A78" s="121" t="s">
        <v>49</v>
      </c>
      <c r="B78" s="19" t="s">
        <v>45</v>
      </c>
      <c r="C78" s="20"/>
      <c r="D78" s="21" t="s">
        <v>19</v>
      </c>
      <c r="E78" s="26">
        <v>1</v>
      </c>
      <c r="F78" s="22">
        <v>4</v>
      </c>
      <c r="G78" s="23" t="s">
        <v>33</v>
      </c>
      <c r="H78" s="22">
        <v>20</v>
      </c>
      <c r="I78" s="23" t="s">
        <v>19</v>
      </c>
      <c r="J78" s="24">
        <v>56000</v>
      </c>
      <c r="K78" s="21" t="s">
        <v>19</v>
      </c>
      <c r="L78" s="25">
        <v>0.125</v>
      </c>
      <c r="M78" s="120">
        <v>0.05</v>
      </c>
      <c r="N78" s="22"/>
      <c r="O78" s="23" t="s">
        <v>19</v>
      </c>
      <c r="P78" s="20">
        <f t="shared" si="43"/>
        <v>80</v>
      </c>
      <c r="Q78" s="23" t="s">
        <v>19</v>
      </c>
      <c r="R78" s="24">
        <f t="shared" si="44"/>
        <v>3724000</v>
      </c>
      <c r="S78" s="24">
        <f t="shared" si="45"/>
        <v>3354954.9549549548</v>
      </c>
    </row>
    <row r="79" spans="1:21" s="73" customFormat="1" x14ac:dyDescent="0.2">
      <c r="A79" s="185" t="s">
        <v>50</v>
      </c>
      <c r="B79" s="73" t="s">
        <v>45</v>
      </c>
      <c r="C79" s="71">
        <v>55</v>
      </c>
      <c r="D79" s="74" t="s">
        <v>19</v>
      </c>
      <c r="E79" s="75">
        <v>4</v>
      </c>
      <c r="F79" s="76">
        <v>6</v>
      </c>
      <c r="G79" s="77" t="s">
        <v>33</v>
      </c>
      <c r="H79" s="76">
        <v>20</v>
      </c>
      <c r="I79" s="77" t="s">
        <v>19</v>
      </c>
      <c r="J79" s="78">
        <v>47000</v>
      </c>
      <c r="K79" s="74" t="s">
        <v>19</v>
      </c>
      <c r="L79" s="79">
        <v>0.125</v>
      </c>
      <c r="M79" s="189">
        <v>0.05</v>
      </c>
      <c r="N79" s="76">
        <v>535</v>
      </c>
      <c r="O79" s="77" t="s">
        <v>19</v>
      </c>
      <c r="P79" s="71">
        <f t="shared" si="43"/>
        <v>0</v>
      </c>
      <c r="Q79" s="77" t="s">
        <v>19</v>
      </c>
      <c r="R79" s="78">
        <f t="shared" si="44"/>
        <v>0</v>
      </c>
      <c r="S79" s="78">
        <f t="shared" si="45"/>
        <v>0</v>
      </c>
    </row>
    <row r="80" spans="1:21" s="90" customFormat="1" x14ac:dyDescent="0.2">
      <c r="A80" s="28" t="s">
        <v>50</v>
      </c>
      <c r="B80" s="19" t="s">
        <v>45</v>
      </c>
      <c r="C80" s="20"/>
      <c r="D80" s="21" t="s">
        <v>19</v>
      </c>
      <c r="E80" s="26">
        <v>5</v>
      </c>
      <c r="F80" s="22">
        <v>6</v>
      </c>
      <c r="G80" s="23" t="s">
        <v>33</v>
      </c>
      <c r="H80" s="22">
        <v>20</v>
      </c>
      <c r="I80" s="23" t="s">
        <v>19</v>
      </c>
      <c r="J80" s="24">
        <v>47000</v>
      </c>
      <c r="K80" s="21" t="s">
        <v>19</v>
      </c>
      <c r="L80" s="25">
        <v>0.125</v>
      </c>
      <c r="M80" s="30">
        <v>0.1</v>
      </c>
      <c r="N80" s="22">
        <v>480</v>
      </c>
      <c r="O80" s="23" t="s">
        <v>19</v>
      </c>
      <c r="P80" s="20">
        <f t="shared" si="43"/>
        <v>120</v>
      </c>
      <c r="Q80" s="23" t="s">
        <v>19</v>
      </c>
      <c r="R80" s="24">
        <f t="shared" si="44"/>
        <v>4441500</v>
      </c>
      <c r="S80" s="24">
        <f t="shared" si="45"/>
        <v>4001351.351351351</v>
      </c>
      <c r="T80" s="19"/>
      <c r="U80" s="19"/>
    </row>
    <row r="81" spans="1:21" s="73" customFormat="1" x14ac:dyDescent="0.2">
      <c r="A81" s="72" t="s">
        <v>808</v>
      </c>
      <c r="B81" s="73" t="s">
        <v>45</v>
      </c>
      <c r="C81" s="71"/>
      <c r="D81" s="74" t="s">
        <v>19</v>
      </c>
      <c r="E81" s="75">
        <v>2</v>
      </c>
      <c r="F81" s="76">
        <v>4</v>
      </c>
      <c r="G81" s="77" t="s">
        <v>33</v>
      </c>
      <c r="H81" s="76">
        <v>20</v>
      </c>
      <c r="I81" s="77" t="s">
        <v>19</v>
      </c>
      <c r="J81" s="78">
        <v>60000</v>
      </c>
      <c r="K81" s="74" t="s">
        <v>19</v>
      </c>
      <c r="L81" s="79">
        <v>0.125</v>
      </c>
      <c r="M81" s="79">
        <v>0.1</v>
      </c>
      <c r="N81" s="76">
        <v>160</v>
      </c>
      <c r="O81" s="77" t="s">
        <v>19</v>
      </c>
      <c r="P81" s="71">
        <f t="shared" si="43"/>
        <v>0</v>
      </c>
      <c r="Q81" s="77" t="s">
        <v>19</v>
      </c>
      <c r="R81" s="78">
        <f t="shared" si="44"/>
        <v>0</v>
      </c>
      <c r="S81" s="78">
        <f t="shared" si="45"/>
        <v>0</v>
      </c>
    </row>
    <row r="82" spans="1:21" s="19" customFormat="1" x14ac:dyDescent="0.2">
      <c r="A82" s="72" t="s">
        <v>51</v>
      </c>
      <c r="B82" s="73" t="s">
        <v>45</v>
      </c>
      <c r="C82" s="71"/>
      <c r="D82" s="74" t="s">
        <v>19</v>
      </c>
      <c r="E82" s="75"/>
      <c r="F82" s="76">
        <v>4</v>
      </c>
      <c r="G82" s="77" t="s">
        <v>33</v>
      </c>
      <c r="H82" s="76">
        <v>40</v>
      </c>
      <c r="I82" s="77" t="s">
        <v>19</v>
      </c>
      <c r="J82" s="78">
        <v>37000</v>
      </c>
      <c r="K82" s="74" t="s">
        <v>19</v>
      </c>
      <c r="L82" s="79">
        <v>0.125</v>
      </c>
      <c r="M82" s="79">
        <v>0.05</v>
      </c>
      <c r="N82" s="76"/>
      <c r="O82" s="77" t="s">
        <v>19</v>
      </c>
      <c r="P82" s="71">
        <f t="shared" si="43"/>
        <v>0</v>
      </c>
      <c r="Q82" s="77" t="s">
        <v>19</v>
      </c>
      <c r="R82" s="78">
        <f t="shared" si="44"/>
        <v>0</v>
      </c>
      <c r="S82" s="78">
        <f t="shared" si="45"/>
        <v>0</v>
      </c>
      <c r="T82" s="73"/>
      <c r="U82" s="73"/>
    </row>
    <row r="83" spans="1:21" s="19" customFormat="1" x14ac:dyDescent="0.2">
      <c r="A83" s="121" t="s">
        <v>52</v>
      </c>
      <c r="B83" s="19" t="s">
        <v>45</v>
      </c>
      <c r="C83" s="20"/>
      <c r="D83" s="21" t="s">
        <v>19</v>
      </c>
      <c r="E83" s="26">
        <v>8</v>
      </c>
      <c r="F83" s="22">
        <v>4</v>
      </c>
      <c r="G83" s="23" t="s">
        <v>33</v>
      </c>
      <c r="H83" s="22">
        <v>20</v>
      </c>
      <c r="I83" s="23" t="s">
        <v>19</v>
      </c>
      <c r="J83" s="24">
        <v>50000</v>
      </c>
      <c r="K83" s="21" t="s">
        <v>19</v>
      </c>
      <c r="L83" s="25">
        <v>0.125</v>
      </c>
      <c r="M83" s="120">
        <v>0.1</v>
      </c>
      <c r="N83" s="22">
        <f>640-160</f>
        <v>480</v>
      </c>
      <c r="O83" s="23" t="s">
        <v>19</v>
      </c>
      <c r="P83" s="20">
        <f t="shared" si="43"/>
        <v>160</v>
      </c>
      <c r="Q83" s="23" t="s">
        <v>19</v>
      </c>
      <c r="R83" s="24">
        <f t="shared" si="44"/>
        <v>6300000</v>
      </c>
      <c r="S83" s="24">
        <f t="shared" si="45"/>
        <v>5675675.6756756753</v>
      </c>
    </row>
    <row r="84" spans="1:21" s="73" customFormat="1" x14ac:dyDescent="0.2">
      <c r="A84" s="187" t="s">
        <v>52</v>
      </c>
      <c r="B84" s="73" t="s">
        <v>45</v>
      </c>
      <c r="C84" s="71"/>
      <c r="D84" s="74" t="s">
        <v>19</v>
      </c>
      <c r="E84" s="75">
        <v>2</v>
      </c>
      <c r="F84" s="76">
        <v>4</v>
      </c>
      <c r="G84" s="77" t="s">
        <v>33</v>
      </c>
      <c r="H84" s="76">
        <v>20</v>
      </c>
      <c r="I84" s="77" t="s">
        <v>19</v>
      </c>
      <c r="J84" s="78">
        <v>50000</v>
      </c>
      <c r="K84" s="74" t="s">
        <v>19</v>
      </c>
      <c r="L84" s="79">
        <v>0.125</v>
      </c>
      <c r="M84" s="188">
        <v>0.05</v>
      </c>
      <c r="N84" s="76">
        <v>160</v>
      </c>
      <c r="O84" s="77" t="s">
        <v>19</v>
      </c>
      <c r="P84" s="71">
        <f t="shared" si="43"/>
        <v>0</v>
      </c>
      <c r="Q84" s="77" t="s">
        <v>19</v>
      </c>
      <c r="R84" s="78">
        <f t="shared" si="44"/>
        <v>0</v>
      </c>
      <c r="S84" s="78">
        <f t="shared" si="45"/>
        <v>0</v>
      </c>
    </row>
    <row r="85" spans="1:21" s="73" customFormat="1" x14ac:dyDescent="0.2">
      <c r="A85" s="72" t="s">
        <v>766</v>
      </c>
      <c r="B85" s="73" t="s">
        <v>45</v>
      </c>
      <c r="C85" s="71"/>
      <c r="D85" s="74" t="s">
        <v>19</v>
      </c>
      <c r="E85" s="75">
        <v>1</v>
      </c>
      <c r="F85" s="76">
        <v>4</v>
      </c>
      <c r="G85" s="77" t="s">
        <v>33</v>
      </c>
      <c r="H85" s="76">
        <v>20</v>
      </c>
      <c r="I85" s="77" t="s">
        <v>19</v>
      </c>
      <c r="J85" s="78">
        <v>50000</v>
      </c>
      <c r="K85" s="74" t="s">
        <v>19</v>
      </c>
      <c r="L85" s="79">
        <v>0.125</v>
      </c>
      <c r="M85" s="79">
        <v>0.05</v>
      </c>
      <c r="N85" s="76">
        <v>80</v>
      </c>
      <c r="O85" s="77" t="s">
        <v>19</v>
      </c>
      <c r="P85" s="71">
        <f t="shared" si="43"/>
        <v>0</v>
      </c>
      <c r="Q85" s="77" t="s">
        <v>19</v>
      </c>
      <c r="R85" s="78">
        <f t="shared" si="44"/>
        <v>0</v>
      </c>
      <c r="S85" s="78">
        <f t="shared" si="45"/>
        <v>0</v>
      </c>
    </row>
    <row r="86" spans="1:21" s="90" customFormat="1" x14ac:dyDescent="0.2">
      <c r="A86" s="133" t="s">
        <v>766</v>
      </c>
      <c r="B86" s="90" t="s">
        <v>45</v>
      </c>
      <c r="C86" s="91"/>
      <c r="D86" s="92" t="s">
        <v>19</v>
      </c>
      <c r="E86" s="93">
        <v>2</v>
      </c>
      <c r="F86" s="94">
        <v>4</v>
      </c>
      <c r="G86" s="95" t="s">
        <v>33</v>
      </c>
      <c r="H86" s="94">
        <v>20</v>
      </c>
      <c r="I86" s="95" t="s">
        <v>19</v>
      </c>
      <c r="J86" s="96">
        <v>50000</v>
      </c>
      <c r="K86" s="92" t="s">
        <v>19</v>
      </c>
      <c r="L86" s="97">
        <v>0.125</v>
      </c>
      <c r="M86" s="97">
        <v>0.1</v>
      </c>
      <c r="N86" s="94">
        <v>80</v>
      </c>
      <c r="O86" s="95" t="s">
        <v>19</v>
      </c>
      <c r="P86" s="91">
        <f t="shared" ref="P86" si="49">(C86+(E86*F86*H86))-N86</f>
        <v>80</v>
      </c>
      <c r="Q86" s="95" t="s">
        <v>19</v>
      </c>
      <c r="R86" s="96">
        <f t="shared" ref="R86" si="50">P86*(J86-(J86*L86)-((J86-(J86*L86))*M86))</f>
        <v>3150000</v>
      </c>
      <c r="S86" s="96">
        <f t="shared" ref="S86" si="51">R86/1.11</f>
        <v>2837837.8378378376</v>
      </c>
    </row>
    <row r="87" spans="1:21" s="19" customFormat="1" x14ac:dyDescent="0.2">
      <c r="A87" s="121" t="s">
        <v>53</v>
      </c>
      <c r="B87" s="19" t="s">
        <v>45</v>
      </c>
      <c r="C87" s="20"/>
      <c r="D87" s="21" t="s">
        <v>19</v>
      </c>
      <c r="E87" s="26">
        <v>8</v>
      </c>
      <c r="F87" s="22">
        <v>4</v>
      </c>
      <c r="G87" s="23" t="s">
        <v>33</v>
      </c>
      <c r="H87" s="22">
        <v>20</v>
      </c>
      <c r="I87" s="23" t="s">
        <v>19</v>
      </c>
      <c r="J87" s="24">
        <v>67000</v>
      </c>
      <c r="K87" s="21" t="s">
        <v>19</v>
      </c>
      <c r="L87" s="25">
        <v>0.125</v>
      </c>
      <c r="M87" s="120">
        <v>0.1</v>
      </c>
      <c r="N87" s="22">
        <v>480</v>
      </c>
      <c r="O87" s="23" t="s">
        <v>19</v>
      </c>
      <c r="P87" s="20">
        <f t="shared" ref="P87" si="52">(C87+(E87*F87*H87))-N87</f>
        <v>160</v>
      </c>
      <c r="Q87" s="23" t="s">
        <v>19</v>
      </c>
      <c r="R87" s="24">
        <f t="shared" ref="R87" si="53">P87*(J87-(J87*L87)-((J87-(J87*L87))*M87))</f>
        <v>8442000</v>
      </c>
      <c r="S87" s="24">
        <f t="shared" ref="S87" si="54">R87/1.11</f>
        <v>7605405.405405405</v>
      </c>
    </row>
    <row r="88" spans="1:21" s="73" customFormat="1" x14ac:dyDescent="0.2">
      <c r="A88" s="187" t="s">
        <v>53</v>
      </c>
      <c r="B88" s="73" t="s">
        <v>45</v>
      </c>
      <c r="C88" s="71"/>
      <c r="D88" s="74" t="s">
        <v>19</v>
      </c>
      <c r="E88" s="75">
        <v>1</v>
      </c>
      <c r="F88" s="76">
        <v>4</v>
      </c>
      <c r="G88" s="77" t="s">
        <v>33</v>
      </c>
      <c r="H88" s="76">
        <v>20</v>
      </c>
      <c r="I88" s="77" t="s">
        <v>19</v>
      </c>
      <c r="J88" s="78">
        <v>67000</v>
      </c>
      <c r="K88" s="74" t="s">
        <v>19</v>
      </c>
      <c r="L88" s="79">
        <v>0.125</v>
      </c>
      <c r="M88" s="188">
        <v>0.05</v>
      </c>
      <c r="N88" s="76">
        <v>80</v>
      </c>
      <c r="O88" s="77" t="s">
        <v>19</v>
      </c>
      <c r="P88" s="71">
        <f t="shared" si="43"/>
        <v>0</v>
      </c>
      <c r="Q88" s="77" t="s">
        <v>19</v>
      </c>
      <c r="R88" s="78">
        <f t="shared" si="44"/>
        <v>0</v>
      </c>
      <c r="S88" s="78">
        <f t="shared" si="45"/>
        <v>0</v>
      </c>
    </row>
    <row r="89" spans="1:21" s="73" customFormat="1" x14ac:dyDescent="0.2">
      <c r="A89" s="184" t="s">
        <v>1081</v>
      </c>
      <c r="B89" s="73" t="s">
        <v>45</v>
      </c>
      <c r="C89" s="71"/>
      <c r="D89" s="74" t="s">
        <v>19</v>
      </c>
      <c r="E89" s="75">
        <v>2</v>
      </c>
      <c r="F89" s="76">
        <v>4</v>
      </c>
      <c r="G89" s="77" t="s">
        <v>33</v>
      </c>
      <c r="H89" s="76">
        <v>20</v>
      </c>
      <c r="I89" s="77" t="s">
        <v>19</v>
      </c>
      <c r="J89" s="78">
        <v>67000</v>
      </c>
      <c r="K89" s="74" t="s">
        <v>19</v>
      </c>
      <c r="L89" s="79">
        <v>0.125</v>
      </c>
      <c r="M89" s="79">
        <v>0.1</v>
      </c>
      <c r="N89" s="76">
        <v>160</v>
      </c>
      <c r="O89" s="77" t="s">
        <v>19</v>
      </c>
      <c r="P89" s="71">
        <f t="shared" ref="P89" si="55">(C89+(E89*F89*H89))-N89</f>
        <v>0</v>
      </c>
      <c r="Q89" s="77" t="s">
        <v>19</v>
      </c>
      <c r="R89" s="78">
        <f t="shared" ref="R89" si="56">P89*(J89-(J89*L89)-((J89-(J89*L89))*M89))</f>
        <v>0</v>
      </c>
      <c r="S89" s="78">
        <f t="shared" ref="S89" si="57">R89/1.11</f>
        <v>0</v>
      </c>
    </row>
    <row r="90" spans="1:21" s="19" customFormat="1" x14ac:dyDescent="0.2">
      <c r="A90" s="124" t="s">
        <v>902</v>
      </c>
      <c r="B90" s="125" t="s">
        <v>45</v>
      </c>
      <c r="C90" s="126"/>
      <c r="D90" s="127" t="s">
        <v>19</v>
      </c>
      <c r="E90" s="128">
        <v>1</v>
      </c>
      <c r="F90" s="129">
        <v>4</v>
      </c>
      <c r="G90" s="130" t="s">
        <v>33</v>
      </c>
      <c r="H90" s="129">
        <v>20</v>
      </c>
      <c r="I90" s="130" t="s">
        <v>19</v>
      </c>
      <c r="J90" s="131">
        <v>50000</v>
      </c>
      <c r="K90" s="127" t="s">
        <v>19</v>
      </c>
      <c r="L90" s="132">
        <v>0.125</v>
      </c>
      <c r="M90" s="132">
        <v>0.05</v>
      </c>
      <c r="N90" s="129">
        <v>80</v>
      </c>
      <c r="O90" s="130" t="s">
        <v>19</v>
      </c>
      <c r="P90" s="126">
        <f t="shared" ref="P90" si="58">(C90+(E90*F90*H90))-N90</f>
        <v>0</v>
      </c>
      <c r="Q90" s="130" t="s">
        <v>19</v>
      </c>
      <c r="R90" s="131">
        <f t="shared" ref="R90" si="59">P90*(J90-(J90*L90)-((J90-(J90*L90))*M90))</f>
        <v>0</v>
      </c>
      <c r="S90" s="131">
        <f t="shared" ref="S90" si="60">R90/1.11</f>
        <v>0</v>
      </c>
    </row>
    <row r="91" spans="1:21" s="19" customFormat="1" x14ac:dyDescent="0.2">
      <c r="A91" s="72" t="s">
        <v>765</v>
      </c>
      <c r="B91" s="73" t="s">
        <v>45</v>
      </c>
      <c r="C91" s="71"/>
      <c r="D91" s="74" t="s">
        <v>19</v>
      </c>
      <c r="E91" s="75"/>
      <c r="F91" s="76">
        <v>6</v>
      </c>
      <c r="G91" s="77" t="s">
        <v>33</v>
      </c>
      <c r="H91" s="76">
        <v>10</v>
      </c>
      <c r="I91" s="77" t="s">
        <v>19</v>
      </c>
      <c r="J91" s="78">
        <v>77000</v>
      </c>
      <c r="K91" s="74" t="s">
        <v>19</v>
      </c>
      <c r="L91" s="79">
        <v>0.125</v>
      </c>
      <c r="M91" s="79">
        <v>0.05</v>
      </c>
      <c r="N91" s="76"/>
      <c r="O91" s="77" t="s">
        <v>19</v>
      </c>
      <c r="P91" s="71">
        <f t="shared" si="43"/>
        <v>0</v>
      </c>
      <c r="Q91" s="77" t="s">
        <v>19</v>
      </c>
      <c r="R91" s="78">
        <f t="shared" si="44"/>
        <v>0</v>
      </c>
      <c r="S91" s="78">
        <f t="shared" si="45"/>
        <v>0</v>
      </c>
      <c r="T91" s="73"/>
      <c r="U91" s="73"/>
    </row>
    <row r="92" spans="1:21" s="19" customFormat="1" x14ac:dyDescent="0.2">
      <c r="A92" s="72" t="s">
        <v>54</v>
      </c>
      <c r="B92" s="73" t="s">
        <v>45</v>
      </c>
      <c r="C92" s="71"/>
      <c r="D92" s="74" t="s">
        <v>19</v>
      </c>
      <c r="E92" s="75"/>
      <c r="F92" s="76">
        <v>6</v>
      </c>
      <c r="G92" s="77" t="s">
        <v>33</v>
      </c>
      <c r="H92" s="76">
        <v>10</v>
      </c>
      <c r="I92" s="77" t="s">
        <v>19</v>
      </c>
      <c r="J92" s="78">
        <v>73000</v>
      </c>
      <c r="K92" s="74" t="s">
        <v>19</v>
      </c>
      <c r="L92" s="79">
        <v>0.125</v>
      </c>
      <c r="M92" s="79">
        <v>0.05</v>
      </c>
      <c r="N92" s="76"/>
      <c r="O92" s="77" t="s">
        <v>19</v>
      </c>
      <c r="P92" s="71">
        <f t="shared" si="43"/>
        <v>0</v>
      </c>
      <c r="Q92" s="77" t="s">
        <v>19</v>
      </c>
      <c r="R92" s="78">
        <f t="shared" si="44"/>
        <v>0</v>
      </c>
      <c r="S92" s="78">
        <f t="shared" si="45"/>
        <v>0</v>
      </c>
      <c r="T92" s="73"/>
      <c r="U92" s="73"/>
    </row>
    <row r="93" spans="1:21" s="73" customFormat="1" x14ac:dyDescent="0.2">
      <c r="A93" s="72" t="s">
        <v>55</v>
      </c>
      <c r="B93" s="73" t="s">
        <v>45</v>
      </c>
      <c r="C93" s="71"/>
      <c r="D93" s="74" t="s">
        <v>19</v>
      </c>
      <c r="E93" s="75">
        <v>1</v>
      </c>
      <c r="F93" s="76">
        <v>8</v>
      </c>
      <c r="G93" s="77" t="s">
        <v>33</v>
      </c>
      <c r="H93" s="76">
        <v>10</v>
      </c>
      <c r="I93" s="77" t="s">
        <v>19</v>
      </c>
      <c r="J93" s="78">
        <v>58000</v>
      </c>
      <c r="K93" s="74" t="s">
        <v>19</v>
      </c>
      <c r="L93" s="79">
        <v>0.125</v>
      </c>
      <c r="M93" s="79">
        <v>0.05</v>
      </c>
      <c r="N93" s="76">
        <v>80</v>
      </c>
      <c r="O93" s="77" t="s">
        <v>19</v>
      </c>
      <c r="P93" s="71">
        <f t="shared" ref="P93" si="61">(C93+(E93*F93*H93))-N93</f>
        <v>0</v>
      </c>
      <c r="Q93" s="77" t="s">
        <v>19</v>
      </c>
      <c r="R93" s="78">
        <f t="shared" ref="R93" si="62">P93*(J93-(J93*L93)-((J93-(J93*L93))*M93))</f>
        <v>0</v>
      </c>
      <c r="S93" s="78">
        <f t="shared" ref="S93" si="63">R93/1.11</f>
        <v>0</v>
      </c>
    </row>
    <row r="94" spans="1:21" s="73" customFormat="1" x14ac:dyDescent="0.2">
      <c r="A94" s="72" t="s">
        <v>56</v>
      </c>
      <c r="B94" s="73" t="s">
        <v>45</v>
      </c>
      <c r="C94" s="71">
        <v>112</v>
      </c>
      <c r="D94" s="74" t="s">
        <v>19</v>
      </c>
      <c r="E94" s="75">
        <v>1</v>
      </c>
      <c r="F94" s="76">
        <v>6</v>
      </c>
      <c r="G94" s="77" t="s">
        <v>33</v>
      </c>
      <c r="H94" s="76">
        <v>20</v>
      </c>
      <c r="I94" s="77" t="s">
        <v>19</v>
      </c>
      <c r="J94" s="78">
        <v>47000</v>
      </c>
      <c r="K94" s="74" t="s">
        <v>19</v>
      </c>
      <c r="L94" s="79">
        <v>0.125</v>
      </c>
      <c r="M94" s="79">
        <v>0.05</v>
      </c>
      <c r="N94" s="76">
        <v>232</v>
      </c>
      <c r="O94" s="77" t="s">
        <v>19</v>
      </c>
      <c r="P94" s="71">
        <f t="shared" si="43"/>
        <v>0</v>
      </c>
      <c r="Q94" s="77" t="s">
        <v>19</v>
      </c>
      <c r="R94" s="78">
        <f t="shared" si="44"/>
        <v>0</v>
      </c>
      <c r="S94" s="78">
        <f t="shared" si="45"/>
        <v>0</v>
      </c>
    </row>
    <row r="95" spans="1:21" s="73" customFormat="1" x14ac:dyDescent="0.2">
      <c r="A95" s="187" t="s">
        <v>57</v>
      </c>
      <c r="B95" s="73" t="s">
        <v>45</v>
      </c>
      <c r="C95" s="71">
        <v>82</v>
      </c>
      <c r="D95" s="74" t="s">
        <v>19</v>
      </c>
      <c r="E95" s="75">
        <v>5</v>
      </c>
      <c r="F95" s="76">
        <v>8</v>
      </c>
      <c r="G95" s="77" t="s">
        <v>33</v>
      </c>
      <c r="H95" s="76">
        <v>20</v>
      </c>
      <c r="I95" s="77" t="s">
        <v>19</v>
      </c>
      <c r="J95" s="78">
        <v>32000</v>
      </c>
      <c r="K95" s="74" t="s">
        <v>19</v>
      </c>
      <c r="L95" s="79">
        <v>0.125</v>
      </c>
      <c r="M95" s="188">
        <v>0.05</v>
      </c>
      <c r="N95" s="76">
        <v>882</v>
      </c>
      <c r="O95" s="77" t="s">
        <v>19</v>
      </c>
      <c r="P95" s="71">
        <f t="shared" si="43"/>
        <v>0</v>
      </c>
      <c r="Q95" s="77" t="s">
        <v>19</v>
      </c>
      <c r="R95" s="78">
        <f t="shared" si="44"/>
        <v>0</v>
      </c>
      <c r="S95" s="78">
        <f t="shared" si="45"/>
        <v>0</v>
      </c>
    </row>
    <row r="96" spans="1:21" s="73" customFormat="1" x14ac:dyDescent="0.2">
      <c r="A96" s="187" t="s">
        <v>57</v>
      </c>
      <c r="B96" s="73" t="s">
        <v>45</v>
      </c>
      <c r="C96" s="71"/>
      <c r="D96" s="74" t="s">
        <v>19</v>
      </c>
      <c r="E96" s="75">
        <v>1</v>
      </c>
      <c r="F96" s="76">
        <v>8</v>
      </c>
      <c r="G96" s="77" t="s">
        <v>33</v>
      </c>
      <c r="H96" s="76">
        <v>20</v>
      </c>
      <c r="I96" s="77" t="s">
        <v>19</v>
      </c>
      <c r="J96" s="78">
        <v>32000</v>
      </c>
      <c r="K96" s="74" t="s">
        <v>19</v>
      </c>
      <c r="L96" s="79">
        <v>0.125</v>
      </c>
      <c r="M96" s="188">
        <v>0.1</v>
      </c>
      <c r="N96" s="76">
        <v>160</v>
      </c>
      <c r="O96" s="77" t="s">
        <v>19</v>
      </c>
      <c r="P96" s="71">
        <f t="shared" si="43"/>
        <v>0</v>
      </c>
      <c r="Q96" s="77" t="s">
        <v>19</v>
      </c>
      <c r="R96" s="78">
        <f t="shared" si="44"/>
        <v>0</v>
      </c>
      <c r="S96" s="78">
        <f t="shared" si="45"/>
        <v>0</v>
      </c>
    </row>
    <row r="97" spans="1:19" s="73" customFormat="1" x14ac:dyDescent="0.2">
      <c r="A97" s="185" t="s">
        <v>58</v>
      </c>
      <c r="B97" s="73" t="s">
        <v>45</v>
      </c>
      <c r="C97" s="71">
        <v>3</v>
      </c>
      <c r="D97" s="74" t="s">
        <v>19</v>
      </c>
      <c r="E97" s="75">
        <v>5</v>
      </c>
      <c r="F97" s="76">
        <v>8</v>
      </c>
      <c r="G97" s="77" t="s">
        <v>33</v>
      </c>
      <c r="H97" s="76">
        <v>20</v>
      </c>
      <c r="I97" s="77" t="s">
        <v>19</v>
      </c>
      <c r="J97" s="78">
        <v>27500</v>
      </c>
      <c r="K97" s="74" t="s">
        <v>19</v>
      </c>
      <c r="L97" s="79">
        <v>0.125</v>
      </c>
      <c r="M97" s="189">
        <v>0.05</v>
      </c>
      <c r="N97" s="76">
        <v>803</v>
      </c>
      <c r="O97" s="77" t="s">
        <v>19</v>
      </c>
      <c r="P97" s="71">
        <f t="shared" si="43"/>
        <v>0</v>
      </c>
      <c r="Q97" s="77" t="s">
        <v>19</v>
      </c>
      <c r="R97" s="78">
        <f t="shared" si="44"/>
        <v>0</v>
      </c>
      <c r="S97" s="78">
        <f t="shared" si="45"/>
        <v>0</v>
      </c>
    </row>
    <row r="98" spans="1:19" s="73" customFormat="1" x14ac:dyDescent="0.2">
      <c r="A98" s="185" t="s">
        <v>58</v>
      </c>
      <c r="B98" s="73" t="s">
        <v>45</v>
      </c>
      <c r="C98" s="71"/>
      <c r="D98" s="74" t="s">
        <v>19</v>
      </c>
      <c r="E98" s="75">
        <v>1</v>
      </c>
      <c r="F98" s="76">
        <v>8</v>
      </c>
      <c r="G98" s="77" t="s">
        <v>33</v>
      </c>
      <c r="H98" s="76">
        <v>20</v>
      </c>
      <c r="I98" s="77" t="s">
        <v>19</v>
      </c>
      <c r="J98" s="78">
        <v>27500</v>
      </c>
      <c r="K98" s="74" t="s">
        <v>19</v>
      </c>
      <c r="L98" s="79">
        <v>0.125</v>
      </c>
      <c r="M98" s="189">
        <v>0.1</v>
      </c>
      <c r="N98" s="76">
        <v>160</v>
      </c>
      <c r="O98" s="77" t="s">
        <v>19</v>
      </c>
      <c r="P98" s="71">
        <f t="shared" si="43"/>
        <v>0</v>
      </c>
      <c r="Q98" s="77" t="s">
        <v>19</v>
      </c>
      <c r="R98" s="78">
        <f t="shared" si="44"/>
        <v>0</v>
      </c>
      <c r="S98" s="78">
        <f t="shared" si="45"/>
        <v>0</v>
      </c>
    </row>
    <row r="99" spans="1:19" s="73" customFormat="1" x14ac:dyDescent="0.2">
      <c r="A99" s="187" t="s">
        <v>59</v>
      </c>
      <c r="B99" s="73" t="s">
        <v>45</v>
      </c>
      <c r="C99" s="71">
        <v>9</v>
      </c>
      <c r="D99" s="74" t="s">
        <v>19</v>
      </c>
      <c r="E99" s="75"/>
      <c r="F99" s="76">
        <v>4</v>
      </c>
      <c r="G99" s="77" t="s">
        <v>33</v>
      </c>
      <c r="H99" s="76">
        <v>20</v>
      </c>
      <c r="I99" s="77" t="s">
        <v>19</v>
      </c>
      <c r="J99" s="190">
        <v>54000</v>
      </c>
      <c r="K99" s="74" t="s">
        <v>19</v>
      </c>
      <c r="L99" s="79">
        <v>0.125</v>
      </c>
      <c r="M99" s="79">
        <v>0.05</v>
      </c>
      <c r="N99" s="76">
        <v>9</v>
      </c>
      <c r="O99" s="77" t="s">
        <v>19</v>
      </c>
      <c r="P99" s="71">
        <f t="shared" si="43"/>
        <v>0</v>
      </c>
      <c r="Q99" s="77" t="s">
        <v>19</v>
      </c>
      <c r="R99" s="78">
        <f t="shared" si="44"/>
        <v>0</v>
      </c>
      <c r="S99" s="78">
        <f t="shared" si="45"/>
        <v>0</v>
      </c>
    </row>
    <row r="100" spans="1:19" s="73" customFormat="1" x14ac:dyDescent="0.2">
      <c r="A100" s="187" t="s">
        <v>59</v>
      </c>
      <c r="B100" s="73" t="s">
        <v>45</v>
      </c>
      <c r="C100" s="71"/>
      <c r="D100" s="74" t="s">
        <v>19</v>
      </c>
      <c r="E100" s="75">
        <v>3</v>
      </c>
      <c r="F100" s="76">
        <v>4</v>
      </c>
      <c r="G100" s="77" t="s">
        <v>33</v>
      </c>
      <c r="H100" s="76">
        <v>20</v>
      </c>
      <c r="I100" s="77" t="s">
        <v>19</v>
      </c>
      <c r="J100" s="190">
        <v>55000</v>
      </c>
      <c r="K100" s="74" t="s">
        <v>19</v>
      </c>
      <c r="L100" s="79">
        <v>0.125</v>
      </c>
      <c r="M100" s="79">
        <v>0.05</v>
      </c>
      <c r="N100" s="76">
        <v>240</v>
      </c>
      <c r="O100" s="77" t="s">
        <v>19</v>
      </c>
      <c r="P100" s="71">
        <f t="shared" si="43"/>
        <v>0</v>
      </c>
      <c r="Q100" s="77" t="s">
        <v>19</v>
      </c>
      <c r="R100" s="78">
        <f t="shared" si="44"/>
        <v>0</v>
      </c>
      <c r="S100" s="78">
        <f t="shared" si="45"/>
        <v>0</v>
      </c>
    </row>
    <row r="101" spans="1:19" s="73" customFormat="1" x14ac:dyDescent="0.2">
      <c r="A101" s="185" t="s">
        <v>60</v>
      </c>
      <c r="B101" s="73" t="s">
        <v>45</v>
      </c>
      <c r="C101" s="71">
        <v>20</v>
      </c>
      <c r="D101" s="74" t="s">
        <v>19</v>
      </c>
      <c r="E101" s="75">
        <v>4</v>
      </c>
      <c r="F101" s="76">
        <v>6</v>
      </c>
      <c r="G101" s="77" t="s">
        <v>33</v>
      </c>
      <c r="H101" s="76">
        <v>10</v>
      </c>
      <c r="I101" s="77" t="s">
        <v>19</v>
      </c>
      <c r="J101" s="78">
        <v>74000</v>
      </c>
      <c r="K101" s="74" t="s">
        <v>19</v>
      </c>
      <c r="L101" s="79">
        <v>0.125</v>
      </c>
      <c r="M101" s="189">
        <v>0.1</v>
      </c>
      <c r="N101" s="76">
        <v>260</v>
      </c>
      <c r="O101" s="77" t="s">
        <v>19</v>
      </c>
      <c r="P101" s="71">
        <f t="shared" si="43"/>
        <v>0</v>
      </c>
      <c r="Q101" s="77" t="s">
        <v>19</v>
      </c>
      <c r="R101" s="78">
        <f t="shared" si="44"/>
        <v>0</v>
      </c>
      <c r="S101" s="78">
        <f t="shared" si="45"/>
        <v>0</v>
      </c>
    </row>
    <row r="102" spans="1:19" s="73" customFormat="1" x14ac:dyDescent="0.2">
      <c r="A102" s="185" t="s">
        <v>60</v>
      </c>
      <c r="B102" s="73" t="s">
        <v>45</v>
      </c>
      <c r="C102" s="71">
        <v>20</v>
      </c>
      <c r="D102" s="74" t="s">
        <v>19</v>
      </c>
      <c r="E102" s="75">
        <v>3</v>
      </c>
      <c r="F102" s="76">
        <v>6</v>
      </c>
      <c r="G102" s="77" t="s">
        <v>33</v>
      </c>
      <c r="H102" s="76">
        <v>10</v>
      </c>
      <c r="I102" s="77" t="s">
        <v>19</v>
      </c>
      <c r="J102" s="78">
        <v>74000</v>
      </c>
      <c r="K102" s="74" t="s">
        <v>19</v>
      </c>
      <c r="L102" s="79">
        <v>0.125</v>
      </c>
      <c r="M102" s="189">
        <v>0.05</v>
      </c>
      <c r="N102" s="76">
        <v>200</v>
      </c>
      <c r="O102" s="77" t="s">
        <v>19</v>
      </c>
      <c r="P102" s="71">
        <f t="shared" si="43"/>
        <v>0</v>
      </c>
      <c r="Q102" s="77" t="s">
        <v>19</v>
      </c>
      <c r="R102" s="78">
        <f t="shared" si="44"/>
        <v>0</v>
      </c>
      <c r="S102" s="78">
        <f t="shared" si="45"/>
        <v>0</v>
      </c>
    </row>
    <row r="103" spans="1:19" s="73" customFormat="1" x14ac:dyDescent="0.2">
      <c r="A103" s="184" t="s">
        <v>1065</v>
      </c>
      <c r="B103" s="73" t="s">
        <v>45</v>
      </c>
      <c r="C103" s="71">
        <v>0</v>
      </c>
      <c r="D103" s="74" t="s">
        <v>19</v>
      </c>
      <c r="E103" s="75">
        <v>1</v>
      </c>
      <c r="F103" s="76">
        <v>6</v>
      </c>
      <c r="G103" s="77" t="s">
        <v>33</v>
      </c>
      <c r="H103" s="76">
        <v>20</v>
      </c>
      <c r="I103" s="77" t="s">
        <v>19</v>
      </c>
      <c r="J103" s="78">
        <v>44000</v>
      </c>
      <c r="K103" s="74" t="s">
        <v>19</v>
      </c>
      <c r="L103" s="79">
        <v>0.125</v>
      </c>
      <c r="M103" s="79">
        <v>0.1</v>
      </c>
      <c r="N103" s="76">
        <v>120</v>
      </c>
      <c r="O103" s="77" t="s">
        <v>19</v>
      </c>
      <c r="P103" s="71">
        <f t="shared" ref="P103" si="64">(C103+(E103*F103*H103))-N103</f>
        <v>0</v>
      </c>
      <c r="Q103" s="77" t="s">
        <v>19</v>
      </c>
      <c r="R103" s="78">
        <f t="shared" ref="R103" si="65">P103*(J103-(J103*L103)-((J103-(J103*L103))*M103))</f>
        <v>0</v>
      </c>
      <c r="S103" s="78">
        <f t="shared" ref="S103" si="66">R103/1.11</f>
        <v>0</v>
      </c>
    </row>
    <row r="104" spans="1:19" s="73" customFormat="1" x14ac:dyDescent="0.2">
      <c r="A104" s="187" t="s">
        <v>61</v>
      </c>
      <c r="B104" s="73" t="s">
        <v>45</v>
      </c>
      <c r="C104" s="71">
        <v>4</v>
      </c>
      <c r="D104" s="74" t="s">
        <v>19</v>
      </c>
      <c r="E104" s="75"/>
      <c r="F104" s="76">
        <v>6</v>
      </c>
      <c r="G104" s="77" t="s">
        <v>33</v>
      </c>
      <c r="H104" s="76">
        <v>20</v>
      </c>
      <c r="I104" s="77" t="s">
        <v>19</v>
      </c>
      <c r="J104" s="78">
        <v>52000</v>
      </c>
      <c r="K104" s="74" t="s">
        <v>19</v>
      </c>
      <c r="L104" s="79">
        <v>0.125</v>
      </c>
      <c r="M104" s="188">
        <v>0.1</v>
      </c>
      <c r="N104" s="76">
        <v>4</v>
      </c>
      <c r="O104" s="77" t="s">
        <v>19</v>
      </c>
      <c r="P104" s="71">
        <f t="shared" si="43"/>
        <v>0</v>
      </c>
      <c r="Q104" s="77" t="s">
        <v>19</v>
      </c>
      <c r="R104" s="78">
        <f t="shared" si="44"/>
        <v>0</v>
      </c>
      <c r="S104" s="78">
        <f t="shared" si="45"/>
        <v>0</v>
      </c>
    </row>
    <row r="105" spans="1:19" s="73" customFormat="1" x14ac:dyDescent="0.2">
      <c r="A105" s="187" t="s">
        <v>61</v>
      </c>
      <c r="B105" s="73" t="s">
        <v>45</v>
      </c>
      <c r="C105" s="71"/>
      <c r="D105" s="74" t="s">
        <v>19</v>
      </c>
      <c r="E105" s="75">
        <v>2</v>
      </c>
      <c r="F105" s="76">
        <v>6</v>
      </c>
      <c r="G105" s="77" t="s">
        <v>33</v>
      </c>
      <c r="H105" s="76">
        <v>20</v>
      </c>
      <c r="I105" s="77" t="s">
        <v>19</v>
      </c>
      <c r="J105" s="78">
        <v>52000</v>
      </c>
      <c r="K105" s="74" t="s">
        <v>19</v>
      </c>
      <c r="L105" s="79">
        <v>0.125</v>
      </c>
      <c r="M105" s="188">
        <v>0.05</v>
      </c>
      <c r="N105" s="76">
        <v>240</v>
      </c>
      <c r="O105" s="77" t="s">
        <v>19</v>
      </c>
      <c r="P105" s="71">
        <f t="shared" si="43"/>
        <v>0</v>
      </c>
      <c r="Q105" s="77" t="s">
        <v>19</v>
      </c>
      <c r="R105" s="78">
        <f t="shared" si="44"/>
        <v>0</v>
      </c>
      <c r="S105" s="78">
        <f t="shared" si="45"/>
        <v>0</v>
      </c>
    </row>
    <row r="106" spans="1:19" s="90" customFormat="1" x14ac:dyDescent="0.2">
      <c r="A106" s="100" t="s">
        <v>62</v>
      </c>
      <c r="B106" s="90" t="s">
        <v>45</v>
      </c>
      <c r="C106" s="91"/>
      <c r="D106" s="92" t="s">
        <v>19</v>
      </c>
      <c r="E106" s="93">
        <v>4</v>
      </c>
      <c r="F106" s="94">
        <v>6</v>
      </c>
      <c r="G106" s="95" t="s">
        <v>33</v>
      </c>
      <c r="H106" s="94">
        <v>20</v>
      </c>
      <c r="I106" s="95" t="s">
        <v>19</v>
      </c>
      <c r="J106" s="96">
        <v>32500</v>
      </c>
      <c r="K106" s="92" t="s">
        <v>19</v>
      </c>
      <c r="L106" s="97">
        <v>0.125</v>
      </c>
      <c r="M106" s="101">
        <v>0.1</v>
      </c>
      <c r="N106" s="94">
        <v>360</v>
      </c>
      <c r="O106" s="95" t="s">
        <v>19</v>
      </c>
      <c r="P106" s="91">
        <f t="shared" si="43"/>
        <v>120</v>
      </c>
      <c r="Q106" s="95" t="s">
        <v>19</v>
      </c>
      <c r="R106" s="96">
        <f t="shared" si="44"/>
        <v>3071250</v>
      </c>
      <c r="S106" s="96">
        <f t="shared" si="45"/>
        <v>2766891.8918918916</v>
      </c>
    </row>
    <row r="107" spans="1:19" s="73" customFormat="1" x14ac:dyDescent="0.2">
      <c r="A107" s="185" t="s">
        <v>62</v>
      </c>
      <c r="B107" s="73" t="s">
        <v>45</v>
      </c>
      <c r="C107" s="71">
        <v>330</v>
      </c>
      <c r="D107" s="74" t="s">
        <v>19</v>
      </c>
      <c r="E107" s="75">
        <v>1</v>
      </c>
      <c r="F107" s="76">
        <v>6</v>
      </c>
      <c r="G107" s="77" t="s">
        <v>33</v>
      </c>
      <c r="H107" s="76">
        <v>20</v>
      </c>
      <c r="I107" s="77" t="s">
        <v>19</v>
      </c>
      <c r="J107" s="78">
        <v>32500</v>
      </c>
      <c r="K107" s="74" t="s">
        <v>19</v>
      </c>
      <c r="L107" s="79">
        <v>0.125</v>
      </c>
      <c r="M107" s="189">
        <v>0.05</v>
      </c>
      <c r="N107" s="76">
        <v>450</v>
      </c>
      <c r="O107" s="77" t="s">
        <v>19</v>
      </c>
      <c r="P107" s="71">
        <f t="shared" si="43"/>
        <v>0</v>
      </c>
      <c r="Q107" s="77" t="s">
        <v>19</v>
      </c>
      <c r="R107" s="78">
        <f t="shared" si="44"/>
        <v>0</v>
      </c>
      <c r="S107" s="78">
        <f t="shared" si="45"/>
        <v>0</v>
      </c>
    </row>
    <row r="108" spans="1:19" s="73" customFormat="1" x14ac:dyDescent="0.2">
      <c r="A108" s="185" t="s">
        <v>943</v>
      </c>
      <c r="B108" s="73" t="s">
        <v>45</v>
      </c>
      <c r="C108" s="71">
        <v>2</v>
      </c>
      <c r="D108" s="74" t="s">
        <v>19</v>
      </c>
      <c r="E108" s="75"/>
      <c r="F108" s="76">
        <v>6</v>
      </c>
      <c r="G108" s="77" t="s">
        <v>33</v>
      </c>
      <c r="H108" s="76">
        <v>20</v>
      </c>
      <c r="I108" s="77" t="s">
        <v>19</v>
      </c>
      <c r="J108" s="78">
        <v>32500</v>
      </c>
      <c r="K108" s="74" t="s">
        <v>19</v>
      </c>
      <c r="L108" s="189">
        <v>0.1</v>
      </c>
      <c r="M108" s="79">
        <v>0.05</v>
      </c>
      <c r="N108" s="76">
        <v>2</v>
      </c>
      <c r="O108" s="77" t="s">
        <v>19</v>
      </c>
      <c r="P108" s="71">
        <f t="shared" ref="P108" si="67">(C108+(E108*F108*H108))-N108</f>
        <v>0</v>
      </c>
      <c r="Q108" s="77" t="s">
        <v>19</v>
      </c>
      <c r="R108" s="78">
        <f t="shared" ref="R108" si="68">P108*(J108-(J108*L108)-((J108-(J108*L108))*M108))</f>
        <v>0</v>
      </c>
      <c r="S108" s="78">
        <f t="shared" ref="S108" si="69">R108/1.11</f>
        <v>0</v>
      </c>
    </row>
    <row r="109" spans="1:19" s="73" customFormat="1" x14ac:dyDescent="0.2">
      <c r="A109" s="72" t="s">
        <v>809</v>
      </c>
      <c r="B109" s="73" t="s">
        <v>45</v>
      </c>
      <c r="C109" s="71"/>
      <c r="D109" s="74" t="s">
        <v>19</v>
      </c>
      <c r="E109" s="75">
        <v>2</v>
      </c>
      <c r="F109" s="76">
        <v>8</v>
      </c>
      <c r="G109" s="77" t="s">
        <v>33</v>
      </c>
      <c r="H109" s="76">
        <v>10</v>
      </c>
      <c r="I109" s="77" t="s">
        <v>19</v>
      </c>
      <c r="J109" s="78">
        <v>62000</v>
      </c>
      <c r="K109" s="74" t="s">
        <v>19</v>
      </c>
      <c r="L109" s="79">
        <v>0.125</v>
      </c>
      <c r="M109" s="79">
        <v>0.1</v>
      </c>
      <c r="N109" s="76">
        <v>160</v>
      </c>
      <c r="O109" s="77" t="s">
        <v>19</v>
      </c>
      <c r="P109" s="71">
        <f t="shared" si="43"/>
        <v>0</v>
      </c>
      <c r="Q109" s="77" t="s">
        <v>19</v>
      </c>
      <c r="R109" s="78">
        <f t="shared" si="44"/>
        <v>0</v>
      </c>
      <c r="S109" s="78">
        <f t="shared" si="45"/>
        <v>0</v>
      </c>
    </row>
    <row r="110" spans="1:19" s="73" customFormat="1" x14ac:dyDescent="0.2">
      <c r="A110" s="72" t="s">
        <v>810</v>
      </c>
      <c r="B110" s="73" t="s">
        <v>45</v>
      </c>
      <c r="C110" s="71"/>
      <c r="D110" s="74" t="s">
        <v>19</v>
      </c>
      <c r="E110" s="75">
        <v>2</v>
      </c>
      <c r="F110" s="76">
        <v>6</v>
      </c>
      <c r="G110" s="77" t="s">
        <v>33</v>
      </c>
      <c r="H110" s="76">
        <v>10</v>
      </c>
      <c r="I110" s="77" t="s">
        <v>19</v>
      </c>
      <c r="J110" s="78">
        <v>88000</v>
      </c>
      <c r="K110" s="74" t="s">
        <v>19</v>
      </c>
      <c r="L110" s="79">
        <v>0.125</v>
      </c>
      <c r="M110" s="79">
        <v>0.1</v>
      </c>
      <c r="N110" s="76">
        <v>120</v>
      </c>
      <c r="O110" s="77" t="s">
        <v>19</v>
      </c>
      <c r="P110" s="71">
        <f t="shared" si="43"/>
        <v>0</v>
      </c>
      <c r="Q110" s="77" t="s">
        <v>19</v>
      </c>
      <c r="R110" s="78">
        <f t="shared" si="44"/>
        <v>0</v>
      </c>
      <c r="S110" s="78">
        <f t="shared" si="45"/>
        <v>0</v>
      </c>
    </row>
    <row r="111" spans="1:19" s="73" customFormat="1" x14ac:dyDescent="0.2">
      <c r="A111" s="184" t="s">
        <v>63</v>
      </c>
      <c r="B111" s="73" t="s">
        <v>45</v>
      </c>
      <c r="C111" s="71"/>
      <c r="D111" s="74" t="s">
        <v>19</v>
      </c>
      <c r="E111" s="75">
        <v>1</v>
      </c>
      <c r="F111" s="76">
        <v>6</v>
      </c>
      <c r="G111" s="77" t="s">
        <v>33</v>
      </c>
      <c r="H111" s="76">
        <v>10</v>
      </c>
      <c r="I111" s="77" t="s">
        <v>19</v>
      </c>
      <c r="J111" s="78">
        <v>75000</v>
      </c>
      <c r="K111" s="74" t="s">
        <v>19</v>
      </c>
      <c r="L111" s="79">
        <v>0.125</v>
      </c>
      <c r="M111" s="79">
        <v>0.1</v>
      </c>
      <c r="N111" s="76">
        <v>60</v>
      </c>
      <c r="O111" s="77" t="s">
        <v>19</v>
      </c>
      <c r="P111" s="71">
        <f t="shared" ref="P111" si="70">(C111+(E111*F111*H111))-N111</f>
        <v>0</v>
      </c>
      <c r="Q111" s="77" t="s">
        <v>19</v>
      </c>
      <c r="R111" s="78">
        <f t="shared" ref="R111" si="71">P111*(J111-(J111*L111)-((J111-(J111*L111))*M111))</f>
        <v>0</v>
      </c>
      <c r="S111" s="78">
        <f t="shared" ref="S111" si="72">R111/1.11</f>
        <v>0</v>
      </c>
    </row>
    <row r="112" spans="1:19" s="73" customFormat="1" x14ac:dyDescent="0.2">
      <c r="A112" s="72" t="s">
        <v>63</v>
      </c>
      <c r="B112" s="73" t="s">
        <v>45</v>
      </c>
      <c r="C112" s="71"/>
      <c r="D112" s="74" t="s">
        <v>19</v>
      </c>
      <c r="E112" s="75">
        <v>1</v>
      </c>
      <c r="F112" s="76">
        <v>6</v>
      </c>
      <c r="G112" s="77" t="s">
        <v>33</v>
      </c>
      <c r="H112" s="76">
        <v>10</v>
      </c>
      <c r="I112" s="77" t="s">
        <v>19</v>
      </c>
      <c r="J112" s="78">
        <v>75000</v>
      </c>
      <c r="K112" s="74" t="s">
        <v>19</v>
      </c>
      <c r="L112" s="79">
        <v>0.125</v>
      </c>
      <c r="M112" s="79">
        <v>0.05</v>
      </c>
      <c r="N112" s="76">
        <v>60</v>
      </c>
      <c r="O112" s="77" t="s">
        <v>19</v>
      </c>
      <c r="P112" s="71">
        <f t="shared" si="43"/>
        <v>0</v>
      </c>
      <c r="Q112" s="77" t="s">
        <v>19</v>
      </c>
      <c r="R112" s="78">
        <f t="shared" si="44"/>
        <v>0</v>
      </c>
      <c r="S112" s="78">
        <f t="shared" si="45"/>
        <v>0</v>
      </c>
    </row>
    <row r="113" spans="1:19" s="73" customFormat="1" x14ac:dyDescent="0.2">
      <c r="A113" s="187" t="s">
        <v>64</v>
      </c>
      <c r="B113" s="73" t="s">
        <v>45</v>
      </c>
      <c r="C113" s="71"/>
      <c r="D113" s="74" t="s">
        <v>19</v>
      </c>
      <c r="E113" s="75">
        <v>4</v>
      </c>
      <c r="F113" s="76">
        <v>6</v>
      </c>
      <c r="G113" s="77" t="s">
        <v>33</v>
      </c>
      <c r="H113" s="76">
        <v>10</v>
      </c>
      <c r="I113" s="77" t="s">
        <v>19</v>
      </c>
      <c r="J113" s="78">
        <v>79000</v>
      </c>
      <c r="K113" s="74" t="s">
        <v>19</v>
      </c>
      <c r="L113" s="79">
        <v>0.125</v>
      </c>
      <c r="M113" s="188">
        <v>0.1</v>
      </c>
      <c r="N113" s="76">
        <v>240</v>
      </c>
      <c r="O113" s="77" t="s">
        <v>19</v>
      </c>
      <c r="P113" s="71">
        <f t="shared" si="43"/>
        <v>0</v>
      </c>
      <c r="Q113" s="77" t="s">
        <v>19</v>
      </c>
      <c r="R113" s="78">
        <f t="shared" si="44"/>
        <v>0</v>
      </c>
      <c r="S113" s="78">
        <f t="shared" si="45"/>
        <v>0</v>
      </c>
    </row>
    <row r="114" spans="1:19" s="73" customFormat="1" x14ac:dyDescent="0.2">
      <c r="A114" s="187" t="s">
        <v>64</v>
      </c>
      <c r="B114" s="73" t="s">
        <v>45</v>
      </c>
      <c r="C114" s="71"/>
      <c r="D114" s="74" t="s">
        <v>19</v>
      </c>
      <c r="E114" s="75">
        <v>2</v>
      </c>
      <c r="F114" s="76">
        <v>6</v>
      </c>
      <c r="G114" s="77" t="s">
        <v>33</v>
      </c>
      <c r="H114" s="76">
        <v>10</v>
      </c>
      <c r="I114" s="77" t="s">
        <v>19</v>
      </c>
      <c r="J114" s="78">
        <v>79000</v>
      </c>
      <c r="K114" s="74" t="s">
        <v>19</v>
      </c>
      <c r="L114" s="79">
        <v>0.125</v>
      </c>
      <c r="M114" s="188">
        <v>0.05</v>
      </c>
      <c r="N114" s="76">
        <v>120</v>
      </c>
      <c r="O114" s="77" t="s">
        <v>19</v>
      </c>
      <c r="P114" s="71">
        <f t="shared" si="43"/>
        <v>0</v>
      </c>
      <c r="Q114" s="77" t="s">
        <v>19</v>
      </c>
      <c r="R114" s="78">
        <f t="shared" si="44"/>
        <v>0</v>
      </c>
      <c r="S114" s="78">
        <f t="shared" si="45"/>
        <v>0</v>
      </c>
    </row>
    <row r="115" spans="1:19" s="73" customFormat="1" x14ac:dyDescent="0.2">
      <c r="A115" s="185" t="s">
        <v>65</v>
      </c>
      <c r="B115" s="73" t="s">
        <v>45</v>
      </c>
      <c r="C115" s="71">
        <v>83</v>
      </c>
      <c r="D115" s="74" t="s">
        <v>19</v>
      </c>
      <c r="E115" s="75"/>
      <c r="F115" s="76">
        <v>6</v>
      </c>
      <c r="G115" s="77" t="s">
        <v>33</v>
      </c>
      <c r="H115" s="76">
        <v>10</v>
      </c>
      <c r="I115" s="77" t="s">
        <v>19</v>
      </c>
      <c r="J115" s="186">
        <v>75000</v>
      </c>
      <c r="K115" s="74" t="s">
        <v>19</v>
      </c>
      <c r="L115" s="79">
        <v>0.125</v>
      </c>
      <c r="M115" s="79">
        <v>0.05</v>
      </c>
      <c r="N115" s="76">
        <v>83</v>
      </c>
      <c r="O115" s="77" t="s">
        <v>19</v>
      </c>
      <c r="P115" s="71">
        <f t="shared" si="43"/>
        <v>0</v>
      </c>
      <c r="Q115" s="77" t="s">
        <v>19</v>
      </c>
      <c r="R115" s="78">
        <f t="shared" si="44"/>
        <v>0</v>
      </c>
      <c r="S115" s="78">
        <f t="shared" si="45"/>
        <v>0</v>
      </c>
    </row>
    <row r="116" spans="1:19" s="19" customFormat="1" x14ac:dyDescent="0.2">
      <c r="A116" s="28" t="s">
        <v>65</v>
      </c>
      <c r="B116" s="19" t="s">
        <v>45</v>
      </c>
      <c r="C116" s="20"/>
      <c r="D116" s="21" t="s">
        <v>19</v>
      </c>
      <c r="E116" s="26">
        <v>3</v>
      </c>
      <c r="F116" s="22">
        <v>6</v>
      </c>
      <c r="G116" s="23" t="s">
        <v>33</v>
      </c>
      <c r="H116" s="22">
        <v>10</v>
      </c>
      <c r="I116" s="23" t="s">
        <v>19</v>
      </c>
      <c r="J116" s="29">
        <v>82000</v>
      </c>
      <c r="K116" s="21" t="s">
        <v>19</v>
      </c>
      <c r="L116" s="25">
        <v>0.125</v>
      </c>
      <c r="M116" s="25">
        <v>0.05</v>
      </c>
      <c r="N116" s="22">
        <v>120</v>
      </c>
      <c r="O116" s="23" t="s">
        <v>19</v>
      </c>
      <c r="P116" s="20">
        <f t="shared" si="43"/>
        <v>60</v>
      </c>
      <c r="Q116" s="23" t="s">
        <v>19</v>
      </c>
      <c r="R116" s="24">
        <f t="shared" si="44"/>
        <v>4089750</v>
      </c>
      <c r="S116" s="24">
        <f t="shared" si="45"/>
        <v>3684459.4594594589</v>
      </c>
    </row>
    <row r="117" spans="1:19" s="73" customFormat="1" x14ac:dyDescent="0.2">
      <c r="A117" s="72" t="s">
        <v>66</v>
      </c>
      <c r="B117" s="73" t="s">
        <v>45</v>
      </c>
      <c r="C117" s="71">
        <v>27</v>
      </c>
      <c r="D117" s="74" t="s">
        <v>19</v>
      </c>
      <c r="E117" s="75">
        <v>1</v>
      </c>
      <c r="F117" s="76">
        <v>6</v>
      </c>
      <c r="G117" s="77" t="s">
        <v>33</v>
      </c>
      <c r="H117" s="76">
        <v>10</v>
      </c>
      <c r="I117" s="77" t="s">
        <v>19</v>
      </c>
      <c r="J117" s="78">
        <v>54000</v>
      </c>
      <c r="K117" s="74" t="s">
        <v>19</v>
      </c>
      <c r="L117" s="79">
        <v>0.125</v>
      </c>
      <c r="M117" s="79">
        <v>0.05</v>
      </c>
      <c r="N117" s="76">
        <v>87</v>
      </c>
      <c r="O117" s="77" t="s">
        <v>19</v>
      </c>
      <c r="P117" s="71">
        <f t="shared" si="43"/>
        <v>0</v>
      </c>
      <c r="Q117" s="77" t="s">
        <v>19</v>
      </c>
      <c r="R117" s="78">
        <f t="shared" si="44"/>
        <v>0</v>
      </c>
      <c r="S117" s="78">
        <f t="shared" si="45"/>
        <v>0</v>
      </c>
    </row>
    <row r="118" spans="1:19" s="73" customFormat="1" x14ac:dyDescent="0.2">
      <c r="A118" s="72" t="s">
        <v>898</v>
      </c>
      <c r="B118" s="73" t="s">
        <v>45</v>
      </c>
      <c r="C118" s="71">
        <v>4</v>
      </c>
      <c r="D118" s="74" t="s">
        <v>19</v>
      </c>
      <c r="E118" s="75"/>
      <c r="F118" s="76">
        <v>6</v>
      </c>
      <c r="G118" s="77" t="s">
        <v>33</v>
      </c>
      <c r="H118" s="76">
        <v>10</v>
      </c>
      <c r="I118" s="77" t="s">
        <v>19</v>
      </c>
      <c r="J118" s="78">
        <v>56000</v>
      </c>
      <c r="K118" s="74" t="s">
        <v>19</v>
      </c>
      <c r="L118" s="79">
        <v>0.125</v>
      </c>
      <c r="M118" s="79">
        <v>0.05</v>
      </c>
      <c r="N118" s="76">
        <v>4</v>
      </c>
      <c r="O118" s="77" t="s">
        <v>19</v>
      </c>
      <c r="P118" s="71">
        <f t="shared" si="43"/>
        <v>0</v>
      </c>
      <c r="Q118" s="77" t="s">
        <v>19</v>
      </c>
      <c r="R118" s="78">
        <f t="shared" si="44"/>
        <v>0</v>
      </c>
      <c r="S118" s="78">
        <f t="shared" si="45"/>
        <v>0</v>
      </c>
    </row>
    <row r="119" spans="1:19" s="73" customFormat="1" x14ac:dyDescent="0.2">
      <c r="A119" s="185" t="s">
        <v>67</v>
      </c>
      <c r="B119" s="73" t="s">
        <v>45</v>
      </c>
      <c r="C119" s="71"/>
      <c r="D119" s="74" t="s">
        <v>19</v>
      </c>
      <c r="E119" s="75">
        <v>6</v>
      </c>
      <c r="F119" s="76">
        <v>6</v>
      </c>
      <c r="G119" s="77" t="s">
        <v>33</v>
      </c>
      <c r="H119" s="76">
        <v>20</v>
      </c>
      <c r="I119" s="77" t="s">
        <v>19</v>
      </c>
      <c r="J119" s="78">
        <v>40000</v>
      </c>
      <c r="K119" s="74" t="s">
        <v>19</v>
      </c>
      <c r="L119" s="79">
        <v>0.125</v>
      </c>
      <c r="M119" s="189">
        <v>0.1</v>
      </c>
      <c r="N119" s="76">
        <v>720</v>
      </c>
      <c r="O119" s="77" t="s">
        <v>19</v>
      </c>
      <c r="P119" s="71">
        <f t="shared" si="43"/>
        <v>0</v>
      </c>
      <c r="Q119" s="77" t="s">
        <v>19</v>
      </c>
      <c r="R119" s="78">
        <f t="shared" si="44"/>
        <v>0</v>
      </c>
      <c r="S119" s="78">
        <f t="shared" si="45"/>
        <v>0</v>
      </c>
    </row>
    <row r="120" spans="1:19" s="73" customFormat="1" x14ac:dyDescent="0.2">
      <c r="A120" s="185" t="s">
        <v>67</v>
      </c>
      <c r="B120" s="73" t="s">
        <v>45</v>
      </c>
      <c r="C120" s="71">
        <v>311</v>
      </c>
      <c r="D120" s="74" t="s">
        <v>19</v>
      </c>
      <c r="E120" s="75">
        <v>6</v>
      </c>
      <c r="F120" s="76">
        <v>6</v>
      </c>
      <c r="G120" s="77" t="s">
        <v>33</v>
      </c>
      <c r="H120" s="76">
        <v>20</v>
      </c>
      <c r="I120" s="77" t="s">
        <v>19</v>
      </c>
      <c r="J120" s="78">
        <v>40000</v>
      </c>
      <c r="K120" s="74" t="s">
        <v>19</v>
      </c>
      <c r="L120" s="79">
        <v>0.125</v>
      </c>
      <c r="M120" s="189">
        <v>0.05</v>
      </c>
      <c r="N120" s="76">
        <v>1031</v>
      </c>
      <c r="O120" s="77" t="s">
        <v>19</v>
      </c>
      <c r="P120" s="71">
        <f t="shared" si="43"/>
        <v>0</v>
      </c>
      <c r="Q120" s="77" t="s">
        <v>19</v>
      </c>
      <c r="R120" s="78">
        <f t="shared" si="44"/>
        <v>0</v>
      </c>
      <c r="S120" s="78">
        <f t="shared" si="45"/>
        <v>0</v>
      </c>
    </row>
    <row r="121" spans="1:19" s="19" customFormat="1" x14ac:dyDescent="0.2">
      <c r="A121" s="121" t="s">
        <v>68</v>
      </c>
      <c r="B121" s="19" t="s">
        <v>45</v>
      </c>
      <c r="C121" s="20"/>
      <c r="D121" s="21" t="s">
        <v>19</v>
      </c>
      <c r="E121" s="26">
        <v>3</v>
      </c>
      <c r="F121" s="22">
        <v>1</v>
      </c>
      <c r="G121" s="23" t="s">
        <v>20</v>
      </c>
      <c r="H121" s="22">
        <v>60</v>
      </c>
      <c r="I121" s="23" t="s">
        <v>19</v>
      </c>
      <c r="J121" s="122">
        <v>74000</v>
      </c>
      <c r="K121" s="21" t="s">
        <v>19</v>
      </c>
      <c r="L121" s="25">
        <v>0.125</v>
      </c>
      <c r="M121" s="25">
        <v>0.1</v>
      </c>
      <c r="N121" s="22">
        <v>60</v>
      </c>
      <c r="O121" s="23" t="s">
        <v>19</v>
      </c>
      <c r="P121" s="20">
        <f t="shared" si="43"/>
        <v>120</v>
      </c>
      <c r="Q121" s="23" t="s">
        <v>19</v>
      </c>
      <c r="R121" s="24">
        <f t="shared" si="44"/>
        <v>6993000</v>
      </c>
      <c r="S121" s="24">
        <f t="shared" si="45"/>
        <v>6299999.9999999991</v>
      </c>
    </row>
    <row r="122" spans="1:19" s="73" customFormat="1" x14ac:dyDescent="0.2">
      <c r="A122" s="187" t="s">
        <v>68</v>
      </c>
      <c r="B122" s="73" t="s">
        <v>45</v>
      </c>
      <c r="C122" s="71">
        <v>114</v>
      </c>
      <c r="D122" s="74" t="s">
        <v>19</v>
      </c>
      <c r="E122" s="75"/>
      <c r="F122" s="76">
        <v>6</v>
      </c>
      <c r="G122" s="77" t="s">
        <v>33</v>
      </c>
      <c r="H122" s="76">
        <v>10</v>
      </c>
      <c r="I122" s="77" t="s">
        <v>19</v>
      </c>
      <c r="J122" s="190">
        <v>66000</v>
      </c>
      <c r="K122" s="74" t="s">
        <v>19</v>
      </c>
      <c r="L122" s="79">
        <v>0.125</v>
      </c>
      <c r="M122" s="79">
        <v>0.1</v>
      </c>
      <c r="N122" s="76">
        <v>114</v>
      </c>
      <c r="O122" s="77" t="s">
        <v>19</v>
      </c>
      <c r="P122" s="71">
        <f t="shared" si="43"/>
        <v>0</v>
      </c>
      <c r="Q122" s="77" t="s">
        <v>19</v>
      </c>
      <c r="R122" s="78">
        <f t="shared" si="44"/>
        <v>0</v>
      </c>
      <c r="S122" s="78">
        <f t="shared" si="45"/>
        <v>0</v>
      </c>
    </row>
    <row r="123" spans="1:19" s="19" customFormat="1" x14ac:dyDescent="0.2">
      <c r="A123" s="28" t="s">
        <v>69</v>
      </c>
      <c r="B123" s="19" t="s">
        <v>45</v>
      </c>
      <c r="C123" s="20"/>
      <c r="D123" s="21" t="s">
        <v>19</v>
      </c>
      <c r="E123" s="26">
        <v>1</v>
      </c>
      <c r="F123" s="22">
        <v>4</v>
      </c>
      <c r="G123" s="23" t="s">
        <v>33</v>
      </c>
      <c r="H123" s="22">
        <v>40</v>
      </c>
      <c r="I123" s="23" t="s">
        <v>19</v>
      </c>
      <c r="J123" s="24">
        <v>28000</v>
      </c>
      <c r="K123" s="21" t="s">
        <v>19</v>
      </c>
      <c r="L123" s="25">
        <v>0.125</v>
      </c>
      <c r="M123" s="30">
        <v>0.05</v>
      </c>
      <c r="N123" s="22"/>
      <c r="O123" s="23" t="s">
        <v>19</v>
      </c>
      <c r="P123" s="20">
        <f t="shared" ref="P123" si="73">(C123+(E123*F123*H123))-N123</f>
        <v>160</v>
      </c>
      <c r="Q123" s="23" t="s">
        <v>19</v>
      </c>
      <c r="R123" s="24">
        <f t="shared" ref="R123" si="74">P123*(J123-(J123*L123)-((J123-(J123*L123))*M123))</f>
        <v>3724000</v>
      </c>
      <c r="S123" s="24">
        <f t="shared" ref="S123" si="75">R123/1.11</f>
        <v>3354954.9549549548</v>
      </c>
    </row>
    <row r="124" spans="1:19" s="73" customFormat="1" x14ac:dyDescent="0.2">
      <c r="A124" s="185" t="s">
        <v>69</v>
      </c>
      <c r="B124" s="73" t="s">
        <v>45</v>
      </c>
      <c r="C124" s="71"/>
      <c r="D124" s="74" t="s">
        <v>19</v>
      </c>
      <c r="E124" s="75">
        <v>4</v>
      </c>
      <c r="F124" s="76">
        <v>4</v>
      </c>
      <c r="G124" s="77" t="s">
        <v>33</v>
      </c>
      <c r="H124" s="76">
        <v>40</v>
      </c>
      <c r="I124" s="77" t="s">
        <v>19</v>
      </c>
      <c r="J124" s="186">
        <v>28000</v>
      </c>
      <c r="K124" s="74" t="s">
        <v>19</v>
      </c>
      <c r="L124" s="79">
        <v>0.125</v>
      </c>
      <c r="M124" s="189">
        <v>0.1</v>
      </c>
      <c r="N124" s="76">
        <v>640</v>
      </c>
      <c r="O124" s="77" t="s">
        <v>19</v>
      </c>
      <c r="P124" s="71">
        <f t="shared" si="43"/>
        <v>0</v>
      </c>
      <c r="Q124" s="77" t="s">
        <v>19</v>
      </c>
      <c r="R124" s="78">
        <f t="shared" si="44"/>
        <v>0</v>
      </c>
      <c r="S124" s="78">
        <f t="shared" si="45"/>
        <v>0</v>
      </c>
    </row>
    <row r="125" spans="1:19" s="73" customFormat="1" x14ac:dyDescent="0.2">
      <c r="A125" s="185" t="s">
        <v>69</v>
      </c>
      <c r="B125" s="73" t="s">
        <v>45</v>
      </c>
      <c r="C125" s="71">
        <v>281</v>
      </c>
      <c r="D125" s="74" t="s">
        <v>19</v>
      </c>
      <c r="E125" s="75"/>
      <c r="F125" s="76">
        <v>4</v>
      </c>
      <c r="G125" s="77" t="s">
        <v>33</v>
      </c>
      <c r="H125" s="76">
        <v>40</v>
      </c>
      <c r="I125" s="77" t="s">
        <v>19</v>
      </c>
      <c r="J125" s="186">
        <v>27000</v>
      </c>
      <c r="K125" s="74" t="s">
        <v>19</v>
      </c>
      <c r="L125" s="79">
        <v>0.125</v>
      </c>
      <c r="M125" s="189">
        <v>0.05</v>
      </c>
      <c r="N125" s="76">
        <v>281</v>
      </c>
      <c r="O125" s="77" t="s">
        <v>19</v>
      </c>
      <c r="P125" s="71">
        <f t="shared" si="43"/>
        <v>0</v>
      </c>
      <c r="Q125" s="77" t="s">
        <v>19</v>
      </c>
      <c r="R125" s="78">
        <f t="shared" si="44"/>
        <v>0</v>
      </c>
      <c r="S125" s="78">
        <f t="shared" si="45"/>
        <v>0</v>
      </c>
    </row>
    <row r="126" spans="1:19" s="19" customFormat="1" x14ac:dyDescent="0.2">
      <c r="A126" s="18"/>
      <c r="C126" s="20"/>
      <c r="D126" s="21"/>
      <c r="E126" s="26"/>
      <c r="F126" s="22"/>
      <c r="G126" s="23"/>
      <c r="H126" s="22"/>
      <c r="I126" s="23"/>
      <c r="J126" s="24"/>
      <c r="K126" s="21"/>
      <c r="L126" s="25"/>
      <c r="M126" s="25"/>
      <c r="N126" s="22"/>
      <c r="O126" s="23"/>
      <c r="P126" s="20"/>
      <c r="Q126" s="23"/>
      <c r="R126" s="24"/>
      <c r="S126" s="24"/>
    </row>
    <row r="127" spans="1:19" s="19" customFormat="1" ht="15.75" x14ac:dyDescent="0.25">
      <c r="A127" s="35" t="s">
        <v>70</v>
      </c>
      <c r="C127" s="20"/>
      <c r="D127" s="21"/>
      <c r="E127" s="26"/>
      <c r="F127" s="22"/>
      <c r="G127" s="23"/>
      <c r="H127" s="22"/>
      <c r="I127" s="23"/>
      <c r="J127" s="24"/>
      <c r="K127" s="21"/>
      <c r="L127" s="25"/>
      <c r="M127" s="25"/>
      <c r="N127" s="22"/>
      <c r="O127" s="23"/>
      <c r="P127" s="20"/>
      <c r="Q127" s="23"/>
      <c r="R127" s="24"/>
      <c r="S127" s="24"/>
    </row>
    <row r="128" spans="1:19" s="73" customFormat="1" x14ac:dyDescent="0.2">
      <c r="A128" s="72" t="s">
        <v>825</v>
      </c>
      <c r="B128" s="73" t="s">
        <v>18</v>
      </c>
      <c r="C128" s="71"/>
      <c r="D128" s="74" t="s">
        <v>19</v>
      </c>
      <c r="E128" s="75">
        <v>1</v>
      </c>
      <c r="F128" s="76">
        <v>1</v>
      </c>
      <c r="G128" s="77" t="s">
        <v>20</v>
      </c>
      <c r="H128" s="76">
        <v>20</v>
      </c>
      <c r="I128" s="77" t="s">
        <v>19</v>
      </c>
      <c r="J128" s="78">
        <v>160000</v>
      </c>
      <c r="K128" s="74" t="s">
        <v>19</v>
      </c>
      <c r="L128" s="79">
        <v>0.125</v>
      </c>
      <c r="M128" s="79">
        <v>0.05</v>
      </c>
      <c r="N128" s="76">
        <v>20</v>
      </c>
      <c r="O128" s="77" t="s">
        <v>19</v>
      </c>
      <c r="P128" s="71">
        <f t="shared" ref="P128:P129" si="76">(C128+(E128*F128*H128))-N128</f>
        <v>0</v>
      </c>
      <c r="Q128" s="77" t="s">
        <v>19</v>
      </c>
      <c r="R128" s="78">
        <f t="shared" ref="R128:R129" si="77">P128*(J128-(J128*L128)-((J128-(J128*L128))*M128))</f>
        <v>0</v>
      </c>
      <c r="S128" s="78">
        <f t="shared" ref="S128:S129" si="78">R128/1.11</f>
        <v>0</v>
      </c>
    </row>
    <row r="129" spans="1:19" s="73" customFormat="1" x14ac:dyDescent="0.2">
      <c r="A129" s="72" t="s">
        <v>826</v>
      </c>
      <c r="B129" s="73" t="s">
        <v>18</v>
      </c>
      <c r="C129" s="71"/>
      <c r="D129" s="74" t="s">
        <v>19</v>
      </c>
      <c r="E129" s="75">
        <v>1</v>
      </c>
      <c r="F129" s="76">
        <v>1</v>
      </c>
      <c r="G129" s="77" t="s">
        <v>20</v>
      </c>
      <c r="H129" s="76">
        <v>16</v>
      </c>
      <c r="I129" s="77" t="s">
        <v>19</v>
      </c>
      <c r="J129" s="78">
        <v>187000</v>
      </c>
      <c r="K129" s="74" t="s">
        <v>19</v>
      </c>
      <c r="L129" s="79">
        <v>0.125</v>
      </c>
      <c r="M129" s="79">
        <v>0.05</v>
      </c>
      <c r="N129" s="76">
        <v>16</v>
      </c>
      <c r="O129" s="77" t="s">
        <v>19</v>
      </c>
      <c r="P129" s="71">
        <f t="shared" si="76"/>
        <v>0</v>
      </c>
      <c r="Q129" s="77" t="s">
        <v>19</v>
      </c>
      <c r="R129" s="78">
        <f t="shared" si="77"/>
        <v>0</v>
      </c>
      <c r="S129" s="78">
        <f t="shared" si="78"/>
        <v>0</v>
      </c>
    </row>
    <row r="130" spans="1:19" s="73" customFormat="1" x14ac:dyDescent="0.2">
      <c r="A130" s="72" t="s">
        <v>71</v>
      </c>
      <c r="B130" s="73" t="s">
        <v>18</v>
      </c>
      <c r="C130" s="71"/>
      <c r="D130" s="74" t="s">
        <v>19</v>
      </c>
      <c r="E130" s="75"/>
      <c r="F130" s="76">
        <v>1</v>
      </c>
      <c r="G130" s="77" t="s">
        <v>20</v>
      </c>
      <c r="H130" s="76">
        <v>6</v>
      </c>
      <c r="I130" s="77" t="s">
        <v>19</v>
      </c>
      <c r="J130" s="78">
        <v>390000</v>
      </c>
      <c r="K130" s="74" t="s">
        <v>19</v>
      </c>
      <c r="L130" s="79">
        <v>0.125</v>
      </c>
      <c r="M130" s="79">
        <v>0.05</v>
      </c>
      <c r="N130" s="76"/>
      <c r="O130" s="77" t="s">
        <v>19</v>
      </c>
      <c r="P130" s="71">
        <f>(C130+(E130*F130*H130))-N130</f>
        <v>0</v>
      </c>
      <c r="Q130" s="77" t="s">
        <v>19</v>
      </c>
      <c r="R130" s="78">
        <f>P130*(J130-(J130*L130)-((J130-(J130*L130))*M130))</f>
        <v>0</v>
      </c>
      <c r="S130" s="78">
        <f t="shared" si="2"/>
        <v>0</v>
      </c>
    </row>
    <row r="131" spans="1:19" s="73" customFormat="1" x14ac:dyDescent="0.2">
      <c r="A131" s="72" t="s">
        <v>72</v>
      </c>
      <c r="B131" s="73" t="s">
        <v>18</v>
      </c>
      <c r="C131" s="71"/>
      <c r="D131" s="74" t="s">
        <v>19</v>
      </c>
      <c r="E131" s="75">
        <v>2</v>
      </c>
      <c r="F131" s="76">
        <v>1</v>
      </c>
      <c r="G131" s="77" t="s">
        <v>20</v>
      </c>
      <c r="H131" s="76">
        <v>6</v>
      </c>
      <c r="I131" s="77" t="s">
        <v>19</v>
      </c>
      <c r="J131" s="78">
        <v>500000</v>
      </c>
      <c r="K131" s="74" t="s">
        <v>19</v>
      </c>
      <c r="L131" s="79">
        <v>0.125</v>
      </c>
      <c r="M131" s="79">
        <v>0.05</v>
      </c>
      <c r="N131" s="76">
        <v>12</v>
      </c>
      <c r="O131" s="77" t="s">
        <v>19</v>
      </c>
      <c r="P131" s="71">
        <f>(C131+(E131*F131*H131))-N131</f>
        <v>0</v>
      </c>
      <c r="Q131" s="77" t="s">
        <v>19</v>
      </c>
      <c r="R131" s="78">
        <f>P131*(J131-(J131*L131)-((J131-(J131*L131))*M131))</f>
        <v>0</v>
      </c>
      <c r="S131" s="78">
        <f t="shared" si="2"/>
        <v>0</v>
      </c>
    </row>
    <row r="132" spans="1:19" s="19" customFormat="1" x14ac:dyDescent="0.2">
      <c r="A132" s="18"/>
      <c r="C132" s="20"/>
      <c r="D132" s="21"/>
      <c r="E132" s="26"/>
      <c r="F132" s="22"/>
      <c r="G132" s="23"/>
      <c r="H132" s="22"/>
      <c r="I132" s="23"/>
      <c r="J132" s="24"/>
      <c r="K132" s="21"/>
      <c r="L132" s="25"/>
      <c r="M132" s="25"/>
      <c r="N132" s="22"/>
      <c r="O132" s="23"/>
      <c r="P132" s="20"/>
      <c r="Q132" s="23"/>
      <c r="R132" s="24"/>
      <c r="S132" s="24"/>
    </row>
    <row r="133" spans="1:19" s="19" customFormat="1" ht="15.75" x14ac:dyDescent="0.25">
      <c r="A133" s="35" t="s">
        <v>73</v>
      </c>
      <c r="C133" s="20"/>
      <c r="D133" s="21"/>
      <c r="E133" s="26"/>
      <c r="F133" s="22"/>
      <c r="G133" s="23"/>
      <c r="H133" s="22"/>
      <c r="I133" s="23"/>
      <c r="J133" s="24"/>
      <c r="K133" s="21"/>
      <c r="L133" s="25"/>
      <c r="M133" s="25"/>
      <c r="N133" s="22"/>
      <c r="O133" s="23"/>
      <c r="P133" s="20"/>
      <c r="Q133" s="23"/>
      <c r="R133" s="24"/>
      <c r="S133" s="24"/>
    </row>
    <row r="134" spans="1:19" s="19" customFormat="1" x14ac:dyDescent="0.2">
      <c r="A134" s="57" t="s">
        <v>74</v>
      </c>
      <c r="C134" s="20"/>
      <c r="D134" s="21"/>
      <c r="E134" s="26"/>
      <c r="F134" s="22"/>
      <c r="G134" s="23"/>
      <c r="H134" s="22"/>
      <c r="I134" s="23"/>
      <c r="J134" s="24"/>
      <c r="K134" s="21"/>
      <c r="L134" s="25"/>
      <c r="M134" s="25"/>
      <c r="N134" s="22"/>
      <c r="O134" s="23"/>
      <c r="P134" s="20"/>
      <c r="Q134" s="23"/>
      <c r="R134" s="24"/>
      <c r="S134" s="24"/>
    </row>
    <row r="135" spans="1:19" s="73" customFormat="1" x14ac:dyDescent="0.2">
      <c r="A135" s="102" t="s">
        <v>75</v>
      </c>
      <c r="B135" s="73" t="s">
        <v>18</v>
      </c>
      <c r="C135" s="71"/>
      <c r="D135" s="74" t="s">
        <v>76</v>
      </c>
      <c r="E135" s="75">
        <v>4</v>
      </c>
      <c r="F135" s="76">
        <v>1</v>
      </c>
      <c r="G135" s="77" t="s">
        <v>20</v>
      </c>
      <c r="H135" s="76">
        <v>48</v>
      </c>
      <c r="I135" s="77" t="s">
        <v>76</v>
      </c>
      <c r="J135" s="78">
        <v>14500</v>
      </c>
      <c r="K135" s="74" t="s">
        <v>76</v>
      </c>
      <c r="L135" s="79">
        <v>0.125</v>
      </c>
      <c r="M135" s="79">
        <v>0.05</v>
      </c>
      <c r="N135" s="76">
        <v>192</v>
      </c>
      <c r="O135" s="77" t="s">
        <v>76</v>
      </c>
      <c r="P135" s="71">
        <f t="shared" ref="P135:P150" si="79">(C135+(E135*F135*H135))-N135</f>
        <v>0</v>
      </c>
      <c r="Q135" s="77" t="s">
        <v>76</v>
      </c>
      <c r="R135" s="78">
        <f t="shared" ref="R135:R145" si="80">P135*(J135-(J135*L135)-((J135-(J135*L135))*M135))</f>
        <v>0</v>
      </c>
      <c r="S135" s="78">
        <f t="shared" si="2"/>
        <v>0</v>
      </c>
    </row>
    <row r="136" spans="1:19" s="73" customFormat="1" x14ac:dyDescent="0.2">
      <c r="A136" s="102" t="s">
        <v>794</v>
      </c>
      <c r="B136" s="73" t="s">
        <v>18</v>
      </c>
      <c r="C136" s="71"/>
      <c r="D136" s="74" t="s">
        <v>76</v>
      </c>
      <c r="E136" s="75"/>
      <c r="F136" s="76">
        <v>1</v>
      </c>
      <c r="G136" s="77" t="s">
        <v>20</v>
      </c>
      <c r="H136" s="76">
        <v>96</v>
      </c>
      <c r="I136" s="77" t="s">
        <v>76</v>
      </c>
      <c r="J136" s="78">
        <v>15500</v>
      </c>
      <c r="K136" s="74" t="s">
        <v>76</v>
      </c>
      <c r="L136" s="79">
        <v>0.125</v>
      </c>
      <c r="M136" s="79">
        <v>0.05</v>
      </c>
      <c r="N136" s="76"/>
      <c r="O136" s="77" t="s">
        <v>76</v>
      </c>
      <c r="P136" s="71">
        <f t="shared" si="79"/>
        <v>0</v>
      </c>
      <c r="Q136" s="77" t="s">
        <v>76</v>
      </c>
      <c r="R136" s="78">
        <f t="shared" si="80"/>
        <v>0</v>
      </c>
      <c r="S136" s="78">
        <f t="shared" si="2"/>
        <v>0</v>
      </c>
    </row>
    <row r="137" spans="1:19" s="73" customFormat="1" x14ac:dyDescent="0.2">
      <c r="A137" s="102" t="s">
        <v>77</v>
      </c>
      <c r="B137" s="73" t="s">
        <v>18</v>
      </c>
      <c r="C137" s="71"/>
      <c r="D137" s="74" t="s">
        <v>76</v>
      </c>
      <c r="E137" s="75">
        <v>1</v>
      </c>
      <c r="F137" s="76">
        <v>1</v>
      </c>
      <c r="G137" s="77" t="s">
        <v>20</v>
      </c>
      <c r="H137" s="76">
        <v>96</v>
      </c>
      <c r="I137" s="77" t="s">
        <v>76</v>
      </c>
      <c r="J137" s="78">
        <v>12000</v>
      </c>
      <c r="K137" s="74" t="s">
        <v>76</v>
      </c>
      <c r="L137" s="79">
        <v>0.125</v>
      </c>
      <c r="M137" s="79">
        <v>0.05</v>
      </c>
      <c r="N137" s="76">
        <v>96</v>
      </c>
      <c r="O137" s="77" t="s">
        <v>76</v>
      </c>
      <c r="P137" s="71">
        <f t="shared" si="79"/>
        <v>0</v>
      </c>
      <c r="Q137" s="77" t="s">
        <v>76</v>
      </c>
      <c r="R137" s="78">
        <f t="shared" si="80"/>
        <v>0</v>
      </c>
      <c r="S137" s="78">
        <f t="shared" si="2"/>
        <v>0</v>
      </c>
    </row>
    <row r="138" spans="1:19" s="73" customFormat="1" x14ac:dyDescent="0.2">
      <c r="A138" s="102" t="s">
        <v>78</v>
      </c>
      <c r="B138" s="73" t="s">
        <v>18</v>
      </c>
      <c r="C138" s="71"/>
      <c r="D138" s="74" t="s">
        <v>76</v>
      </c>
      <c r="E138" s="75"/>
      <c r="F138" s="76">
        <v>1</v>
      </c>
      <c r="G138" s="77" t="s">
        <v>20</v>
      </c>
      <c r="H138" s="76">
        <v>48</v>
      </c>
      <c r="I138" s="77" t="s">
        <v>76</v>
      </c>
      <c r="J138" s="78">
        <v>19500</v>
      </c>
      <c r="K138" s="74" t="s">
        <v>76</v>
      </c>
      <c r="L138" s="79">
        <v>0.125</v>
      </c>
      <c r="M138" s="79">
        <v>0.05</v>
      </c>
      <c r="N138" s="76"/>
      <c r="O138" s="77" t="s">
        <v>76</v>
      </c>
      <c r="P138" s="71">
        <f t="shared" si="79"/>
        <v>0</v>
      </c>
      <c r="Q138" s="77" t="s">
        <v>76</v>
      </c>
      <c r="R138" s="78">
        <f t="shared" si="80"/>
        <v>0</v>
      </c>
      <c r="S138" s="78">
        <f t="shared" si="2"/>
        <v>0</v>
      </c>
    </row>
    <row r="139" spans="1:19" s="73" customFormat="1" x14ac:dyDescent="0.2">
      <c r="A139" s="102" t="s">
        <v>79</v>
      </c>
      <c r="B139" s="73" t="s">
        <v>18</v>
      </c>
      <c r="C139" s="71"/>
      <c r="D139" s="74" t="s">
        <v>76</v>
      </c>
      <c r="E139" s="75"/>
      <c r="F139" s="76">
        <v>1</v>
      </c>
      <c r="G139" s="77" t="s">
        <v>20</v>
      </c>
      <c r="H139" s="76">
        <v>48</v>
      </c>
      <c r="I139" s="77" t="s">
        <v>76</v>
      </c>
      <c r="J139" s="78">
        <v>14800</v>
      </c>
      <c r="K139" s="74" t="s">
        <v>76</v>
      </c>
      <c r="L139" s="79">
        <v>0.125</v>
      </c>
      <c r="M139" s="79">
        <v>0.05</v>
      </c>
      <c r="N139" s="76"/>
      <c r="O139" s="77" t="s">
        <v>76</v>
      </c>
      <c r="P139" s="71">
        <f t="shared" si="79"/>
        <v>0</v>
      </c>
      <c r="Q139" s="77" t="s">
        <v>76</v>
      </c>
      <c r="R139" s="78">
        <f t="shared" si="80"/>
        <v>0</v>
      </c>
      <c r="S139" s="78">
        <f t="shared" si="2"/>
        <v>0</v>
      </c>
    </row>
    <row r="140" spans="1:19" s="73" customFormat="1" x14ac:dyDescent="0.2">
      <c r="A140" s="103" t="s">
        <v>80</v>
      </c>
      <c r="B140" s="73" t="s">
        <v>18</v>
      </c>
      <c r="C140" s="71"/>
      <c r="D140" s="74" t="s">
        <v>76</v>
      </c>
      <c r="E140" s="75"/>
      <c r="F140" s="76">
        <v>1</v>
      </c>
      <c r="G140" s="77" t="s">
        <v>20</v>
      </c>
      <c r="H140" s="76">
        <v>24</v>
      </c>
      <c r="I140" s="77" t="s">
        <v>76</v>
      </c>
      <c r="J140" s="78">
        <v>25200</v>
      </c>
      <c r="K140" s="74" t="s">
        <v>76</v>
      </c>
      <c r="L140" s="79">
        <v>0.125</v>
      </c>
      <c r="M140" s="79">
        <v>0.05</v>
      </c>
      <c r="N140" s="76"/>
      <c r="O140" s="77" t="s">
        <v>76</v>
      </c>
      <c r="P140" s="71">
        <f t="shared" si="79"/>
        <v>0</v>
      </c>
      <c r="Q140" s="77" t="s">
        <v>76</v>
      </c>
      <c r="R140" s="78">
        <f t="shared" si="80"/>
        <v>0</v>
      </c>
      <c r="S140" s="78">
        <f t="shared" si="2"/>
        <v>0</v>
      </c>
    </row>
    <row r="141" spans="1:19" s="73" customFormat="1" x14ac:dyDescent="0.2">
      <c r="A141" s="103" t="s">
        <v>81</v>
      </c>
      <c r="B141" s="73" t="s">
        <v>18</v>
      </c>
      <c r="C141" s="71"/>
      <c r="D141" s="74" t="s">
        <v>76</v>
      </c>
      <c r="E141" s="75">
        <v>1</v>
      </c>
      <c r="F141" s="76">
        <v>1</v>
      </c>
      <c r="G141" s="77" t="s">
        <v>20</v>
      </c>
      <c r="H141" s="76">
        <v>24</v>
      </c>
      <c r="I141" s="77" t="s">
        <v>76</v>
      </c>
      <c r="J141" s="78">
        <v>20200</v>
      </c>
      <c r="K141" s="74" t="s">
        <v>76</v>
      </c>
      <c r="L141" s="79">
        <v>0.125</v>
      </c>
      <c r="M141" s="79">
        <v>0.05</v>
      </c>
      <c r="N141" s="76">
        <v>24</v>
      </c>
      <c r="O141" s="77" t="s">
        <v>76</v>
      </c>
      <c r="P141" s="71">
        <f t="shared" si="79"/>
        <v>0</v>
      </c>
      <c r="Q141" s="77" t="s">
        <v>76</v>
      </c>
      <c r="R141" s="78">
        <f t="shared" si="80"/>
        <v>0</v>
      </c>
      <c r="S141" s="78">
        <f t="shared" si="2"/>
        <v>0</v>
      </c>
    </row>
    <row r="142" spans="1:19" s="73" customFormat="1" x14ac:dyDescent="0.2">
      <c r="A142" s="102" t="s">
        <v>795</v>
      </c>
      <c r="B142" s="73" t="s">
        <v>18</v>
      </c>
      <c r="C142" s="71"/>
      <c r="D142" s="74" t="s">
        <v>76</v>
      </c>
      <c r="E142" s="75">
        <v>2</v>
      </c>
      <c r="F142" s="76">
        <v>1</v>
      </c>
      <c r="G142" s="77" t="s">
        <v>20</v>
      </c>
      <c r="H142" s="76">
        <v>96</v>
      </c>
      <c r="I142" s="77" t="s">
        <v>76</v>
      </c>
      <c r="J142" s="78">
        <v>16500</v>
      </c>
      <c r="K142" s="74" t="s">
        <v>76</v>
      </c>
      <c r="L142" s="79">
        <v>0.125</v>
      </c>
      <c r="M142" s="79">
        <v>0.05</v>
      </c>
      <c r="N142" s="76">
        <v>192</v>
      </c>
      <c r="O142" s="77" t="s">
        <v>76</v>
      </c>
      <c r="P142" s="71">
        <f t="shared" si="79"/>
        <v>0</v>
      </c>
      <c r="Q142" s="77" t="s">
        <v>76</v>
      </c>
      <c r="R142" s="78">
        <f t="shared" si="80"/>
        <v>0</v>
      </c>
      <c r="S142" s="78">
        <f t="shared" ref="S142:S255" si="81">R142/1.11</f>
        <v>0</v>
      </c>
    </row>
    <row r="143" spans="1:19" s="19" customFormat="1" x14ac:dyDescent="0.2">
      <c r="A143" s="18" t="s">
        <v>82</v>
      </c>
      <c r="B143" s="19" t="s">
        <v>18</v>
      </c>
      <c r="C143" s="20">
        <v>53</v>
      </c>
      <c r="D143" s="21" t="s">
        <v>83</v>
      </c>
      <c r="E143" s="26">
        <v>8</v>
      </c>
      <c r="F143" s="22">
        <v>1</v>
      </c>
      <c r="G143" s="23" t="s">
        <v>20</v>
      </c>
      <c r="H143" s="22">
        <v>60</v>
      </c>
      <c r="I143" s="23" t="s">
        <v>83</v>
      </c>
      <c r="J143" s="24">
        <v>27600</v>
      </c>
      <c r="K143" s="21" t="s">
        <v>83</v>
      </c>
      <c r="L143" s="25">
        <v>0.125</v>
      </c>
      <c r="M143" s="25">
        <v>0.05</v>
      </c>
      <c r="N143" s="22">
        <v>473</v>
      </c>
      <c r="O143" s="23" t="s">
        <v>83</v>
      </c>
      <c r="P143" s="20">
        <f t="shared" si="79"/>
        <v>60</v>
      </c>
      <c r="Q143" s="23" t="s">
        <v>83</v>
      </c>
      <c r="R143" s="24">
        <f t="shared" si="80"/>
        <v>1376550</v>
      </c>
      <c r="S143" s="24">
        <f t="shared" si="81"/>
        <v>1240135.1351351349</v>
      </c>
    </row>
    <row r="144" spans="1:19" s="73" customFormat="1" x14ac:dyDescent="0.2">
      <c r="A144" s="72" t="s">
        <v>84</v>
      </c>
      <c r="B144" s="73" t="s">
        <v>18</v>
      </c>
      <c r="C144" s="71"/>
      <c r="D144" s="74" t="s">
        <v>83</v>
      </c>
      <c r="E144" s="75">
        <v>7</v>
      </c>
      <c r="F144" s="76">
        <v>1</v>
      </c>
      <c r="G144" s="77" t="s">
        <v>20</v>
      </c>
      <c r="H144" s="76">
        <v>50</v>
      </c>
      <c r="I144" s="77" t="s">
        <v>83</v>
      </c>
      <c r="J144" s="78">
        <v>31200</v>
      </c>
      <c r="K144" s="74" t="s">
        <v>83</v>
      </c>
      <c r="L144" s="79">
        <v>0.125</v>
      </c>
      <c r="M144" s="79">
        <v>0.05</v>
      </c>
      <c r="N144" s="76">
        <v>350</v>
      </c>
      <c r="O144" s="77" t="s">
        <v>83</v>
      </c>
      <c r="P144" s="71">
        <f t="shared" ref="P144" si="82">(C144+(E144*F144*H144))-N144</f>
        <v>0</v>
      </c>
      <c r="Q144" s="77" t="s">
        <v>83</v>
      </c>
      <c r="R144" s="78">
        <f t="shared" ref="R144" si="83">P144*(J144-(J144*L144)-((J144-(J144*L144))*M144))</f>
        <v>0</v>
      </c>
      <c r="S144" s="78">
        <f t="shared" ref="S144" si="84">R144/1.11</f>
        <v>0</v>
      </c>
    </row>
    <row r="145" spans="1:19" s="73" customFormat="1" x14ac:dyDescent="0.2">
      <c r="A145" s="72" t="s">
        <v>85</v>
      </c>
      <c r="B145" s="73" t="s">
        <v>18</v>
      </c>
      <c r="C145" s="71"/>
      <c r="D145" s="74" t="s">
        <v>83</v>
      </c>
      <c r="E145" s="75">
        <v>11</v>
      </c>
      <c r="F145" s="76">
        <v>1</v>
      </c>
      <c r="G145" s="77" t="s">
        <v>20</v>
      </c>
      <c r="H145" s="76">
        <v>30</v>
      </c>
      <c r="I145" s="77" t="s">
        <v>83</v>
      </c>
      <c r="J145" s="78">
        <v>48600</v>
      </c>
      <c r="K145" s="74" t="s">
        <v>83</v>
      </c>
      <c r="L145" s="79">
        <v>0.125</v>
      </c>
      <c r="M145" s="79">
        <v>0.05</v>
      </c>
      <c r="N145" s="76">
        <v>330</v>
      </c>
      <c r="O145" s="77" t="s">
        <v>83</v>
      </c>
      <c r="P145" s="71">
        <f t="shared" si="79"/>
        <v>0</v>
      </c>
      <c r="Q145" s="77" t="s">
        <v>83</v>
      </c>
      <c r="R145" s="78">
        <f t="shared" si="80"/>
        <v>0</v>
      </c>
      <c r="S145" s="78">
        <f t="shared" si="81"/>
        <v>0</v>
      </c>
    </row>
    <row r="146" spans="1:19" s="73" customFormat="1" x14ac:dyDescent="0.2">
      <c r="A146" s="184" t="s">
        <v>1039</v>
      </c>
      <c r="B146" s="73" t="s">
        <v>18</v>
      </c>
      <c r="C146" s="71"/>
      <c r="D146" s="74" t="s">
        <v>76</v>
      </c>
      <c r="E146" s="75">
        <v>1</v>
      </c>
      <c r="F146" s="76">
        <v>1</v>
      </c>
      <c r="G146" s="77" t="s">
        <v>20</v>
      </c>
      <c r="H146" s="76">
        <v>48</v>
      </c>
      <c r="I146" s="77" t="s">
        <v>76</v>
      </c>
      <c r="J146" s="78">
        <v>20300</v>
      </c>
      <c r="K146" s="74" t="s">
        <v>76</v>
      </c>
      <c r="L146" s="79">
        <v>0.125</v>
      </c>
      <c r="M146" s="79">
        <v>0.05</v>
      </c>
      <c r="N146" s="76">
        <v>48</v>
      </c>
      <c r="O146" s="77" t="s">
        <v>76</v>
      </c>
      <c r="P146" s="71">
        <f t="shared" ref="P146" si="85">(C146+(E146*F146*H146))-N146</f>
        <v>0</v>
      </c>
      <c r="Q146" s="77" t="s">
        <v>76</v>
      </c>
      <c r="R146" s="78">
        <f t="shared" ref="R146" si="86">P146*(J146-(J146*L146)-((J146-(J146*L146))*M146))</f>
        <v>0</v>
      </c>
      <c r="S146" s="78">
        <f t="shared" ref="S146" si="87">R146/1.11</f>
        <v>0</v>
      </c>
    </row>
    <row r="147" spans="1:19" s="73" customFormat="1" x14ac:dyDescent="0.2">
      <c r="A147" s="72" t="s">
        <v>86</v>
      </c>
      <c r="B147" s="73" t="s">
        <v>18</v>
      </c>
      <c r="C147" s="71"/>
      <c r="D147" s="74" t="s">
        <v>83</v>
      </c>
      <c r="E147" s="75">
        <v>19</v>
      </c>
      <c r="F147" s="76">
        <v>1</v>
      </c>
      <c r="G147" s="77" t="s">
        <v>20</v>
      </c>
      <c r="H147" s="76">
        <v>20</v>
      </c>
      <c r="I147" s="77" t="s">
        <v>83</v>
      </c>
      <c r="J147" s="78">
        <v>67800</v>
      </c>
      <c r="K147" s="74" t="s">
        <v>83</v>
      </c>
      <c r="L147" s="79">
        <v>0.125</v>
      </c>
      <c r="M147" s="79">
        <v>0.05</v>
      </c>
      <c r="N147" s="76">
        <v>380</v>
      </c>
      <c r="O147" s="77" t="s">
        <v>83</v>
      </c>
      <c r="P147" s="71">
        <f t="shared" si="79"/>
        <v>0</v>
      </c>
      <c r="Q147" s="77" t="s">
        <v>83</v>
      </c>
      <c r="R147" s="78">
        <f t="shared" ref="R147:R153" si="88">P147*(J147-(J147*L147)-((J147-(J147*L147))*M147))</f>
        <v>0</v>
      </c>
      <c r="S147" s="78">
        <f t="shared" ref="S147:S153" si="89">R147/1.11</f>
        <v>0</v>
      </c>
    </row>
    <row r="148" spans="1:19" s="90" customFormat="1" x14ac:dyDescent="0.2">
      <c r="A148" s="82" t="s">
        <v>87</v>
      </c>
      <c r="B148" s="90" t="s">
        <v>18</v>
      </c>
      <c r="C148" s="91"/>
      <c r="D148" s="92" t="s">
        <v>83</v>
      </c>
      <c r="E148" s="93">
        <v>19</v>
      </c>
      <c r="F148" s="94">
        <v>1</v>
      </c>
      <c r="G148" s="95" t="s">
        <v>20</v>
      </c>
      <c r="H148" s="94">
        <v>10</v>
      </c>
      <c r="I148" s="95" t="s">
        <v>83</v>
      </c>
      <c r="J148" s="96">
        <v>115800</v>
      </c>
      <c r="K148" s="92" t="s">
        <v>83</v>
      </c>
      <c r="L148" s="97">
        <v>0.125</v>
      </c>
      <c r="M148" s="97">
        <v>0.05</v>
      </c>
      <c r="N148" s="94">
        <v>180</v>
      </c>
      <c r="O148" s="95" t="s">
        <v>83</v>
      </c>
      <c r="P148" s="91">
        <f t="shared" si="79"/>
        <v>10</v>
      </c>
      <c r="Q148" s="95" t="s">
        <v>83</v>
      </c>
      <c r="R148" s="96">
        <f t="shared" si="88"/>
        <v>962587.5</v>
      </c>
      <c r="S148" s="96">
        <f t="shared" si="89"/>
        <v>867195.94594594592</v>
      </c>
    </row>
    <row r="149" spans="1:19" s="73" customFormat="1" x14ac:dyDescent="0.2">
      <c r="A149" s="72" t="s">
        <v>88</v>
      </c>
      <c r="B149" s="73" t="s">
        <v>18</v>
      </c>
      <c r="C149" s="71">
        <v>11</v>
      </c>
      <c r="D149" s="74" t="s">
        <v>83</v>
      </c>
      <c r="E149" s="75">
        <v>40</v>
      </c>
      <c r="F149" s="76">
        <v>1</v>
      </c>
      <c r="G149" s="77" t="s">
        <v>20</v>
      </c>
      <c r="H149" s="76">
        <v>5</v>
      </c>
      <c r="I149" s="77" t="s">
        <v>83</v>
      </c>
      <c r="J149" s="78">
        <v>177000</v>
      </c>
      <c r="K149" s="74" t="s">
        <v>83</v>
      </c>
      <c r="L149" s="79">
        <v>0.125</v>
      </c>
      <c r="M149" s="79">
        <v>0.05</v>
      </c>
      <c r="N149" s="76">
        <v>211</v>
      </c>
      <c r="O149" s="77" t="s">
        <v>83</v>
      </c>
      <c r="P149" s="71">
        <f t="shared" si="79"/>
        <v>0</v>
      </c>
      <c r="Q149" s="77" t="s">
        <v>83</v>
      </c>
      <c r="R149" s="78">
        <f t="shared" si="88"/>
        <v>0</v>
      </c>
      <c r="S149" s="78">
        <f t="shared" si="89"/>
        <v>0</v>
      </c>
    </row>
    <row r="150" spans="1:19" s="73" customFormat="1" x14ac:dyDescent="0.2">
      <c r="A150" s="72" t="s">
        <v>89</v>
      </c>
      <c r="B150" s="73" t="s">
        <v>18</v>
      </c>
      <c r="C150" s="71">
        <v>105</v>
      </c>
      <c r="D150" s="74" t="s">
        <v>40</v>
      </c>
      <c r="E150" s="75">
        <v>12</v>
      </c>
      <c r="F150" s="76">
        <v>3</v>
      </c>
      <c r="G150" s="77" t="s">
        <v>83</v>
      </c>
      <c r="H150" s="76">
        <v>12</v>
      </c>
      <c r="I150" s="77" t="s">
        <v>40</v>
      </c>
      <c r="J150" s="78">
        <f>507600/12</f>
        <v>42300</v>
      </c>
      <c r="K150" s="74" t="s">
        <v>40</v>
      </c>
      <c r="L150" s="79">
        <v>0.125</v>
      </c>
      <c r="M150" s="79">
        <v>0.05</v>
      </c>
      <c r="N150" s="76">
        <v>537</v>
      </c>
      <c r="O150" s="77" t="s">
        <v>40</v>
      </c>
      <c r="P150" s="71">
        <f t="shared" si="79"/>
        <v>0</v>
      </c>
      <c r="Q150" s="77" t="s">
        <v>40</v>
      </c>
      <c r="R150" s="78">
        <f t="shared" si="88"/>
        <v>0</v>
      </c>
      <c r="S150" s="78">
        <f t="shared" si="89"/>
        <v>0</v>
      </c>
    </row>
    <row r="151" spans="1:19" s="19" customFormat="1" x14ac:dyDescent="0.2">
      <c r="A151" s="134" t="s">
        <v>89</v>
      </c>
      <c r="B151" s="19" t="s">
        <v>18</v>
      </c>
      <c r="C151" s="20"/>
      <c r="D151" s="21" t="s">
        <v>40</v>
      </c>
      <c r="E151" s="26">
        <v>8</v>
      </c>
      <c r="F151" s="22">
        <v>3</v>
      </c>
      <c r="G151" s="23" t="s">
        <v>83</v>
      </c>
      <c r="H151" s="22">
        <v>12</v>
      </c>
      <c r="I151" s="23" t="s">
        <v>40</v>
      </c>
      <c r="J151" s="24">
        <f>507600/12</f>
        <v>42300</v>
      </c>
      <c r="K151" s="21" t="s">
        <v>40</v>
      </c>
      <c r="L151" s="25">
        <v>0.125</v>
      </c>
      <c r="M151" s="25">
        <v>0.1</v>
      </c>
      <c r="N151" s="22">
        <v>108</v>
      </c>
      <c r="O151" s="23" t="s">
        <v>40</v>
      </c>
      <c r="P151" s="20">
        <f t="shared" ref="P151" si="90">(C151+(E151*F151*H151))-N151</f>
        <v>180</v>
      </c>
      <c r="Q151" s="23" t="s">
        <v>40</v>
      </c>
      <c r="R151" s="24">
        <f t="shared" ref="R151" si="91">P151*(J151-(J151*L151)-((J151-(J151*L151))*M151))</f>
        <v>5996025</v>
      </c>
      <c r="S151" s="24">
        <f t="shared" ref="S151" si="92">R151/1.11</f>
        <v>5401824.3243243238</v>
      </c>
    </row>
    <row r="152" spans="1:19" s="73" customFormat="1" x14ac:dyDescent="0.2">
      <c r="A152" s="72" t="s">
        <v>900</v>
      </c>
      <c r="B152" s="73" t="s">
        <v>18</v>
      </c>
      <c r="C152" s="71"/>
      <c r="D152" s="74" t="s">
        <v>40</v>
      </c>
      <c r="E152" s="75">
        <v>2</v>
      </c>
      <c r="F152" s="76">
        <v>2</v>
      </c>
      <c r="G152" s="77" t="s">
        <v>83</v>
      </c>
      <c r="H152" s="76">
        <v>12</v>
      </c>
      <c r="I152" s="77" t="s">
        <v>40</v>
      </c>
      <c r="J152" s="78">
        <v>85800</v>
      </c>
      <c r="K152" s="74" t="s">
        <v>40</v>
      </c>
      <c r="L152" s="79">
        <v>0.125</v>
      </c>
      <c r="M152" s="79">
        <v>0.05</v>
      </c>
      <c r="N152" s="76">
        <v>48</v>
      </c>
      <c r="O152" s="77" t="s">
        <v>40</v>
      </c>
      <c r="P152" s="71">
        <f t="shared" ref="P152" si="93">(C152+(E152*F152*H152))-N152</f>
        <v>0</v>
      </c>
      <c r="Q152" s="77" t="s">
        <v>40</v>
      </c>
      <c r="R152" s="78">
        <f t="shared" ref="R152" si="94">P152*(J152-(J152*L152)-((J152-(J152*L152))*M152))</f>
        <v>0</v>
      </c>
      <c r="S152" s="78">
        <f t="shared" ref="S152" si="95">R152/1.11</f>
        <v>0</v>
      </c>
    </row>
    <row r="153" spans="1:19" s="73" customFormat="1" x14ac:dyDescent="0.2">
      <c r="A153" s="72" t="s">
        <v>899</v>
      </c>
      <c r="B153" s="73" t="s">
        <v>18</v>
      </c>
      <c r="C153" s="71"/>
      <c r="D153" s="74" t="s">
        <v>40</v>
      </c>
      <c r="E153" s="75">
        <v>4</v>
      </c>
      <c r="F153" s="76">
        <v>1</v>
      </c>
      <c r="G153" s="77" t="s">
        <v>20</v>
      </c>
      <c r="H153" s="76">
        <v>20</v>
      </c>
      <c r="I153" s="77" t="s">
        <v>40</v>
      </c>
      <c r="J153" s="78">
        <v>108900</v>
      </c>
      <c r="K153" s="74" t="s">
        <v>40</v>
      </c>
      <c r="L153" s="79">
        <v>0.125</v>
      </c>
      <c r="M153" s="79">
        <v>0.05</v>
      </c>
      <c r="N153" s="76">
        <v>80</v>
      </c>
      <c r="O153" s="77" t="s">
        <v>40</v>
      </c>
      <c r="P153" s="71">
        <f t="shared" ref="P153" si="96">(C153+(E153*F153*H153))-N153</f>
        <v>0</v>
      </c>
      <c r="Q153" s="77" t="s">
        <v>40</v>
      </c>
      <c r="R153" s="78">
        <f t="shared" si="88"/>
        <v>0</v>
      </c>
      <c r="S153" s="78">
        <f t="shared" si="89"/>
        <v>0</v>
      </c>
    </row>
    <row r="154" spans="1:19" s="19" customFormat="1" x14ac:dyDescent="0.2">
      <c r="A154" s="18"/>
      <c r="C154" s="20"/>
      <c r="D154" s="21"/>
      <c r="E154" s="26"/>
      <c r="F154" s="22"/>
      <c r="G154" s="23"/>
      <c r="H154" s="22"/>
      <c r="I154" s="23"/>
      <c r="J154" s="24"/>
      <c r="K154" s="21"/>
      <c r="L154" s="25"/>
      <c r="M154" s="25"/>
      <c r="N154" s="22"/>
      <c r="O154" s="23"/>
      <c r="P154" s="20"/>
      <c r="Q154" s="23"/>
      <c r="R154" s="24"/>
      <c r="S154" s="24"/>
    </row>
    <row r="155" spans="1:19" s="73" customFormat="1" x14ac:dyDescent="0.2">
      <c r="A155" s="72" t="s">
        <v>90</v>
      </c>
      <c r="B155" s="73" t="s">
        <v>25</v>
      </c>
      <c r="C155" s="71"/>
      <c r="D155" s="74" t="s">
        <v>83</v>
      </c>
      <c r="E155" s="75">
        <v>17</v>
      </c>
      <c r="F155" s="76">
        <v>1</v>
      </c>
      <c r="G155" s="77" t="s">
        <v>20</v>
      </c>
      <c r="H155" s="76">
        <v>50</v>
      </c>
      <c r="I155" s="77" t="s">
        <v>83</v>
      </c>
      <c r="J155" s="78">
        <f>1440000/50</f>
        <v>28800</v>
      </c>
      <c r="K155" s="74" t="s">
        <v>83</v>
      </c>
      <c r="L155" s="79"/>
      <c r="M155" s="79">
        <v>0.17</v>
      </c>
      <c r="N155" s="76">
        <v>850</v>
      </c>
      <c r="O155" s="77" t="s">
        <v>83</v>
      </c>
      <c r="P155" s="71">
        <f t="shared" ref="P155:P163" si="97">(C155+(E155*F155*H155))-N155</f>
        <v>0</v>
      </c>
      <c r="Q155" s="77" t="s">
        <v>83</v>
      </c>
      <c r="R155" s="78">
        <f t="shared" ref="R155:R163" si="98">P155*(J155-(J155*L155)-((J155-(J155*L155))*M155))</f>
        <v>0</v>
      </c>
      <c r="S155" s="78">
        <f t="shared" si="81"/>
        <v>0</v>
      </c>
    </row>
    <row r="156" spans="1:19" s="73" customFormat="1" x14ac:dyDescent="0.2">
      <c r="A156" s="72" t="s">
        <v>91</v>
      </c>
      <c r="B156" s="73" t="s">
        <v>25</v>
      </c>
      <c r="C156" s="71">
        <v>43</v>
      </c>
      <c r="D156" s="74" t="s">
        <v>83</v>
      </c>
      <c r="E156" s="75">
        <v>22</v>
      </c>
      <c r="F156" s="76">
        <v>1</v>
      </c>
      <c r="G156" s="77" t="s">
        <v>20</v>
      </c>
      <c r="H156" s="76">
        <v>50</v>
      </c>
      <c r="I156" s="77" t="s">
        <v>83</v>
      </c>
      <c r="J156" s="78">
        <f>1590000/50</f>
        <v>31800</v>
      </c>
      <c r="K156" s="74" t="s">
        <v>83</v>
      </c>
      <c r="L156" s="79"/>
      <c r="M156" s="79">
        <v>0.17</v>
      </c>
      <c r="N156" s="76">
        <v>1143</v>
      </c>
      <c r="O156" s="77" t="s">
        <v>83</v>
      </c>
      <c r="P156" s="71">
        <f t="shared" si="97"/>
        <v>0</v>
      </c>
      <c r="Q156" s="77" t="s">
        <v>83</v>
      </c>
      <c r="R156" s="78">
        <f t="shared" si="98"/>
        <v>0</v>
      </c>
      <c r="S156" s="78">
        <f t="shared" si="81"/>
        <v>0</v>
      </c>
    </row>
    <row r="157" spans="1:19" s="73" customFormat="1" x14ac:dyDescent="0.2">
      <c r="A157" s="72" t="s">
        <v>92</v>
      </c>
      <c r="B157" s="73" t="s">
        <v>25</v>
      </c>
      <c r="C157" s="71">
        <v>57</v>
      </c>
      <c r="D157" s="74" t="s">
        <v>83</v>
      </c>
      <c r="E157" s="75">
        <v>27</v>
      </c>
      <c r="F157" s="76">
        <v>1</v>
      </c>
      <c r="G157" s="77" t="s">
        <v>20</v>
      </c>
      <c r="H157" s="76">
        <v>30</v>
      </c>
      <c r="I157" s="77" t="s">
        <v>83</v>
      </c>
      <c r="J157" s="78">
        <f>1476000/30</f>
        <v>49200</v>
      </c>
      <c r="K157" s="74" t="s">
        <v>83</v>
      </c>
      <c r="L157" s="79"/>
      <c r="M157" s="79">
        <v>0.17</v>
      </c>
      <c r="N157" s="76">
        <v>867</v>
      </c>
      <c r="O157" s="77" t="s">
        <v>83</v>
      </c>
      <c r="P157" s="71">
        <f t="shared" si="97"/>
        <v>0</v>
      </c>
      <c r="Q157" s="77" t="s">
        <v>83</v>
      </c>
      <c r="R157" s="78">
        <f t="shared" si="98"/>
        <v>0</v>
      </c>
      <c r="S157" s="78">
        <f t="shared" si="81"/>
        <v>0</v>
      </c>
    </row>
    <row r="158" spans="1:19" s="73" customFormat="1" x14ac:dyDescent="0.2">
      <c r="A158" s="72" t="s">
        <v>93</v>
      </c>
      <c r="B158" s="73" t="s">
        <v>25</v>
      </c>
      <c r="C158" s="71">
        <v>71</v>
      </c>
      <c r="D158" s="74" t="s">
        <v>83</v>
      </c>
      <c r="E158" s="75">
        <v>39</v>
      </c>
      <c r="F158" s="76">
        <v>1</v>
      </c>
      <c r="G158" s="77" t="s">
        <v>20</v>
      </c>
      <c r="H158" s="76">
        <v>20</v>
      </c>
      <c r="I158" s="77" t="s">
        <v>83</v>
      </c>
      <c r="J158" s="78">
        <f>1380000/20</f>
        <v>69000</v>
      </c>
      <c r="K158" s="74" t="s">
        <v>83</v>
      </c>
      <c r="L158" s="79"/>
      <c r="M158" s="79">
        <v>0.17</v>
      </c>
      <c r="N158" s="76">
        <v>851</v>
      </c>
      <c r="O158" s="77" t="s">
        <v>83</v>
      </c>
      <c r="P158" s="71">
        <f t="shared" si="97"/>
        <v>0</v>
      </c>
      <c r="Q158" s="77" t="s">
        <v>83</v>
      </c>
      <c r="R158" s="78">
        <f t="shared" si="98"/>
        <v>0</v>
      </c>
      <c r="S158" s="78">
        <f t="shared" si="81"/>
        <v>0</v>
      </c>
    </row>
    <row r="159" spans="1:19" s="73" customFormat="1" x14ac:dyDescent="0.2">
      <c r="A159" s="184" t="s">
        <v>93</v>
      </c>
      <c r="B159" s="73" t="s">
        <v>25</v>
      </c>
      <c r="C159" s="71"/>
      <c r="D159" s="74" t="s">
        <v>83</v>
      </c>
      <c r="E159" s="75">
        <v>6</v>
      </c>
      <c r="F159" s="76">
        <v>1</v>
      </c>
      <c r="G159" s="77" t="s">
        <v>20</v>
      </c>
      <c r="H159" s="76">
        <v>20</v>
      </c>
      <c r="I159" s="77" t="s">
        <v>83</v>
      </c>
      <c r="J159" s="78">
        <f>1380000/20</f>
        <v>69000</v>
      </c>
      <c r="K159" s="74" t="s">
        <v>83</v>
      </c>
      <c r="L159" s="79">
        <v>0.05</v>
      </c>
      <c r="M159" s="79">
        <v>0.17</v>
      </c>
      <c r="N159" s="76">
        <v>120</v>
      </c>
      <c r="O159" s="77" t="s">
        <v>83</v>
      </c>
      <c r="P159" s="71">
        <f t="shared" ref="P159" si="99">(C159+(E159*F159*H159))-N159</f>
        <v>0</v>
      </c>
      <c r="Q159" s="77" t="s">
        <v>83</v>
      </c>
      <c r="R159" s="78">
        <f t="shared" ref="R159" si="100">P159*(J159-(J159*L159)-((J159-(J159*L159))*M159))</f>
        <v>0</v>
      </c>
      <c r="S159" s="78">
        <f t="shared" ref="S159" si="101">R159/1.11</f>
        <v>0</v>
      </c>
    </row>
    <row r="160" spans="1:19" s="73" customFormat="1" x14ac:dyDescent="0.2">
      <c r="A160" s="72" t="s">
        <v>94</v>
      </c>
      <c r="B160" s="73" t="s">
        <v>25</v>
      </c>
      <c r="C160" s="71">
        <v>52</v>
      </c>
      <c r="D160" s="74" t="s">
        <v>83</v>
      </c>
      <c r="E160" s="75">
        <v>45</v>
      </c>
      <c r="F160" s="76">
        <v>1</v>
      </c>
      <c r="G160" s="77" t="s">
        <v>20</v>
      </c>
      <c r="H160" s="76">
        <v>10</v>
      </c>
      <c r="I160" s="77" t="s">
        <v>83</v>
      </c>
      <c r="J160" s="78">
        <f>1200000/10</f>
        <v>120000</v>
      </c>
      <c r="K160" s="74" t="s">
        <v>83</v>
      </c>
      <c r="L160" s="79"/>
      <c r="M160" s="79">
        <v>0.17</v>
      </c>
      <c r="N160" s="76">
        <v>502</v>
      </c>
      <c r="O160" s="77" t="s">
        <v>83</v>
      </c>
      <c r="P160" s="71">
        <f t="shared" si="97"/>
        <v>0</v>
      </c>
      <c r="Q160" s="77" t="s">
        <v>83</v>
      </c>
      <c r="R160" s="78">
        <f t="shared" si="98"/>
        <v>0</v>
      </c>
      <c r="S160" s="78">
        <f t="shared" si="81"/>
        <v>0</v>
      </c>
    </row>
    <row r="161" spans="1:19" s="19" customFormat="1" x14ac:dyDescent="0.2">
      <c r="A161" s="18" t="s">
        <v>95</v>
      </c>
      <c r="B161" s="19" t="s">
        <v>25</v>
      </c>
      <c r="C161" s="20"/>
      <c r="D161" s="21" t="s">
        <v>83</v>
      </c>
      <c r="E161" s="26">
        <v>80</v>
      </c>
      <c r="F161" s="22">
        <v>1</v>
      </c>
      <c r="G161" s="23" t="s">
        <v>20</v>
      </c>
      <c r="H161" s="22">
        <v>5</v>
      </c>
      <c r="I161" s="23" t="s">
        <v>83</v>
      </c>
      <c r="J161" s="24">
        <f>900000/5</f>
        <v>180000</v>
      </c>
      <c r="K161" s="21" t="s">
        <v>83</v>
      </c>
      <c r="L161" s="25"/>
      <c r="M161" s="25">
        <v>0.17</v>
      </c>
      <c r="N161" s="22">
        <v>395</v>
      </c>
      <c r="O161" s="23" t="s">
        <v>83</v>
      </c>
      <c r="P161" s="20">
        <f t="shared" si="97"/>
        <v>5</v>
      </c>
      <c r="Q161" s="23" t="s">
        <v>83</v>
      </c>
      <c r="R161" s="24">
        <f t="shared" si="98"/>
        <v>747000</v>
      </c>
      <c r="S161" s="24">
        <f t="shared" si="81"/>
        <v>672972.9729729729</v>
      </c>
    </row>
    <row r="162" spans="1:19" s="19" customFormat="1" x14ac:dyDescent="0.2">
      <c r="A162" s="18" t="s">
        <v>901</v>
      </c>
      <c r="B162" s="19" t="s">
        <v>25</v>
      </c>
      <c r="C162" s="20"/>
      <c r="D162" s="21" t="s">
        <v>33</v>
      </c>
      <c r="E162" s="26">
        <v>3</v>
      </c>
      <c r="F162" s="22">
        <v>48</v>
      </c>
      <c r="G162" s="23" t="s">
        <v>33</v>
      </c>
      <c r="H162" s="22">
        <v>6</v>
      </c>
      <c r="I162" s="23" t="s">
        <v>830</v>
      </c>
      <c r="J162" s="24">
        <v>7150</v>
      </c>
      <c r="K162" s="21" t="s">
        <v>830</v>
      </c>
      <c r="L162" s="25"/>
      <c r="M162" s="25">
        <v>0.17</v>
      </c>
      <c r="N162" s="22">
        <f>864-288</f>
        <v>576</v>
      </c>
      <c r="O162" s="23" t="s">
        <v>33</v>
      </c>
      <c r="P162" s="20">
        <f t="shared" ref="P162" si="102">(C162+(E162*F162*H162))-N162</f>
        <v>288</v>
      </c>
      <c r="Q162" s="23" t="s">
        <v>830</v>
      </c>
      <c r="R162" s="24">
        <f t="shared" ref="R162" si="103">P162*(J162-(J162*L162)-((J162-(J162*L162))*M162))</f>
        <v>1709136</v>
      </c>
      <c r="S162" s="24">
        <f t="shared" ref="S162" si="104">R162/1.11</f>
        <v>1539762.1621621621</v>
      </c>
    </row>
    <row r="163" spans="1:19" s="73" customFormat="1" x14ac:dyDescent="0.2">
      <c r="A163" s="72" t="s">
        <v>706</v>
      </c>
      <c r="B163" s="73" t="s">
        <v>25</v>
      </c>
      <c r="C163" s="71">
        <v>345</v>
      </c>
      <c r="D163" s="74" t="s">
        <v>33</v>
      </c>
      <c r="E163" s="75">
        <v>15</v>
      </c>
      <c r="F163" s="76">
        <v>1</v>
      </c>
      <c r="G163" s="77" t="s">
        <v>20</v>
      </c>
      <c r="H163" s="76">
        <v>72</v>
      </c>
      <c r="I163" s="77" t="s">
        <v>33</v>
      </c>
      <c r="J163" s="78">
        <f>1548000/72</f>
        <v>21500</v>
      </c>
      <c r="K163" s="74" t="s">
        <v>33</v>
      </c>
      <c r="L163" s="79"/>
      <c r="M163" s="79">
        <v>0.17</v>
      </c>
      <c r="N163" s="76">
        <v>1425</v>
      </c>
      <c r="O163" s="77" t="s">
        <v>33</v>
      </c>
      <c r="P163" s="71">
        <f t="shared" si="97"/>
        <v>0</v>
      </c>
      <c r="Q163" s="77" t="s">
        <v>33</v>
      </c>
      <c r="R163" s="78">
        <f t="shared" si="98"/>
        <v>0</v>
      </c>
      <c r="S163" s="78">
        <f t="shared" si="81"/>
        <v>0</v>
      </c>
    </row>
    <row r="164" spans="1:19" s="73" customFormat="1" x14ac:dyDescent="0.2">
      <c r="A164" s="72" t="s">
        <v>985</v>
      </c>
      <c r="B164" s="73" t="s">
        <v>25</v>
      </c>
      <c r="C164" s="71"/>
      <c r="D164" s="74" t="s">
        <v>33</v>
      </c>
      <c r="E164" s="75">
        <v>2</v>
      </c>
      <c r="F164" s="76">
        <v>1</v>
      </c>
      <c r="G164" s="77" t="s">
        <v>20</v>
      </c>
      <c r="H164" s="76">
        <v>48</v>
      </c>
      <c r="I164" s="77" t="s">
        <v>33</v>
      </c>
      <c r="J164" s="78">
        <v>42900</v>
      </c>
      <c r="K164" s="74" t="s">
        <v>33</v>
      </c>
      <c r="L164" s="79"/>
      <c r="M164" s="79">
        <v>0.17</v>
      </c>
      <c r="N164" s="76">
        <v>96</v>
      </c>
      <c r="O164" s="77" t="s">
        <v>33</v>
      </c>
      <c r="P164" s="71">
        <f t="shared" ref="P164" si="105">(C164+(E164*F164*H164))-N164</f>
        <v>0</v>
      </c>
      <c r="Q164" s="77" t="s">
        <v>33</v>
      </c>
      <c r="R164" s="78">
        <f t="shared" ref="R164" si="106">P164*(J164-(J164*L164)-((J164-(J164*L164))*M164))</f>
        <v>0</v>
      </c>
      <c r="S164" s="78">
        <f t="shared" ref="S164" si="107">R164/1.11</f>
        <v>0</v>
      </c>
    </row>
    <row r="165" spans="1:19" s="19" customFormat="1" x14ac:dyDescent="0.2">
      <c r="A165" s="18"/>
      <c r="C165" s="20"/>
      <c r="D165" s="21"/>
      <c r="E165" s="26"/>
      <c r="F165" s="22"/>
      <c r="G165" s="23"/>
      <c r="H165" s="22"/>
      <c r="I165" s="23"/>
      <c r="J165" s="24"/>
      <c r="K165" s="21"/>
      <c r="L165" s="25"/>
      <c r="M165" s="25"/>
      <c r="N165" s="22"/>
      <c r="O165" s="23"/>
      <c r="P165" s="20"/>
      <c r="Q165" s="23"/>
      <c r="R165" s="24"/>
      <c r="S165" s="24"/>
    </row>
    <row r="166" spans="1:19" s="19" customFormat="1" x14ac:dyDescent="0.2">
      <c r="A166" s="57" t="s">
        <v>96</v>
      </c>
      <c r="C166" s="20"/>
      <c r="D166" s="21"/>
      <c r="E166" s="26"/>
      <c r="F166" s="22"/>
      <c r="G166" s="23"/>
      <c r="H166" s="22"/>
      <c r="I166" s="23"/>
      <c r="J166" s="24"/>
      <c r="K166" s="21"/>
      <c r="L166" s="25"/>
      <c r="M166" s="25"/>
      <c r="N166" s="22"/>
      <c r="O166" s="23"/>
      <c r="P166" s="20"/>
      <c r="Q166" s="23"/>
      <c r="R166" s="24"/>
      <c r="S166" s="24"/>
    </row>
    <row r="167" spans="1:19" s="73" customFormat="1" x14ac:dyDescent="0.2">
      <c r="A167" s="72" t="s">
        <v>97</v>
      </c>
      <c r="B167" s="73" t="s">
        <v>18</v>
      </c>
      <c r="C167" s="71"/>
      <c r="D167" s="74" t="s">
        <v>33</v>
      </c>
      <c r="E167" s="75">
        <v>6</v>
      </c>
      <c r="F167" s="76">
        <v>50</v>
      </c>
      <c r="G167" s="77" t="s">
        <v>98</v>
      </c>
      <c r="H167" s="76">
        <v>10</v>
      </c>
      <c r="I167" s="77" t="s">
        <v>33</v>
      </c>
      <c r="J167" s="78">
        <v>1850</v>
      </c>
      <c r="K167" s="74" t="s">
        <v>33</v>
      </c>
      <c r="L167" s="79">
        <v>0.125</v>
      </c>
      <c r="M167" s="79">
        <v>0.05</v>
      </c>
      <c r="N167" s="76">
        <v>3000</v>
      </c>
      <c r="O167" s="77" t="s">
        <v>33</v>
      </c>
      <c r="P167" s="71">
        <f>(C167+(E167*F167*H167))-N167</f>
        <v>0</v>
      </c>
      <c r="Q167" s="77" t="s">
        <v>33</v>
      </c>
      <c r="R167" s="78">
        <f>P167*(J167-(J167*L167)-((J167-(J167*L167))*M167))</f>
        <v>0</v>
      </c>
      <c r="S167" s="78">
        <f t="shared" si="81"/>
        <v>0</v>
      </c>
    </row>
    <row r="168" spans="1:19" s="73" customFormat="1" x14ac:dyDescent="0.2">
      <c r="A168" s="72" t="s">
        <v>99</v>
      </c>
      <c r="B168" s="73" t="s">
        <v>18</v>
      </c>
      <c r="C168" s="71"/>
      <c r="D168" s="74" t="s">
        <v>33</v>
      </c>
      <c r="E168" s="75">
        <v>31</v>
      </c>
      <c r="F168" s="76">
        <v>50</v>
      </c>
      <c r="G168" s="77" t="s">
        <v>98</v>
      </c>
      <c r="H168" s="76">
        <v>10</v>
      </c>
      <c r="I168" s="77" t="s">
        <v>33</v>
      </c>
      <c r="J168" s="78">
        <v>1625</v>
      </c>
      <c r="K168" s="74" t="s">
        <v>33</v>
      </c>
      <c r="L168" s="79">
        <v>0.125</v>
      </c>
      <c r="M168" s="79">
        <v>0.05</v>
      </c>
      <c r="N168" s="76">
        <v>15500</v>
      </c>
      <c r="O168" s="77" t="s">
        <v>33</v>
      </c>
      <c r="P168" s="71">
        <f>(C168+(E168*F168*H168))-N168</f>
        <v>0</v>
      </c>
      <c r="Q168" s="77" t="s">
        <v>33</v>
      </c>
      <c r="R168" s="78">
        <f>P168*(J168-(J168*L168)-((J168-(J168*L168))*M168))</f>
        <v>0</v>
      </c>
      <c r="S168" s="78">
        <f t="shared" si="81"/>
        <v>0</v>
      </c>
    </row>
    <row r="169" spans="1:19" s="73" customFormat="1" x14ac:dyDescent="0.2">
      <c r="A169" s="72" t="s">
        <v>100</v>
      </c>
      <c r="B169" s="73" t="s">
        <v>18</v>
      </c>
      <c r="C169" s="71"/>
      <c r="D169" s="74" t="s">
        <v>33</v>
      </c>
      <c r="E169" s="75">
        <v>15</v>
      </c>
      <c r="F169" s="76">
        <v>20</v>
      </c>
      <c r="G169" s="77" t="s">
        <v>98</v>
      </c>
      <c r="H169" s="76">
        <v>10</v>
      </c>
      <c r="I169" s="77" t="s">
        <v>33</v>
      </c>
      <c r="J169" s="78">
        <v>4400</v>
      </c>
      <c r="K169" s="74" t="s">
        <v>33</v>
      </c>
      <c r="L169" s="79">
        <v>0.125</v>
      </c>
      <c r="M169" s="79">
        <v>0.05</v>
      </c>
      <c r="N169" s="76">
        <v>3000</v>
      </c>
      <c r="O169" s="77" t="s">
        <v>33</v>
      </c>
      <c r="P169" s="71">
        <f>(C169+(E169*F169*H169))-N169</f>
        <v>0</v>
      </c>
      <c r="Q169" s="77" t="s">
        <v>33</v>
      </c>
      <c r="R169" s="78">
        <f>P169*(J169-(J169*L169)-((J169-(J169*L169))*M169))</f>
        <v>0</v>
      </c>
      <c r="S169" s="78">
        <f t="shared" si="81"/>
        <v>0</v>
      </c>
    </row>
    <row r="170" spans="1:19" s="73" customFormat="1" x14ac:dyDescent="0.2">
      <c r="A170" s="72" t="s">
        <v>101</v>
      </c>
      <c r="B170" s="73" t="s">
        <v>18</v>
      </c>
      <c r="C170" s="71">
        <v>792</v>
      </c>
      <c r="D170" s="74" t="s">
        <v>102</v>
      </c>
      <c r="E170" s="75">
        <v>9</v>
      </c>
      <c r="F170" s="76">
        <v>24</v>
      </c>
      <c r="G170" s="77" t="s">
        <v>33</v>
      </c>
      <c r="H170" s="76">
        <v>12</v>
      </c>
      <c r="I170" s="77" t="s">
        <v>102</v>
      </c>
      <c r="J170" s="78">
        <v>3100</v>
      </c>
      <c r="K170" s="74" t="s">
        <v>102</v>
      </c>
      <c r="L170" s="79">
        <v>0.125</v>
      </c>
      <c r="M170" s="79">
        <v>0.05</v>
      </c>
      <c r="N170" s="76">
        <v>3384</v>
      </c>
      <c r="O170" s="77" t="s">
        <v>102</v>
      </c>
      <c r="P170" s="71">
        <f>(C170+(E170*F170*H170))-N170</f>
        <v>0</v>
      </c>
      <c r="Q170" s="77" t="s">
        <v>102</v>
      </c>
      <c r="R170" s="78">
        <f>P170*(J170-(J170*L170)-((J170-(J170*L170))*M170))</f>
        <v>0</v>
      </c>
      <c r="S170" s="78">
        <f t="shared" si="81"/>
        <v>0</v>
      </c>
    </row>
    <row r="171" spans="1:19" s="90" customFormat="1" x14ac:dyDescent="0.2">
      <c r="A171" s="82"/>
      <c r="C171" s="91"/>
      <c r="D171" s="92"/>
      <c r="E171" s="93"/>
      <c r="F171" s="94"/>
      <c r="G171" s="95"/>
      <c r="H171" s="94"/>
      <c r="I171" s="95"/>
      <c r="J171" s="96"/>
      <c r="K171" s="92"/>
      <c r="L171" s="97"/>
      <c r="M171" s="97"/>
      <c r="N171" s="94"/>
      <c r="O171" s="95"/>
      <c r="P171" s="91"/>
      <c r="Q171" s="95"/>
      <c r="R171" s="96"/>
      <c r="S171" s="96"/>
    </row>
    <row r="172" spans="1:19" s="73" customFormat="1" x14ac:dyDescent="0.2">
      <c r="A172" s="72" t="s">
        <v>103</v>
      </c>
      <c r="B172" s="73" t="s">
        <v>25</v>
      </c>
      <c r="C172" s="71">
        <v>390</v>
      </c>
      <c r="D172" s="74" t="s">
        <v>33</v>
      </c>
      <c r="E172" s="75">
        <v>24</v>
      </c>
      <c r="F172" s="76">
        <v>50</v>
      </c>
      <c r="G172" s="77" t="s">
        <v>98</v>
      </c>
      <c r="H172" s="76">
        <v>10</v>
      </c>
      <c r="I172" s="77" t="s">
        <v>33</v>
      </c>
      <c r="J172" s="78">
        <f>850000/50/10</f>
        <v>1700</v>
      </c>
      <c r="K172" s="74" t="s">
        <v>33</v>
      </c>
      <c r="L172" s="79"/>
      <c r="M172" s="79">
        <v>0.17</v>
      </c>
      <c r="N172" s="76">
        <v>12390</v>
      </c>
      <c r="O172" s="77" t="s">
        <v>33</v>
      </c>
      <c r="P172" s="71">
        <f>(C172+(E172*F172*H172))-N172</f>
        <v>0</v>
      </c>
      <c r="Q172" s="77" t="s">
        <v>33</v>
      </c>
      <c r="R172" s="78">
        <f>P172*(J172-(J172*L172)-((J172-(J172*L172))*M172))</f>
        <v>0</v>
      </c>
      <c r="S172" s="78">
        <f t="shared" si="81"/>
        <v>0</v>
      </c>
    </row>
    <row r="173" spans="1:19" s="73" customFormat="1" x14ac:dyDescent="0.2">
      <c r="A173" s="72" t="s">
        <v>104</v>
      </c>
      <c r="B173" s="73" t="s">
        <v>25</v>
      </c>
      <c r="C173" s="71">
        <v>1510</v>
      </c>
      <c r="D173" s="74" t="s">
        <v>33</v>
      </c>
      <c r="E173" s="75">
        <v>23</v>
      </c>
      <c r="F173" s="76">
        <v>50</v>
      </c>
      <c r="G173" s="77" t="s">
        <v>98</v>
      </c>
      <c r="H173" s="76">
        <v>10</v>
      </c>
      <c r="I173" s="77" t="s">
        <v>33</v>
      </c>
      <c r="J173" s="78">
        <f>800000/50/10</f>
        <v>1600</v>
      </c>
      <c r="K173" s="74" t="s">
        <v>33</v>
      </c>
      <c r="L173" s="79"/>
      <c r="M173" s="79">
        <v>0.17</v>
      </c>
      <c r="N173" s="76">
        <v>13010</v>
      </c>
      <c r="O173" s="77" t="s">
        <v>33</v>
      </c>
      <c r="P173" s="71">
        <f>(C173+(E173*F173*H173))-N173</f>
        <v>0</v>
      </c>
      <c r="Q173" s="77" t="s">
        <v>33</v>
      </c>
      <c r="R173" s="78">
        <f>P173*(J173-(J173*L173)-((J173-(J173*L173))*M173))</f>
        <v>0</v>
      </c>
      <c r="S173" s="78">
        <f t="shared" si="81"/>
        <v>0</v>
      </c>
    </row>
    <row r="174" spans="1:19" s="73" customFormat="1" x14ac:dyDescent="0.2">
      <c r="A174" s="72" t="s">
        <v>105</v>
      </c>
      <c r="B174" s="73" t="s">
        <v>25</v>
      </c>
      <c r="C174" s="71">
        <v>810</v>
      </c>
      <c r="D174" s="74" t="s">
        <v>33</v>
      </c>
      <c r="E174" s="75">
        <v>35</v>
      </c>
      <c r="F174" s="76">
        <v>20</v>
      </c>
      <c r="G174" s="77" t="s">
        <v>98</v>
      </c>
      <c r="H174" s="76">
        <v>10</v>
      </c>
      <c r="I174" s="77" t="s">
        <v>33</v>
      </c>
      <c r="J174" s="78">
        <f>860000/20/10</f>
        <v>4300</v>
      </c>
      <c r="K174" s="74" t="s">
        <v>33</v>
      </c>
      <c r="L174" s="79"/>
      <c r="M174" s="79">
        <v>0.17</v>
      </c>
      <c r="N174" s="76">
        <v>7810</v>
      </c>
      <c r="O174" s="77" t="s">
        <v>33</v>
      </c>
      <c r="P174" s="71">
        <f>(C174+(E174*F174*H174))-N174</f>
        <v>0</v>
      </c>
      <c r="Q174" s="77" t="s">
        <v>33</v>
      </c>
      <c r="R174" s="78">
        <f>P174*(J174-(J174*L174)-((J174-(J174*L174))*M174))</f>
        <v>0</v>
      </c>
      <c r="S174" s="78">
        <f t="shared" si="81"/>
        <v>0</v>
      </c>
    </row>
    <row r="175" spans="1:19" s="73" customFormat="1" x14ac:dyDescent="0.2">
      <c r="A175" s="72" t="s">
        <v>106</v>
      </c>
      <c r="B175" s="73" t="s">
        <v>25</v>
      </c>
      <c r="C175" s="71">
        <v>16</v>
      </c>
      <c r="D175" s="74" t="s">
        <v>40</v>
      </c>
      <c r="E175" s="75">
        <v>23</v>
      </c>
      <c r="F175" s="76">
        <v>1</v>
      </c>
      <c r="G175" s="77" t="s">
        <v>20</v>
      </c>
      <c r="H175" s="76">
        <v>48</v>
      </c>
      <c r="I175" s="77" t="s">
        <v>40</v>
      </c>
      <c r="J175" s="78">
        <f>1987200/48</f>
        <v>41400</v>
      </c>
      <c r="K175" s="74" t="s">
        <v>40</v>
      </c>
      <c r="L175" s="79"/>
      <c r="M175" s="79">
        <v>0.17</v>
      </c>
      <c r="N175" s="76">
        <v>1120</v>
      </c>
      <c r="O175" s="77" t="s">
        <v>40</v>
      </c>
      <c r="P175" s="71">
        <f>(C175+(E175*F175*H175))-N175</f>
        <v>0</v>
      </c>
      <c r="Q175" s="77" t="s">
        <v>40</v>
      </c>
      <c r="R175" s="78">
        <f>P175*(J175-(J175*L175)-((J175-(J175*L175))*M175))</f>
        <v>0</v>
      </c>
      <c r="S175" s="78">
        <f t="shared" si="81"/>
        <v>0</v>
      </c>
    </row>
    <row r="176" spans="1:19" s="19" customFormat="1" x14ac:dyDescent="0.2">
      <c r="A176" s="18"/>
      <c r="C176" s="20"/>
      <c r="D176" s="21"/>
      <c r="E176" s="26"/>
      <c r="F176" s="22"/>
      <c r="G176" s="23"/>
      <c r="H176" s="22"/>
      <c r="I176" s="23"/>
      <c r="J176" s="24"/>
      <c r="K176" s="21"/>
      <c r="L176" s="25"/>
      <c r="M176" s="25"/>
      <c r="N176" s="22"/>
      <c r="O176" s="23"/>
      <c r="P176" s="20"/>
      <c r="Q176" s="23"/>
      <c r="R176" s="24"/>
      <c r="S176" s="24"/>
    </row>
    <row r="177" spans="1:19" s="19" customFormat="1" ht="15.75" x14ac:dyDescent="0.25">
      <c r="A177" s="35" t="s">
        <v>107</v>
      </c>
      <c r="C177" s="20"/>
      <c r="D177" s="21"/>
      <c r="E177" s="26"/>
      <c r="F177" s="22"/>
      <c r="G177" s="23"/>
      <c r="H177" s="22"/>
      <c r="I177" s="23"/>
      <c r="J177" s="24"/>
      <c r="K177" s="21"/>
      <c r="L177" s="25"/>
      <c r="M177" s="25"/>
      <c r="N177" s="22"/>
      <c r="O177" s="23"/>
      <c r="P177" s="20"/>
      <c r="Q177" s="23"/>
      <c r="R177" s="24"/>
      <c r="S177" s="24"/>
    </row>
    <row r="178" spans="1:19" s="19" customFormat="1" x14ac:dyDescent="0.2">
      <c r="A178" s="57" t="s">
        <v>108</v>
      </c>
      <c r="C178" s="20"/>
      <c r="D178" s="21"/>
      <c r="E178" s="26"/>
      <c r="F178" s="22"/>
      <c r="G178" s="23"/>
      <c r="H178" s="22"/>
      <c r="I178" s="23"/>
      <c r="J178" s="24"/>
      <c r="K178" s="21"/>
      <c r="L178" s="25"/>
      <c r="M178" s="25"/>
      <c r="N178" s="22"/>
      <c r="O178" s="23"/>
      <c r="P178" s="20"/>
      <c r="Q178" s="23"/>
      <c r="R178" s="24"/>
      <c r="S178" s="24"/>
    </row>
    <row r="179" spans="1:19" s="73" customFormat="1" x14ac:dyDescent="0.2">
      <c r="A179" s="187" t="s">
        <v>109</v>
      </c>
      <c r="B179" s="73" t="s">
        <v>18</v>
      </c>
      <c r="C179" s="71"/>
      <c r="D179" s="74" t="s">
        <v>40</v>
      </c>
      <c r="E179" s="75">
        <v>30</v>
      </c>
      <c r="F179" s="76">
        <v>1</v>
      </c>
      <c r="G179" s="77" t="s">
        <v>20</v>
      </c>
      <c r="H179" s="76">
        <v>48</v>
      </c>
      <c r="I179" s="77" t="s">
        <v>40</v>
      </c>
      <c r="J179" s="78">
        <v>36000</v>
      </c>
      <c r="K179" s="74" t="s">
        <v>40</v>
      </c>
      <c r="L179" s="79">
        <v>0.125</v>
      </c>
      <c r="M179" s="188">
        <v>0.08</v>
      </c>
      <c r="N179" s="76">
        <v>1440</v>
      </c>
      <c r="O179" s="77" t="s">
        <v>40</v>
      </c>
      <c r="P179" s="71">
        <f t="shared" ref="P179" si="108">(C179+(E179*F179*H179))-N179</f>
        <v>0</v>
      </c>
      <c r="Q179" s="77" t="s">
        <v>40</v>
      </c>
      <c r="R179" s="78">
        <f t="shared" ref="R179" si="109">P179*(J179-(J179*L179)-((J179-(J179*L179))*M179))</f>
        <v>0</v>
      </c>
      <c r="S179" s="78">
        <f t="shared" ref="S179" si="110">R179/1.11</f>
        <v>0</v>
      </c>
    </row>
    <row r="180" spans="1:19" s="73" customFormat="1" x14ac:dyDescent="0.2">
      <c r="A180" s="187" t="s">
        <v>109</v>
      </c>
      <c r="B180" s="73" t="s">
        <v>18</v>
      </c>
      <c r="C180" s="71">
        <v>145</v>
      </c>
      <c r="D180" s="74" t="s">
        <v>40</v>
      </c>
      <c r="E180" s="75">
        <v>30</v>
      </c>
      <c r="F180" s="76">
        <v>1</v>
      </c>
      <c r="G180" s="77" t="s">
        <v>20</v>
      </c>
      <c r="H180" s="76">
        <v>48</v>
      </c>
      <c r="I180" s="77" t="s">
        <v>40</v>
      </c>
      <c r="J180" s="78">
        <v>36000</v>
      </c>
      <c r="K180" s="74" t="s">
        <v>40</v>
      </c>
      <c r="L180" s="79">
        <v>0.125</v>
      </c>
      <c r="M180" s="188">
        <v>0.05</v>
      </c>
      <c r="N180" s="76">
        <v>1585</v>
      </c>
      <c r="O180" s="77" t="s">
        <v>40</v>
      </c>
      <c r="P180" s="71">
        <f t="shared" ref="P180:P201" si="111">(C180+(E180*F180*H180))-N180</f>
        <v>0</v>
      </c>
      <c r="Q180" s="77" t="s">
        <v>40</v>
      </c>
      <c r="R180" s="78">
        <f t="shared" ref="R180:R201" si="112">P180*(J180-(J180*L180)-((J180-(J180*L180))*M180))</f>
        <v>0</v>
      </c>
      <c r="S180" s="78">
        <f t="shared" si="81"/>
        <v>0</v>
      </c>
    </row>
    <row r="181" spans="1:19" s="19" customFormat="1" x14ac:dyDescent="0.2">
      <c r="A181" s="134" t="s">
        <v>109</v>
      </c>
      <c r="B181" s="19" t="s">
        <v>18</v>
      </c>
      <c r="C181" s="20"/>
      <c r="D181" s="21" t="s">
        <v>40</v>
      </c>
      <c r="E181" s="26">
        <v>12</v>
      </c>
      <c r="F181" s="22">
        <v>1</v>
      </c>
      <c r="G181" s="23" t="s">
        <v>20</v>
      </c>
      <c r="H181" s="22">
        <v>48</v>
      </c>
      <c r="I181" s="23" t="s">
        <v>40</v>
      </c>
      <c r="J181" s="24">
        <v>36000</v>
      </c>
      <c r="K181" s="21" t="s">
        <v>40</v>
      </c>
      <c r="L181" s="25">
        <v>0.125</v>
      </c>
      <c r="M181" s="25">
        <v>0.1</v>
      </c>
      <c r="N181" s="22">
        <v>480</v>
      </c>
      <c r="O181" s="23" t="s">
        <v>40</v>
      </c>
      <c r="P181" s="20">
        <f t="shared" ref="P181" si="113">(C181+(E181*F181*H181))-N181</f>
        <v>96</v>
      </c>
      <c r="Q181" s="23" t="s">
        <v>40</v>
      </c>
      <c r="R181" s="24">
        <f t="shared" ref="R181" si="114">P181*(J181-(J181*L181)-((J181-(J181*L181))*M181))</f>
        <v>2721600</v>
      </c>
      <c r="S181" s="24">
        <f t="shared" ref="S181" si="115">R181/1.11</f>
        <v>2451891.8918918916</v>
      </c>
    </row>
    <row r="182" spans="1:19" s="73" customFormat="1" x14ac:dyDescent="0.2">
      <c r="A182" s="185" t="s">
        <v>110</v>
      </c>
      <c r="B182" s="73" t="s">
        <v>18</v>
      </c>
      <c r="C182" s="71">
        <v>480</v>
      </c>
      <c r="D182" s="74" t="s">
        <v>40</v>
      </c>
      <c r="E182" s="75"/>
      <c r="F182" s="76">
        <v>1</v>
      </c>
      <c r="G182" s="77" t="s">
        <v>20</v>
      </c>
      <c r="H182" s="76">
        <v>48</v>
      </c>
      <c r="I182" s="77" t="s">
        <v>40</v>
      </c>
      <c r="J182" s="78">
        <v>36000</v>
      </c>
      <c r="K182" s="74" t="s">
        <v>40</v>
      </c>
      <c r="L182" s="79">
        <v>0.125</v>
      </c>
      <c r="M182" s="189">
        <v>0.1</v>
      </c>
      <c r="N182" s="76">
        <v>480</v>
      </c>
      <c r="O182" s="77" t="s">
        <v>40</v>
      </c>
      <c r="P182" s="71">
        <f t="shared" ref="P182" si="116">(C182+(E182*F182*H182))-N182</f>
        <v>0</v>
      </c>
      <c r="Q182" s="77" t="s">
        <v>40</v>
      </c>
      <c r="R182" s="78">
        <f t="shared" ref="R182" si="117">P182*(J182-(J182*L182)-((J182-(J182*L182))*M182))</f>
        <v>0</v>
      </c>
      <c r="S182" s="78">
        <f t="shared" ref="S182" si="118">R182/1.11</f>
        <v>0</v>
      </c>
    </row>
    <row r="183" spans="1:19" s="73" customFormat="1" x14ac:dyDescent="0.2">
      <c r="A183" s="185" t="s">
        <v>110</v>
      </c>
      <c r="B183" s="73" t="s">
        <v>18</v>
      </c>
      <c r="C183" s="71">
        <v>24</v>
      </c>
      <c r="D183" s="74" t="s">
        <v>40</v>
      </c>
      <c r="E183" s="75">
        <v>22</v>
      </c>
      <c r="F183" s="76">
        <v>1</v>
      </c>
      <c r="G183" s="77" t="s">
        <v>20</v>
      </c>
      <c r="H183" s="76">
        <v>48</v>
      </c>
      <c r="I183" s="77" t="s">
        <v>40</v>
      </c>
      <c r="J183" s="78">
        <v>36000</v>
      </c>
      <c r="K183" s="74" t="s">
        <v>40</v>
      </c>
      <c r="L183" s="79">
        <v>0.125</v>
      </c>
      <c r="M183" s="189">
        <v>0.05</v>
      </c>
      <c r="N183" s="76">
        <v>1080</v>
      </c>
      <c r="O183" s="77" t="s">
        <v>40</v>
      </c>
      <c r="P183" s="71">
        <f>(C183+(E183*F183*H183))-N183</f>
        <v>0</v>
      </c>
      <c r="Q183" s="77" t="s">
        <v>40</v>
      </c>
      <c r="R183" s="78">
        <f>P183*(J183-(J183*L183)-((J183-(J183*L183))*M183))</f>
        <v>0</v>
      </c>
      <c r="S183" s="78">
        <f>R183/1.11</f>
        <v>0</v>
      </c>
    </row>
    <row r="184" spans="1:19" s="73" customFormat="1" x14ac:dyDescent="0.2">
      <c r="A184" s="72" t="s">
        <v>723</v>
      </c>
      <c r="B184" s="73" t="s">
        <v>18</v>
      </c>
      <c r="C184" s="71">
        <v>96</v>
      </c>
      <c r="D184" s="74" t="s">
        <v>40</v>
      </c>
      <c r="E184" s="75">
        <v>16</v>
      </c>
      <c r="F184" s="76">
        <v>1</v>
      </c>
      <c r="G184" s="77" t="s">
        <v>20</v>
      </c>
      <c r="H184" s="76">
        <v>48</v>
      </c>
      <c r="I184" s="77" t="s">
        <v>40</v>
      </c>
      <c r="J184" s="78">
        <v>36000</v>
      </c>
      <c r="K184" s="74" t="s">
        <v>40</v>
      </c>
      <c r="L184" s="79">
        <v>0.125</v>
      </c>
      <c r="M184" s="79">
        <v>0.05</v>
      </c>
      <c r="N184" s="76">
        <v>864</v>
      </c>
      <c r="O184" s="77" t="s">
        <v>40</v>
      </c>
      <c r="P184" s="71">
        <f t="shared" si="111"/>
        <v>0</v>
      </c>
      <c r="Q184" s="77" t="s">
        <v>40</v>
      </c>
      <c r="R184" s="78">
        <f t="shared" si="112"/>
        <v>0</v>
      </c>
      <c r="S184" s="78">
        <f t="shared" si="81"/>
        <v>0</v>
      </c>
    </row>
    <row r="185" spans="1:19" s="73" customFormat="1" x14ac:dyDescent="0.2">
      <c r="A185" s="72" t="s">
        <v>111</v>
      </c>
      <c r="B185" s="73" t="s">
        <v>18</v>
      </c>
      <c r="C185" s="71"/>
      <c r="D185" s="74" t="s">
        <v>40</v>
      </c>
      <c r="E185" s="75">
        <v>3</v>
      </c>
      <c r="F185" s="76">
        <v>1</v>
      </c>
      <c r="G185" s="77" t="s">
        <v>20</v>
      </c>
      <c r="H185" s="76">
        <v>48</v>
      </c>
      <c r="I185" s="77" t="s">
        <v>40</v>
      </c>
      <c r="J185" s="78">
        <v>39000</v>
      </c>
      <c r="K185" s="74" t="s">
        <v>40</v>
      </c>
      <c r="L185" s="79">
        <v>0.125</v>
      </c>
      <c r="M185" s="79">
        <v>0.05</v>
      </c>
      <c r="N185" s="76">
        <v>144</v>
      </c>
      <c r="O185" s="77" t="s">
        <v>40</v>
      </c>
      <c r="P185" s="71">
        <f t="shared" si="111"/>
        <v>0</v>
      </c>
      <c r="Q185" s="77" t="s">
        <v>40</v>
      </c>
      <c r="R185" s="78">
        <f t="shared" si="112"/>
        <v>0</v>
      </c>
      <c r="S185" s="78">
        <f t="shared" si="81"/>
        <v>0</v>
      </c>
    </row>
    <row r="186" spans="1:19" s="73" customFormat="1" x14ac:dyDescent="0.2">
      <c r="A186" s="72" t="s">
        <v>112</v>
      </c>
      <c r="B186" s="73" t="s">
        <v>18</v>
      </c>
      <c r="C186" s="71">
        <v>144</v>
      </c>
      <c r="D186" s="74" t="s">
        <v>40</v>
      </c>
      <c r="E186" s="75"/>
      <c r="F186" s="76">
        <v>1</v>
      </c>
      <c r="G186" s="77" t="s">
        <v>20</v>
      </c>
      <c r="H186" s="76">
        <v>48</v>
      </c>
      <c r="I186" s="77" t="s">
        <v>40</v>
      </c>
      <c r="J186" s="78">
        <v>54600</v>
      </c>
      <c r="K186" s="74" t="s">
        <v>40</v>
      </c>
      <c r="L186" s="79">
        <v>0.125</v>
      </c>
      <c r="M186" s="79">
        <v>0.05</v>
      </c>
      <c r="N186" s="76">
        <v>144</v>
      </c>
      <c r="O186" s="77" t="s">
        <v>40</v>
      </c>
      <c r="P186" s="71">
        <f t="shared" si="111"/>
        <v>0</v>
      </c>
      <c r="Q186" s="77" t="s">
        <v>40</v>
      </c>
      <c r="R186" s="78">
        <f t="shared" si="112"/>
        <v>0</v>
      </c>
      <c r="S186" s="78">
        <f t="shared" si="81"/>
        <v>0</v>
      </c>
    </row>
    <row r="187" spans="1:19" s="73" customFormat="1" x14ac:dyDescent="0.2">
      <c r="A187" s="72" t="s">
        <v>113</v>
      </c>
      <c r="B187" s="73" t="s">
        <v>18</v>
      </c>
      <c r="C187" s="71">
        <v>144</v>
      </c>
      <c r="D187" s="74" t="s">
        <v>40</v>
      </c>
      <c r="E187" s="75"/>
      <c r="F187" s="76">
        <v>1</v>
      </c>
      <c r="G187" s="77" t="s">
        <v>20</v>
      </c>
      <c r="H187" s="76">
        <v>48</v>
      </c>
      <c r="I187" s="77" t="s">
        <v>40</v>
      </c>
      <c r="J187" s="78">
        <v>30000</v>
      </c>
      <c r="K187" s="74" t="s">
        <v>40</v>
      </c>
      <c r="L187" s="79">
        <v>0.125</v>
      </c>
      <c r="M187" s="79">
        <v>0.05</v>
      </c>
      <c r="N187" s="76">
        <v>144</v>
      </c>
      <c r="O187" s="77" t="s">
        <v>40</v>
      </c>
      <c r="P187" s="71">
        <f t="shared" si="111"/>
        <v>0</v>
      </c>
      <c r="Q187" s="77" t="s">
        <v>40</v>
      </c>
      <c r="R187" s="78">
        <f t="shared" si="112"/>
        <v>0</v>
      </c>
      <c r="S187" s="78">
        <f t="shared" si="81"/>
        <v>0</v>
      </c>
    </row>
    <row r="188" spans="1:19" s="73" customFormat="1" x14ac:dyDescent="0.2">
      <c r="A188" s="72" t="s">
        <v>691</v>
      </c>
      <c r="B188" s="73" t="s">
        <v>18</v>
      </c>
      <c r="C188" s="71">
        <v>144</v>
      </c>
      <c r="D188" s="74" t="s">
        <v>40</v>
      </c>
      <c r="E188" s="75">
        <v>3</v>
      </c>
      <c r="F188" s="76">
        <v>1</v>
      </c>
      <c r="G188" s="77" t="s">
        <v>20</v>
      </c>
      <c r="H188" s="76">
        <v>48</v>
      </c>
      <c r="I188" s="77" t="s">
        <v>40</v>
      </c>
      <c r="J188" s="78">
        <v>48000</v>
      </c>
      <c r="K188" s="74" t="s">
        <v>40</v>
      </c>
      <c r="L188" s="79">
        <v>0.125</v>
      </c>
      <c r="M188" s="79">
        <v>0.05</v>
      </c>
      <c r="N188" s="76">
        <v>288</v>
      </c>
      <c r="O188" s="77" t="s">
        <v>40</v>
      </c>
      <c r="P188" s="71">
        <f t="shared" si="111"/>
        <v>0</v>
      </c>
      <c r="Q188" s="77" t="s">
        <v>40</v>
      </c>
      <c r="R188" s="78">
        <f t="shared" si="112"/>
        <v>0</v>
      </c>
      <c r="S188" s="78">
        <f t="shared" si="81"/>
        <v>0</v>
      </c>
    </row>
    <row r="189" spans="1:19" s="73" customFormat="1" x14ac:dyDescent="0.2">
      <c r="A189" s="187" t="s">
        <v>114</v>
      </c>
      <c r="B189" s="73" t="s">
        <v>18</v>
      </c>
      <c r="C189" s="71"/>
      <c r="D189" s="74" t="s">
        <v>40</v>
      </c>
      <c r="E189" s="75">
        <v>23</v>
      </c>
      <c r="F189" s="76">
        <v>1</v>
      </c>
      <c r="G189" s="77" t="s">
        <v>20</v>
      </c>
      <c r="H189" s="76">
        <v>36</v>
      </c>
      <c r="I189" s="77" t="s">
        <v>40</v>
      </c>
      <c r="J189" s="78">
        <v>41400</v>
      </c>
      <c r="K189" s="74" t="s">
        <v>40</v>
      </c>
      <c r="L189" s="79">
        <v>0.125</v>
      </c>
      <c r="M189" s="188">
        <v>0.05</v>
      </c>
      <c r="N189" s="76">
        <v>828</v>
      </c>
      <c r="O189" s="77" t="s">
        <v>40</v>
      </c>
      <c r="P189" s="71">
        <f t="shared" ref="P189" si="119">(C189+(E189*F189*H189))-N189</f>
        <v>0</v>
      </c>
      <c r="Q189" s="77" t="s">
        <v>40</v>
      </c>
      <c r="R189" s="78">
        <f t="shared" ref="R189" si="120">P189*(J189-(J189*L189)-((J189-(J189*L189))*M189))</f>
        <v>0</v>
      </c>
      <c r="S189" s="78">
        <f t="shared" ref="S189" si="121">R189/1.11</f>
        <v>0</v>
      </c>
    </row>
    <row r="190" spans="1:19" s="73" customFormat="1" x14ac:dyDescent="0.2">
      <c r="A190" s="187" t="s">
        <v>114</v>
      </c>
      <c r="B190" s="73" t="s">
        <v>18</v>
      </c>
      <c r="C190" s="71">
        <v>108</v>
      </c>
      <c r="D190" s="74" t="s">
        <v>40</v>
      </c>
      <c r="E190" s="75">
        <v>3</v>
      </c>
      <c r="F190" s="76">
        <v>1</v>
      </c>
      <c r="G190" s="77" t="s">
        <v>20</v>
      </c>
      <c r="H190" s="76">
        <v>36</v>
      </c>
      <c r="I190" s="77" t="s">
        <v>40</v>
      </c>
      <c r="J190" s="78">
        <v>41400</v>
      </c>
      <c r="K190" s="74" t="s">
        <v>40</v>
      </c>
      <c r="L190" s="79">
        <v>0.125</v>
      </c>
      <c r="M190" s="188">
        <v>0.1</v>
      </c>
      <c r="N190" s="76">
        <v>216</v>
      </c>
      <c r="O190" s="77" t="s">
        <v>40</v>
      </c>
      <c r="P190" s="71">
        <f t="shared" si="111"/>
        <v>0</v>
      </c>
      <c r="Q190" s="77" t="s">
        <v>40</v>
      </c>
      <c r="R190" s="78">
        <f t="shared" si="112"/>
        <v>0</v>
      </c>
      <c r="S190" s="78">
        <f t="shared" si="81"/>
        <v>0</v>
      </c>
    </row>
    <row r="191" spans="1:19" s="73" customFormat="1" x14ac:dyDescent="0.2">
      <c r="A191" s="72" t="s">
        <v>115</v>
      </c>
      <c r="B191" s="73" t="s">
        <v>18</v>
      </c>
      <c r="C191" s="71">
        <v>36</v>
      </c>
      <c r="D191" s="74" t="s">
        <v>40</v>
      </c>
      <c r="E191" s="75">
        <v>9</v>
      </c>
      <c r="F191" s="76">
        <v>1</v>
      </c>
      <c r="G191" s="77" t="s">
        <v>20</v>
      </c>
      <c r="H191" s="76">
        <v>36</v>
      </c>
      <c r="I191" s="77" t="s">
        <v>40</v>
      </c>
      <c r="J191" s="78">
        <v>41400</v>
      </c>
      <c r="K191" s="74" t="s">
        <v>40</v>
      </c>
      <c r="L191" s="79">
        <v>0.125</v>
      </c>
      <c r="M191" s="79">
        <v>0.05</v>
      </c>
      <c r="N191" s="76">
        <v>360</v>
      </c>
      <c r="O191" s="77" t="s">
        <v>40</v>
      </c>
      <c r="P191" s="71">
        <f t="shared" si="111"/>
        <v>0</v>
      </c>
      <c r="Q191" s="77" t="s">
        <v>40</v>
      </c>
      <c r="R191" s="78">
        <f t="shared" si="112"/>
        <v>0</v>
      </c>
      <c r="S191" s="78">
        <f t="shared" si="81"/>
        <v>0</v>
      </c>
    </row>
    <row r="192" spans="1:19" s="73" customFormat="1" x14ac:dyDescent="0.2">
      <c r="A192" s="184" t="s">
        <v>115</v>
      </c>
      <c r="B192" s="73" t="s">
        <v>18</v>
      </c>
      <c r="C192" s="71"/>
      <c r="D192" s="74" t="s">
        <v>40</v>
      </c>
      <c r="E192" s="75">
        <v>3</v>
      </c>
      <c r="F192" s="76">
        <v>1</v>
      </c>
      <c r="G192" s="77" t="s">
        <v>20</v>
      </c>
      <c r="H192" s="76">
        <v>36</v>
      </c>
      <c r="I192" s="77" t="s">
        <v>40</v>
      </c>
      <c r="J192" s="78">
        <v>41400</v>
      </c>
      <c r="K192" s="74" t="s">
        <v>40</v>
      </c>
      <c r="L192" s="79">
        <v>0.125</v>
      </c>
      <c r="M192" s="79">
        <v>0.1</v>
      </c>
      <c r="N192" s="76">
        <v>108</v>
      </c>
      <c r="O192" s="77" t="s">
        <v>40</v>
      </c>
      <c r="P192" s="71">
        <f t="shared" ref="P192" si="122">(C192+(E192*F192*H192))-N192</f>
        <v>0</v>
      </c>
      <c r="Q192" s="77" t="s">
        <v>40</v>
      </c>
      <c r="R192" s="78">
        <f t="shared" ref="R192" si="123">P192*(J192-(J192*L192)-((J192-(J192*L192))*M192))</f>
        <v>0</v>
      </c>
      <c r="S192" s="78">
        <f t="shared" ref="S192" si="124">R192/1.11</f>
        <v>0</v>
      </c>
    </row>
    <row r="193" spans="1:19" s="73" customFormat="1" x14ac:dyDescent="0.2">
      <c r="A193" s="72" t="s">
        <v>906</v>
      </c>
      <c r="B193" s="73" t="s">
        <v>18</v>
      </c>
      <c r="C193" s="71"/>
      <c r="D193" s="74" t="s">
        <v>40</v>
      </c>
      <c r="E193" s="75">
        <v>10</v>
      </c>
      <c r="F193" s="76">
        <v>1</v>
      </c>
      <c r="G193" s="77" t="s">
        <v>20</v>
      </c>
      <c r="H193" s="76">
        <v>36</v>
      </c>
      <c r="I193" s="77" t="s">
        <v>40</v>
      </c>
      <c r="J193" s="78">
        <v>43200</v>
      </c>
      <c r="K193" s="74" t="s">
        <v>40</v>
      </c>
      <c r="L193" s="79">
        <v>0.125</v>
      </c>
      <c r="M193" s="79">
        <v>0.05</v>
      </c>
      <c r="N193" s="76">
        <v>360</v>
      </c>
      <c r="O193" s="77" t="s">
        <v>40</v>
      </c>
      <c r="P193" s="71">
        <f t="shared" ref="P193" si="125">(C193+(E193*F193*H193))-N193</f>
        <v>0</v>
      </c>
      <c r="Q193" s="77" t="s">
        <v>40</v>
      </c>
      <c r="R193" s="78">
        <f t="shared" ref="R193" si="126">P193*(J193-(J193*L193)-((J193-(J193*L193))*M193))</f>
        <v>0</v>
      </c>
      <c r="S193" s="78">
        <f t="shared" ref="S193" si="127">R193/1.11</f>
        <v>0</v>
      </c>
    </row>
    <row r="194" spans="1:19" s="73" customFormat="1" x14ac:dyDescent="0.2">
      <c r="A194" s="72" t="s">
        <v>116</v>
      </c>
      <c r="B194" s="73" t="s">
        <v>18</v>
      </c>
      <c r="C194" s="71">
        <v>528</v>
      </c>
      <c r="D194" s="74" t="s">
        <v>40</v>
      </c>
      <c r="E194" s="75">
        <v>20</v>
      </c>
      <c r="F194" s="76">
        <v>24</v>
      </c>
      <c r="G194" s="77" t="s">
        <v>33</v>
      </c>
      <c r="H194" s="76">
        <v>2</v>
      </c>
      <c r="I194" s="77" t="s">
        <v>40</v>
      </c>
      <c r="J194" s="78">
        <f>70800/2</f>
        <v>35400</v>
      </c>
      <c r="K194" s="74" t="s">
        <v>40</v>
      </c>
      <c r="L194" s="79">
        <v>0.125</v>
      </c>
      <c r="M194" s="79">
        <v>0.05</v>
      </c>
      <c r="N194" s="76">
        <v>1488</v>
      </c>
      <c r="O194" s="77" t="s">
        <v>40</v>
      </c>
      <c r="P194" s="71">
        <f t="shared" si="111"/>
        <v>0</v>
      </c>
      <c r="Q194" s="77" t="s">
        <v>40</v>
      </c>
      <c r="R194" s="78">
        <f t="shared" si="112"/>
        <v>0</v>
      </c>
      <c r="S194" s="78">
        <f t="shared" si="81"/>
        <v>0</v>
      </c>
    </row>
    <row r="195" spans="1:19" s="73" customFormat="1" x14ac:dyDescent="0.2">
      <c r="A195" s="72" t="s">
        <v>117</v>
      </c>
      <c r="B195" s="73" t="s">
        <v>18</v>
      </c>
      <c r="C195" s="71">
        <v>240</v>
      </c>
      <c r="D195" s="74" t="s">
        <v>40</v>
      </c>
      <c r="E195" s="75">
        <v>20</v>
      </c>
      <c r="F195" s="76">
        <v>24</v>
      </c>
      <c r="G195" s="77" t="s">
        <v>33</v>
      </c>
      <c r="H195" s="76">
        <v>2</v>
      </c>
      <c r="I195" s="77" t="s">
        <v>40</v>
      </c>
      <c r="J195" s="78">
        <f>70800/2</f>
        <v>35400</v>
      </c>
      <c r="K195" s="74" t="s">
        <v>40</v>
      </c>
      <c r="L195" s="79">
        <v>0.125</v>
      </c>
      <c r="M195" s="79">
        <v>0.05</v>
      </c>
      <c r="N195" s="76">
        <v>1200</v>
      </c>
      <c r="O195" s="77" t="s">
        <v>40</v>
      </c>
      <c r="P195" s="71">
        <f t="shared" si="111"/>
        <v>0</v>
      </c>
      <c r="Q195" s="77" t="s">
        <v>40</v>
      </c>
      <c r="R195" s="78">
        <f t="shared" si="112"/>
        <v>0</v>
      </c>
      <c r="S195" s="78">
        <f t="shared" si="81"/>
        <v>0</v>
      </c>
    </row>
    <row r="196" spans="1:19" s="73" customFormat="1" x14ac:dyDescent="0.2">
      <c r="A196" s="72" t="s">
        <v>118</v>
      </c>
      <c r="B196" s="73" t="s">
        <v>18</v>
      </c>
      <c r="C196" s="71">
        <v>29</v>
      </c>
      <c r="D196" s="74" t="s">
        <v>40</v>
      </c>
      <c r="E196" s="75">
        <v>15</v>
      </c>
      <c r="F196" s="76">
        <v>1</v>
      </c>
      <c r="G196" s="77" t="s">
        <v>20</v>
      </c>
      <c r="H196" s="76">
        <v>36</v>
      </c>
      <c r="I196" s="77" t="s">
        <v>40</v>
      </c>
      <c r="J196" s="78">
        <v>34200</v>
      </c>
      <c r="K196" s="74" t="s">
        <v>40</v>
      </c>
      <c r="L196" s="79">
        <v>0.125</v>
      </c>
      <c r="M196" s="79">
        <v>0.05</v>
      </c>
      <c r="N196" s="76">
        <v>569</v>
      </c>
      <c r="O196" s="77" t="s">
        <v>40</v>
      </c>
      <c r="P196" s="71">
        <f t="shared" si="111"/>
        <v>0</v>
      </c>
      <c r="Q196" s="77" t="s">
        <v>40</v>
      </c>
      <c r="R196" s="78">
        <f t="shared" si="112"/>
        <v>0</v>
      </c>
      <c r="S196" s="78">
        <f t="shared" si="81"/>
        <v>0</v>
      </c>
    </row>
    <row r="197" spans="1:19" s="73" customFormat="1" x14ac:dyDescent="0.2">
      <c r="A197" s="72" t="s">
        <v>119</v>
      </c>
      <c r="B197" s="73" t="s">
        <v>18</v>
      </c>
      <c r="C197" s="71">
        <v>48</v>
      </c>
      <c r="D197" s="74" t="s">
        <v>40</v>
      </c>
      <c r="E197" s="75"/>
      <c r="F197" s="76">
        <v>24</v>
      </c>
      <c r="G197" s="77" t="s">
        <v>33</v>
      </c>
      <c r="H197" s="76">
        <v>2</v>
      </c>
      <c r="I197" s="77" t="s">
        <v>40</v>
      </c>
      <c r="J197" s="78">
        <f>46800/2</f>
        <v>23400</v>
      </c>
      <c r="K197" s="74" t="s">
        <v>40</v>
      </c>
      <c r="L197" s="79">
        <v>0.125</v>
      </c>
      <c r="M197" s="79">
        <v>0.05</v>
      </c>
      <c r="N197" s="76">
        <v>48</v>
      </c>
      <c r="O197" s="77" t="s">
        <v>40</v>
      </c>
      <c r="P197" s="71">
        <f t="shared" si="111"/>
        <v>0</v>
      </c>
      <c r="Q197" s="77" t="s">
        <v>40</v>
      </c>
      <c r="R197" s="78">
        <f t="shared" si="112"/>
        <v>0</v>
      </c>
      <c r="S197" s="78">
        <f t="shared" si="81"/>
        <v>0</v>
      </c>
    </row>
    <row r="198" spans="1:19" s="73" customFormat="1" x14ac:dyDescent="0.2">
      <c r="A198" s="72" t="s">
        <v>947</v>
      </c>
      <c r="B198" s="73" t="s">
        <v>18</v>
      </c>
      <c r="C198" s="71"/>
      <c r="D198" s="74" t="s">
        <v>40</v>
      </c>
      <c r="E198" s="75">
        <v>2</v>
      </c>
      <c r="F198" s="76">
        <v>48</v>
      </c>
      <c r="G198" s="77" t="s">
        <v>33</v>
      </c>
      <c r="H198" s="76">
        <v>1</v>
      </c>
      <c r="I198" s="77" t="s">
        <v>40</v>
      </c>
      <c r="J198" s="78">
        <v>37200</v>
      </c>
      <c r="K198" s="74" t="s">
        <v>40</v>
      </c>
      <c r="L198" s="79">
        <v>0.125</v>
      </c>
      <c r="M198" s="79">
        <v>0.05</v>
      </c>
      <c r="N198" s="76">
        <v>96</v>
      </c>
      <c r="O198" s="77" t="s">
        <v>40</v>
      </c>
      <c r="P198" s="71">
        <f t="shared" si="111"/>
        <v>0</v>
      </c>
      <c r="Q198" s="77" t="s">
        <v>40</v>
      </c>
      <c r="R198" s="78">
        <f t="shared" si="112"/>
        <v>0</v>
      </c>
      <c r="S198" s="78">
        <f t="shared" si="81"/>
        <v>0</v>
      </c>
    </row>
    <row r="199" spans="1:19" s="73" customFormat="1" x14ac:dyDescent="0.2">
      <c r="A199" s="72" t="s">
        <v>120</v>
      </c>
      <c r="B199" s="73" t="s">
        <v>18</v>
      </c>
      <c r="C199" s="71"/>
      <c r="D199" s="74" t="s">
        <v>40</v>
      </c>
      <c r="E199" s="75"/>
      <c r="F199" s="76">
        <v>60</v>
      </c>
      <c r="G199" s="77" t="s">
        <v>33</v>
      </c>
      <c r="H199" s="76">
        <v>1</v>
      </c>
      <c r="I199" s="77" t="s">
        <v>40</v>
      </c>
      <c r="J199" s="78">
        <v>43200</v>
      </c>
      <c r="K199" s="74" t="s">
        <v>40</v>
      </c>
      <c r="L199" s="79">
        <v>0.125</v>
      </c>
      <c r="M199" s="79">
        <v>0.05</v>
      </c>
      <c r="N199" s="76">
        <v>0</v>
      </c>
      <c r="O199" s="77" t="s">
        <v>40</v>
      </c>
      <c r="P199" s="71">
        <f t="shared" si="111"/>
        <v>0</v>
      </c>
      <c r="Q199" s="77" t="s">
        <v>40</v>
      </c>
      <c r="R199" s="78">
        <f t="shared" si="112"/>
        <v>0</v>
      </c>
      <c r="S199" s="78">
        <f t="shared" si="81"/>
        <v>0</v>
      </c>
    </row>
    <row r="200" spans="1:19" s="73" customFormat="1" x14ac:dyDescent="0.2">
      <c r="A200" s="72" t="s">
        <v>120</v>
      </c>
      <c r="B200" s="73" t="s">
        <v>18</v>
      </c>
      <c r="C200" s="71"/>
      <c r="D200" s="74" t="s">
        <v>40</v>
      </c>
      <c r="E200" s="75">
        <v>2</v>
      </c>
      <c r="F200" s="76">
        <v>60</v>
      </c>
      <c r="G200" s="77" t="s">
        <v>33</v>
      </c>
      <c r="H200" s="76">
        <v>1</v>
      </c>
      <c r="I200" s="77" t="s">
        <v>40</v>
      </c>
      <c r="J200" s="78">
        <v>45000</v>
      </c>
      <c r="K200" s="74" t="s">
        <v>40</v>
      </c>
      <c r="L200" s="79">
        <v>0.125</v>
      </c>
      <c r="M200" s="79">
        <v>0.05</v>
      </c>
      <c r="N200" s="76">
        <v>120</v>
      </c>
      <c r="O200" s="77" t="s">
        <v>40</v>
      </c>
      <c r="P200" s="71">
        <f t="shared" ref="P200" si="128">(C200+(E200*F200*H200))-N200</f>
        <v>0</v>
      </c>
      <c r="Q200" s="77" t="s">
        <v>40</v>
      </c>
      <c r="R200" s="78">
        <f t="shared" ref="R200" si="129">P200*(J200-(J200*L200)-((J200-(J200*L200))*M200))</f>
        <v>0</v>
      </c>
      <c r="S200" s="78">
        <f t="shared" ref="S200" si="130">R200/1.11</f>
        <v>0</v>
      </c>
    </row>
    <row r="201" spans="1:19" s="73" customFormat="1" x14ac:dyDescent="0.2">
      <c r="A201" s="72" t="s">
        <v>685</v>
      </c>
      <c r="B201" s="73" t="s">
        <v>18</v>
      </c>
      <c r="C201" s="71">
        <v>209</v>
      </c>
      <c r="D201" s="74" t="s">
        <v>40</v>
      </c>
      <c r="E201" s="75"/>
      <c r="F201" s="76">
        <v>120</v>
      </c>
      <c r="G201" s="77" t="s">
        <v>33</v>
      </c>
      <c r="H201" s="76">
        <v>1</v>
      </c>
      <c r="I201" s="77" t="s">
        <v>40</v>
      </c>
      <c r="J201" s="78">
        <v>17400</v>
      </c>
      <c r="K201" s="74" t="s">
        <v>40</v>
      </c>
      <c r="L201" s="79">
        <v>0.125</v>
      </c>
      <c r="M201" s="79">
        <v>0.05</v>
      </c>
      <c r="N201" s="76">
        <v>209</v>
      </c>
      <c r="O201" s="77" t="s">
        <v>40</v>
      </c>
      <c r="P201" s="71">
        <f t="shared" si="111"/>
        <v>0</v>
      </c>
      <c r="Q201" s="77" t="s">
        <v>40</v>
      </c>
      <c r="R201" s="78">
        <f t="shared" si="112"/>
        <v>0</v>
      </c>
      <c r="S201" s="78">
        <f t="shared" si="81"/>
        <v>0</v>
      </c>
    </row>
    <row r="202" spans="1:19" s="73" customFormat="1" x14ac:dyDescent="0.2">
      <c r="A202" s="184" t="s">
        <v>1082</v>
      </c>
      <c r="B202" s="73" t="s">
        <v>18</v>
      </c>
      <c r="C202" s="71"/>
      <c r="D202" s="74" t="s">
        <v>40</v>
      </c>
      <c r="E202" s="75">
        <v>1</v>
      </c>
      <c r="F202" s="76">
        <v>120</v>
      </c>
      <c r="G202" s="77" t="s">
        <v>33</v>
      </c>
      <c r="H202" s="76">
        <v>1</v>
      </c>
      <c r="I202" s="77" t="s">
        <v>40</v>
      </c>
      <c r="J202" s="78">
        <v>16800</v>
      </c>
      <c r="K202" s="74" t="s">
        <v>40</v>
      </c>
      <c r="L202" s="79">
        <v>0.125</v>
      </c>
      <c r="M202" s="79">
        <v>0.1</v>
      </c>
      <c r="N202" s="76">
        <v>120</v>
      </c>
      <c r="O202" s="77" t="s">
        <v>40</v>
      </c>
      <c r="P202" s="71">
        <f t="shared" ref="P202" si="131">(C202+(E202*F202*H202))-N202</f>
        <v>0</v>
      </c>
      <c r="Q202" s="77" t="s">
        <v>40</v>
      </c>
      <c r="R202" s="78">
        <f t="shared" ref="R202" si="132">P202*(J202-(J202*L202)-((J202-(J202*L202))*M202))</f>
        <v>0</v>
      </c>
      <c r="S202" s="78">
        <f t="shared" ref="S202" si="133">R202/1.11</f>
        <v>0</v>
      </c>
    </row>
    <row r="203" spans="1:19" s="73" customFormat="1" x14ac:dyDescent="0.2">
      <c r="A203" s="72" t="s">
        <v>944</v>
      </c>
      <c r="B203" s="73" t="s">
        <v>18</v>
      </c>
      <c r="D203" s="74" t="s">
        <v>40</v>
      </c>
      <c r="E203" s="75">
        <v>2</v>
      </c>
      <c r="F203" s="76">
        <v>48</v>
      </c>
      <c r="G203" s="77" t="s">
        <v>33</v>
      </c>
      <c r="H203" s="76">
        <v>1</v>
      </c>
      <c r="I203" s="77" t="s">
        <v>40</v>
      </c>
      <c r="J203" s="78">
        <v>37200</v>
      </c>
      <c r="K203" s="74" t="s">
        <v>40</v>
      </c>
      <c r="L203" s="79">
        <v>0.125</v>
      </c>
      <c r="M203" s="79">
        <v>0.05</v>
      </c>
      <c r="N203" s="76">
        <v>96</v>
      </c>
      <c r="O203" s="77" t="s">
        <v>40</v>
      </c>
      <c r="P203" s="71">
        <f t="shared" ref="P203:P205" si="134">(C203+(E203*F203*H203))-N203</f>
        <v>0</v>
      </c>
      <c r="Q203" s="77" t="s">
        <v>40</v>
      </c>
      <c r="R203" s="78">
        <f t="shared" ref="R203:R205" si="135">P203*(J203-(J203*L203)-((J203-(J203*L203))*M203))</f>
        <v>0</v>
      </c>
      <c r="S203" s="78">
        <f t="shared" ref="S203:S205" si="136">R203/1.11</f>
        <v>0</v>
      </c>
    </row>
    <row r="204" spans="1:19" s="73" customFormat="1" x14ac:dyDescent="0.2">
      <c r="A204" s="72" t="s">
        <v>945</v>
      </c>
      <c r="B204" s="73" t="s">
        <v>18</v>
      </c>
      <c r="D204" s="74" t="s">
        <v>40</v>
      </c>
      <c r="E204" s="75">
        <v>1</v>
      </c>
      <c r="F204" s="76">
        <v>48</v>
      </c>
      <c r="G204" s="77" t="s">
        <v>33</v>
      </c>
      <c r="H204" s="76">
        <v>1</v>
      </c>
      <c r="I204" s="77" t="s">
        <v>40</v>
      </c>
      <c r="J204" s="78">
        <v>54600</v>
      </c>
      <c r="K204" s="74" t="s">
        <v>40</v>
      </c>
      <c r="L204" s="79">
        <v>0.125</v>
      </c>
      <c r="M204" s="79">
        <v>0.05</v>
      </c>
      <c r="N204" s="76">
        <v>48</v>
      </c>
      <c r="O204" s="77" t="s">
        <v>40</v>
      </c>
      <c r="P204" s="71">
        <f t="shared" si="134"/>
        <v>0</v>
      </c>
      <c r="Q204" s="77" t="s">
        <v>40</v>
      </c>
      <c r="R204" s="78">
        <f t="shared" si="135"/>
        <v>0</v>
      </c>
      <c r="S204" s="78">
        <f t="shared" si="136"/>
        <v>0</v>
      </c>
    </row>
    <row r="205" spans="1:19" s="73" customFormat="1" x14ac:dyDescent="0.2">
      <c r="A205" s="72" t="s">
        <v>946</v>
      </c>
      <c r="B205" s="73" t="s">
        <v>18</v>
      </c>
      <c r="D205" s="74" t="s">
        <v>40</v>
      </c>
      <c r="E205" s="75">
        <v>1</v>
      </c>
      <c r="F205" s="76">
        <v>48</v>
      </c>
      <c r="G205" s="77" t="s">
        <v>33</v>
      </c>
      <c r="H205" s="76">
        <v>1</v>
      </c>
      <c r="I205" s="77" t="s">
        <v>40</v>
      </c>
      <c r="J205" s="78">
        <v>32400</v>
      </c>
      <c r="K205" s="74" t="s">
        <v>40</v>
      </c>
      <c r="L205" s="79">
        <v>0.125</v>
      </c>
      <c r="M205" s="79">
        <v>0.05</v>
      </c>
      <c r="N205" s="76">
        <v>48</v>
      </c>
      <c r="O205" s="77" t="s">
        <v>40</v>
      </c>
      <c r="P205" s="71">
        <f t="shared" si="134"/>
        <v>0</v>
      </c>
      <c r="Q205" s="77" t="s">
        <v>40</v>
      </c>
      <c r="R205" s="78">
        <f t="shared" si="135"/>
        <v>0</v>
      </c>
      <c r="S205" s="78">
        <f t="shared" si="136"/>
        <v>0</v>
      </c>
    </row>
    <row r="206" spans="1:19" s="73" customFormat="1" x14ac:dyDescent="0.2">
      <c r="A206" s="72"/>
      <c r="C206" s="71"/>
      <c r="D206" s="74"/>
      <c r="E206" s="75"/>
      <c r="F206" s="76"/>
      <c r="G206" s="77"/>
      <c r="H206" s="76"/>
      <c r="I206" s="77"/>
      <c r="J206" s="78"/>
      <c r="K206" s="74"/>
      <c r="L206" s="79"/>
      <c r="M206" s="79"/>
      <c r="N206" s="76"/>
      <c r="O206" s="77"/>
      <c r="P206" s="71"/>
      <c r="Q206" s="77"/>
      <c r="R206" s="78"/>
      <c r="S206" s="78"/>
    </row>
    <row r="207" spans="1:19" s="73" customFormat="1" x14ac:dyDescent="0.2">
      <c r="A207" s="72" t="s">
        <v>121</v>
      </c>
      <c r="B207" s="73" t="s">
        <v>25</v>
      </c>
      <c r="C207" s="71"/>
      <c r="D207" s="74" t="s">
        <v>40</v>
      </c>
      <c r="E207" s="75"/>
      <c r="F207" s="76">
        <v>1</v>
      </c>
      <c r="G207" s="77" t="s">
        <v>20</v>
      </c>
      <c r="H207" s="76">
        <v>36</v>
      </c>
      <c r="I207" s="77" t="s">
        <v>40</v>
      </c>
      <c r="J207" s="78">
        <f>1954800/36</f>
        <v>54300</v>
      </c>
      <c r="K207" s="74" t="s">
        <v>40</v>
      </c>
      <c r="L207" s="79"/>
      <c r="M207" s="79">
        <v>0.17</v>
      </c>
      <c r="N207" s="76">
        <v>0</v>
      </c>
      <c r="O207" s="77" t="s">
        <v>40</v>
      </c>
      <c r="P207" s="71">
        <f t="shared" ref="P207:P214" si="137">(C207+(E207*F207*H207))-N207</f>
        <v>0</v>
      </c>
      <c r="Q207" s="77" t="s">
        <v>40</v>
      </c>
      <c r="R207" s="78">
        <f t="shared" ref="R207:R214" si="138">P207*(J207-(J207*L207)-((J207-(J207*L207))*M207))</f>
        <v>0</v>
      </c>
      <c r="S207" s="78">
        <f t="shared" si="81"/>
        <v>0</v>
      </c>
    </row>
    <row r="208" spans="1:19" s="73" customFormat="1" x14ac:dyDescent="0.2">
      <c r="A208" s="72" t="s">
        <v>122</v>
      </c>
      <c r="B208" s="73" t="s">
        <v>25</v>
      </c>
      <c r="C208" s="71"/>
      <c r="D208" s="74" t="s">
        <v>40</v>
      </c>
      <c r="E208" s="75">
        <v>5</v>
      </c>
      <c r="F208" s="76">
        <v>1</v>
      </c>
      <c r="G208" s="77" t="s">
        <v>20</v>
      </c>
      <c r="H208" s="76">
        <v>36</v>
      </c>
      <c r="I208" s="77" t="s">
        <v>40</v>
      </c>
      <c r="J208" s="78">
        <f>1954800/36</f>
        <v>54300</v>
      </c>
      <c r="K208" s="74" t="s">
        <v>40</v>
      </c>
      <c r="L208" s="79"/>
      <c r="M208" s="79">
        <v>0.17</v>
      </c>
      <c r="N208" s="76">
        <v>180</v>
      </c>
      <c r="O208" s="77" t="s">
        <v>40</v>
      </c>
      <c r="P208" s="71">
        <f t="shared" si="137"/>
        <v>0</v>
      </c>
      <c r="Q208" s="77" t="s">
        <v>40</v>
      </c>
      <c r="R208" s="78">
        <f t="shared" si="138"/>
        <v>0</v>
      </c>
      <c r="S208" s="78">
        <f t="shared" si="81"/>
        <v>0</v>
      </c>
    </row>
    <row r="209" spans="1:19" s="73" customFormat="1" x14ac:dyDescent="0.2">
      <c r="A209" s="72" t="s">
        <v>123</v>
      </c>
      <c r="B209" s="73" t="s">
        <v>25</v>
      </c>
      <c r="C209" s="71">
        <v>1211</v>
      </c>
      <c r="D209" s="74" t="s">
        <v>40</v>
      </c>
      <c r="E209" s="75">
        <v>583</v>
      </c>
      <c r="F209" s="76">
        <v>1</v>
      </c>
      <c r="G209" s="77" t="s">
        <v>20</v>
      </c>
      <c r="H209" s="76">
        <v>36</v>
      </c>
      <c r="I209" s="77" t="s">
        <v>40</v>
      </c>
      <c r="J209" s="78">
        <f>1954800/36</f>
        <v>54300</v>
      </c>
      <c r="K209" s="74" t="s">
        <v>40</v>
      </c>
      <c r="L209" s="79"/>
      <c r="M209" s="79">
        <v>0.17</v>
      </c>
      <c r="N209" s="76">
        <v>22199</v>
      </c>
      <c r="O209" s="77" t="s">
        <v>40</v>
      </c>
      <c r="P209" s="71">
        <f t="shared" si="137"/>
        <v>0</v>
      </c>
      <c r="Q209" s="77" t="s">
        <v>40</v>
      </c>
      <c r="R209" s="78">
        <f t="shared" si="138"/>
        <v>0</v>
      </c>
      <c r="S209" s="78">
        <f t="shared" si="81"/>
        <v>0</v>
      </c>
    </row>
    <row r="210" spans="1:19" s="73" customFormat="1" x14ac:dyDescent="0.2">
      <c r="A210" s="72" t="s">
        <v>124</v>
      </c>
      <c r="B210" s="73" t="s">
        <v>25</v>
      </c>
      <c r="C210" s="71">
        <v>84</v>
      </c>
      <c r="D210" s="74" t="s">
        <v>40</v>
      </c>
      <c r="E210" s="75">
        <v>33</v>
      </c>
      <c r="F210" s="76">
        <v>1</v>
      </c>
      <c r="G210" s="77" t="s">
        <v>20</v>
      </c>
      <c r="H210" s="76">
        <v>36</v>
      </c>
      <c r="I210" s="77" t="s">
        <v>40</v>
      </c>
      <c r="J210" s="78">
        <f>2008800/36</f>
        <v>55800</v>
      </c>
      <c r="K210" s="74" t="s">
        <v>40</v>
      </c>
      <c r="L210" s="79"/>
      <c r="M210" s="79">
        <v>0.17</v>
      </c>
      <c r="N210" s="76">
        <v>1272</v>
      </c>
      <c r="O210" s="77" t="s">
        <v>40</v>
      </c>
      <c r="P210" s="71">
        <f t="shared" si="137"/>
        <v>0</v>
      </c>
      <c r="Q210" s="77" t="s">
        <v>40</v>
      </c>
      <c r="R210" s="78">
        <f t="shared" si="138"/>
        <v>0</v>
      </c>
      <c r="S210" s="78">
        <f t="shared" si="81"/>
        <v>0</v>
      </c>
    </row>
    <row r="211" spans="1:19" s="19" customFormat="1" x14ac:dyDescent="0.2">
      <c r="A211" s="18" t="s">
        <v>125</v>
      </c>
      <c r="B211" s="19" t="s">
        <v>25</v>
      </c>
      <c r="C211" s="20">
        <v>108</v>
      </c>
      <c r="D211" s="21" t="s">
        <v>40</v>
      </c>
      <c r="E211" s="26">
        <v>135</v>
      </c>
      <c r="F211" s="22">
        <v>1</v>
      </c>
      <c r="G211" s="23" t="s">
        <v>20</v>
      </c>
      <c r="H211" s="22">
        <v>36</v>
      </c>
      <c r="I211" s="23" t="s">
        <v>40</v>
      </c>
      <c r="J211" s="24">
        <f>1695600/36</f>
        <v>47100</v>
      </c>
      <c r="K211" s="21" t="s">
        <v>40</v>
      </c>
      <c r="L211" s="25"/>
      <c r="M211" s="25">
        <v>0.17</v>
      </c>
      <c r="N211" s="22">
        <v>4932</v>
      </c>
      <c r="O211" s="23" t="s">
        <v>40</v>
      </c>
      <c r="P211" s="20">
        <f t="shared" si="137"/>
        <v>36</v>
      </c>
      <c r="Q211" s="23" t="s">
        <v>40</v>
      </c>
      <c r="R211" s="24">
        <f t="shared" si="138"/>
        <v>1407348</v>
      </c>
      <c r="S211" s="24">
        <f t="shared" si="81"/>
        <v>1267881.0810810809</v>
      </c>
    </row>
    <row r="212" spans="1:19" s="73" customFormat="1" x14ac:dyDescent="0.2">
      <c r="A212" s="72" t="s">
        <v>126</v>
      </c>
      <c r="B212" s="73" t="s">
        <v>25</v>
      </c>
      <c r="C212" s="71"/>
      <c r="D212" s="74" t="s">
        <v>40</v>
      </c>
      <c r="E212" s="75">
        <v>7</v>
      </c>
      <c r="F212" s="76">
        <v>1</v>
      </c>
      <c r="G212" s="77" t="s">
        <v>20</v>
      </c>
      <c r="H212" s="76">
        <v>36</v>
      </c>
      <c r="I212" s="77" t="s">
        <v>40</v>
      </c>
      <c r="J212" s="78">
        <f>1922400/36</f>
        <v>53400</v>
      </c>
      <c r="K212" s="74" t="s">
        <v>40</v>
      </c>
      <c r="L212" s="79"/>
      <c r="M212" s="79">
        <v>0.17</v>
      </c>
      <c r="N212" s="76">
        <v>252</v>
      </c>
      <c r="O212" s="77" t="s">
        <v>40</v>
      </c>
      <c r="P212" s="71">
        <f t="shared" si="137"/>
        <v>0</v>
      </c>
      <c r="Q212" s="77" t="s">
        <v>40</v>
      </c>
      <c r="R212" s="78">
        <f t="shared" si="138"/>
        <v>0</v>
      </c>
      <c r="S212" s="78">
        <f t="shared" si="81"/>
        <v>0</v>
      </c>
    </row>
    <row r="213" spans="1:19" s="73" customFormat="1" x14ac:dyDescent="0.2">
      <c r="A213" s="72" t="s">
        <v>127</v>
      </c>
      <c r="B213" s="73" t="s">
        <v>25</v>
      </c>
      <c r="C213" s="71">
        <v>245</v>
      </c>
      <c r="D213" s="74" t="s">
        <v>40</v>
      </c>
      <c r="E213" s="75">
        <v>42</v>
      </c>
      <c r="F213" s="76">
        <v>1</v>
      </c>
      <c r="G213" s="77" t="s">
        <v>20</v>
      </c>
      <c r="H213" s="76">
        <v>36</v>
      </c>
      <c r="I213" s="77" t="s">
        <v>40</v>
      </c>
      <c r="J213" s="78">
        <f>2052000/36</f>
        <v>57000</v>
      </c>
      <c r="K213" s="74" t="s">
        <v>40</v>
      </c>
      <c r="L213" s="79"/>
      <c r="M213" s="79">
        <v>0.17</v>
      </c>
      <c r="N213" s="76">
        <v>1757</v>
      </c>
      <c r="O213" s="77" t="s">
        <v>40</v>
      </c>
      <c r="P213" s="71">
        <f t="shared" si="137"/>
        <v>0</v>
      </c>
      <c r="Q213" s="77" t="s">
        <v>40</v>
      </c>
      <c r="R213" s="78">
        <f t="shared" si="138"/>
        <v>0</v>
      </c>
      <c r="S213" s="78">
        <f t="shared" si="81"/>
        <v>0</v>
      </c>
    </row>
    <row r="214" spans="1:19" s="73" customFormat="1" x14ac:dyDescent="0.2">
      <c r="A214" s="72" t="s">
        <v>128</v>
      </c>
      <c r="B214" s="73" t="s">
        <v>25</v>
      </c>
      <c r="C214" s="71"/>
      <c r="D214" s="74" t="s">
        <v>40</v>
      </c>
      <c r="E214" s="75">
        <v>14</v>
      </c>
      <c r="F214" s="76">
        <v>1</v>
      </c>
      <c r="G214" s="77" t="s">
        <v>20</v>
      </c>
      <c r="H214" s="76">
        <v>36</v>
      </c>
      <c r="I214" s="77" t="s">
        <v>40</v>
      </c>
      <c r="J214" s="78">
        <f>2170800/36</f>
        <v>60300</v>
      </c>
      <c r="K214" s="74" t="s">
        <v>40</v>
      </c>
      <c r="L214" s="79"/>
      <c r="M214" s="79">
        <v>0.17</v>
      </c>
      <c r="N214" s="76">
        <v>504</v>
      </c>
      <c r="O214" s="77" t="s">
        <v>40</v>
      </c>
      <c r="P214" s="71">
        <f t="shared" si="137"/>
        <v>0</v>
      </c>
      <c r="Q214" s="77" t="s">
        <v>40</v>
      </c>
      <c r="R214" s="78">
        <f t="shared" si="138"/>
        <v>0</v>
      </c>
      <c r="S214" s="78">
        <f t="shared" si="81"/>
        <v>0</v>
      </c>
    </row>
    <row r="215" spans="1:19" s="19" customFormat="1" x14ac:dyDescent="0.2">
      <c r="A215" s="18"/>
      <c r="C215" s="20"/>
      <c r="D215" s="21"/>
      <c r="E215" s="26"/>
      <c r="F215" s="22"/>
      <c r="G215" s="23"/>
      <c r="H215" s="22"/>
      <c r="I215" s="23"/>
      <c r="J215" s="24"/>
      <c r="K215" s="21"/>
      <c r="L215" s="25"/>
      <c r="M215" s="25"/>
      <c r="N215" s="22"/>
      <c r="O215" s="23"/>
      <c r="P215" s="20"/>
      <c r="Q215" s="23"/>
      <c r="R215" s="24"/>
      <c r="S215" s="24"/>
    </row>
    <row r="216" spans="1:19" s="19" customFormat="1" x14ac:dyDescent="0.2">
      <c r="A216" s="57" t="s">
        <v>129</v>
      </c>
      <c r="C216" s="20"/>
      <c r="D216" s="21"/>
      <c r="E216" s="26"/>
      <c r="F216" s="22"/>
      <c r="G216" s="23"/>
      <c r="H216" s="22"/>
      <c r="I216" s="23"/>
      <c r="J216" s="24"/>
      <c r="K216" s="21"/>
      <c r="L216" s="25"/>
      <c r="M216" s="25"/>
      <c r="N216" s="22"/>
      <c r="O216" s="23"/>
      <c r="P216" s="20"/>
      <c r="Q216" s="23"/>
      <c r="R216" s="24"/>
      <c r="S216" s="24"/>
    </row>
    <row r="217" spans="1:19" s="19" customFormat="1" x14ac:dyDescent="0.2">
      <c r="A217" s="18" t="s">
        <v>130</v>
      </c>
      <c r="B217" s="19" t="s">
        <v>18</v>
      </c>
      <c r="C217" s="20"/>
      <c r="D217" s="21" t="s">
        <v>40</v>
      </c>
      <c r="E217" s="26">
        <v>7</v>
      </c>
      <c r="F217" s="22">
        <v>1</v>
      </c>
      <c r="G217" s="23" t="s">
        <v>20</v>
      </c>
      <c r="H217" s="22">
        <v>60</v>
      </c>
      <c r="I217" s="23" t="s">
        <v>40</v>
      </c>
      <c r="J217" s="24">
        <f>4600*12</f>
        <v>55200</v>
      </c>
      <c r="K217" s="21" t="s">
        <v>40</v>
      </c>
      <c r="L217" s="25">
        <v>0.125</v>
      </c>
      <c r="M217" s="25">
        <v>0.1</v>
      </c>
      <c r="N217" s="22">
        <v>300</v>
      </c>
      <c r="O217" s="23" t="s">
        <v>40</v>
      </c>
      <c r="P217" s="20">
        <f t="shared" ref="P217" si="139">(C217+(E217*F217*H217))-N217</f>
        <v>120</v>
      </c>
      <c r="Q217" s="23" t="s">
        <v>40</v>
      </c>
      <c r="R217" s="24">
        <f t="shared" ref="R217" si="140">P217*(J217-(J217*L217)-((J217-(J217*L217))*M217))</f>
        <v>5216400</v>
      </c>
      <c r="S217" s="24">
        <f t="shared" ref="S217" si="141">R217/1.11</f>
        <v>4699459.4594594594</v>
      </c>
    </row>
    <row r="218" spans="1:19" s="73" customFormat="1" x14ac:dyDescent="0.2">
      <c r="A218" s="72" t="s">
        <v>130</v>
      </c>
      <c r="B218" s="73" t="s">
        <v>18</v>
      </c>
      <c r="C218" s="71"/>
      <c r="D218" s="74" t="s">
        <v>40</v>
      </c>
      <c r="E218" s="75">
        <v>15</v>
      </c>
      <c r="F218" s="76">
        <v>1</v>
      </c>
      <c r="G218" s="77" t="s">
        <v>20</v>
      </c>
      <c r="H218" s="76">
        <v>60</v>
      </c>
      <c r="I218" s="77" t="s">
        <v>40</v>
      </c>
      <c r="J218" s="78">
        <f>4600*12</f>
        <v>55200</v>
      </c>
      <c r="K218" s="74" t="s">
        <v>40</v>
      </c>
      <c r="L218" s="79">
        <v>0.125</v>
      </c>
      <c r="M218" s="79">
        <v>0.05</v>
      </c>
      <c r="N218" s="76">
        <v>900</v>
      </c>
      <c r="O218" s="77" t="s">
        <v>40</v>
      </c>
      <c r="P218" s="71">
        <f t="shared" ref="P218:P241" si="142">(C218+(E218*F218*H218))-N218</f>
        <v>0</v>
      </c>
      <c r="Q218" s="77" t="s">
        <v>40</v>
      </c>
      <c r="R218" s="78">
        <f t="shared" ref="R218:R241" si="143">P218*(J218-(J218*L218)-((J218-(J218*L218))*M218))</f>
        <v>0</v>
      </c>
      <c r="S218" s="78">
        <f t="shared" si="81"/>
        <v>0</v>
      </c>
    </row>
    <row r="219" spans="1:19" s="73" customFormat="1" x14ac:dyDescent="0.2">
      <c r="A219" s="72" t="s">
        <v>131</v>
      </c>
      <c r="B219" s="73" t="s">
        <v>18</v>
      </c>
      <c r="C219" s="71"/>
      <c r="D219" s="74" t="s">
        <v>40</v>
      </c>
      <c r="E219" s="75">
        <v>7</v>
      </c>
      <c r="F219" s="76">
        <v>1</v>
      </c>
      <c r="G219" s="77" t="s">
        <v>20</v>
      </c>
      <c r="H219" s="76">
        <v>60</v>
      </c>
      <c r="I219" s="77" t="s">
        <v>40</v>
      </c>
      <c r="J219" s="78">
        <f>4500*12</f>
        <v>54000</v>
      </c>
      <c r="K219" s="74" t="s">
        <v>40</v>
      </c>
      <c r="L219" s="79">
        <v>0.125</v>
      </c>
      <c r="M219" s="79">
        <v>0.05</v>
      </c>
      <c r="N219" s="76">
        <v>420</v>
      </c>
      <c r="O219" s="77" t="s">
        <v>40</v>
      </c>
      <c r="P219" s="71">
        <f t="shared" si="142"/>
        <v>0</v>
      </c>
      <c r="Q219" s="77" t="s">
        <v>40</v>
      </c>
      <c r="R219" s="78">
        <f t="shared" si="143"/>
        <v>0</v>
      </c>
      <c r="S219" s="78">
        <f t="shared" si="81"/>
        <v>0</v>
      </c>
    </row>
    <row r="220" spans="1:19" s="90" customFormat="1" x14ac:dyDescent="0.2">
      <c r="A220" s="133" t="s">
        <v>131</v>
      </c>
      <c r="B220" s="90" t="s">
        <v>18</v>
      </c>
      <c r="C220" s="91"/>
      <c r="D220" s="92" t="s">
        <v>40</v>
      </c>
      <c r="E220" s="93">
        <v>3</v>
      </c>
      <c r="F220" s="94">
        <v>1</v>
      </c>
      <c r="G220" s="95" t="s">
        <v>20</v>
      </c>
      <c r="H220" s="94">
        <v>60</v>
      </c>
      <c r="I220" s="95" t="s">
        <v>40</v>
      </c>
      <c r="J220" s="96">
        <f>4500*12</f>
        <v>54000</v>
      </c>
      <c r="K220" s="92" t="s">
        <v>40</v>
      </c>
      <c r="L220" s="97">
        <v>0.125</v>
      </c>
      <c r="M220" s="97">
        <v>0.1</v>
      </c>
      <c r="N220" s="94">
        <v>60</v>
      </c>
      <c r="O220" s="95" t="s">
        <v>40</v>
      </c>
      <c r="P220" s="91">
        <f t="shared" ref="P220" si="144">(C220+(E220*F220*H220))-N220</f>
        <v>120</v>
      </c>
      <c r="Q220" s="95" t="s">
        <v>40</v>
      </c>
      <c r="R220" s="96">
        <f t="shared" ref="R220" si="145">P220*(J220-(J220*L220)-((J220-(J220*L220))*M220))</f>
        <v>5103000</v>
      </c>
      <c r="S220" s="96">
        <f t="shared" ref="S220" si="146">R220/1.11</f>
        <v>4597297.297297297</v>
      </c>
    </row>
    <row r="221" spans="1:19" s="73" customFormat="1" x14ac:dyDescent="0.2">
      <c r="A221" s="72" t="s">
        <v>692</v>
      </c>
      <c r="B221" s="73" t="s">
        <v>18</v>
      </c>
      <c r="C221" s="71"/>
      <c r="D221" s="74" t="s">
        <v>40</v>
      </c>
      <c r="E221" s="75"/>
      <c r="F221" s="76">
        <v>1</v>
      </c>
      <c r="G221" s="77" t="s">
        <v>20</v>
      </c>
      <c r="H221" s="76">
        <v>60</v>
      </c>
      <c r="I221" s="77" t="s">
        <v>40</v>
      </c>
      <c r="J221" s="78">
        <f>4500*12</f>
        <v>54000</v>
      </c>
      <c r="K221" s="74" t="s">
        <v>40</v>
      </c>
      <c r="L221" s="79">
        <v>0.125</v>
      </c>
      <c r="M221" s="79">
        <v>0.05</v>
      </c>
      <c r="N221" s="76"/>
      <c r="O221" s="77" t="s">
        <v>40</v>
      </c>
      <c r="P221" s="71">
        <f t="shared" si="142"/>
        <v>0</v>
      </c>
      <c r="Q221" s="77" t="s">
        <v>40</v>
      </c>
      <c r="R221" s="78">
        <f t="shared" si="143"/>
        <v>0</v>
      </c>
      <c r="S221" s="78">
        <f t="shared" si="81"/>
        <v>0</v>
      </c>
    </row>
    <row r="222" spans="1:19" s="73" customFormat="1" x14ac:dyDescent="0.2">
      <c r="A222" s="72" t="s">
        <v>132</v>
      </c>
      <c r="B222" s="73" t="s">
        <v>18</v>
      </c>
      <c r="C222" s="71"/>
      <c r="D222" s="74" t="s">
        <v>40</v>
      </c>
      <c r="E222" s="75">
        <v>1</v>
      </c>
      <c r="F222" s="76">
        <v>1</v>
      </c>
      <c r="G222" s="77" t="s">
        <v>20</v>
      </c>
      <c r="H222" s="76">
        <v>30</v>
      </c>
      <c r="I222" s="77" t="s">
        <v>40</v>
      </c>
      <c r="J222" s="78">
        <v>69600</v>
      </c>
      <c r="K222" s="74" t="s">
        <v>40</v>
      </c>
      <c r="L222" s="79">
        <v>0.125</v>
      </c>
      <c r="M222" s="79">
        <v>0.05</v>
      </c>
      <c r="N222" s="76">
        <v>30</v>
      </c>
      <c r="O222" s="77" t="s">
        <v>40</v>
      </c>
      <c r="P222" s="71">
        <f t="shared" ref="P222" si="147">(C222+(E222*F222*H222))-N222</f>
        <v>0</v>
      </c>
      <c r="Q222" s="77" t="s">
        <v>40</v>
      </c>
      <c r="R222" s="78">
        <f t="shared" ref="R222" si="148">P222*(J222-(J222*L222)-((J222-(J222*L222))*M222))</f>
        <v>0</v>
      </c>
      <c r="S222" s="78">
        <f t="shared" ref="S222" si="149">R222/1.11</f>
        <v>0</v>
      </c>
    </row>
    <row r="223" spans="1:19" s="19" customFormat="1" x14ac:dyDescent="0.2">
      <c r="A223" s="18" t="s">
        <v>717</v>
      </c>
      <c r="B223" s="19" t="s">
        <v>18</v>
      </c>
      <c r="C223" s="20"/>
      <c r="D223" s="21" t="s">
        <v>40</v>
      </c>
      <c r="E223" s="26">
        <v>4</v>
      </c>
      <c r="F223" s="22">
        <v>1</v>
      </c>
      <c r="G223" s="23" t="s">
        <v>20</v>
      </c>
      <c r="H223" s="22">
        <v>30</v>
      </c>
      <c r="I223" s="23" t="s">
        <v>40</v>
      </c>
      <c r="J223" s="24">
        <f>11000*12</f>
        <v>132000</v>
      </c>
      <c r="K223" s="21" t="s">
        <v>40</v>
      </c>
      <c r="L223" s="25">
        <v>0.125</v>
      </c>
      <c r="M223" s="25">
        <v>0.05</v>
      </c>
      <c r="N223" s="22">
        <v>90</v>
      </c>
      <c r="O223" s="23" t="s">
        <v>40</v>
      </c>
      <c r="P223" s="20">
        <f t="shared" ref="P223" si="150">(C223+(E223*F223*H223))-N223</f>
        <v>30</v>
      </c>
      <c r="Q223" s="23" t="s">
        <v>40</v>
      </c>
      <c r="R223" s="24">
        <f t="shared" ref="R223" si="151">P223*(J223-(J223*L223)-((J223-(J223*L223))*M223))</f>
        <v>3291750</v>
      </c>
      <c r="S223" s="24">
        <f t="shared" ref="S223" si="152">R223/1.11</f>
        <v>2965540.5405405401</v>
      </c>
    </row>
    <row r="224" spans="1:19" s="73" customFormat="1" x14ac:dyDescent="0.2">
      <c r="A224" s="72" t="s">
        <v>133</v>
      </c>
      <c r="B224" s="73" t="s">
        <v>18</v>
      </c>
      <c r="C224" s="71">
        <v>3099</v>
      </c>
      <c r="D224" s="74" t="s">
        <v>40</v>
      </c>
      <c r="E224" s="75">
        <v>109</v>
      </c>
      <c r="F224" s="76">
        <v>1</v>
      </c>
      <c r="G224" s="77" t="s">
        <v>20</v>
      </c>
      <c r="H224" s="76">
        <v>60</v>
      </c>
      <c r="I224" s="77" t="s">
        <v>40</v>
      </c>
      <c r="J224" s="78">
        <f>4800*12</f>
        <v>57600</v>
      </c>
      <c r="K224" s="74" t="s">
        <v>40</v>
      </c>
      <c r="L224" s="79">
        <v>0.125</v>
      </c>
      <c r="M224" s="79">
        <v>0.05</v>
      </c>
      <c r="N224" s="76">
        <v>9639</v>
      </c>
      <c r="O224" s="77" t="s">
        <v>40</v>
      </c>
      <c r="P224" s="71">
        <f t="shared" si="142"/>
        <v>0</v>
      </c>
      <c r="Q224" s="77" t="s">
        <v>40</v>
      </c>
      <c r="R224" s="78">
        <f t="shared" si="143"/>
        <v>0</v>
      </c>
      <c r="S224" s="78">
        <f t="shared" si="81"/>
        <v>0</v>
      </c>
    </row>
    <row r="225" spans="1:19" s="19" customFormat="1" x14ac:dyDescent="0.2">
      <c r="A225" s="134" t="s">
        <v>133</v>
      </c>
      <c r="B225" s="19" t="s">
        <v>18</v>
      </c>
      <c r="C225" s="20"/>
      <c r="D225" s="21" t="s">
        <v>40</v>
      </c>
      <c r="E225" s="26">
        <v>17</v>
      </c>
      <c r="F225" s="22">
        <v>1</v>
      </c>
      <c r="G225" s="23" t="s">
        <v>20</v>
      </c>
      <c r="H225" s="22">
        <v>60</v>
      </c>
      <c r="I225" s="23" t="s">
        <v>40</v>
      </c>
      <c r="J225" s="24">
        <v>51600</v>
      </c>
      <c r="K225" s="21" t="s">
        <v>40</v>
      </c>
      <c r="L225" s="25">
        <v>0.125</v>
      </c>
      <c r="M225" s="25">
        <v>0.05</v>
      </c>
      <c r="N225" s="22">
        <f>1020-60</f>
        <v>960</v>
      </c>
      <c r="O225" s="23" t="s">
        <v>40</v>
      </c>
      <c r="P225" s="20">
        <f t="shared" ref="P225:P226" si="153">(C225+(E225*F225*H225))-N225</f>
        <v>60</v>
      </c>
      <c r="Q225" s="23" t="s">
        <v>40</v>
      </c>
      <c r="R225" s="24">
        <f t="shared" ref="R225:R226" si="154">P225*(J225-(J225*L225)-((J225-(J225*L225))*M225))</f>
        <v>2573550</v>
      </c>
      <c r="S225" s="24">
        <f t="shared" ref="S225:S226" si="155">R225/1.11</f>
        <v>2318513.5135135134</v>
      </c>
    </row>
    <row r="226" spans="1:19" s="73" customFormat="1" x14ac:dyDescent="0.2">
      <c r="A226" s="72" t="s">
        <v>907</v>
      </c>
      <c r="B226" s="73" t="s">
        <v>18</v>
      </c>
      <c r="C226" s="71"/>
      <c r="D226" s="74" t="s">
        <v>40</v>
      </c>
      <c r="E226" s="75">
        <v>18</v>
      </c>
      <c r="F226" s="76">
        <v>1</v>
      </c>
      <c r="G226" s="77" t="s">
        <v>20</v>
      </c>
      <c r="H226" s="76">
        <v>60</v>
      </c>
      <c r="I226" s="77" t="s">
        <v>40</v>
      </c>
      <c r="J226" s="78">
        <f>4800*12</f>
        <v>57600</v>
      </c>
      <c r="K226" s="74" t="s">
        <v>40</v>
      </c>
      <c r="L226" s="79">
        <v>0.125</v>
      </c>
      <c r="M226" s="79">
        <v>0.05</v>
      </c>
      <c r="N226" s="76">
        <v>1080</v>
      </c>
      <c r="O226" s="77" t="s">
        <v>40</v>
      </c>
      <c r="P226" s="71">
        <f t="shared" si="153"/>
        <v>0</v>
      </c>
      <c r="Q226" s="77" t="s">
        <v>40</v>
      </c>
      <c r="R226" s="78">
        <f t="shared" si="154"/>
        <v>0</v>
      </c>
      <c r="S226" s="78">
        <f t="shared" si="155"/>
        <v>0</v>
      </c>
    </row>
    <row r="227" spans="1:19" s="73" customFormat="1" x14ac:dyDescent="0.2">
      <c r="A227" s="184" t="s">
        <v>907</v>
      </c>
      <c r="B227" s="73" t="s">
        <v>18</v>
      </c>
      <c r="C227" s="71"/>
      <c r="D227" s="74" t="s">
        <v>40</v>
      </c>
      <c r="E227" s="75">
        <v>10</v>
      </c>
      <c r="F227" s="76">
        <v>1</v>
      </c>
      <c r="G227" s="77" t="s">
        <v>20</v>
      </c>
      <c r="H227" s="76">
        <v>60</v>
      </c>
      <c r="I227" s="77" t="s">
        <v>40</v>
      </c>
      <c r="J227" s="78">
        <v>51600</v>
      </c>
      <c r="K227" s="74" t="s">
        <v>40</v>
      </c>
      <c r="L227" s="79">
        <v>0.125</v>
      </c>
      <c r="M227" s="79">
        <v>0.05</v>
      </c>
      <c r="N227" s="76">
        <v>600</v>
      </c>
      <c r="O227" s="77" t="s">
        <v>40</v>
      </c>
      <c r="P227" s="71">
        <f t="shared" ref="P227" si="156">(C227+(E227*F227*H227))-N227</f>
        <v>0</v>
      </c>
      <c r="Q227" s="77" t="s">
        <v>40</v>
      </c>
      <c r="R227" s="78">
        <f t="shared" ref="R227" si="157">P227*(J227-(J227*L227)-((J227-(J227*L227))*M227))</f>
        <v>0</v>
      </c>
      <c r="S227" s="78">
        <f t="shared" ref="S227" si="158">R227/1.11</f>
        <v>0</v>
      </c>
    </row>
    <row r="228" spans="1:19" s="73" customFormat="1" x14ac:dyDescent="0.2">
      <c r="A228" s="72" t="s">
        <v>843</v>
      </c>
      <c r="B228" s="73" t="s">
        <v>18</v>
      </c>
      <c r="C228" s="71"/>
      <c r="D228" s="74" t="s">
        <v>102</v>
      </c>
      <c r="E228" s="75">
        <v>1</v>
      </c>
      <c r="F228" s="76">
        <v>24</v>
      </c>
      <c r="G228" s="77" t="s">
        <v>33</v>
      </c>
      <c r="H228" s="76">
        <v>12</v>
      </c>
      <c r="I228" s="77" t="s">
        <v>102</v>
      </c>
      <c r="J228" s="78">
        <v>9300</v>
      </c>
      <c r="K228" s="74" t="s">
        <v>102</v>
      </c>
      <c r="L228" s="79">
        <v>0.125</v>
      </c>
      <c r="M228" s="79">
        <v>0.05</v>
      </c>
      <c r="N228" s="76">
        <v>288</v>
      </c>
      <c r="O228" s="77" t="s">
        <v>102</v>
      </c>
      <c r="P228" s="71">
        <f t="shared" si="142"/>
        <v>0</v>
      </c>
      <c r="Q228" s="77" t="s">
        <v>102</v>
      </c>
      <c r="R228" s="78">
        <f t="shared" si="143"/>
        <v>0</v>
      </c>
      <c r="S228" s="78">
        <f t="shared" si="81"/>
        <v>0</v>
      </c>
    </row>
    <row r="229" spans="1:19" s="73" customFormat="1" x14ac:dyDescent="0.2">
      <c r="A229" s="72" t="s">
        <v>134</v>
      </c>
      <c r="B229" s="73" t="s">
        <v>18</v>
      </c>
      <c r="C229" s="71"/>
      <c r="D229" s="74" t="s">
        <v>40</v>
      </c>
      <c r="E229" s="75"/>
      <c r="F229" s="76">
        <v>1</v>
      </c>
      <c r="G229" s="77" t="s">
        <v>20</v>
      </c>
      <c r="H229" s="76">
        <v>60</v>
      </c>
      <c r="I229" s="77" t="s">
        <v>40</v>
      </c>
      <c r="J229" s="78">
        <f>5800*12</f>
        <v>69600</v>
      </c>
      <c r="K229" s="74" t="s">
        <v>40</v>
      </c>
      <c r="L229" s="79">
        <v>0.125</v>
      </c>
      <c r="M229" s="79">
        <v>0.05</v>
      </c>
      <c r="N229" s="76">
        <v>0</v>
      </c>
      <c r="O229" s="77" t="s">
        <v>40</v>
      </c>
      <c r="P229" s="71">
        <f t="shared" si="142"/>
        <v>0</v>
      </c>
      <c r="Q229" s="77" t="s">
        <v>40</v>
      </c>
      <c r="R229" s="78">
        <f t="shared" si="143"/>
        <v>0</v>
      </c>
      <c r="S229" s="78">
        <f t="shared" si="81"/>
        <v>0</v>
      </c>
    </row>
    <row r="230" spans="1:19" s="73" customFormat="1" x14ac:dyDescent="0.2">
      <c r="A230" s="184" t="s">
        <v>135</v>
      </c>
      <c r="B230" s="73" t="s">
        <v>18</v>
      </c>
      <c r="C230" s="71"/>
      <c r="D230" s="74" t="s">
        <v>40</v>
      </c>
      <c r="E230" s="75">
        <v>3</v>
      </c>
      <c r="F230" s="76">
        <v>1</v>
      </c>
      <c r="G230" s="77" t="s">
        <v>20</v>
      </c>
      <c r="H230" s="76">
        <v>40</v>
      </c>
      <c r="I230" s="77" t="s">
        <v>40</v>
      </c>
      <c r="J230" s="78">
        <f>8500*12</f>
        <v>102000</v>
      </c>
      <c r="K230" s="74" t="s">
        <v>40</v>
      </c>
      <c r="L230" s="79">
        <v>0.125</v>
      </c>
      <c r="M230" s="79">
        <v>0.1</v>
      </c>
      <c r="N230" s="76">
        <v>120</v>
      </c>
      <c r="O230" s="77" t="s">
        <v>40</v>
      </c>
      <c r="P230" s="71">
        <f t="shared" ref="P230" si="159">(C230+(E230*F230*H230))-N230</f>
        <v>0</v>
      </c>
      <c r="Q230" s="77" t="s">
        <v>40</v>
      </c>
      <c r="R230" s="78">
        <f t="shared" ref="R230" si="160">P230*(J230-(J230*L230)-((J230-(J230*L230))*M230))</f>
        <v>0</v>
      </c>
      <c r="S230" s="78">
        <f t="shared" ref="S230" si="161">R230/1.11</f>
        <v>0</v>
      </c>
    </row>
    <row r="231" spans="1:19" s="73" customFormat="1" x14ac:dyDescent="0.2">
      <c r="A231" s="72" t="s">
        <v>135</v>
      </c>
      <c r="B231" s="73" t="s">
        <v>18</v>
      </c>
      <c r="C231" s="71">
        <v>40</v>
      </c>
      <c r="D231" s="74" t="s">
        <v>40</v>
      </c>
      <c r="E231" s="75">
        <v>10</v>
      </c>
      <c r="F231" s="76">
        <v>1</v>
      </c>
      <c r="G231" s="77" t="s">
        <v>20</v>
      </c>
      <c r="H231" s="76">
        <v>40</v>
      </c>
      <c r="I231" s="77" t="s">
        <v>40</v>
      </c>
      <c r="J231" s="78">
        <f>8500*12</f>
        <v>102000</v>
      </c>
      <c r="K231" s="74" t="s">
        <v>40</v>
      </c>
      <c r="L231" s="79">
        <v>0.125</v>
      </c>
      <c r="M231" s="79">
        <v>0.05</v>
      </c>
      <c r="N231" s="76">
        <v>440</v>
      </c>
      <c r="O231" s="77" t="s">
        <v>40</v>
      </c>
      <c r="P231" s="71">
        <f t="shared" si="142"/>
        <v>0</v>
      </c>
      <c r="Q231" s="77" t="s">
        <v>40</v>
      </c>
      <c r="R231" s="78">
        <f t="shared" si="143"/>
        <v>0</v>
      </c>
      <c r="S231" s="78">
        <f t="shared" si="81"/>
        <v>0</v>
      </c>
    </row>
    <row r="232" spans="1:19" s="73" customFormat="1" x14ac:dyDescent="0.2">
      <c r="A232" s="72" t="s">
        <v>844</v>
      </c>
      <c r="B232" s="73" t="s">
        <v>18</v>
      </c>
      <c r="C232" s="71"/>
      <c r="D232" s="74" t="s">
        <v>40</v>
      </c>
      <c r="E232" s="75"/>
      <c r="F232" s="76">
        <v>1</v>
      </c>
      <c r="G232" s="77" t="s">
        <v>20</v>
      </c>
      <c r="H232" s="76">
        <v>60</v>
      </c>
      <c r="I232" s="77" t="s">
        <v>40</v>
      </c>
      <c r="J232" s="78">
        <f>4000*12</f>
        <v>48000</v>
      </c>
      <c r="K232" s="74" t="s">
        <v>40</v>
      </c>
      <c r="L232" s="79">
        <v>0.125</v>
      </c>
      <c r="M232" s="79">
        <v>0.05</v>
      </c>
      <c r="N232" s="76">
        <v>0</v>
      </c>
      <c r="O232" s="77" t="s">
        <v>40</v>
      </c>
      <c r="P232" s="71">
        <f t="shared" si="142"/>
        <v>0</v>
      </c>
      <c r="Q232" s="77" t="s">
        <v>40</v>
      </c>
      <c r="R232" s="78">
        <f t="shared" si="143"/>
        <v>0</v>
      </c>
      <c r="S232" s="16">
        <f t="shared" si="81"/>
        <v>0</v>
      </c>
    </row>
    <row r="233" spans="1:19" s="73" customFormat="1" x14ac:dyDescent="0.2">
      <c r="A233" s="72" t="s">
        <v>845</v>
      </c>
      <c r="B233" s="73" t="s">
        <v>18</v>
      </c>
      <c r="C233" s="71">
        <v>31</v>
      </c>
      <c r="D233" s="74" t="s">
        <v>40</v>
      </c>
      <c r="E233" s="75"/>
      <c r="F233" s="76">
        <v>1</v>
      </c>
      <c r="G233" s="77" t="s">
        <v>20</v>
      </c>
      <c r="H233" s="76">
        <v>40</v>
      </c>
      <c r="I233" s="77" t="s">
        <v>40</v>
      </c>
      <c r="J233" s="78">
        <f>5700*12</f>
        <v>68400</v>
      </c>
      <c r="K233" s="74" t="s">
        <v>40</v>
      </c>
      <c r="L233" s="79">
        <v>0.125</v>
      </c>
      <c r="M233" s="79">
        <v>0.05</v>
      </c>
      <c r="N233" s="76">
        <v>31</v>
      </c>
      <c r="O233" s="77" t="s">
        <v>40</v>
      </c>
      <c r="P233" s="71">
        <f t="shared" si="142"/>
        <v>0</v>
      </c>
      <c r="Q233" s="77" t="s">
        <v>40</v>
      </c>
      <c r="R233" s="78">
        <f t="shared" si="143"/>
        <v>0</v>
      </c>
      <c r="S233" s="16">
        <f t="shared" si="81"/>
        <v>0</v>
      </c>
    </row>
    <row r="234" spans="1:19" s="73" customFormat="1" x14ac:dyDescent="0.2">
      <c r="A234" s="72" t="s">
        <v>790</v>
      </c>
      <c r="B234" s="73" t="s">
        <v>18</v>
      </c>
      <c r="C234" s="71">
        <v>31</v>
      </c>
      <c r="D234" s="74" t="s">
        <v>40</v>
      </c>
      <c r="E234" s="75"/>
      <c r="F234" s="76">
        <v>1</v>
      </c>
      <c r="G234" s="77" t="s">
        <v>20</v>
      </c>
      <c r="H234" s="76">
        <v>40</v>
      </c>
      <c r="I234" s="77" t="s">
        <v>40</v>
      </c>
      <c r="J234" s="78">
        <f>5800*12</f>
        <v>69600</v>
      </c>
      <c r="K234" s="74" t="s">
        <v>40</v>
      </c>
      <c r="L234" s="79">
        <v>0.125</v>
      </c>
      <c r="M234" s="79">
        <v>0.05</v>
      </c>
      <c r="N234" s="76">
        <v>31</v>
      </c>
      <c r="O234" s="77" t="s">
        <v>40</v>
      </c>
      <c r="P234" s="71">
        <f t="shared" si="142"/>
        <v>0</v>
      </c>
      <c r="Q234" s="77" t="s">
        <v>40</v>
      </c>
      <c r="R234" s="78">
        <f t="shared" si="143"/>
        <v>0</v>
      </c>
      <c r="S234" s="78">
        <f t="shared" si="81"/>
        <v>0</v>
      </c>
    </row>
    <row r="235" spans="1:19" s="73" customFormat="1" x14ac:dyDescent="0.2">
      <c r="A235" s="72" t="s">
        <v>846</v>
      </c>
      <c r="B235" s="73" t="s">
        <v>18</v>
      </c>
      <c r="C235" s="71"/>
      <c r="D235" s="74" t="s">
        <v>40</v>
      </c>
      <c r="E235" s="75">
        <v>2</v>
      </c>
      <c r="F235" s="76">
        <v>1</v>
      </c>
      <c r="G235" s="77" t="s">
        <v>20</v>
      </c>
      <c r="H235" s="76">
        <v>40</v>
      </c>
      <c r="I235" s="77" t="s">
        <v>40</v>
      </c>
      <c r="J235" s="78">
        <f>10800*12</f>
        <v>129600</v>
      </c>
      <c r="K235" s="74" t="s">
        <v>40</v>
      </c>
      <c r="L235" s="79">
        <v>0.125</v>
      </c>
      <c r="M235" s="79">
        <v>0.05</v>
      </c>
      <c r="N235" s="76">
        <v>80</v>
      </c>
      <c r="O235" s="77" t="s">
        <v>40</v>
      </c>
      <c r="P235" s="71">
        <f t="shared" si="142"/>
        <v>0</v>
      </c>
      <c r="Q235" s="77" t="s">
        <v>40</v>
      </c>
      <c r="R235" s="78">
        <f t="shared" si="143"/>
        <v>0</v>
      </c>
      <c r="S235" s="16">
        <f t="shared" si="81"/>
        <v>0</v>
      </c>
    </row>
    <row r="236" spans="1:19" s="73" customFormat="1" x14ac:dyDescent="0.2">
      <c r="A236" s="72" t="s">
        <v>136</v>
      </c>
      <c r="B236" s="73" t="s">
        <v>18</v>
      </c>
      <c r="C236" s="71"/>
      <c r="D236" s="74" t="s">
        <v>40</v>
      </c>
      <c r="E236" s="75"/>
      <c r="F236" s="76">
        <v>1</v>
      </c>
      <c r="G236" s="77" t="s">
        <v>20</v>
      </c>
      <c r="H236" s="76">
        <v>40</v>
      </c>
      <c r="I236" s="77" t="s">
        <v>40</v>
      </c>
      <c r="J236" s="78">
        <f>8800*12</f>
        <v>105600</v>
      </c>
      <c r="K236" s="74" t="s">
        <v>40</v>
      </c>
      <c r="L236" s="79">
        <v>0.125</v>
      </c>
      <c r="M236" s="79">
        <v>0.05</v>
      </c>
      <c r="N236" s="76">
        <v>0</v>
      </c>
      <c r="O236" s="77" t="s">
        <v>40</v>
      </c>
      <c r="P236" s="71">
        <f t="shared" si="142"/>
        <v>0</v>
      </c>
      <c r="Q236" s="77" t="s">
        <v>40</v>
      </c>
      <c r="R236" s="78">
        <f t="shared" si="143"/>
        <v>0</v>
      </c>
      <c r="S236" s="78">
        <f t="shared" si="81"/>
        <v>0</v>
      </c>
    </row>
    <row r="237" spans="1:19" s="73" customFormat="1" x14ac:dyDescent="0.2">
      <c r="A237" s="72" t="s">
        <v>811</v>
      </c>
      <c r="B237" s="73" t="s">
        <v>18</v>
      </c>
      <c r="C237" s="71"/>
      <c r="D237" s="74" t="s">
        <v>40</v>
      </c>
      <c r="E237" s="75">
        <v>1</v>
      </c>
      <c r="F237" s="76">
        <v>1</v>
      </c>
      <c r="G237" s="77" t="s">
        <v>20</v>
      </c>
      <c r="H237" s="76">
        <v>40</v>
      </c>
      <c r="I237" s="77" t="s">
        <v>40</v>
      </c>
      <c r="J237" s="78">
        <f>10000*12</f>
        <v>120000</v>
      </c>
      <c r="K237" s="74" t="s">
        <v>40</v>
      </c>
      <c r="L237" s="79">
        <v>0.125</v>
      </c>
      <c r="M237" s="79">
        <v>0.05</v>
      </c>
      <c r="N237" s="76">
        <v>40</v>
      </c>
      <c r="O237" s="77" t="s">
        <v>40</v>
      </c>
      <c r="P237" s="71">
        <f t="shared" si="142"/>
        <v>0</v>
      </c>
      <c r="Q237" s="77" t="s">
        <v>40</v>
      </c>
      <c r="R237" s="78">
        <f t="shared" si="143"/>
        <v>0</v>
      </c>
      <c r="S237" s="78">
        <f t="shared" si="81"/>
        <v>0</v>
      </c>
    </row>
    <row r="238" spans="1:19" s="73" customFormat="1" x14ac:dyDescent="0.2">
      <c r="A238" s="72" t="s">
        <v>892</v>
      </c>
      <c r="B238" s="73" t="s">
        <v>18</v>
      </c>
      <c r="C238" s="71"/>
      <c r="D238" s="74" t="s">
        <v>40</v>
      </c>
      <c r="E238" s="75">
        <v>1</v>
      </c>
      <c r="F238" s="76">
        <v>1</v>
      </c>
      <c r="G238" s="77" t="s">
        <v>20</v>
      </c>
      <c r="H238" s="76">
        <v>36</v>
      </c>
      <c r="I238" s="77" t="s">
        <v>40</v>
      </c>
      <c r="J238" s="78">
        <v>34800</v>
      </c>
      <c r="K238" s="74" t="s">
        <v>40</v>
      </c>
      <c r="L238" s="79">
        <v>0.125</v>
      </c>
      <c r="M238" s="79">
        <v>0.05</v>
      </c>
      <c r="N238" s="76">
        <v>36</v>
      </c>
      <c r="O238" s="77" t="s">
        <v>40</v>
      </c>
      <c r="P238" s="71">
        <f t="shared" ref="P238" si="162">(C238+(E238*F238*H238))-N238</f>
        <v>0</v>
      </c>
      <c r="Q238" s="77" t="s">
        <v>40</v>
      </c>
      <c r="R238" s="78">
        <f t="shared" ref="R238" si="163">P238*(J238-(J238*L238)-((J238-(J238*L238))*M238))</f>
        <v>0</v>
      </c>
      <c r="S238" s="78">
        <f t="shared" ref="S238" si="164">R238/1.11</f>
        <v>0</v>
      </c>
    </row>
    <row r="239" spans="1:19" s="73" customFormat="1" x14ac:dyDescent="0.2">
      <c r="A239" s="72" t="s">
        <v>868</v>
      </c>
      <c r="B239" s="73" t="s">
        <v>18</v>
      </c>
      <c r="C239" s="71"/>
      <c r="D239" s="74" t="s">
        <v>40</v>
      </c>
      <c r="E239" s="75">
        <v>6</v>
      </c>
      <c r="F239" s="76">
        <v>1</v>
      </c>
      <c r="G239" s="77" t="s">
        <v>20</v>
      </c>
      <c r="H239" s="76">
        <f>360/12</f>
        <v>30</v>
      </c>
      <c r="I239" s="77" t="s">
        <v>40</v>
      </c>
      <c r="J239" s="78">
        <f>5400*12</f>
        <v>64800</v>
      </c>
      <c r="K239" s="74" t="s">
        <v>40</v>
      </c>
      <c r="L239" s="79">
        <v>0.125</v>
      </c>
      <c r="M239" s="79">
        <v>0.05</v>
      </c>
      <c r="N239" s="76">
        <v>180</v>
      </c>
      <c r="O239" s="77" t="s">
        <v>40</v>
      </c>
      <c r="P239" s="71">
        <f t="shared" ref="P239" si="165">(C239+(E239*F239*H239))-N239</f>
        <v>0</v>
      </c>
      <c r="Q239" s="77" t="s">
        <v>40</v>
      </c>
      <c r="R239" s="78">
        <f t="shared" ref="R239" si="166">P239*(J239-(J239*L239)-((J239-(J239*L239))*M239))</f>
        <v>0</v>
      </c>
      <c r="S239" s="78">
        <f t="shared" ref="S239" si="167">R239/1.11</f>
        <v>0</v>
      </c>
    </row>
    <row r="240" spans="1:19" s="73" customFormat="1" x14ac:dyDescent="0.2">
      <c r="A240" s="72" t="s">
        <v>791</v>
      </c>
      <c r="B240" s="73" t="s">
        <v>18</v>
      </c>
      <c r="C240" s="71"/>
      <c r="D240" s="74" t="s">
        <v>40</v>
      </c>
      <c r="E240" s="75"/>
      <c r="F240" s="76">
        <v>1</v>
      </c>
      <c r="G240" s="77" t="s">
        <v>20</v>
      </c>
      <c r="H240" s="76">
        <f>360/12</f>
        <v>30</v>
      </c>
      <c r="I240" s="77" t="s">
        <v>40</v>
      </c>
      <c r="J240" s="78">
        <f>4800*12</f>
        <v>57600</v>
      </c>
      <c r="K240" s="74" t="s">
        <v>40</v>
      </c>
      <c r="L240" s="79">
        <v>0.125</v>
      </c>
      <c r="M240" s="79">
        <v>0.05</v>
      </c>
      <c r="N240" s="76">
        <v>0</v>
      </c>
      <c r="O240" s="77" t="s">
        <v>40</v>
      </c>
      <c r="P240" s="71">
        <f t="shared" si="142"/>
        <v>0</v>
      </c>
      <c r="Q240" s="77" t="s">
        <v>40</v>
      </c>
      <c r="R240" s="78">
        <f t="shared" si="143"/>
        <v>0</v>
      </c>
      <c r="S240" s="78">
        <f t="shared" si="81"/>
        <v>0</v>
      </c>
    </row>
    <row r="241" spans="1:19" s="73" customFormat="1" x14ac:dyDescent="0.2">
      <c r="A241" s="72" t="s">
        <v>792</v>
      </c>
      <c r="B241" s="73" t="s">
        <v>18</v>
      </c>
      <c r="C241" s="71">
        <v>3540</v>
      </c>
      <c r="D241" s="74" t="s">
        <v>40</v>
      </c>
      <c r="E241" s="75"/>
      <c r="F241" s="76">
        <v>1</v>
      </c>
      <c r="G241" s="77" t="s">
        <v>20</v>
      </c>
      <c r="H241" s="76">
        <f>360/12</f>
        <v>30</v>
      </c>
      <c r="I241" s="77" t="s">
        <v>40</v>
      </c>
      <c r="J241" s="78">
        <f>6000*12</f>
        <v>72000</v>
      </c>
      <c r="K241" s="74" t="s">
        <v>40</v>
      </c>
      <c r="L241" s="79">
        <v>0.125</v>
      </c>
      <c r="M241" s="79">
        <v>0.05</v>
      </c>
      <c r="N241" s="76">
        <v>3540</v>
      </c>
      <c r="O241" s="77" t="s">
        <v>40</v>
      </c>
      <c r="P241" s="71">
        <f t="shared" si="142"/>
        <v>0</v>
      </c>
      <c r="Q241" s="77" t="s">
        <v>40</v>
      </c>
      <c r="R241" s="78">
        <f t="shared" si="143"/>
        <v>0</v>
      </c>
      <c r="S241" s="78">
        <f t="shared" si="81"/>
        <v>0</v>
      </c>
    </row>
    <row r="242" spans="1:19" s="73" customFormat="1" x14ac:dyDescent="0.2">
      <c r="A242" s="72"/>
      <c r="C242" s="71"/>
      <c r="D242" s="74"/>
      <c r="E242" s="75"/>
      <c r="F242" s="76"/>
      <c r="G242" s="77"/>
      <c r="H242" s="76"/>
      <c r="I242" s="77"/>
      <c r="J242" s="78"/>
      <c r="K242" s="74"/>
      <c r="L242" s="79"/>
      <c r="M242" s="79"/>
      <c r="N242" s="76"/>
      <c r="O242" s="77"/>
      <c r="P242" s="71"/>
      <c r="Q242" s="77"/>
      <c r="R242" s="78"/>
      <c r="S242" s="78"/>
    </row>
    <row r="243" spans="1:19" s="73" customFormat="1" x14ac:dyDescent="0.2">
      <c r="A243" s="72" t="s">
        <v>137</v>
      </c>
      <c r="B243" s="73" t="s">
        <v>25</v>
      </c>
      <c r="C243" s="71"/>
      <c r="D243" s="74" t="s">
        <v>40</v>
      </c>
      <c r="E243" s="75"/>
      <c r="F243" s="76">
        <v>1</v>
      </c>
      <c r="G243" s="77" t="s">
        <v>20</v>
      </c>
      <c r="H243" s="76">
        <v>36</v>
      </c>
      <c r="I243" s="77" t="s">
        <v>40</v>
      </c>
      <c r="J243" s="78">
        <f>2095200/36</f>
        <v>58200</v>
      </c>
      <c r="K243" s="74" t="s">
        <v>40</v>
      </c>
      <c r="L243" s="79"/>
      <c r="M243" s="79">
        <v>0.17</v>
      </c>
      <c r="N243" s="76">
        <v>0</v>
      </c>
      <c r="O243" s="77" t="s">
        <v>40</v>
      </c>
      <c r="P243" s="71">
        <f t="shared" ref="P243:P280" si="168">(C243+(E243*F243*H243))-N243</f>
        <v>0</v>
      </c>
      <c r="Q243" s="77" t="s">
        <v>40</v>
      </c>
      <c r="R243" s="78">
        <f t="shared" ref="R243:R280" si="169">P243*(J243-(J243*L243)-((J243-(J243*L243))*M243))</f>
        <v>0</v>
      </c>
      <c r="S243" s="78">
        <f t="shared" si="81"/>
        <v>0</v>
      </c>
    </row>
    <row r="244" spans="1:19" s="73" customFormat="1" x14ac:dyDescent="0.2">
      <c r="A244" s="72" t="s">
        <v>749</v>
      </c>
      <c r="B244" s="73" t="s">
        <v>25</v>
      </c>
      <c r="C244" s="71">
        <v>30</v>
      </c>
      <c r="D244" s="74" t="s">
        <v>40</v>
      </c>
      <c r="E244" s="75"/>
      <c r="F244" s="76">
        <v>1</v>
      </c>
      <c r="G244" s="77" t="s">
        <v>20</v>
      </c>
      <c r="H244" s="76">
        <v>36</v>
      </c>
      <c r="I244" s="77" t="s">
        <v>40</v>
      </c>
      <c r="J244" s="78">
        <f>2116800/36</f>
        <v>58800</v>
      </c>
      <c r="K244" s="74" t="s">
        <v>40</v>
      </c>
      <c r="L244" s="79"/>
      <c r="M244" s="79">
        <v>0.17</v>
      </c>
      <c r="N244" s="76">
        <v>30</v>
      </c>
      <c r="O244" s="77" t="s">
        <v>40</v>
      </c>
      <c r="P244" s="71">
        <f t="shared" si="168"/>
        <v>0</v>
      </c>
      <c r="Q244" s="77" t="s">
        <v>40</v>
      </c>
      <c r="R244" s="78">
        <f t="shared" si="169"/>
        <v>0</v>
      </c>
      <c r="S244" s="78">
        <f t="shared" si="81"/>
        <v>0</v>
      </c>
    </row>
    <row r="245" spans="1:19" s="73" customFormat="1" x14ac:dyDescent="0.2">
      <c r="A245" s="72" t="s">
        <v>138</v>
      </c>
      <c r="B245" s="73" t="s">
        <v>25</v>
      </c>
      <c r="C245" s="71"/>
      <c r="D245" s="74" t="s">
        <v>40</v>
      </c>
      <c r="E245" s="75"/>
      <c r="F245" s="76">
        <v>1</v>
      </c>
      <c r="G245" s="77" t="s">
        <v>20</v>
      </c>
      <c r="H245" s="76">
        <v>48</v>
      </c>
      <c r="I245" s="77" t="s">
        <v>40</v>
      </c>
      <c r="J245" s="78">
        <f>2995200/48</f>
        <v>62400</v>
      </c>
      <c r="K245" s="74" t="s">
        <v>40</v>
      </c>
      <c r="L245" s="79"/>
      <c r="M245" s="79">
        <v>0.17</v>
      </c>
      <c r="N245" s="76">
        <v>0</v>
      </c>
      <c r="O245" s="77" t="s">
        <v>40</v>
      </c>
      <c r="P245" s="71">
        <f t="shared" si="168"/>
        <v>0</v>
      </c>
      <c r="Q245" s="77" t="s">
        <v>40</v>
      </c>
      <c r="R245" s="78">
        <f t="shared" si="169"/>
        <v>0</v>
      </c>
      <c r="S245" s="78">
        <f t="shared" si="81"/>
        <v>0</v>
      </c>
    </row>
    <row r="246" spans="1:19" s="73" customFormat="1" x14ac:dyDescent="0.2">
      <c r="A246" s="72" t="s">
        <v>139</v>
      </c>
      <c r="B246" s="73" t="s">
        <v>25</v>
      </c>
      <c r="C246" s="71">
        <v>227</v>
      </c>
      <c r="D246" s="74" t="s">
        <v>40</v>
      </c>
      <c r="E246" s="75"/>
      <c r="F246" s="76">
        <v>1</v>
      </c>
      <c r="G246" s="77" t="s">
        <v>20</v>
      </c>
      <c r="H246" s="76">
        <v>48</v>
      </c>
      <c r="I246" s="77" t="s">
        <v>40</v>
      </c>
      <c r="J246" s="78">
        <f>3916800/48</f>
        <v>81600</v>
      </c>
      <c r="K246" s="74" t="s">
        <v>40</v>
      </c>
      <c r="L246" s="79"/>
      <c r="M246" s="79">
        <v>0.17</v>
      </c>
      <c r="N246" s="76">
        <v>227</v>
      </c>
      <c r="O246" s="77" t="s">
        <v>40</v>
      </c>
      <c r="P246" s="71">
        <f t="shared" si="168"/>
        <v>0</v>
      </c>
      <c r="Q246" s="77" t="s">
        <v>40</v>
      </c>
      <c r="R246" s="78">
        <f t="shared" si="169"/>
        <v>0</v>
      </c>
      <c r="S246" s="78">
        <f t="shared" si="81"/>
        <v>0</v>
      </c>
    </row>
    <row r="247" spans="1:19" s="73" customFormat="1" x14ac:dyDescent="0.2">
      <c r="A247" s="184" t="s">
        <v>139</v>
      </c>
      <c r="B247" s="73" t="s">
        <v>25</v>
      </c>
      <c r="C247" s="71"/>
      <c r="D247" s="74" t="s">
        <v>40</v>
      </c>
      <c r="E247" s="75">
        <v>2</v>
      </c>
      <c r="F247" s="76">
        <v>1</v>
      </c>
      <c r="G247" s="77" t="s">
        <v>20</v>
      </c>
      <c r="H247" s="76">
        <v>48</v>
      </c>
      <c r="I247" s="77" t="s">
        <v>40</v>
      </c>
      <c r="J247" s="78">
        <f>3916800/48</f>
        <v>81600</v>
      </c>
      <c r="K247" s="74" t="s">
        <v>40</v>
      </c>
      <c r="L247" s="79">
        <v>0.05</v>
      </c>
      <c r="M247" s="79">
        <v>0.17</v>
      </c>
      <c r="N247" s="76">
        <v>96</v>
      </c>
      <c r="O247" s="77" t="s">
        <v>40</v>
      </c>
      <c r="P247" s="71">
        <f t="shared" ref="P247" si="170">(C247+(E247*F247*H247))-N247</f>
        <v>0</v>
      </c>
      <c r="Q247" s="77" t="s">
        <v>40</v>
      </c>
      <c r="R247" s="78">
        <f t="shared" ref="R247" si="171">P247*(J247-(J247*L247)-((J247-(J247*L247))*M247))</f>
        <v>0</v>
      </c>
      <c r="S247" s="78">
        <f t="shared" ref="S247" si="172">R247/1.11</f>
        <v>0</v>
      </c>
    </row>
    <row r="248" spans="1:19" s="73" customFormat="1" x14ac:dyDescent="0.2">
      <c r="A248" s="72" t="s">
        <v>948</v>
      </c>
      <c r="B248" s="73" t="s">
        <v>25</v>
      </c>
      <c r="C248" s="71"/>
      <c r="D248" s="74" t="s">
        <v>40</v>
      </c>
      <c r="E248" s="75">
        <v>1</v>
      </c>
      <c r="F248" s="76">
        <v>1</v>
      </c>
      <c r="G248" s="77" t="s">
        <v>20</v>
      </c>
      <c r="H248" s="76">
        <v>48</v>
      </c>
      <c r="I248" s="77" t="s">
        <v>40</v>
      </c>
      <c r="J248" s="78">
        <v>96000</v>
      </c>
      <c r="K248" s="74" t="s">
        <v>40</v>
      </c>
      <c r="L248" s="79"/>
      <c r="M248" s="79">
        <v>0.17</v>
      </c>
      <c r="N248" s="76">
        <v>48</v>
      </c>
      <c r="O248" s="77" t="s">
        <v>40</v>
      </c>
      <c r="P248" s="71">
        <f t="shared" ref="P248" si="173">(C248+(E248*F248*H248))-N248</f>
        <v>0</v>
      </c>
      <c r="Q248" s="77" t="s">
        <v>40</v>
      </c>
      <c r="R248" s="78">
        <f t="shared" ref="R248" si="174">P248*(J248-(J248*L248)-((J248-(J248*L248))*M248))</f>
        <v>0</v>
      </c>
      <c r="S248" s="78">
        <f t="shared" ref="S248" si="175">R248/1.11</f>
        <v>0</v>
      </c>
    </row>
    <row r="249" spans="1:19" s="73" customFormat="1" x14ac:dyDescent="0.2">
      <c r="A249" s="72" t="s">
        <v>748</v>
      </c>
      <c r="B249" s="73" t="s">
        <v>25</v>
      </c>
      <c r="C249" s="71">
        <v>98</v>
      </c>
      <c r="D249" s="74" t="s">
        <v>40</v>
      </c>
      <c r="E249" s="75"/>
      <c r="F249" s="76">
        <v>1</v>
      </c>
      <c r="G249" s="77" t="s">
        <v>20</v>
      </c>
      <c r="H249" s="76">
        <v>48</v>
      </c>
      <c r="I249" s="77" t="s">
        <v>40</v>
      </c>
      <c r="J249" s="78">
        <f>4032000/48</f>
        <v>84000</v>
      </c>
      <c r="K249" s="74" t="s">
        <v>40</v>
      </c>
      <c r="L249" s="79"/>
      <c r="M249" s="79">
        <v>0.17</v>
      </c>
      <c r="N249" s="76">
        <v>98</v>
      </c>
      <c r="O249" s="77" t="s">
        <v>40</v>
      </c>
      <c r="P249" s="71">
        <f t="shared" si="168"/>
        <v>0</v>
      </c>
      <c r="Q249" s="77" t="s">
        <v>40</v>
      </c>
      <c r="R249" s="78">
        <f t="shared" si="169"/>
        <v>0</v>
      </c>
      <c r="S249" s="78">
        <f t="shared" si="81"/>
        <v>0</v>
      </c>
    </row>
    <row r="250" spans="1:19" s="73" customFormat="1" x14ac:dyDescent="0.2">
      <c r="A250" s="72" t="s">
        <v>140</v>
      </c>
      <c r="B250" s="73" t="s">
        <v>25</v>
      </c>
      <c r="C250" s="71"/>
      <c r="D250" s="74" t="s">
        <v>40</v>
      </c>
      <c r="E250" s="75"/>
      <c r="F250" s="76">
        <v>1</v>
      </c>
      <c r="G250" s="77" t="s">
        <v>20</v>
      </c>
      <c r="H250" s="76">
        <v>48</v>
      </c>
      <c r="I250" s="77" t="s">
        <v>40</v>
      </c>
      <c r="J250" s="78">
        <f>5100*12</f>
        <v>61200</v>
      </c>
      <c r="K250" s="74" t="s">
        <v>40</v>
      </c>
      <c r="L250" s="79"/>
      <c r="M250" s="79">
        <v>0.17</v>
      </c>
      <c r="N250" s="76">
        <v>0</v>
      </c>
      <c r="O250" s="77" t="s">
        <v>40</v>
      </c>
      <c r="P250" s="71">
        <f t="shared" si="168"/>
        <v>0</v>
      </c>
      <c r="Q250" s="77" t="s">
        <v>40</v>
      </c>
      <c r="R250" s="78">
        <f t="shared" si="169"/>
        <v>0</v>
      </c>
      <c r="S250" s="78">
        <f t="shared" si="81"/>
        <v>0</v>
      </c>
    </row>
    <row r="251" spans="1:19" s="73" customFormat="1" x14ac:dyDescent="0.2">
      <c r="A251" s="72" t="s">
        <v>893</v>
      </c>
      <c r="B251" s="73" t="s">
        <v>25</v>
      </c>
      <c r="C251" s="71"/>
      <c r="D251" s="74" t="s">
        <v>40</v>
      </c>
      <c r="E251" s="75">
        <v>3</v>
      </c>
      <c r="F251" s="76">
        <v>1</v>
      </c>
      <c r="G251" s="77" t="s">
        <v>20</v>
      </c>
      <c r="H251" s="76">
        <v>48</v>
      </c>
      <c r="I251" s="77" t="s">
        <v>40</v>
      </c>
      <c r="J251" s="78">
        <v>58800</v>
      </c>
      <c r="K251" s="74" t="s">
        <v>40</v>
      </c>
      <c r="L251" s="79"/>
      <c r="M251" s="79">
        <v>0.17</v>
      </c>
      <c r="N251" s="76">
        <v>144</v>
      </c>
      <c r="O251" s="77" t="s">
        <v>40</v>
      </c>
      <c r="P251" s="71">
        <f>(C251+(E251*F251*H251))-N251</f>
        <v>0</v>
      </c>
      <c r="Q251" s="77" t="s">
        <v>40</v>
      </c>
      <c r="R251" s="78">
        <f>P251*(J251-(J251*L251)-((J251-(J251*L251))*M251))</f>
        <v>0</v>
      </c>
      <c r="S251" s="78">
        <f>R251/1.11</f>
        <v>0</v>
      </c>
    </row>
    <row r="252" spans="1:19" s="73" customFormat="1" x14ac:dyDescent="0.2">
      <c r="A252" s="72" t="s">
        <v>894</v>
      </c>
      <c r="B252" s="73" t="s">
        <v>25</v>
      </c>
      <c r="C252" s="71"/>
      <c r="D252" s="74" t="s">
        <v>40</v>
      </c>
      <c r="E252" s="75">
        <v>4</v>
      </c>
      <c r="F252" s="76">
        <v>1</v>
      </c>
      <c r="G252" s="77" t="s">
        <v>20</v>
      </c>
      <c r="H252" s="76">
        <v>48</v>
      </c>
      <c r="I252" s="77" t="s">
        <v>40</v>
      </c>
      <c r="J252" s="78">
        <v>50400</v>
      </c>
      <c r="K252" s="74" t="s">
        <v>40</v>
      </c>
      <c r="L252" s="79"/>
      <c r="M252" s="79">
        <v>0.17</v>
      </c>
      <c r="N252" s="76">
        <v>192</v>
      </c>
      <c r="O252" s="77" t="s">
        <v>40</v>
      </c>
      <c r="P252" s="71">
        <f>(C252+(E252*F252*H252))-N252</f>
        <v>0</v>
      </c>
      <c r="Q252" s="77" t="s">
        <v>40</v>
      </c>
      <c r="R252" s="78">
        <f>P252*(J252-(J252*L252)-((J252-(J252*L252))*M252))</f>
        <v>0</v>
      </c>
      <c r="S252" s="78">
        <f>R252/1.11</f>
        <v>0</v>
      </c>
    </row>
    <row r="253" spans="1:19" s="73" customFormat="1" x14ac:dyDescent="0.2">
      <c r="A253" s="72" t="s">
        <v>847</v>
      </c>
      <c r="B253" s="73" t="s">
        <v>25</v>
      </c>
      <c r="C253" s="71">
        <v>128</v>
      </c>
      <c r="D253" s="74" t="s">
        <v>40</v>
      </c>
      <c r="E253" s="75">
        <v>11</v>
      </c>
      <c r="F253" s="76">
        <v>1</v>
      </c>
      <c r="G253" s="77" t="s">
        <v>20</v>
      </c>
      <c r="H253" s="76">
        <v>48</v>
      </c>
      <c r="I253" s="77" t="s">
        <v>40</v>
      </c>
      <c r="J253" s="78">
        <f>2592000/48</f>
        <v>54000</v>
      </c>
      <c r="K253" s="74" t="s">
        <v>40</v>
      </c>
      <c r="L253" s="79"/>
      <c r="M253" s="79">
        <v>0.17</v>
      </c>
      <c r="N253" s="76">
        <v>656</v>
      </c>
      <c r="O253" s="77" t="s">
        <v>40</v>
      </c>
      <c r="P253" s="71">
        <f t="shared" si="168"/>
        <v>0</v>
      </c>
      <c r="Q253" s="77" t="s">
        <v>40</v>
      </c>
      <c r="R253" s="78">
        <f t="shared" si="169"/>
        <v>0</v>
      </c>
      <c r="S253" s="78">
        <f t="shared" si="81"/>
        <v>0</v>
      </c>
    </row>
    <row r="254" spans="1:19" s="73" customFormat="1" x14ac:dyDescent="0.2">
      <c r="A254" s="184" t="s">
        <v>847</v>
      </c>
      <c r="B254" s="73" t="s">
        <v>25</v>
      </c>
      <c r="C254" s="71"/>
      <c r="D254" s="74" t="s">
        <v>40</v>
      </c>
      <c r="E254" s="75">
        <v>2</v>
      </c>
      <c r="F254" s="76">
        <v>1</v>
      </c>
      <c r="G254" s="77" t="s">
        <v>20</v>
      </c>
      <c r="H254" s="76">
        <v>48</v>
      </c>
      <c r="I254" s="77" t="s">
        <v>40</v>
      </c>
      <c r="J254" s="78">
        <v>49200</v>
      </c>
      <c r="K254" s="74" t="s">
        <v>40</v>
      </c>
      <c r="L254" s="79"/>
      <c r="M254" s="79">
        <v>0.17</v>
      </c>
      <c r="N254" s="76">
        <v>96</v>
      </c>
      <c r="O254" s="77" t="s">
        <v>40</v>
      </c>
      <c r="P254" s="71">
        <f t="shared" ref="P254" si="176">(C254+(E254*F254*H254))-N254</f>
        <v>0</v>
      </c>
      <c r="Q254" s="77" t="s">
        <v>40</v>
      </c>
      <c r="R254" s="78">
        <f t="shared" ref="R254" si="177">P254*(J254-(J254*L254)-((J254-(J254*L254))*M254))</f>
        <v>0</v>
      </c>
      <c r="S254" s="78">
        <f t="shared" ref="S254" si="178">R254/1.11</f>
        <v>0</v>
      </c>
    </row>
    <row r="255" spans="1:19" s="19" customFormat="1" x14ac:dyDescent="0.2">
      <c r="A255" s="18" t="s">
        <v>141</v>
      </c>
      <c r="B255" s="19" t="s">
        <v>25</v>
      </c>
      <c r="C255" s="20">
        <v>66</v>
      </c>
      <c r="D255" s="21" t="s">
        <v>40</v>
      </c>
      <c r="E255" s="26">
        <v>7</v>
      </c>
      <c r="F255" s="22">
        <v>1</v>
      </c>
      <c r="G255" s="23" t="s">
        <v>20</v>
      </c>
      <c r="H255" s="22">
        <v>48</v>
      </c>
      <c r="I255" s="23" t="s">
        <v>40</v>
      </c>
      <c r="J255" s="24">
        <f>2448000/48</f>
        <v>51000</v>
      </c>
      <c r="K255" s="21" t="s">
        <v>40</v>
      </c>
      <c r="L255" s="25"/>
      <c r="M255" s="25">
        <v>0.17</v>
      </c>
      <c r="N255" s="22">
        <v>354</v>
      </c>
      <c r="O255" s="23" t="s">
        <v>40</v>
      </c>
      <c r="P255" s="20">
        <f t="shared" si="168"/>
        <v>48</v>
      </c>
      <c r="Q255" s="23" t="s">
        <v>40</v>
      </c>
      <c r="R255" s="24">
        <f t="shared" si="169"/>
        <v>2031840</v>
      </c>
      <c r="S255" s="24">
        <f t="shared" si="81"/>
        <v>1830486.4864864864</v>
      </c>
    </row>
    <row r="256" spans="1:19" s="73" customFormat="1" x14ac:dyDescent="0.2">
      <c r="A256" s="72" t="s">
        <v>848</v>
      </c>
      <c r="B256" s="73" t="s">
        <v>25</v>
      </c>
      <c r="C256" s="71">
        <v>60</v>
      </c>
      <c r="D256" s="74" t="s">
        <v>40</v>
      </c>
      <c r="E256" s="75">
        <v>1</v>
      </c>
      <c r="F256" s="76">
        <v>1</v>
      </c>
      <c r="G256" s="77" t="s">
        <v>20</v>
      </c>
      <c r="H256" s="76">
        <v>48</v>
      </c>
      <c r="I256" s="77" t="s">
        <v>40</v>
      </c>
      <c r="J256" s="78">
        <f>2592000/48</f>
        <v>54000</v>
      </c>
      <c r="K256" s="74" t="s">
        <v>40</v>
      </c>
      <c r="L256" s="79"/>
      <c r="M256" s="79">
        <v>0.17</v>
      </c>
      <c r="N256" s="76">
        <v>108</v>
      </c>
      <c r="O256" s="77" t="s">
        <v>40</v>
      </c>
      <c r="P256" s="71">
        <f t="shared" si="168"/>
        <v>0</v>
      </c>
      <c r="Q256" s="77" t="s">
        <v>40</v>
      </c>
      <c r="R256" s="78">
        <f t="shared" si="169"/>
        <v>0</v>
      </c>
      <c r="S256" s="78">
        <f t="shared" ref="S256" si="179">R256/1.11</f>
        <v>0</v>
      </c>
    </row>
    <row r="257" spans="1:19" s="90" customFormat="1" x14ac:dyDescent="0.2">
      <c r="A257" s="133" t="s">
        <v>848</v>
      </c>
      <c r="B257" s="90" t="s">
        <v>25</v>
      </c>
      <c r="C257" s="91"/>
      <c r="D257" s="92" t="s">
        <v>40</v>
      </c>
      <c r="E257" s="93">
        <v>2</v>
      </c>
      <c r="F257" s="94">
        <v>1</v>
      </c>
      <c r="G257" s="95" t="s">
        <v>20</v>
      </c>
      <c r="H257" s="94">
        <v>48</v>
      </c>
      <c r="I257" s="95" t="s">
        <v>40</v>
      </c>
      <c r="J257" s="96">
        <f>2592000/48</f>
        <v>54000</v>
      </c>
      <c r="K257" s="92" t="s">
        <v>40</v>
      </c>
      <c r="L257" s="97">
        <v>0.05</v>
      </c>
      <c r="M257" s="97">
        <v>0.17</v>
      </c>
      <c r="N257" s="94">
        <v>48</v>
      </c>
      <c r="O257" s="95" t="s">
        <v>40</v>
      </c>
      <c r="P257" s="91">
        <f t="shared" ref="P257" si="180">(C257+(E257*F257*H257))-N257</f>
        <v>48</v>
      </c>
      <c r="Q257" s="95" t="s">
        <v>40</v>
      </c>
      <c r="R257" s="96">
        <f t="shared" ref="R257" si="181">P257*(J257-(J257*L257)-((J257-(J257*L257))*M257))</f>
        <v>2043792</v>
      </c>
      <c r="S257" s="96">
        <f t="shared" ref="S257" si="182">R257/1.11</f>
        <v>1841254.054054054</v>
      </c>
    </row>
    <row r="258" spans="1:19" s="73" customFormat="1" x14ac:dyDescent="0.2">
      <c r="A258" s="72" t="s">
        <v>895</v>
      </c>
      <c r="B258" s="73" t="s">
        <v>25</v>
      </c>
      <c r="C258" s="71"/>
      <c r="D258" s="74" t="s">
        <v>40</v>
      </c>
      <c r="E258" s="75">
        <v>3</v>
      </c>
      <c r="F258" s="76">
        <v>1</v>
      </c>
      <c r="G258" s="77" t="s">
        <v>20</v>
      </c>
      <c r="H258" s="76">
        <v>48</v>
      </c>
      <c r="I258" s="77" t="s">
        <v>40</v>
      </c>
      <c r="J258" s="78">
        <v>56400</v>
      </c>
      <c r="K258" s="74" t="s">
        <v>40</v>
      </c>
      <c r="L258" s="79"/>
      <c r="M258" s="79">
        <v>0.17</v>
      </c>
      <c r="N258" s="76">
        <v>144</v>
      </c>
      <c r="O258" s="77" t="s">
        <v>40</v>
      </c>
      <c r="P258" s="71">
        <f t="shared" ref="P258" si="183">(C258+(E258*F258*H258))-N258</f>
        <v>0</v>
      </c>
      <c r="Q258" s="77" t="s">
        <v>40</v>
      </c>
      <c r="R258" s="78">
        <f t="shared" ref="R258" si="184">P258*(J258-(J258*L258)-((J258-(J258*L258))*M258))</f>
        <v>0</v>
      </c>
      <c r="S258" s="78">
        <f t="shared" ref="S258" si="185">R258/1.11</f>
        <v>0</v>
      </c>
    </row>
    <row r="259" spans="1:19" s="90" customFormat="1" x14ac:dyDescent="0.2">
      <c r="A259" s="82" t="s">
        <v>878</v>
      </c>
      <c r="B259" s="90" t="s">
        <v>25</v>
      </c>
      <c r="C259" s="91"/>
      <c r="D259" s="92" t="s">
        <v>40</v>
      </c>
      <c r="E259" s="93">
        <v>5</v>
      </c>
      <c r="F259" s="94">
        <v>1</v>
      </c>
      <c r="G259" s="95" t="s">
        <v>20</v>
      </c>
      <c r="H259" s="94">
        <v>36</v>
      </c>
      <c r="I259" s="95" t="s">
        <v>40</v>
      </c>
      <c r="J259" s="96">
        <v>50400</v>
      </c>
      <c r="K259" s="92" t="s">
        <v>40</v>
      </c>
      <c r="L259" s="97"/>
      <c r="M259" s="97">
        <v>0.17</v>
      </c>
      <c r="N259" s="94">
        <v>144</v>
      </c>
      <c r="O259" s="95" t="s">
        <v>40</v>
      </c>
      <c r="P259" s="91">
        <f t="shared" ref="P259" si="186">(C259+(E259*F259*H259))-N259</f>
        <v>36</v>
      </c>
      <c r="Q259" s="95" t="s">
        <v>40</v>
      </c>
      <c r="R259" s="96">
        <f t="shared" ref="R259" si="187">P259*(J259-(J259*L259)-((J259-(J259*L259))*M259))</f>
        <v>1505952</v>
      </c>
      <c r="S259" s="96">
        <f t="shared" ref="S259" si="188">R259/1.11</f>
        <v>1356713.5135135134</v>
      </c>
    </row>
    <row r="260" spans="1:19" s="73" customFormat="1" x14ac:dyDescent="0.2">
      <c r="A260" s="72" t="s">
        <v>142</v>
      </c>
      <c r="B260" s="73" t="s">
        <v>25</v>
      </c>
      <c r="C260" s="71"/>
      <c r="D260" s="74" t="s">
        <v>40</v>
      </c>
      <c r="E260" s="75"/>
      <c r="F260" s="76">
        <v>1</v>
      </c>
      <c r="G260" s="77" t="s">
        <v>20</v>
      </c>
      <c r="H260" s="76">
        <v>24</v>
      </c>
      <c r="I260" s="77" t="s">
        <v>40</v>
      </c>
      <c r="J260" s="78">
        <f>2491200/24</f>
        <v>103800</v>
      </c>
      <c r="K260" s="74" t="s">
        <v>40</v>
      </c>
      <c r="L260" s="79"/>
      <c r="M260" s="79">
        <v>0.17</v>
      </c>
      <c r="N260" s="76"/>
      <c r="O260" s="77" t="s">
        <v>40</v>
      </c>
      <c r="P260" s="71">
        <f t="shared" si="168"/>
        <v>0</v>
      </c>
      <c r="Q260" s="77" t="s">
        <v>40</v>
      </c>
      <c r="R260" s="78">
        <f t="shared" si="169"/>
        <v>0</v>
      </c>
      <c r="S260" s="78">
        <f t="shared" ref="S260:S393" si="189">R260/1.11</f>
        <v>0</v>
      </c>
    </row>
    <row r="261" spans="1:19" s="73" customFormat="1" x14ac:dyDescent="0.2">
      <c r="A261" s="72" t="s">
        <v>143</v>
      </c>
      <c r="B261" s="73" t="s">
        <v>25</v>
      </c>
      <c r="C261" s="71"/>
      <c r="D261" s="74" t="s">
        <v>40</v>
      </c>
      <c r="E261" s="75"/>
      <c r="F261" s="76">
        <v>1</v>
      </c>
      <c r="G261" s="77" t="s">
        <v>20</v>
      </c>
      <c r="H261" s="76">
        <v>36</v>
      </c>
      <c r="I261" s="77" t="s">
        <v>40</v>
      </c>
      <c r="J261" s="78">
        <f>3736800/36</f>
        <v>103800</v>
      </c>
      <c r="K261" s="74" t="s">
        <v>40</v>
      </c>
      <c r="L261" s="79"/>
      <c r="M261" s="79">
        <v>0.17</v>
      </c>
      <c r="N261" s="76"/>
      <c r="O261" s="77" t="s">
        <v>40</v>
      </c>
      <c r="P261" s="71">
        <f t="shared" si="168"/>
        <v>0</v>
      </c>
      <c r="Q261" s="77" t="s">
        <v>40</v>
      </c>
      <c r="R261" s="78">
        <f t="shared" si="169"/>
        <v>0</v>
      </c>
      <c r="S261" s="78">
        <f t="shared" si="189"/>
        <v>0</v>
      </c>
    </row>
    <row r="262" spans="1:19" s="73" customFormat="1" x14ac:dyDescent="0.2">
      <c r="A262" s="72" t="s">
        <v>144</v>
      </c>
      <c r="B262" s="73" t="s">
        <v>25</v>
      </c>
      <c r="C262" s="71"/>
      <c r="D262" s="74" t="s">
        <v>40</v>
      </c>
      <c r="E262" s="75">
        <v>1</v>
      </c>
      <c r="F262" s="76">
        <v>1</v>
      </c>
      <c r="G262" s="77" t="s">
        <v>20</v>
      </c>
      <c r="H262" s="76">
        <v>48</v>
      </c>
      <c r="I262" s="77" t="s">
        <v>40</v>
      </c>
      <c r="J262" s="78">
        <f>2592000/48</f>
        <v>54000</v>
      </c>
      <c r="K262" s="74" t="s">
        <v>40</v>
      </c>
      <c r="L262" s="79"/>
      <c r="M262" s="79">
        <v>0.17</v>
      </c>
      <c r="N262" s="76">
        <v>48</v>
      </c>
      <c r="O262" s="77" t="s">
        <v>40</v>
      </c>
      <c r="P262" s="71">
        <f t="shared" si="168"/>
        <v>0</v>
      </c>
      <c r="Q262" s="77" t="s">
        <v>40</v>
      </c>
      <c r="R262" s="78">
        <f t="shared" si="169"/>
        <v>0</v>
      </c>
      <c r="S262" s="78">
        <f t="shared" si="189"/>
        <v>0</v>
      </c>
    </row>
    <row r="263" spans="1:19" s="73" customFormat="1" x14ac:dyDescent="0.2">
      <c r="A263" s="72" t="s">
        <v>849</v>
      </c>
      <c r="B263" s="73" t="s">
        <v>25</v>
      </c>
      <c r="C263" s="71">
        <v>144</v>
      </c>
      <c r="D263" s="74" t="s">
        <v>40</v>
      </c>
      <c r="E263" s="75">
        <v>33</v>
      </c>
      <c r="F263" s="76">
        <v>1</v>
      </c>
      <c r="G263" s="77" t="s">
        <v>20</v>
      </c>
      <c r="H263" s="76">
        <v>48</v>
      </c>
      <c r="I263" s="77" t="s">
        <v>40</v>
      </c>
      <c r="J263" s="78">
        <f>2880000/48</f>
        <v>60000</v>
      </c>
      <c r="K263" s="74" t="s">
        <v>40</v>
      </c>
      <c r="L263" s="79"/>
      <c r="M263" s="79">
        <v>0.17</v>
      </c>
      <c r="N263" s="76">
        <v>1728</v>
      </c>
      <c r="O263" s="77" t="s">
        <v>40</v>
      </c>
      <c r="P263" s="71">
        <f t="shared" si="168"/>
        <v>0</v>
      </c>
      <c r="Q263" s="77" t="s">
        <v>40</v>
      </c>
      <c r="R263" s="78">
        <f t="shared" si="169"/>
        <v>0</v>
      </c>
      <c r="S263" s="78">
        <f t="shared" si="189"/>
        <v>0</v>
      </c>
    </row>
    <row r="264" spans="1:19" s="19" customFormat="1" x14ac:dyDescent="0.2">
      <c r="A264" s="134" t="s">
        <v>849</v>
      </c>
      <c r="B264" s="19" t="s">
        <v>25</v>
      </c>
      <c r="C264" s="20"/>
      <c r="D264" s="21" t="s">
        <v>40</v>
      </c>
      <c r="E264" s="26">
        <v>10</v>
      </c>
      <c r="F264" s="22">
        <v>1</v>
      </c>
      <c r="G264" s="23" t="s">
        <v>20</v>
      </c>
      <c r="H264" s="22">
        <v>48</v>
      </c>
      <c r="I264" s="23" t="s">
        <v>40</v>
      </c>
      <c r="J264" s="24">
        <f>2880000/48</f>
        <v>60000</v>
      </c>
      <c r="K264" s="21" t="s">
        <v>40</v>
      </c>
      <c r="L264" s="25">
        <v>0.05</v>
      </c>
      <c r="M264" s="25">
        <v>0.17</v>
      </c>
      <c r="N264" s="22"/>
      <c r="O264" s="23" t="s">
        <v>40</v>
      </c>
      <c r="P264" s="20">
        <f t="shared" ref="P264" si="190">(C264+(E264*F264*H264))-N264</f>
        <v>480</v>
      </c>
      <c r="Q264" s="23" t="s">
        <v>40</v>
      </c>
      <c r="R264" s="24">
        <f t="shared" ref="R264" si="191">P264*(J264-(J264*L264)-((J264-(J264*L264))*M264))</f>
        <v>22708800</v>
      </c>
      <c r="S264" s="24">
        <f t="shared" ref="S264" si="192">R264/1.11</f>
        <v>20458378.378378376</v>
      </c>
    </row>
    <row r="265" spans="1:19" s="73" customFormat="1" x14ac:dyDescent="0.2">
      <c r="A265" s="184" t="s">
        <v>849</v>
      </c>
      <c r="B265" s="73" t="s">
        <v>25</v>
      </c>
      <c r="C265" s="71"/>
      <c r="D265" s="74" t="s">
        <v>40</v>
      </c>
      <c r="E265" s="75">
        <v>11</v>
      </c>
      <c r="F265" s="76">
        <v>1</v>
      </c>
      <c r="G265" s="77" t="s">
        <v>20</v>
      </c>
      <c r="H265" s="76">
        <v>48</v>
      </c>
      <c r="I265" s="77" t="s">
        <v>40</v>
      </c>
      <c r="J265" s="78">
        <v>54000</v>
      </c>
      <c r="K265" s="74" t="s">
        <v>40</v>
      </c>
      <c r="L265" s="79"/>
      <c r="M265" s="79">
        <v>0.17</v>
      </c>
      <c r="N265" s="76">
        <v>528</v>
      </c>
      <c r="O265" s="77" t="s">
        <v>40</v>
      </c>
      <c r="P265" s="71">
        <f t="shared" ref="P265" si="193">(C265+(E265*F265*H265))-N265</f>
        <v>0</v>
      </c>
      <c r="Q265" s="77" t="s">
        <v>40</v>
      </c>
      <c r="R265" s="78">
        <f t="shared" ref="R265" si="194">P265*(J265-(J265*L265)-((J265-(J265*L265))*M265))</f>
        <v>0</v>
      </c>
      <c r="S265" s="78">
        <f t="shared" ref="S265" si="195">R265/1.11</f>
        <v>0</v>
      </c>
    </row>
    <row r="266" spans="1:19" s="73" customFormat="1" x14ac:dyDescent="0.2">
      <c r="A266" s="184" t="s">
        <v>849</v>
      </c>
      <c r="B266" s="73" t="s">
        <v>25</v>
      </c>
      <c r="C266" s="71"/>
      <c r="D266" s="74" t="s">
        <v>40</v>
      </c>
      <c r="E266" s="75">
        <v>9</v>
      </c>
      <c r="F266" s="76">
        <v>1</v>
      </c>
      <c r="G266" s="77" t="s">
        <v>20</v>
      </c>
      <c r="H266" s="76">
        <v>48</v>
      </c>
      <c r="I266" s="77" t="s">
        <v>40</v>
      </c>
      <c r="J266" s="78">
        <v>54000</v>
      </c>
      <c r="K266" s="74" t="s">
        <v>40</v>
      </c>
      <c r="L266" s="79">
        <v>0.05</v>
      </c>
      <c r="M266" s="79">
        <v>0.17</v>
      </c>
      <c r="N266" s="76">
        <v>432</v>
      </c>
      <c r="O266" s="77" t="s">
        <v>40</v>
      </c>
      <c r="P266" s="71">
        <f t="shared" ref="P266" si="196">(C266+(E266*F266*H266))-N266</f>
        <v>0</v>
      </c>
      <c r="Q266" s="77" t="s">
        <v>40</v>
      </c>
      <c r="R266" s="78">
        <f t="shared" ref="R266" si="197">P266*(J266-(J266*L266)-((J266-(J266*L266))*M266))</f>
        <v>0</v>
      </c>
      <c r="S266" s="78">
        <f t="shared" ref="S266" si="198">R266/1.11</f>
        <v>0</v>
      </c>
    </row>
    <row r="267" spans="1:19" s="73" customFormat="1" x14ac:dyDescent="0.2">
      <c r="A267" s="72" t="s">
        <v>145</v>
      </c>
      <c r="B267" s="73" t="s">
        <v>25</v>
      </c>
      <c r="C267" s="71">
        <v>64</v>
      </c>
      <c r="D267" s="74" t="s">
        <v>40</v>
      </c>
      <c r="E267" s="75">
        <v>1</v>
      </c>
      <c r="F267" s="76">
        <v>1</v>
      </c>
      <c r="G267" s="77" t="s">
        <v>20</v>
      </c>
      <c r="H267" s="76">
        <v>48</v>
      </c>
      <c r="I267" s="77" t="s">
        <v>40</v>
      </c>
      <c r="J267" s="78">
        <f>2880000/48</f>
        <v>60000</v>
      </c>
      <c r="K267" s="74" t="s">
        <v>40</v>
      </c>
      <c r="L267" s="79"/>
      <c r="M267" s="79">
        <v>0.17</v>
      </c>
      <c r="N267" s="76">
        <v>112</v>
      </c>
      <c r="O267" s="77" t="s">
        <v>40</v>
      </c>
      <c r="P267" s="71">
        <f t="shared" si="168"/>
        <v>0</v>
      </c>
      <c r="Q267" s="77" t="s">
        <v>40</v>
      </c>
      <c r="R267" s="78">
        <f t="shared" si="169"/>
        <v>0</v>
      </c>
      <c r="S267" s="78">
        <f t="shared" si="189"/>
        <v>0</v>
      </c>
    </row>
    <row r="268" spans="1:19" s="19" customFormat="1" x14ac:dyDescent="0.2">
      <c r="A268" s="134" t="s">
        <v>145</v>
      </c>
      <c r="B268" s="19" t="s">
        <v>25</v>
      </c>
      <c r="C268" s="20"/>
      <c r="D268" s="21" t="s">
        <v>40</v>
      </c>
      <c r="E268" s="26">
        <v>1</v>
      </c>
      <c r="F268" s="22">
        <v>1</v>
      </c>
      <c r="G268" s="23" t="s">
        <v>20</v>
      </c>
      <c r="H268" s="22">
        <v>48</v>
      </c>
      <c r="I268" s="23" t="s">
        <v>40</v>
      </c>
      <c r="J268" s="24">
        <f>2880000/48</f>
        <v>60000</v>
      </c>
      <c r="K268" s="21" t="s">
        <v>40</v>
      </c>
      <c r="L268" s="25">
        <v>0.05</v>
      </c>
      <c r="M268" s="25">
        <v>0.17</v>
      </c>
      <c r="N268" s="22"/>
      <c r="O268" s="23" t="s">
        <v>40</v>
      </c>
      <c r="P268" s="20">
        <f t="shared" ref="P268" si="199">(C268+(E268*F268*H268))-N268</f>
        <v>48</v>
      </c>
      <c r="Q268" s="23" t="s">
        <v>40</v>
      </c>
      <c r="R268" s="24">
        <f t="shared" ref="R268" si="200">P268*(J268-(J268*L268)-((J268-(J268*L268))*M268))</f>
        <v>2270880</v>
      </c>
      <c r="S268" s="24">
        <f t="shared" ref="S268" si="201">R268/1.11</f>
        <v>2045837.8378378376</v>
      </c>
    </row>
    <row r="269" spans="1:19" s="73" customFormat="1" x14ac:dyDescent="0.2">
      <c r="A269" s="184" t="s">
        <v>145</v>
      </c>
      <c r="B269" s="73" t="s">
        <v>25</v>
      </c>
      <c r="C269" s="71"/>
      <c r="D269" s="74" t="s">
        <v>40</v>
      </c>
      <c r="E269" s="75">
        <v>1</v>
      </c>
      <c r="F269" s="76">
        <v>1</v>
      </c>
      <c r="G269" s="77" t="s">
        <v>20</v>
      </c>
      <c r="H269" s="76">
        <v>48</v>
      </c>
      <c r="I269" s="77" t="s">
        <v>40</v>
      </c>
      <c r="J269" s="78">
        <v>54000</v>
      </c>
      <c r="K269" s="74" t="s">
        <v>40</v>
      </c>
      <c r="L269" s="79">
        <v>0.05</v>
      </c>
      <c r="M269" s="79">
        <v>0.17</v>
      </c>
      <c r="N269" s="76">
        <v>48</v>
      </c>
      <c r="O269" s="77" t="s">
        <v>40</v>
      </c>
      <c r="P269" s="71">
        <f t="shared" ref="P269" si="202">(C269+(E269*F269*H269))-N269</f>
        <v>0</v>
      </c>
      <c r="Q269" s="77" t="s">
        <v>40</v>
      </c>
      <c r="R269" s="78">
        <f t="shared" ref="R269" si="203">P269*(J269-(J269*L269)-((J269-(J269*L269))*M269))</f>
        <v>0</v>
      </c>
      <c r="S269" s="78">
        <f t="shared" ref="S269" si="204">R269/1.11</f>
        <v>0</v>
      </c>
    </row>
    <row r="270" spans="1:19" s="73" customFormat="1" x14ac:dyDescent="0.2">
      <c r="A270" s="72" t="s">
        <v>146</v>
      </c>
      <c r="B270" s="73" t="s">
        <v>25</v>
      </c>
      <c r="C270" s="71"/>
      <c r="D270" s="74" t="s">
        <v>40</v>
      </c>
      <c r="E270" s="75">
        <v>3</v>
      </c>
      <c r="F270" s="76">
        <v>1</v>
      </c>
      <c r="G270" s="77" t="s">
        <v>20</v>
      </c>
      <c r="H270" s="76">
        <v>48</v>
      </c>
      <c r="I270" s="77" t="s">
        <v>40</v>
      </c>
      <c r="J270" s="78">
        <f>3024000/48</f>
        <v>63000</v>
      </c>
      <c r="K270" s="74" t="s">
        <v>40</v>
      </c>
      <c r="L270" s="79"/>
      <c r="M270" s="79">
        <v>0.17</v>
      </c>
      <c r="N270" s="76">
        <v>144</v>
      </c>
      <c r="O270" s="77" t="s">
        <v>40</v>
      </c>
      <c r="P270" s="71">
        <f t="shared" si="168"/>
        <v>0</v>
      </c>
      <c r="Q270" s="77" t="s">
        <v>40</v>
      </c>
      <c r="R270" s="78">
        <f t="shared" si="169"/>
        <v>0</v>
      </c>
      <c r="S270" s="78">
        <f t="shared" si="189"/>
        <v>0</v>
      </c>
    </row>
    <row r="271" spans="1:19" s="19" customFormat="1" x14ac:dyDescent="0.2">
      <c r="A271" s="134" t="s">
        <v>146</v>
      </c>
      <c r="B271" s="19" t="s">
        <v>25</v>
      </c>
      <c r="C271" s="20"/>
      <c r="D271" s="21" t="s">
        <v>40</v>
      </c>
      <c r="E271" s="26">
        <v>3</v>
      </c>
      <c r="F271" s="22">
        <v>1</v>
      </c>
      <c r="G271" s="23" t="s">
        <v>20</v>
      </c>
      <c r="H271" s="22">
        <v>48</v>
      </c>
      <c r="I271" s="23" t="s">
        <v>40</v>
      </c>
      <c r="J271" s="24">
        <f>3024000/48</f>
        <v>63000</v>
      </c>
      <c r="K271" s="21" t="s">
        <v>40</v>
      </c>
      <c r="L271" s="25">
        <v>0.05</v>
      </c>
      <c r="M271" s="25">
        <v>0.17</v>
      </c>
      <c r="N271" s="22">
        <v>48</v>
      </c>
      <c r="O271" s="23" t="s">
        <v>40</v>
      </c>
      <c r="P271" s="20">
        <f t="shared" ref="P271" si="205">(C271+(E271*F271*H271))-N271</f>
        <v>96</v>
      </c>
      <c r="Q271" s="23" t="s">
        <v>40</v>
      </c>
      <c r="R271" s="24">
        <f t="shared" ref="R271" si="206">P271*(J271-(J271*L271)-((J271-(J271*L271))*M271))</f>
        <v>4768848</v>
      </c>
      <c r="S271" s="24">
        <f t="shared" ref="S271" si="207">R271/1.11</f>
        <v>4296259.4594594594</v>
      </c>
    </row>
    <row r="272" spans="1:19" s="73" customFormat="1" x14ac:dyDescent="0.2">
      <c r="A272" s="72" t="s">
        <v>147</v>
      </c>
      <c r="B272" s="73" t="s">
        <v>25</v>
      </c>
      <c r="C272" s="71">
        <v>43</v>
      </c>
      <c r="D272" s="74" t="s">
        <v>40</v>
      </c>
      <c r="E272" s="75">
        <v>5</v>
      </c>
      <c r="F272" s="76">
        <v>1</v>
      </c>
      <c r="G272" s="77" t="s">
        <v>20</v>
      </c>
      <c r="H272" s="76">
        <v>48</v>
      </c>
      <c r="I272" s="77" t="s">
        <v>40</v>
      </c>
      <c r="J272" s="78">
        <f>2995200/48</f>
        <v>62400</v>
      </c>
      <c r="K272" s="74" t="s">
        <v>40</v>
      </c>
      <c r="L272" s="79"/>
      <c r="M272" s="79">
        <v>0.17</v>
      </c>
      <c r="N272" s="76">
        <v>283</v>
      </c>
      <c r="O272" s="77" t="s">
        <v>40</v>
      </c>
      <c r="P272" s="71">
        <f t="shared" si="168"/>
        <v>0</v>
      </c>
      <c r="Q272" s="77" t="s">
        <v>40</v>
      </c>
      <c r="R272" s="78">
        <f t="shared" si="169"/>
        <v>0</v>
      </c>
      <c r="S272" s="78">
        <f t="shared" si="189"/>
        <v>0</v>
      </c>
    </row>
    <row r="273" spans="1:19" s="73" customFormat="1" x14ac:dyDescent="0.2">
      <c r="A273" s="72" t="s">
        <v>148</v>
      </c>
      <c r="B273" s="73" t="s">
        <v>25</v>
      </c>
      <c r="C273" s="71"/>
      <c r="D273" s="74" t="s">
        <v>40</v>
      </c>
      <c r="E273" s="75">
        <v>6</v>
      </c>
      <c r="F273" s="76">
        <v>1</v>
      </c>
      <c r="G273" s="77" t="s">
        <v>20</v>
      </c>
      <c r="H273" s="76">
        <v>48</v>
      </c>
      <c r="I273" s="77" t="s">
        <v>40</v>
      </c>
      <c r="J273" s="78">
        <f>2995200/48</f>
        <v>62400</v>
      </c>
      <c r="K273" s="74" t="s">
        <v>40</v>
      </c>
      <c r="L273" s="79"/>
      <c r="M273" s="79">
        <v>0.17</v>
      </c>
      <c r="N273" s="76">
        <v>288</v>
      </c>
      <c r="O273" s="77" t="s">
        <v>40</v>
      </c>
      <c r="P273" s="71">
        <f t="shared" si="168"/>
        <v>0</v>
      </c>
      <c r="Q273" s="77" t="s">
        <v>40</v>
      </c>
      <c r="R273" s="78">
        <f t="shared" si="169"/>
        <v>0</v>
      </c>
      <c r="S273" s="78">
        <f t="shared" si="189"/>
        <v>0</v>
      </c>
    </row>
    <row r="274" spans="1:19" s="73" customFormat="1" x14ac:dyDescent="0.2">
      <c r="A274" s="72" t="s">
        <v>819</v>
      </c>
      <c r="B274" s="73" t="s">
        <v>25</v>
      </c>
      <c r="C274" s="71"/>
      <c r="D274" s="74" t="s">
        <v>40</v>
      </c>
      <c r="E274" s="75">
        <v>26</v>
      </c>
      <c r="F274" s="76">
        <v>1</v>
      </c>
      <c r="G274" s="77" t="s">
        <v>20</v>
      </c>
      <c r="H274" s="76">
        <v>48</v>
      </c>
      <c r="I274" s="77" t="s">
        <v>40</v>
      </c>
      <c r="J274" s="78">
        <v>60000</v>
      </c>
      <c r="K274" s="74" t="s">
        <v>40</v>
      </c>
      <c r="L274" s="79"/>
      <c r="M274" s="79">
        <v>0.17</v>
      </c>
      <c r="N274" s="76">
        <v>1248</v>
      </c>
      <c r="O274" s="77" t="s">
        <v>40</v>
      </c>
      <c r="P274" s="71">
        <f t="shared" si="168"/>
        <v>0</v>
      </c>
      <c r="Q274" s="77" t="s">
        <v>40</v>
      </c>
      <c r="R274" s="78">
        <f t="shared" ref="R274" si="208">P274*(J274-(J274*L274)-((J274-(J274*L274))*M274))</f>
        <v>0</v>
      </c>
      <c r="S274" s="78">
        <f t="shared" ref="S274" si="209">R274/1.11</f>
        <v>0</v>
      </c>
    </row>
    <row r="275" spans="1:19" s="73" customFormat="1" x14ac:dyDescent="0.2">
      <c r="A275" s="72" t="s">
        <v>819</v>
      </c>
      <c r="B275" s="73" t="s">
        <v>25</v>
      </c>
      <c r="C275" s="71"/>
      <c r="D275" s="74" t="s">
        <v>40</v>
      </c>
      <c r="E275" s="75">
        <v>6</v>
      </c>
      <c r="F275" s="76">
        <v>1</v>
      </c>
      <c r="G275" s="77" t="s">
        <v>20</v>
      </c>
      <c r="H275" s="76">
        <v>48</v>
      </c>
      <c r="I275" s="77" t="s">
        <v>40</v>
      </c>
      <c r="J275" s="78">
        <v>60000</v>
      </c>
      <c r="K275" s="74" t="s">
        <v>40</v>
      </c>
      <c r="L275" s="79">
        <v>0.05</v>
      </c>
      <c r="M275" s="79">
        <v>0.17</v>
      </c>
      <c r="N275" s="76">
        <v>288</v>
      </c>
      <c r="O275" s="77" t="s">
        <v>40</v>
      </c>
      <c r="P275" s="71">
        <f t="shared" ref="P275" si="210">(C275+(E275*F275*H275))-N275</f>
        <v>0</v>
      </c>
      <c r="Q275" s="77" t="s">
        <v>40</v>
      </c>
      <c r="R275" s="78">
        <f t="shared" ref="R275" si="211">P275*(J275-(J275*L275)-((J275-(J275*L275))*M275))</f>
        <v>0</v>
      </c>
      <c r="S275" s="78">
        <f t="shared" ref="S275" si="212">R275/1.11</f>
        <v>0</v>
      </c>
    </row>
    <row r="276" spans="1:19" s="19" customFormat="1" x14ac:dyDescent="0.2">
      <c r="A276" s="18" t="s">
        <v>879</v>
      </c>
      <c r="B276" s="19" t="s">
        <v>25</v>
      </c>
      <c r="C276" s="20"/>
      <c r="D276" s="21" t="s">
        <v>40</v>
      </c>
      <c r="E276" s="26">
        <v>7</v>
      </c>
      <c r="F276" s="22">
        <v>1</v>
      </c>
      <c r="G276" s="23" t="s">
        <v>20</v>
      </c>
      <c r="H276" s="22">
        <v>36</v>
      </c>
      <c r="I276" s="23" t="s">
        <v>40</v>
      </c>
      <c r="J276" s="24">
        <v>55800</v>
      </c>
      <c r="K276" s="21" t="s">
        <v>40</v>
      </c>
      <c r="L276" s="25"/>
      <c r="M276" s="25">
        <v>0.17</v>
      </c>
      <c r="N276" s="22">
        <v>216</v>
      </c>
      <c r="O276" s="23" t="s">
        <v>40</v>
      </c>
      <c r="P276" s="20">
        <f t="shared" ref="P276" si="213">(C276+(E276*F276*H276))-N276</f>
        <v>36</v>
      </c>
      <c r="Q276" s="23" t="s">
        <v>40</v>
      </c>
      <c r="R276" s="24">
        <f t="shared" ref="R276" si="214">P276*(J276-(J276*L276)-((J276-(J276*L276))*M276))</f>
        <v>1667304</v>
      </c>
      <c r="S276" s="24">
        <f t="shared" ref="S276" si="215">R276/1.11</f>
        <v>1502075.6756756755</v>
      </c>
    </row>
    <row r="277" spans="1:19" s="73" customFormat="1" x14ac:dyDescent="0.2">
      <c r="A277" s="72" t="s">
        <v>818</v>
      </c>
      <c r="B277" s="73" t="s">
        <v>25</v>
      </c>
      <c r="C277" s="71"/>
      <c r="D277" s="74" t="s">
        <v>40</v>
      </c>
      <c r="E277" s="75">
        <v>9</v>
      </c>
      <c r="F277" s="76">
        <v>1</v>
      </c>
      <c r="G277" s="77" t="s">
        <v>20</v>
      </c>
      <c r="H277" s="76">
        <v>48</v>
      </c>
      <c r="I277" s="77" t="s">
        <v>40</v>
      </c>
      <c r="J277" s="78">
        <v>69600</v>
      </c>
      <c r="K277" s="74" t="s">
        <v>40</v>
      </c>
      <c r="L277" s="79"/>
      <c r="M277" s="79">
        <v>0.17</v>
      </c>
      <c r="N277" s="76">
        <v>432</v>
      </c>
      <c r="O277" s="77" t="s">
        <v>40</v>
      </c>
      <c r="P277" s="71">
        <f t="shared" si="168"/>
        <v>0</v>
      </c>
      <c r="Q277" s="77" t="s">
        <v>40</v>
      </c>
      <c r="R277" s="78">
        <f t="shared" ref="R277" si="216">P277*(J277-(J277*L277)-((J277-(J277*L277))*M277))</f>
        <v>0</v>
      </c>
      <c r="S277" s="78">
        <f t="shared" ref="S277" si="217">R277/1.11</f>
        <v>0</v>
      </c>
    </row>
    <row r="278" spans="1:19" s="19" customFormat="1" x14ac:dyDescent="0.2">
      <c r="A278" s="18" t="s">
        <v>818</v>
      </c>
      <c r="B278" s="19" t="s">
        <v>25</v>
      </c>
      <c r="C278" s="20"/>
      <c r="D278" s="21" t="s">
        <v>40</v>
      </c>
      <c r="E278" s="26">
        <v>5</v>
      </c>
      <c r="F278" s="22">
        <v>1</v>
      </c>
      <c r="G278" s="23" t="s">
        <v>20</v>
      </c>
      <c r="H278" s="22">
        <v>48</v>
      </c>
      <c r="I278" s="23" t="s">
        <v>40</v>
      </c>
      <c r="J278" s="24">
        <v>69600</v>
      </c>
      <c r="K278" s="21" t="s">
        <v>40</v>
      </c>
      <c r="L278" s="25">
        <v>0.05</v>
      </c>
      <c r="M278" s="25">
        <v>0.17</v>
      </c>
      <c r="N278" s="22">
        <v>144</v>
      </c>
      <c r="O278" s="23" t="s">
        <v>40</v>
      </c>
      <c r="P278" s="20">
        <f t="shared" ref="P278" si="218">(C278+(E278*F278*H278))-N278</f>
        <v>96</v>
      </c>
      <c r="Q278" s="23" t="s">
        <v>40</v>
      </c>
      <c r="R278" s="24">
        <f t="shared" ref="R278" si="219">P278*(J278-(J278*L278)-((J278-(J278*L278))*M278))</f>
        <v>5268441.5999999996</v>
      </c>
      <c r="S278" s="24">
        <f t="shared" ref="S278" si="220">R278/1.11</f>
        <v>4746343.7837837832</v>
      </c>
    </row>
    <row r="279" spans="1:19" s="73" customFormat="1" x14ac:dyDescent="0.2">
      <c r="A279" s="72" t="s">
        <v>724</v>
      </c>
      <c r="B279" s="73" t="s">
        <v>25</v>
      </c>
      <c r="C279" s="71"/>
      <c r="D279" s="74" t="s">
        <v>40</v>
      </c>
      <c r="E279" s="75">
        <v>9</v>
      </c>
      <c r="F279" s="76">
        <v>1</v>
      </c>
      <c r="G279" s="77" t="s">
        <v>20</v>
      </c>
      <c r="H279" s="76">
        <v>36</v>
      </c>
      <c r="I279" s="77" t="s">
        <v>40</v>
      </c>
      <c r="J279" s="78">
        <f>3240000/36</f>
        <v>90000</v>
      </c>
      <c r="K279" s="74" t="s">
        <v>40</v>
      </c>
      <c r="L279" s="79"/>
      <c r="M279" s="79">
        <v>0.17</v>
      </c>
      <c r="N279" s="76">
        <v>324</v>
      </c>
      <c r="O279" s="77" t="s">
        <v>40</v>
      </c>
      <c r="P279" s="71">
        <f t="shared" si="168"/>
        <v>0</v>
      </c>
      <c r="Q279" s="77" t="s">
        <v>40</v>
      </c>
      <c r="R279" s="78">
        <f t="shared" si="169"/>
        <v>0</v>
      </c>
      <c r="S279" s="78">
        <f>R279/1.11</f>
        <v>0</v>
      </c>
    </row>
    <row r="280" spans="1:19" s="73" customFormat="1" x14ac:dyDescent="0.2">
      <c r="A280" s="72" t="s">
        <v>781</v>
      </c>
      <c r="B280" s="73" t="s">
        <v>25</v>
      </c>
      <c r="C280" s="71">
        <v>10</v>
      </c>
      <c r="D280" s="74" t="s">
        <v>40</v>
      </c>
      <c r="E280" s="75">
        <v>4</v>
      </c>
      <c r="F280" s="76">
        <v>1</v>
      </c>
      <c r="G280" s="77" t="s">
        <v>20</v>
      </c>
      <c r="H280" s="76">
        <v>36</v>
      </c>
      <c r="I280" s="77" t="s">
        <v>40</v>
      </c>
      <c r="J280" s="78">
        <f>4406400/36</f>
        <v>122400</v>
      </c>
      <c r="K280" s="74" t="s">
        <v>40</v>
      </c>
      <c r="L280" s="79"/>
      <c r="M280" s="79">
        <v>0.17</v>
      </c>
      <c r="N280" s="76">
        <v>154</v>
      </c>
      <c r="O280" s="77" t="s">
        <v>40</v>
      </c>
      <c r="P280" s="71">
        <f t="shared" si="168"/>
        <v>0</v>
      </c>
      <c r="Q280" s="77" t="s">
        <v>40</v>
      </c>
      <c r="R280" s="78">
        <f t="shared" si="169"/>
        <v>0</v>
      </c>
      <c r="S280" s="78">
        <f>R280/1.11</f>
        <v>0</v>
      </c>
    </row>
    <row r="281" spans="1:19" s="19" customFormat="1" x14ac:dyDescent="0.2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 ht="15.75" x14ac:dyDescent="0.25">
      <c r="A282" s="35" t="s">
        <v>149</v>
      </c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73" customFormat="1" x14ac:dyDescent="0.2">
      <c r="A283" s="191" t="s">
        <v>701</v>
      </c>
      <c r="B283" s="73" t="s">
        <v>18</v>
      </c>
      <c r="C283" s="71"/>
      <c r="D283" s="74" t="s">
        <v>151</v>
      </c>
      <c r="E283" s="75">
        <v>10</v>
      </c>
      <c r="F283" s="76">
        <v>12</v>
      </c>
      <c r="G283" s="77" t="s">
        <v>33</v>
      </c>
      <c r="H283" s="76">
        <v>12</v>
      </c>
      <c r="I283" s="77" t="s">
        <v>151</v>
      </c>
      <c r="J283" s="78">
        <v>11000</v>
      </c>
      <c r="K283" s="74" t="s">
        <v>151</v>
      </c>
      <c r="L283" s="79">
        <v>0.125</v>
      </c>
      <c r="M283" s="188">
        <v>0.08</v>
      </c>
      <c r="N283" s="76">
        <v>1440</v>
      </c>
      <c r="O283" s="77" t="s">
        <v>151</v>
      </c>
      <c r="P283" s="71">
        <f t="shared" ref="P283" si="221">(C283+(E283*F283*H283))-N283</f>
        <v>0</v>
      </c>
      <c r="Q283" s="77" t="s">
        <v>151</v>
      </c>
      <c r="R283" s="78">
        <f t="shared" ref="R283" si="222">P283*(J283-(J283*L283)-((J283-(J283*L283))*M283))</f>
        <v>0</v>
      </c>
      <c r="S283" s="78">
        <f t="shared" ref="S283" si="223">R283/1.11</f>
        <v>0</v>
      </c>
    </row>
    <row r="284" spans="1:19" s="73" customFormat="1" x14ac:dyDescent="0.2">
      <c r="A284" s="191" t="s">
        <v>701</v>
      </c>
      <c r="B284" s="73" t="s">
        <v>18</v>
      </c>
      <c r="C284" s="71"/>
      <c r="D284" s="74" t="s">
        <v>151</v>
      </c>
      <c r="E284" s="75">
        <v>2</v>
      </c>
      <c r="F284" s="76">
        <v>12</v>
      </c>
      <c r="G284" s="77" t="s">
        <v>33</v>
      </c>
      <c r="H284" s="76">
        <v>12</v>
      </c>
      <c r="I284" s="77" t="s">
        <v>151</v>
      </c>
      <c r="J284" s="78">
        <v>11000</v>
      </c>
      <c r="K284" s="74" t="s">
        <v>151</v>
      </c>
      <c r="L284" s="79">
        <v>0.125</v>
      </c>
      <c r="M284" s="188">
        <v>0.05</v>
      </c>
      <c r="N284" s="76">
        <v>288</v>
      </c>
      <c r="O284" s="77" t="s">
        <v>151</v>
      </c>
      <c r="P284" s="71">
        <f t="shared" ref="P284:P306" si="224">(C284+(E284*F284*H284))-N284</f>
        <v>0</v>
      </c>
      <c r="Q284" s="77" t="s">
        <v>151</v>
      </c>
      <c r="R284" s="78">
        <f t="shared" ref="R284:R306" si="225">P284*(J284-(J284*L284)-((J284-(J284*L284))*M284))</f>
        <v>0</v>
      </c>
      <c r="S284" s="78">
        <f t="shared" si="189"/>
        <v>0</v>
      </c>
    </row>
    <row r="285" spans="1:19" s="73" customFormat="1" x14ac:dyDescent="0.2">
      <c r="A285" s="192" t="s">
        <v>150</v>
      </c>
      <c r="B285" s="73" t="s">
        <v>18</v>
      </c>
      <c r="C285" s="71"/>
      <c r="D285" s="74" t="s">
        <v>151</v>
      </c>
      <c r="E285" s="75">
        <v>10</v>
      </c>
      <c r="F285" s="76">
        <v>12</v>
      </c>
      <c r="G285" s="77" t="s">
        <v>33</v>
      </c>
      <c r="H285" s="76">
        <v>12</v>
      </c>
      <c r="I285" s="77" t="s">
        <v>151</v>
      </c>
      <c r="J285" s="78">
        <v>11600</v>
      </c>
      <c r="K285" s="74" t="s">
        <v>151</v>
      </c>
      <c r="L285" s="79">
        <v>0.125</v>
      </c>
      <c r="M285" s="189">
        <v>0.08</v>
      </c>
      <c r="N285" s="76">
        <v>1440</v>
      </c>
      <c r="O285" s="77" t="s">
        <v>151</v>
      </c>
      <c r="P285" s="71">
        <f t="shared" ref="P285" si="226">(C285+(E285*F285*H285))-N285</f>
        <v>0</v>
      </c>
      <c r="Q285" s="77" t="s">
        <v>151</v>
      </c>
      <c r="R285" s="78">
        <f t="shared" ref="R285" si="227">P285*(J285-(J285*L285)-((J285-(J285*L285))*M285))</f>
        <v>0</v>
      </c>
      <c r="S285" s="78">
        <f t="shared" ref="S285" si="228">R285/1.11</f>
        <v>0</v>
      </c>
    </row>
    <row r="286" spans="1:19" s="73" customFormat="1" x14ac:dyDescent="0.2">
      <c r="A286" s="192" t="s">
        <v>150</v>
      </c>
      <c r="B286" s="73" t="s">
        <v>18</v>
      </c>
      <c r="C286" s="71"/>
      <c r="D286" s="74" t="s">
        <v>151</v>
      </c>
      <c r="E286" s="75">
        <v>23</v>
      </c>
      <c r="F286" s="76">
        <v>12</v>
      </c>
      <c r="G286" s="77" t="s">
        <v>33</v>
      </c>
      <c r="H286" s="76">
        <v>12</v>
      </c>
      <c r="I286" s="77" t="s">
        <v>151</v>
      </c>
      <c r="J286" s="78">
        <v>11600</v>
      </c>
      <c r="K286" s="74" t="s">
        <v>151</v>
      </c>
      <c r="L286" s="79">
        <v>0.125</v>
      </c>
      <c r="M286" s="189">
        <v>0.05</v>
      </c>
      <c r="N286" s="76">
        <v>3312</v>
      </c>
      <c r="O286" s="77" t="s">
        <v>151</v>
      </c>
      <c r="P286" s="71">
        <f t="shared" ref="P286" si="229">(C286+(E286*F286*H286))-N286</f>
        <v>0</v>
      </c>
      <c r="Q286" s="77" t="s">
        <v>151</v>
      </c>
      <c r="R286" s="78">
        <f t="shared" ref="R286" si="230">P286*(J286-(J286*L286)-((J286-(J286*L286))*M286))</f>
        <v>0</v>
      </c>
      <c r="S286" s="78">
        <f t="shared" ref="S286" si="231">R286/1.11</f>
        <v>0</v>
      </c>
    </row>
    <row r="287" spans="1:19" s="73" customFormat="1" x14ac:dyDescent="0.2">
      <c r="A287" s="191" t="s">
        <v>152</v>
      </c>
      <c r="B287" s="73" t="s">
        <v>18</v>
      </c>
      <c r="C287" s="71"/>
      <c r="D287" s="74" t="s">
        <v>151</v>
      </c>
      <c r="E287" s="75">
        <v>5</v>
      </c>
      <c r="F287" s="76">
        <v>6</v>
      </c>
      <c r="G287" s="77" t="s">
        <v>33</v>
      </c>
      <c r="H287" s="76">
        <v>24</v>
      </c>
      <c r="I287" s="77" t="s">
        <v>151</v>
      </c>
      <c r="J287" s="78">
        <v>9000</v>
      </c>
      <c r="K287" s="74" t="s">
        <v>151</v>
      </c>
      <c r="L287" s="79">
        <v>0.125</v>
      </c>
      <c r="M287" s="188">
        <v>0.08</v>
      </c>
      <c r="N287" s="76">
        <v>720</v>
      </c>
      <c r="O287" s="77" t="s">
        <v>151</v>
      </c>
      <c r="P287" s="71">
        <f t="shared" ref="P287" si="232">(C287+(E287*F287*H287))-N287</f>
        <v>0</v>
      </c>
      <c r="Q287" s="77" t="s">
        <v>151</v>
      </c>
      <c r="R287" s="78">
        <f t="shared" ref="R287" si="233">P287*(J287-(J287*L287)-((J287-(J287*L287))*M287))</f>
        <v>0</v>
      </c>
      <c r="S287" s="78">
        <f t="shared" ref="S287" si="234">R287/1.11</f>
        <v>0</v>
      </c>
    </row>
    <row r="288" spans="1:19" s="73" customFormat="1" x14ac:dyDescent="0.2">
      <c r="A288" s="191" t="s">
        <v>152</v>
      </c>
      <c r="B288" s="73" t="s">
        <v>18</v>
      </c>
      <c r="C288" s="71">
        <v>276</v>
      </c>
      <c r="D288" s="74" t="s">
        <v>151</v>
      </c>
      <c r="E288" s="75">
        <v>19</v>
      </c>
      <c r="F288" s="76">
        <v>6</v>
      </c>
      <c r="G288" s="77" t="s">
        <v>33</v>
      </c>
      <c r="H288" s="76">
        <v>24</v>
      </c>
      <c r="I288" s="77" t="s">
        <v>151</v>
      </c>
      <c r="J288" s="78">
        <v>9000</v>
      </c>
      <c r="K288" s="74" t="s">
        <v>151</v>
      </c>
      <c r="L288" s="79">
        <v>0.125</v>
      </c>
      <c r="M288" s="188">
        <v>0.05</v>
      </c>
      <c r="N288" s="76">
        <v>3012</v>
      </c>
      <c r="O288" s="77" t="s">
        <v>151</v>
      </c>
      <c r="P288" s="71">
        <f t="shared" si="224"/>
        <v>0</v>
      </c>
      <c r="Q288" s="77" t="s">
        <v>151</v>
      </c>
      <c r="R288" s="78">
        <f t="shared" si="225"/>
        <v>0</v>
      </c>
      <c r="S288" s="78">
        <f t="shared" si="189"/>
        <v>0</v>
      </c>
    </row>
    <row r="289" spans="1:19" s="90" customFormat="1" x14ac:dyDescent="0.2">
      <c r="A289" s="133" t="s">
        <v>153</v>
      </c>
      <c r="B289" s="90" t="s">
        <v>18</v>
      </c>
      <c r="C289" s="91"/>
      <c r="D289" s="92" t="s">
        <v>151</v>
      </c>
      <c r="E289" s="93">
        <v>73</v>
      </c>
      <c r="F289" s="94">
        <v>1</v>
      </c>
      <c r="G289" s="95" t="s">
        <v>20</v>
      </c>
      <c r="H289" s="94">
        <v>144</v>
      </c>
      <c r="I289" s="95" t="s">
        <v>151</v>
      </c>
      <c r="J289" s="96">
        <v>11900</v>
      </c>
      <c r="K289" s="92" t="s">
        <v>151</v>
      </c>
      <c r="L289" s="97">
        <v>0.125</v>
      </c>
      <c r="M289" s="97">
        <v>0.1</v>
      </c>
      <c r="N289" s="94"/>
      <c r="O289" s="95" t="s">
        <v>151</v>
      </c>
      <c r="P289" s="91">
        <f t="shared" si="224"/>
        <v>10512</v>
      </c>
      <c r="Q289" s="95" t="s">
        <v>151</v>
      </c>
      <c r="R289" s="96">
        <f t="shared" si="225"/>
        <v>98510580</v>
      </c>
      <c r="S289" s="96">
        <f t="shared" si="189"/>
        <v>88748270.270270258</v>
      </c>
    </row>
    <row r="290" spans="1:19" s="73" customFormat="1" x14ac:dyDescent="0.2">
      <c r="A290" s="185" t="s">
        <v>153</v>
      </c>
      <c r="B290" s="73" t="s">
        <v>18</v>
      </c>
      <c r="C290" s="71"/>
      <c r="D290" s="74" t="s">
        <v>151</v>
      </c>
      <c r="E290" s="75">
        <v>90</v>
      </c>
      <c r="F290" s="76">
        <v>1</v>
      </c>
      <c r="G290" s="77" t="s">
        <v>20</v>
      </c>
      <c r="H290" s="76">
        <v>144</v>
      </c>
      <c r="I290" s="77" t="s">
        <v>151</v>
      </c>
      <c r="J290" s="78">
        <v>11900</v>
      </c>
      <c r="K290" s="74" t="s">
        <v>151</v>
      </c>
      <c r="L290" s="79">
        <v>0.125</v>
      </c>
      <c r="M290" s="189">
        <v>0.08</v>
      </c>
      <c r="N290" s="76">
        <v>12960</v>
      </c>
      <c r="O290" s="77" t="s">
        <v>151</v>
      </c>
      <c r="P290" s="71">
        <f t="shared" ref="P290" si="235">(C290+(E290*F290*H290))-N290</f>
        <v>0</v>
      </c>
      <c r="Q290" s="77" t="s">
        <v>151</v>
      </c>
      <c r="R290" s="78">
        <f t="shared" ref="R290" si="236">P290*(J290-(J290*L290)-((J290-(J290*L290))*M290))</f>
        <v>0</v>
      </c>
      <c r="S290" s="78">
        <f t="shared" ref="S290" si="237">R290/1.11</f>
        <v>0</v>
      </c>
    </row>
    <row r="291" spans="1:19" s="19" customFormat="1" x14ac:dyDescent="0.2">
      <c r="A291" s="28" t="s">
        <v>153</v>
      </c>
      <c r="B291" s="19" t="s">
        <v>18</v>
      </c>
      <c r="C291" s="20">
        <v>397</v>
      </c>
      <c r="D291" s="21" t="s">
        <v>151</v>
      </c>
      <c r="E291" s="26">
        <v>253</v>
      </c>
      <c r="F291" s="22">
        <v>1</v>
      </c>
      <c r="G291" s="23" t="s">
        <v>20</v>
      </c>
      <c r="H291" s="22">
        <v>144</v>
      </c>
      <c r="I291" s="23" t="s">
        <v>151</v>
      </c>
      <c r="J291" s="24">
        <v>11900</v>
      </c>
      <c r="K291" s="21" t="s">
        <v>151</v>
      </c>
      <c r="L291" s="25">
        <v>0.125</v>
      </c>
      <c r="M291" s="30">
        <v>0.05</v>
      </c>
      <c r="N291" s="22">
        <v>35829</v>
      </c>
      <c r="O291" s="23" t="s">
        <v>151</v>
      </c>
      <c r="P291" s="20">
        <f t="shared" si="224"/>
        <v>1000</v>
      </c>
      <c r="Q291" s="23" t="s">
        <v>151</v>
      </c>
      <c r="R291" s="24">
        <f t="shared" si="225"/>
        <v>9891875</v>
      </c>
      <c r="S291" s="24">
        <f t="shared" si="189"/>
        <v>8911599.0990990978</v>
      </c>
    </row>
    <row r="292" spans="1:19" s="19" customFormat="1" x14ac:dyDescent="0.2">
      <c r="A292" s="134" t="s">
        <v>154</v>
      </c>
      <c r="B292" s="19" t="s">
        <v>18</v>
      </c>
      <c r="C292" s="20"/>
      <c r="D292" s="21" t="s">
        <v>151</v>
      </c>
      <c r="E292" s="26">
        <v>55</v>
      </c>
      <c r="F292" s="22">
        <v>6</v>
      </c>
      <c r="G292" s="23" t="s">
        <v>33</v>
      </c>
      <c r="H292" s="22">
        <v>12</v>
      </c>
      <c r="I292" s="23" t="s">
        <v>151</v>
      </c>
      <c r="J292" s="24">
        <v>23000</v>
      </c>
      <c r="K292" s="21" t="s">
        <v>151</v>
      </c>
      <c r="L292" s="25">
        <v>0.125</v>
      </c>
      <c r="M292" s="25">
        <v>0.1</v>
      </c>
      <c r="N292" s="22">
        <v>3168</v>
      </c>
      <c r="O292" s="23" t="s">
        <v>151</v>
      </c>
      <c r="P292" s="20">
        <f t="shared" si="224"/>
        <v>792</v>
      </c>
      <c r="Q292" s="23" t="s">
        <v>151</v>
      </c>
      <c r="R292" s="24">
        <f t="shared" si="225"/>
        <v>14345100</v>
      </c>
      <c r="S292" s="24">
        <f t="shared" si="189"/>
        <v>12923513.513513513</v>
      </c>
    </row>
    <row r="293" spans="1:19" s="73" customFormat="1" x14ac:dyDescent="0.2">
      <c r="A293" s="187" t="s">
        <v>154</v>
      </c>
      <c r="B293" s="73" t="s">
        <v>18</v>
      </c>
      <c r="C293" s="71"/>
      <c r="D293" s="74" t="s">
        <v>151</v>
      </c>
      <c r="E293" s="75">
        <v>35</v>
      </c>
      <c r="F293" s="76">
        <v>6</v>
      </c>
      <c r="G293" s="77" t="s">
        <v>33</v>
      </c>
      <c r="H293" s="76">
        <v>12</v>
      </c>
      <c r="I293" s="77" t="s">
        <v>151</v>
      </c>
      <c r="J293" s="78">
        <v>23000</v>
      </c>
      <c r="K293" s="74" t="s">
        <v>151</v>
      </c>
      <c r="L293" s="79">
        <v>0.125</v>
      </c>
      <c r="M293" s="188">
        <v>0.08</v>
      </c>
      <c r="N293" s="76">
        <v>2520</v>
      </c>
      <c r="O293" s="77" t="s">
        <v>151</v>
      </c>
      <c r="P293" s="71">
        <f t="shared" ref="P293" si="238">(C293+(E293*F293*H293))-N293</f>
        <v>0</v>
      </c>
      <c r="Q293" s="77" t="s">
        <v>151</v>
      </c>
      <c r="R293" s="78">
        <f t="shared" ref="R293" si="239">P293*(J293-(J293*L293)-((J293-(J293*L293))*M293))</f>
        <v>0</v>
      </c>
      <c r="S293" s="78">
        <f t="shared" ref="S293" si="240">R293/1.11</f>
        <v>0</v>
      </c>
    </row>
    <row r="294" spans="1:19" s="73" customFormat="1" x14ac:dyDescent="0.2">
      <c r="A294" s="187" t="s">
        <v>154</v>
      </c>
      <c r="B294" s="73" t="s">
        <v>18</v>
      </c>
      <c r="C294" s="71">
        <v>300</v>
      </c>
      <c r="D294" s="74" t="s">
        <v>151</v>
      </c>
      <c r="E294" s="75">
        <v>144</v>
      </c>
      <c r="F294" s="76">
        <v>6</v>
      </c>
      <c r="G294" s="77" t="s">
        <v>33</v>
      </c>
      <c r="H294" s="76">
        <v>12</v>
      </c>
      <c r="I294" s="77" t="s">
        <v>151</v>
      </c>
      <c r="J294" s="78">
        <v>23000</v>
      </c>
      <c r="K294" s="74" t="s">
        <v>151</v>
      </c>
      <c r="L294" s="79">
        <v>0.125</v>
      </c>
      <c r="M294" s="188">
        <v>0.05</v>
      </c>
      <c r="N294" s="76">
        <v>10668</v>
      </c>
      <c r="O294" s="77" t="s">
        <v>151</v>
      </c>
      <c r="P294" s="71">
        <f t="shared" si="224"/>
        <v>0</v>
      </c>
      <c r="Q294" s="77" t="s">
        <v>151</v>
      </c>
      <c r="R294" s="78">
        <f t="shared" si="225"/>
        <v>0</v>
      </c>
      <c r="S294" s="78">
        <f t="shared" si="189"/>
        <v>0</v>
      </c>
    </row>
    <row r="295" spans="1:19" s="73" customFormat="1" x14ac:dyDescent="0.2">
      <c r="A295" s="185" t="s">
        <v>155</v>
      </c>
      <c r="B295" s="73" t="s">
        <v>18</v>
      </c>
      <c r="C295" s="71"/>
      <c r="D295" s="74" t="s">
        <v>151</v>
      </c>
      <c r="E295" s="75">
        <v>46</v>
      </c>
      <c r="F295" s="76">
        <v>8</v>
      </c>
      <c r="G295" s="77" t="s">
        <v>33</v>
      </c>
      <c r="H295" s="76">
        <v>6</v>
      </c>
      <c r="I295" s="77" t="s">
        <v>151</v>
      </c>
      <c r="J295" s="78">
        <v>29600</v>
      </c>
      <c r="K295" s="74" t="s">
        <v>151</v>
      </c>
      <c r="L295" s="79">
        <v>0.125</v>
      </c>
      <c r="M295" s="189">
        <v>0.08</v>
      </c>
      <c r="N295" s="76">
        <v>2208</v>
      </c>
      <c r="O295" s="77" t="s">
        <v>151</v>
      </c>
      <c r="P295" s="71">
        <f t="shared" ref="P295" si="241">(C295+(E295*F295*H295))-N295</f>
        <v>0</v>
      </c>
      <c r="Q295" s="77" t="s">
        <v>151</v>
      </c>
      <c r="R295" s="78">
        <f t="shared" ref="R295" si="242">P295*(J295-(J295*L295)-((J295-(J295*L295))*M295))</f>
        <v>0</v>
      </c>
      <c r="S295" s="78">
        <f t="shared" ref="S295" si="243">R295/1.11</f>
        <v>0</v>
      </c>
    </row>
    <row r="296" spans="1:19" s="19" customFormat="1" x14ac:dyDescent="0.2">
      <c r="A296" s="28" t="s">
        <v>155</v>
      </c>
      <c r="B296" s="19" t="s">
        <v>18</v>
      </c>
      <c r="C296" s="20"/>
      <c r="D296" s="21" t="s">
        <v>151</v>
      </c>
      <c r="E296" s="26">
        <v>151</v>
      </c>
      <c r="F296" s="22">
        <v>8</v>
      </c>
      <c r="G296" s="23" t="s">
        <v>33</v>
      </c>
      <c r="H296" s="22">
        <v>6</v>
      </c>
      <c r="I296" s="23" t="s">
        <v>151</v>
      </c>
      <c r="J296" s="24">
        <v>29600</v>
      </c>
      <c r="K296" s="21" t="s">
        <v>151</v>
      </c>
      <c r="L296" s="25">
        <v>0.125</v>
      </c>
      <c r="M296" s="30">
        <v>0.05</v>
      </c>
      <c r="N296" s="22">
        <v>7008</v>
      </c>
      <c r="O296" s="23" t="s">
        <v>151</v>
      </c>
      <c r="P296" s="20">
        <f t="shared" si="224"/>
        <v>240</v>
      </c>
      <c r="Q296" s="23" t="s">
        <v>151</v>
      </c>
      <c r="R296" s="24">
        <f t="shared" si="225"/>
        <v>5905200</v>
      </c>
      <c r="S296" s="24">
        <f t="shared" si="189"/>
        <v>5319999.9999999991</v>
      </c>
    </row>
    <row r="297" spans="1:19" s="73" customFormat="1" x14ac:dyDescent="0.2">
      <c r="A297" s="185" t="s">
        <v>155</v>
      </c>
      <c r="B297" s="73" t="s">
        <v>18</v>
      </c>
      <c r="C297" s="71"/>
      <c r="D297" s="74" t="s">
        <v>151</v>
      </c>
      <c r="E297" s="75">
        <v>64</v>
      </c>
      <c r="F297" s="76">
        <v>8</v>
      </c>
      <c r="G297" s="77" t="s">
        <v>33</v>
      </c>
      <c r="H297" s="76">
        <v>6</v>
      </c>
      <c r="I297" s="77" t="s">
        <v>151</v>
      </c>
      <c r="J297" s="78">
        <v>29600</v>
      </c>
      <c r="K297" s="74" t="s">
        <v>151</v>
      </c>
      <c r="L297" s="79">
        <v>0.125</v>
      </c>
      <c r="M297" s="189">
        <v>0.1</v>
      </c>
      <c r="N297" s="76">
        <v>3072</v>
      </c>
      <c r="O297" s="77" t="s">
        <v>151</v>
      </c>
      <c r="P297" s="71">
        <f t="shared" ref="P297:P298" si="244">(C297+(E297*F297*H297))-N297</f>
        <v>0</v>
      </c>
      <c r="Q297" s="77" t="s">
        <v>151</v>
      </c>
      <c r="R297" s="78">
        <f t="shared" ref="R297:R298" si="245">P297*(J297-(J297*L297)-((J297-(J297*L297))*M297))</f>
        <v>0</v>
      </c>
      <c r="S297" s="78">
        <f t="shared" ref="S297" si="246">R297/1.11</f>
        <v>0</v>
      </c>
    </row>
    <row r="298" spans="1:19" s="19" customFormat="1" x14ac:dyDescent="0.2">
      <c r="A298" s="134" t="s">
        <v>156</v>
      </c>
      <c r="B298" s="19" t="s">
        <v>18</v>
      </c>
      <c r="C298" s="20"/>
      <c r="D298" s="21" t="s">
        <v>151</v>
      </c>
      <c r="E298" s="26">
        <v>27</v>
      </c>
      <c r="F298" s="22">
        <v>6</v>
      </c>
      <c r="G298" s="23" t="s">
        <v>33</v>
      </c>
      <c r="H298" s="22">
        <v>6</v>
      </c>
      <c r="I298" s="23" t="s">
        <v>151</v>
      </c>
      <c r="J298" s="24">
        <v>41500</v>
      </c>
      <c r="K298" s="21" t="s">
        <v>151</v>
      </c>
      <c r="L298" s="25">
        <v>0.125</v>
      </c>
      <c r="M298" s="25">
        <v>0.1</v>
      </c>
      <c r="N298" s="22">
        <f>972-36</f>
        <v>936</v>
      </c>
      <c r="O298" s="23" t="s">
        <v>151</v>
      </c>
      <c r="P298" s="20">
        <f t="shared" si="244"/>
        <v>36</v>
      </c>
      <c r="Q298" s="23" t="s">
        <v>151</v>
      </c>
      <c r="R298" s="24">
        <f t="shared" si="245"/>
        <v>1176525</v>
      </c>
      <c r="S298" s="24">
        <f>R298/1.11</f>
        <v>1059932.4324324324</v>
      </c>
    </row>
    <row r="299" spans="1:19" s="73" customFormat="1" x14ac:dyDescent="0.2">
      <c r="A299" s="187" t="s">
        <v>156</v>
      </c>
      <c r="B299" s="73" t="s">
        <v>18</v>
      </c>
      <c r="C299" s="71"/>
      <c r="D299" s="74" t="s">
        <v>151</v>
      </c>
      <c r="E299" s="75">
        <v>32</v>
      </c>
      <c r="F299" s="76">
        <v>6</v>
      </c>
      <c r="G299" s="77" t="s">
        <v>33</v>
      </c>
      <c r="H299" s="76">
        <v>6</v>
      </c>
      <c r="I299" s="77" t="s">
        <v>151</v>
      </c>
      <c r="J299" s="78">
        <v>41500</v>
      </c>
      <c r="K299" s="74" t="s">
        <v>151</v>
      </c>
      <c r="L299" s="79">
        <v>0.125</v>
      </c>
      <c r="M299" s="188">
        <v>0.08</v>
      </c>
      <c r="N299" s="76">
        <v>1152</v>
      </c>
      <c r="O299" s="77" t="s">
        <v>151</v>
      </c>
      <c r="P299" s="71">
        <f t="shared" ref="P299" si="247">(C299+(E299*F299*H299))-N299</f>
        <v>0</v>
      </c>
      <c r="Q299" s="77" t="s">
        <v>151</v>
      </c>
      <c r="R299" s="78">
        <f t="shared" ref="R299" si="248">P299*(J299-(J299*L299)-((J299-(J299*L299))*M299))</f>
        <v>0</v>
      </c>
      <c r="S299" s="78">
        <f>R299/1.11</f>
        <v>0</v>
      </c>
    </row>
    <row r="300" spans="1:19" s="73" customFormat="1" x14ac:dyDescent="0.2">
      <c r="A300" s="187" t="s">
        <v>156</v>
      </c>
      <c r="B300" s="73" t="s">
        <v>18</v>
      </c>
      <c r="C300" s="71">
        <v>242</v>
      </c>
      <c r="D300" s="74" t="s">
        <v>151</v>
      </c>
      <c r="E300" s="75">
        <v>99</v>
      </c>
      <c r="F300" s="76">
        <v>6</v>
      </c>
      <c r="G300" s="77" t="s">
        <v>33</v>
      </c>
      <c r="H300" s="76">
        <v>6</v>
      </c>
      <c r="I300" s="77" t="s">
        <v>151</v>
      </c>
      <c r="J300" s="78">
        <v>41500</v>
      </c>
      <c r="K300" s="74" t="s">
        <v>151</v>
      </c>
      <c r="L300" s="79">
        <v>0.125</v>
      </c>
      <c r="M300" s="188">
        <v>0.05</v>
      </c>
      <c r="N300" s="76">
        <v>3806</v>
      </c>
      <c r="O300" s="77" t="s">
        <v>151</v>
      </c>
      <c r="P300" s="71">
        <f t="shared" si="224"/>
        <v>0</v>
      </c>
      <c r="Q300" s="77" t="s">
        <v>151</v>
      </c>
      <c r="R300" s="78">
        <f t="shared" si="225"/>
        <v>0</v>
      </c>
      <c r="S300" s="78">
        <f>R300/1.11</f>
        <v>0</v>
      </c>
    </row>
    <row r="301" spans="1:19" s="73" customFormat="1" x14ac:dyDescent="0.2">
      <c r="A301" s="72" t="s">
        <v>157</v>
      </c>
      <c r="B301" s="73" t="s">
        <v>18</v>
      </c>
      <c r="C301" s="71">
        <v>264</v>
      </c>
      <c r="D301" s="74" t="s">
        <v>151</v>
      </c>
      <c r="E301" s="75">
        <v>52</v>
      </c>
      <c r="F301" s="76">
        <v>4</v>
      </c>
      <c r="G301" s="77" t="s">
        <v>33</v>
      </c>
      <c r="H301" s="76">
        <v>6</v>
      </c>
      <c r="I301" s="77" t="s">
        <v>151</v>
      </c>
      <c r="J301" s="78">
        <v>58900</v>
      </c>
      <c r="K301" s="74" t="s">
        <v>151</v>
      </c>
      <c r="L301" s="79">
        <v>0.125</v>
      </c>
      <c r="M301" s="79">
        <v>0.05</v>
      </c>
      <c r="N301" s="76">
        <v>1512</v>
      </c>
      <c r="O301" s="77" t="s">
        <v>151</v>
      </c>
      <c r="P301" s="71">
        <f t="shared" si="224"/>
        <v>0</v>
      </c>
      <c r="Q301" s="77" t="s">
        <v>151</v>
      </c>
      <c r="R301" s="78">
        <f t="shared" si="225"/>
        <v>0</v>
      </c>
      <c r="S301" s="78">
        <f t="shared" si="189"/>
        <v>0</v>
      </c>
    </row>
    <row r="302" spans="1:19" s="73" customFormat="1" x14ac:dyDescent="0.2">
      <c r="A302" s="184" t="s">
        <v>157</v>
      </c>
      <c r="B302" s="73" t="s">
        <v>18</v>
      </c>
      <c r="C302" s="71"/>
      <c r="D302" s="74" t="s">
        <v>151</v>
      </c>
      <c r="E302" s="75">
        <v>2</v>
      </c>
      <c r="F302" s="76">
        <v>4</v>
      </c>
      <c r="G302" s="77" t="s">
        <v>33</v>
      </c>
      <c r="H302" s="76">
        <v>6</v>
      </c>
      <c r="I302" s="77" t="s">
        <v>151</v>
      </c>
      <c r="J302" s="78">
        <v>58900</v>
      </c>
      <c r="K302" s="74" t="s">
        <v>151</v>
      </c>
      <c r="L302" s="79">
        <v>0.125</v>
      </c>
      <c r="M302" s="79">
        <v>0.1</v>
      </c>
      <c r="N302" s="76">
        <v>48</v>
      </c>
      <c r="O302" s="77" t="s">
        <v>151</v>
      </c>
      <c r="P302" s="71">
        <f t="shared" ref="P302" si="249">(C302+(E302*F302*H302))-N302</f>
        <v>0</v>
      </c>
      <c r="Q302" s="77" t="s">
        <v>151</v>
      </c>
      <c r="R302" s="78">
        <f t="shared" ref="R302" si="250">P302*(J302-(J302*L302)-((J302-(J302*L302))*M302))</f>
        <v>0</v>
      </c>
      <c r="S302" s="78">
        <f t="shared" ref="S302" si="251">R302/1.11</f>
        <v>0</v>
      </c>
    </row>
    <row r="303" spans="1:19" s="73" customFormat="1" x14ac:dyDescent="0.2">
      <c r="A303" s="184" t="s">
        <v>158</v>
      </c>
      <c r="B303" s="73" t="s">
        <v>18</v>
      </c>
      <c r="C303" s="71"/>
      <c r="D303" s="74" t="s">
        <v>151</v>
      </c>
      <c r="E303" s="75">
        <v>15</v>
      </c>
      <c r="F303" s="76">
        <v>4</v>
      </c>
      <c r="G303" s="77" t="s">
        <v>33</v>
      </c>
      <c r="H303" s="76">
        <v>6</v>
      </c>
      <c r="I303" s="77" t="s">
        <v>151</v>
      </c>
      <c r="J303" s="78">
        <v>66900</v>
      </c>
      <c r="K303" s="74" t="s">
        <v>151</v>
      </c>
      <c r="L303" s="79">
        <v>0.125</v>
      </c>
      <c r="M303" s="79">
        <v>0.1</v>
      </c>
      <c r="N303" s="76">
        <v>360</v>
      </c>
      <c r="O303" s="77" t="s">
        <v>151</v>
      </c>
      <c r="P303" s="71">
        <f t="shared" ref="P303" si="252">(C303+(E303*F303*H303))-N303</f>
        <v>0</v>
      </c>
      <c r="Q303" s="77" t="s">
        <v>151</v>
      </c>
      <c r="R303" s="78">
        <f t="shared" ref="R303" si="253">P303*(J303-(J303*L303)-((J303-(J303*L303))*M303))</f>
        <v>0</v>
      </c>
      <c r="S303" s="78">
        <f t="shared" ref="S303" si="254">R303/1.11</f>
        <v>0</v>
      </c>
    </row>
    <row r="304" spans="1:19" s="73" customFormat="1" x14ac:dyDescent="0.2">
      <c r="A304" s="72" t="s">
        <v>158</v>
      </c>
      <c r="B304" s="73" t="s">
        <v>18</v>
      </c>
      <c r="C304" s="71">
        <v>278</v>
      </c>
      <c r="D304" s="74" t="s">
        <v>151</v>
      </c>
      <c r="E304" s="75">
        <v>57</v>
      </c>
      <c r="F304" s="76">
        <v>4</v>
      </c>
      <c r="G304" s="77" t="s">
        <v>33</v>
      </c>
      <c r="H304" s="76">
        <v>6</v>
      </c>
      <c r="I304" s="77" t="s">
        <v>151</v>
      </c>
      <c r="J304" s="78">
        <v>66900</v>
      </c>
      <c r="K304" s="74" t="s">
        <v>151</v>
      </c>
      <c r="L304" s="79">
        <v>0.125</v>
      </c>
      <c r="M304" s="79">
        <v>0.05</v>
      </c>
      <c r="N304" s="76">
        <v>1646</v>
      </c>
      <c r="O304" s="77" t="s">
        <v>151</v>
      </c>
      <c r="P304" s="71">
        <f t="shared" si="224"/>
        <v>0</v>
      </c>
      <c r="Q304" s="77" t="s">
        <v>151</v>
      </c>
      <c r="R304" s="78">
        <f t="shared" si="225"/>
        <v>0</v>
      </c>
      <c r="S304" s="78">
        <f t="shared" si="189"/>
        <v>0</v>
      </c>
    </row>
    <row r="305" spans="1:19" s="73" customFormat="1" x14ac:dyDescent="0.2">
      <c r="A305" s="184" t="s">
        <v>695</v>
      </c>
      <c r="B305" s="73" t="s">
        <v>18</v>
      </c>
      <c r="C305" s="71"/>
      <c r="D305" s="74" t="s">
        <v>151</v>
      </c>
      <c r="E305" s="75">
        <v>6</v>
      </c>
      <c r="F305" s="76">
        <v>1</v>
      </c>
      <c r="G305" s="77" t="s">
        <v>20</v>
      </c>
      <c r="H305" s="76">
        <v>24</v>
      </c>
      <c r="I305" s="77" t="s">
        <v>151</v>
      </c>
      <c r="J305" s="78">
        <v>96000</v>
      </c>
      <c r="K305" s="74" t="s">
        <v>151</v>
      </c>
      <c r="L305" s="79">
        <v>0.125</v>
      </c>
      <c r="M305" s="79">
        <v>0.1</v>
      </c>
      <c r="N305" s="76">
        <v>144</v>
      </c>
      <c r="O305" s="77" t="s">
        <v>151</v>
      </c>
      <c r="P305" s="71">
        <f t="shared" ref="P305" si="255">(C305+(E305*F305*H305))-N305</f>
        <v>0</v>
      </c>
      <c r="Q305" s="77" t="s">
        <v>151</v>
      </c>
      <c r="R305" s="78">
        <f t="shared" ref="R305" si="256">P305*(J305-(J305*L305)-((J305-(J305*L305))*M305))</f>
        <v>0</v>
      </c>
      <c r="S305" s="78">
        <f t="shared" ref="S305" si="257">R305/1.11</f>
        <v>0</v>
      </c>
    </row>
    <row r="306" spans="1:19" s="73" customFormat="1" x14ac:dyDescent="0.2">
      <c r="A306" s="72" t="s">
        <v>695</v>
      </c>
      <c r="B306" s="73" t="s">
        <v>18</v>
      </c>
      <c r="C306" s="71"/>
      <c r="D306" s="74" t="s">
        <v>151</v>
      </c>
      <c r="E306" s="75">
        <v>17</v>
      </c>
      <c r="F306" s="76">
        <v>1</v>
      </c>
      <c r="G306" s="77" t="s">
        <v>20</v>
      </c>
      <c r="H306" s="76">
        <v>24</v>
      </c>
      <c r="I306" s="77" t="s">
        <v>151</v>
      </c>
      <c r="J306" s="78">
        <v>96000</v>
      </c>
      <c r="K306" s="74" t="s">
        <v>151</v>
      </c>
      <c r="L306" s="79">
        <v>0.125</v>
      </c>
      <c r="M306" s="79">
        <v>0.05</v>
      </c>
      <c r="N306" s="76">
        <v>408</v>
      </c>
      <c r="O306" s="77" t="s">
        <v>151</v>
      </c>
      <c r="P306" s="71">
        <f t="shared" si="224"/>
        <v>0</v>
      </c>
      <c r="Q306" s="77" t="s">
        <v>151</v>
      </c>
      <c r="R306" s="78">
        <f t="shared" si="225"/>
        <v>0</v>
      </c>
      <c r="S306" s="78">
        <f t="shared" si="189"/>
        <v>0</v>
      </c>
    </row>
    <row r="307" spans="1:19" s="19" customFormat="1" x14ac:dyDescent="0.2">
      <c r="A307" s="18"/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73" customFormat="1" x14ac:dyDescent="0.2">
      <c r="A308" s="104" t="s">
        <v>159</v>
      </c>
      <c r="B308" s="73" t="s">
        <v>25</v>
      </c>
      <c r="C308" s="71"/>
      <c r="D308" s="74" t="s">
        <v>151</v>
      </c>
      <c r="E308" s="75">
        <v>3</v>
      </c>
      <c r="F308" s="76">
        <v>12</v>
      </c>
      <c r="G308" s="77" t="s">
        <v>40</v>
      </c>
      <c r="H308" s="76">
        <v>12</v>
      </c>
      <c r="I308" s="77" t="s">
        <v>151</v>
      </c>
      <c r="J308" s="78">
        <f>1728000/12/12</f>
        <v>12000</v>
      </c>
      <c r="K308" s="74" t="s">
        <v>151</v>
      </c>
      <c r="L308" s="79"/>
      <c r="M308" s="79">
        <v>0.17</v>
      </c>
      <c r="N308" s="76">
        <v>432</v>
      </c>
      <c r="O308" s="77" t="s">
        <v>151</v>
      </c>
      <c r="P308" s="71">
        <f>(C308+(E308*F308*H308))-N308</f>
        <v>0</v>
      </c>
      <c r="Q308" s="77" t="s">
        <v>151</v>
      </c>
      <c r="R308" s="78">
        <f>P308*(J308-(J308*L308)-((J308-(J308*L308))*M308))</f>
        <v>0</v>
      </c>
      <c r="S308" s="78">
        <f t="shared" si="189"/>
        <v>0</v>
      </c>
    </row>
    <row r="309" spans="1:19" s="73" customFormat="1" x14ac:dyDescent="0.2">
      <c r="A309" s="104" t="s">
        <v>160</v>
      </c>
      <c r="B309" s="73" t="s">
        <v>25</v>
      </c>
      <c r="C309" s="71">
        <v>168</v>
      </c>
      <c r="D309" s="74" t="s">
        <v>151</v>
      </c>
      <c r="E309" s="75">
        <v>2</v>
      </c>
      <c r="F309" s="76">
        <v>6</v>
      </c>
      <c r="G309" s="77" t="s">
        <v>40</v>
      </c>
      <c r="H309" s="76">
        <v>12</v>
      </c>
      <c r="I309" s="77" t="s">
        <v>151</v>
      </c>
      <c r="J309" s="78">
        <f>1548000/6/12</f>
        <v>21500</v>
      </c>
      <c r="K309" s="74" t="s">
        <v>151</v>
      </c>
      <c r="L309" s="79"/>
      <c r="M309" s="79">
        <v>0.17</v>
      </c>
      <c r="N309" s="76">
        <v>312</v>
      </c>
      <c r="O309" s="77" t="s">
        <v>151</v>
      </c>
      <c r="P309" s="71">
        <f>(C309+(E309*F309*H309))-N309</f>
        <v>0</v>
      </c>
      <c r="Q309" s="77" t="s">
        <v>151</v>
      </c>
      <c r="R309" s="78">
        <f>P309*(J309-(J309*L309)-((J309-(J309*L309))*M309))</f>
        <v>0</v>
      </c>
      <c r="S309" s="78">
        <f t="shared" si="189"/>
        <v>0</v>
      </c>
    </row>
    <row r="310" spans="1:19" s="73" customFormat="1" x14ac:dyDescent="0.2">
      <c r="A310" s="104" t="s">
        <v>812</v>
      </c>
      <c r="B310" s="73" t="s">
        <v>25</v>
      </c>
      <c r="C310" s="71"/>
      <c r="D310" s="74" t="s">
        <v>151</v>
      </c>
      <c r="E310" s="75">
        <v>1</v>
      </c>
      <c r="F310" s="76">
        <v>4</v>
      </c>
      <c r="G310" s="77" t="s">
        <v>40</v>
      </c>
      <c r="H310" s="76">
        <v>12</v>
      </c>
      <c r="I310" s="77" t="s">
        <v>151</v>
      </c>
      <c r="J310" s="78">
        <v>28500</v>
      </c>
      <c r="K310" s="74" t="s">
        <v>151</v>
      </c>
      <c r="L310" s="79"/>
      <c r="M310" s="79">
        <v>0.17</v>
      </c>
      <c r="N310" s="76">
        <v>48</v>
      </c>
      <c r="O310" s="77" t="s">
        <v>151</v>
      </c>
      <c r="P310" s="71">
        <f t="shared" ref="P310:P311" si="258">(C310+(E310*F310*H310))-N310</f>
        <v>0</v>
      </c>
      <c r="Q310" s="77" t="s">
        <v>151</v>
      </c>
      <c r="R310" s="78">
        <f t="shared" ref="R310:R311" si="259">P310*(J310-(J310*L310)-((J310-(J310*L310))*M310))</f>
        <v>0</v>
      </c>
      <c r="S310" s="78">
        <f t="shared" ref="S310:S311" si="260">R310/1.11</f>
        <v>0</v>
      </c>
    </row>
    <row r="311" spans="1:19" s="73" customFormat="1" x14ac:dyDescent="0.2">
      <c r="A311" s="104" t="s">
        <v>813</v>
      </c>
      <c r="B311" s="73" t="s">
        <v>25</v>
      </c>
      <c r="C311" s="71"/>
      <c r="D311" s="74" t="s">
        <v>151</v>
      </c>
      <c r="E311" s="75">
        <v>1</v>
      </c>
      <c r="F311" s="76">
        <v>4</v>
      </c>
      <c r="G311" s="77" t="s">
        <v>40</v>
      </c>
      <c r="H311" s="76">
        <v>12</v>
      </c>
      <c r="I311" s="77" t="s">
        <v>151</v>
      </c>
      <c r="J311" s="78">
        <v>31125</v>
      </c>
      <c r="K311" s="74" t="s">
        <v>151</v>
      </c>
      <c r="L311" s="79"/>
      <c r="M311" s="79">
        <v>0.17</v>
      </c>
      <c r="N311" s="76">
        <v>48</v>
      </c>
      <c r="O311" s="77" t="s">
        <v>151</v>
      </c>
      <c r="P311" s="71">
        <f t="shared" si="258"/>
        <v>0</v>
      </c>
      <c r="Q311" s="77" t="s">
        <v>151</v>
      </c>
      <c r="R311" s="78">
        <f t="shared" si="259"/>
        <v>0</v>
      </c>
      <c r="S311" s="78">
        <f t="shared" si="260"/>
        <v>0</v>
      </c>
    </row>
    <row r="312" spans="1:19" s="19" customFormat="1" x14ac:dyDescent="0.2">
      <c r="A312" s="38"/>
      <c r="C312" s="20"/>
      <c r="D312" s="21"/>
      <c r="E312" s="26"/>
      <c r="F312" s="22"/>
      <c r="G312" s="23"/>
      <c r="H312" s="22"/>
      <c r="I312" s="23"/>
      <c r="J312" s="24"/>
      <c r="K312" s="21"/>
      <c r="L312" s="25"/>
      <c r="M312" s="25"/>
      <c r="N312" s="22"/>
      <c r="O312" s="23"/>
      <c r="P312" s="20"/>
      <c r="Q312" s="23"/>
      <c r="R312" s="24"/>
      <c r="S312" s="24"/>
    </row>
    <row r="313" spans="1:19" s="73" customFormat="1" x14ac:dyDescent="0.2">
      <c r="A313" s="104" t="s">
        <v>161</v>
      </c>
      <c r="B313" s="73" t="s">
        <v>25</v>
      </c>
      <c r="C313" s="71"/>
      <c r="D313" s="74" t="s">
        <v>151</v>
      </c>
      <c r="E313" s="75"/>
      <c r="F313" s="76">
        <v>8</v>
      </c>
      <c r="G313" s="77" t="s">
        <v>33</v>
      </c>
      <c r="H313" s="76">
        <v>12</v>
      </c>
      <c r="I313" s="77" t="s">
        <v>151</v>
      </c>
      <c r="J313" s="78">
        <v>12500</v>
      </c>
      <c r="K313" s="74" t="s">
        <v>151</v>
      </c>
      <c r="L313" s="79"/>
      <c r="M313" s="79">
        <v>0.17</v>
      </c>
      <c r="N313" s="76"/>
      <c r="O313" s="77" t="s">
        <v>151</v>
      </c>
      <c r="P313" s="71">
        <f t="shared" ref="P313:P321" si="261">(C313+(E313*F313*H313))-N313</f>
        <v>0</v>
      </c>
      <c r="Q313" s="77" t="s">
        <v>151</v>
      </c>
      <c r="R313" s="78">
        <f t="shared" ref="R313:R321" si="262">P313*(J313-(J313*L313)-((J313-(J313*L313))*M313))</f>
        <v>0</v>
      </c>
      <c r="S313" s="78">
        <f t="shared" si="189"/>
        <v>0</v>
      </c>
    </row>
    <row r="314" spans="1:19" s="73" customFormat="1" x14ac:dyDescent="0.2">
      <c r="A314" s="104" t="s">
        <v>162</v>
      </c>
      <c r="B314" s="73" t="s">
        <v>25</v>
      </c>
      <c r="C314" s="71"/>
      <c r="D314" s="74" t="s">
        <v>151</v>
      </c>
      <c r="E314" s="75"/>
      <c r="F314" s="76">
        <v>1</v>
      </c>
      <c r="G314" s="77" t="s">
        <v>20</v>
      </c>
      <c r="H314" s="76">
        <v>144</v>
      </c>
      <c r="I314" s="77" t="s">
        <v>151</v>
      </c>
      <c r="J314" s="78">
        <v>11600</v>
      </c>
      <c r="K314" s="74" t="s">
        <v>151</v>
      </c>
      <c r="L314" s="79"/>
      <c r="M314" s="79">
        <v>0.17</v>
      </c>
      <c r="N314" s="76"/>
      <c r="O314" s="77" t="s">
        <v>151</v>
      </c>
      <c r="P314" s="71">
        <f t="shared" si="261"/>
        <v>0</v>
      </c>
      <c r="Q314" s="77" t="s">
        <v>151</v>
      </c>
      <c r="R314" s="78">
        <f t="shared" si="262"/>
        <v>0</v>
      </c>
      <c r="S314" s="78">
        <f t="shared" si="189"/>
        <v>0</v>
      </c>
    </row>
    <row r="315" spans="1:19" s="73" customFormat="1" x14ac:dyDescent="0.2">
      <c r="A315" s="72" t="s">
        <v>163</v>
      </c>
      <c r="B315" s="73" t="s">
        <v>25</v>
      </c>
      <c r="C315" s="71">
        <v>4032</v>
      </c>
      <c r="D315" s="74" t="s">
        <v>151</v>
      </c>
      <c r="E315" s="75">
        <v>66</v>
      </c>
      <c r="F315" s="76">
        <v>12</v>
      </c>
      <c r="G315" s="77" t="s">
        <v>40</v>
      </c>
      <c r="H315" s="76">
        <v>12</v>
      </c>
      <c r="I315" s="77" t="s">
        <v>151</v>
      </c>
      <c r="J315" s="78">
        <f>2088000/144</f>
        <v>14500</v>
      </c>
      <c r="K315" s="74" t="s">
        <v>151</v>
      </c>
      <c r="L315" s="79"/>
      <c r="M315" s="79">
        <v>0.17</v>
      </c>
      <c r="N315" s="76">
        <v>13536</v>
      </c>
      <c r="O315" s="77" t="s">
        <v>151</v>
      </c>
      <c r="P315" s="71">
        <f t="shared" si="261"/>
        <v>0</v>
      </c>
      <c r="Q315" s="77" t="s">
        <v>151</v>
      </c>
      <c r="R315" s="78">
        <f t="shared" si="262"/>
        <v>0</v>
      </c>
      <c r="S315" s="78">
        <f t="shared" si="189"/>
        <v>0</v>
      </c>
    </row>
    <row r="316" spans="1:19" s="19" customFormat="1" x14ac:dyDescent="0.2">
      <c r="A316" s="134" t="s">
        <v>163</v>
      </c>
      <c r="B316" s="19" t="s">
        <v>25</v>
      </c>
      <c r="C316" s="20"/>
      <c r="D316" s="21" t="s">
        <v>151</v>
      </c>
      <c r="E316" s="26">
        <v>19</v>
      </c>
      <c r="F316" s="22">
        <v>12</v>
      </c>
      <c r="G316" s="23" t="s">
        <v>40</v>
      </c>
      <c r="H316" s="22">
        <v>12</v>
      </c>
      <c r="I316" s="23" t="s">
        <v>151</v>
      </c>
      <c r="J316" s="24">
        <f>2088000/144</f>
        <v>14500</v>
      </c>
      <c r="K316" s="21" t="s">
        <v>151</v>
      </c>
      <c r="L316" s="25">
        <v>0.05</v>
      </c>
      <c r="M316" s="25">
        <v>0.17</v>
      </c>
      <c r="N316" s="22">
        <f>2736-1152</f>
        <v>1584</v>
      </c>
      <c r="O316" s="23" t="s">
        <v>151</v>
      </c>
      <c r="P316" s="20">
        <f t="shared" ref="P316" si="263">(C316+(E316*F316*H316))-N316</f>
        <v>1152</v>
      </c>
      <c r="Q316" s="23" t="s">
        <v>151</v>
      </c>
      <c r="R316" s="24">
        <f t="shared" ref="R316" si="264">P316*(J316-(J316*L316)-((J316-(J316*L316))*M316))</f>
        <v>13171104</v>
      </c>
      <c r="S316" s="24">
        <f t="shared" ref="S316" si="265">R316/1.11</f>
        <v>11865859.459459458</v>
      </c>
    </row>
    <row r="317" spans="1:19" s="73" customFormat="1" x14ac:dyDescent="0.2">
      <c r="A317" s="72" t="s">
        <v>164</v>
      </c>
      <c r="B317" s="73" t="s">
        <v>25</v>
      </c>
      <c r="C317" s="71">
        <v>648</v>
      </c>
      <c r="D317" s="74" t="s">
        <v>151</v>
      </c>
      <c r="E317" s="75">
        <v>29</v>
      </c>
      <c r="F317" s="76">
        <v>6</v>
      </c>
      <c r="G317" s="77" t="s">
        <v>40</v>
      </c>
      <c r="H317" s="76">
        <v>12</v>
      </c>
      <c r="I317" s="77" t="s">
        <v>151</v>
      </c>
      <c r="J317" s="78">
        <f>1944000/72</f>
        <v>27000</v>
      </c>
      <c r="K317" s="74" t="s">
        <v>151</v>
      </c>
      <c r="L317" s="79"/>
      <c r="M317" s="79">
        <v>0.17</v>
      </c>
      <c r="N317" s="76">
        <v>2736</v>
      </c>
      <c r="O317" s="77" t="s">
        <v>151</v>
      </c>
      <c r="P317" s="71">
        <f t="shared" si="261"/>
        <v>0</v>
      </c>
      <c r="Q317" s="77" t="s">
        <v>151</v>
      </c>
      <c r="R317" s="78">
        <f t="shared" si="262"/>
        <v>0</v>
      </c>
      <c r="S317" s="78">
        <f t="shared" si="189"/>
        <v>0</v>
      </c>
    </row>
    <row r="318" spans="1:19" s="73" customFormat="1" x14ac:dyDescent="0.2">
      <c r="A318" s="72" t="s">
        <v>165</v>
      </c>
      <c r="B318" s="73" t="s">
        <v>25</v>
      </c>
      <c r="C318" s="71">
        <v>672</v>
      </c>
      <c r="D318" s="74" t="s">
        <v>151</v>
      </c>
      <c r="E318" s="75">
        <v>26</v>
      </c>
      <c r="F318" s="76">
        <v>8</v>
      </c>
      <c r="G318" s="77" t="s">
        <v>33</v>
      </c>
      <c r="H318" s="76">
        <v>6</v>
      </c>
      <c r="I318" s="77" t="s">
        <v>151</v>
      </c>
      <c r="J318" s="78">
        <f>1632000/8/6</f>
        <v>34000</v>
      </c>
      <c r="K318" s="74" t="s">
        <v>151</v>
      </c>
      <c r="L318" s="79"/>
      <c r="M318" s="79">
        <v>0.17</v>
      </c>
      <c r="N318" s="76">
        <v>1920</v>
      </c>
      <c r="O318" s="77" t="s">
        <v>151</v>
      </c>
      <c r="P318" s="71">
        <f t="shared" si="261"/>
        <v>0</v>
      </c>
      <c r="Q318" s="77" t="s">
        <v>151</v>
      </c>
      <c r="R318" s="78">
        <f t="shared" si="262"/>
        <v>0</v>
      </c>
      <c r="S318" s="78">
        <f t="shared" si="189"/>
        <v>0</v>
      </c>
    </row>
    <row r="319" spans="1:19" s="73" customFormat="1" x14ac:dyDescent="0.2">
      <c r="A319" s="72" t="s">
        <v>166</v>
      </c>
      <c r="B319" s="73" t="s">
        <v>25</v>
      </c>
      <c r="C319" s="71">
        <v>180</v>
      </c>
      <c r="D319" s="74" t="s">
        <v>151</v>
      </c>
      <c r="E319" s="75">
        <v>25</v>
      </c>
      <c r="F319" s="76">
        <v>6</v>
      </c>
      <c r="G319" s="77" t="s">
        <v>33</v>
      </c>
      <c r="H319" s="76">
        <v>6</v>
      </c>
      <c r="I319" s="77" t="s">
        <v>151</v>
      </c>
      <c r="J319" s="78">
        <f>1710000/6/6</f>
        <v>47500</v>
      </c>
      <c r="K319" s="74" t="s">
        <v>151</v>
      </c>
      <c r="L319" s="79"/>
      <c r="M319" s="79">
        <v>0.17</v>
      </c>
      <c r="N319" s="76">
        <v>1080</v>
      </c>
      <c r="O319" s="77" t="s">
        <v>151</v>
      </c>
      <c r="P319" s="71">
        <f t="shared" si="261"/>
        <v>0</v>
      </c>
      <c r="Q319" s="77" t="s">
        <v>151</v>
      </c>
      <c r="R319" s="78">
        <f t="shared" si="262"/>
        <v>0</v>
      </c>
      <c r="S319" s="78">
        <f t="shared" si="189"/>
        <v>0</v>
      </c>
    </row>
    <row r="320" spans="1:19" s="73" customFormat="1" x14ac:dyDescent="0.2">
      <c r="A320" s="72" t="s">
        <v>167</v>
      </c>
      <c r="B320" s="73" t="s">
        <v>25</v>
      </c>
      <c r="C320" s="71">
        <v>30</v>
      </c>
      <c r="D320" s="74" t="s">
        <v>151</v>
      </c>
      <c r="E320" s="75">
        <v>16</v>
      </c>
      <c r="F320" s="76">
        <v>4</v>
      </c>
      <c r="G320" s="77" t="s">
        <v>33</v>
      </c>
      <c r="H320" s="76">
        <v>6</v>
      </c>
      <c r="I320" s="77" t="s">
        <v>151</v>
      </c>
      <c r="J320" s="78">
        <f>1656000/4/6</f>
        <v>69000</v>
      </c>
      <c r="K320" s="74" t="s">
        <v>151</v>
      </c>
      <c r="L320" s="79"/>
      <c r="M320" s="79">
        <v>0.17</v>
      </c>
      <c r="N320" s="76">
        <v>414</v>
      </c>
      <c r="O320" s="77" t="s">
        <v>151</v>
      </c>
      <c r="P320" s="71">
        <f t="shared" si="261"/>
        <v>0</v>
      </c>
      <c r="Q320" s="77" t="s">
        <v>151</v>
      </c>
      <c r="R320" s="78">
        <f t="shared" si="262"/>
        <v>0</v>
      </c>
      <c r="S320" s="78">
        <f t="shared" si="189"/>
        <v>0</v>
      </c>
    </row>
    <row r="321" spans="1:19" s="73" customFormat="1" x14ac:dyDescent="0.2">
      <c r="A321" s="72" t="s">
        <v>168</v>
      </c>
      <c r="B321" s="73" t="s">
        <v>25</v>
      </c>
      <c r="C321" s="71">
        <v>42</v>
      </c>
      <c r="D321" s="74" t="s">
        <v>151</v>
      </c>
      <c r="E321" s="75">
        <v>27</v>
      </c>
      <c r="F321" s="76">
        <v>4</v>
      </c>
      <c r="G321" s="77" t="s">
        <v>33</v>
      </c>
      <c r="H321" s="76">
        <v>6</v>
      </c>
      <c r="I321" s="77" t="s">
        <v>151</v>
      </c>
      <c r="J321" s="78">
        <f>1824000/4/6</f>
        <v>76000</v>
      </c>
      <c r="K321" s="74" t="s">
        <v>151</v>
      </c>
      <c r="L321" s="79"/>
      <c r="M321" s="79">
        <v>0.17</v>
      </c>
      <c r="N321" s="76">
        <v>690</v>
      </c>
      <c r="O321" s="77" t="s">
        <v>151</v>
      </c>
      <c r="P321" s="71">
        <f t="shared" si="261"/>
        <v>0</v>
      </c>
      <c r="Q321" s="77" t="s">
        <v>151</v>
      </c>
      <c r="R321" s="78">
        <f t="shared" si="262"/>
        <v>0</v>
      </c>
      <c r="S321" s="78">
        <f t="shared" si="189"/>
        <v>0</v>
      </c>
    </row>
    <row r="322" spans="1:19" s="73" customFormat="1" x14ac:dyDescent="0.2">
      <c r="A322" s="72"/>
      <c r="C322" s="71"/>
      <c r="D322" s="74"/>
      <c r="E322" s="75"/>
      <c r="F322" s="76"/>
      <c r="G322" s="77"/>
      <c r="H322" s="76"/>
      <c r="I322" s="77"/>
      <c r="J322" s="78"/>
      <c r="K322" s="74"/>
      <c r="L322" s="79"/>
      <c r="M322" s="79"/>
      <c r="N322" s="76"/>
      <c r="O322" s="77"/>
      <c r="P322" s="71"/>
      <c r="Q322" s="77"/>
      <c r="R322" s="78"/>
      <c r="S322" s="78"/>
    </row>
    <row r="323" spans="1:19" s="90" customFormat="1" x14ac:dyDescent="0.2">
      <c r="A323" s="199" t="s">
        <v>169</v>
      </c>
      <c r="C323" s="91"/>
      <c r="D323" s="92"/>
      <c r="E323" s="93"/>
      <c r="F323" s="94"/>
      <c r="G323" s="95"/>
      <c r="H323" s="94"/>
      <c r="I323" s="95"/>
      <c r="J323" s="96"/>
      <c r="K323" s="92"/>
      <c r="L323" s="97"/>
      <c r="M323" s="97"/>
      <c r="N323" s="94"/>
      <c r="O323" s="95"/>
      <c r="P323" s="91"/>
      <c r="Q323" s="95"/>
      <c r="R323" s="96"/>
      <c r="S323" s="96"/>
    </row>
    <row r="324" spans="1:19" s="73" customFormat="1" x14ac:dyDescent="0.2">
      <c r="A324" s="72" t="s">
        <v>170</v>
      </c>
      <c r="B324" s="73" t="s">
        <v>171</v>
      </c>
      <c r="C324" s="71"/>
      <c r="D324" s="74" t="s">
        <v>151</v>
      </c>
      <c r="E324" s="75"/>
      <c r="F324" s="76">
        <v>1</v>
      </c>
      <c r="G324" s="77" t="s">
        <v>20</v>
      </c>
      <c r="H324" s="76">
        <v>144</v>
      </c>
      <c r="I324" s="77" t="s">
        <v>151</v>
      </c>
      <c r="J324" s="78">
        <v>14000</v>
      </c>
      <c r="K324" s="74" t="s">
        <v>151</v>
      </c>
      <c r="L324" s="79">
        <v>0.05</v>
      </c>
      <c r="M324" s="79">
        <v>0.03</v>
      </c>
      <c r="N324" s="76">
        <v>0</v>
      </c>
      <c r="O324" s="77" t="s">
        <v>151</v>
      </c>
      <c r="P324" s="71">
        <f>(C324+(E324*F324*H324))-N324</f>
        <v>0</v>
      </c>
      <c r="Q324" s="77" t="s">
        <v>151</v>
      </c>
      <c r="R324" s="78">
        <f>P324*(J324-(J324*L324)-((J324-(J324*L324))*M324))</f>
        <v>0</v>
      </c>
      <c r="S324" s="78">
        <f t="shared" si="189"/>
        <v>0</v>
      </c>
    </row>
    <row r="325" spans="1:19" s="73" customFormat="1" x14ac:dyDescent="0.2">
      <c r="A325" s="72"/>
      <c r="C325" s="71"/>
      <c r="D325" s="74"/>
      <c r="E325" s="75"/>
      <c r="F325" s="76"/>
      <c r="G325" s="77"/>
      <c r="H325" s="76"/>
      <c r="I325" s="77"/>
      <c r="J325" s="78"/>
      <c r="K325" s="74"/>
      <c r="L325" s="79"/>
      <c r="M325" s="79"/>
      <c r="N325" s="76"/>
      <c r="O325" s="77"/>
      <c r="P325" s="71"/>
      <c r="Q325" s="77"/>
      <c r="R325" s="78"/>
      <c r="S325" s="78"/>
    </row>
    <row r="326" spans="1:19" s="73" customFormat="1" x14ac:dyDescent="0.2">
      <c r="A326" s="72" t="s">
        <v>172</v>
      </c>
      <c r="B326" s="73" t="s">
        <v>18</v>
      </c>
      <c r="C326" s="71">
        <f>360+324</f>
        <v>684</v>
      </c>
      <c r="D326" s="74" t="s">
        <v>151</v>
      </c>
      <c r="E326" s="75">
        <v>37</v>
      </c>
      <c r="F326" s="76">
        <v>12</v>
      </c>
      <c r="G326" s="77" t="s">
        <v>33</v>
      </c>
      <c r="H326" s="76">
        <v>12</v>
      </c>
      <c r="I326" s="77" t="s">
        <v>151</v>
      </c>
      <c r="J326" s="78">
        <v>18600</v>
      </c>
      <c r="K326" s="74" t="s">
        <v>151</v>
      </c>
      <c r="L326" s="79">
        <v>0.125</v>
      </c>
      <c r="M326" s="79">
        <v>0.05</v>
      </c>
      <c r="N326" s="76">
        <v>6012</v>
      </c>
      <c r="O326" s="77" t="s">
        <v>151</v>
      </c>
      <c r="P326" s="71">
        <f t="shared" ref="P326:P331" si="266">(C326+(E326*F326*H326))-N326</f>
        <v>0</v>
      </c>
      <c r="Q326" s="77" t="s">
        <v>151</v>
      </c>
      <c r="R326" s="78">
        <f t="shared" ref="R326:R331" si="267">P326*(J326-(J326*L326)-((J326-(J326*L326))*M326))</f>
        <v>0</v>
      </c>
      <c r="S326" s="78">
        <f t="shared" si="189"/>
        <v>0</v>
      </c>
    </row>
    <row r="327" spans="1:19" s="73" customFormat="1" x14ac:dyDescent="0.2">
      <c r="A327" s="184" t="s">
        <v>172</v>
      </c>
      <c r="B327" s="73" t="s">
        <v>18</v>
      </c>
      <c r="C327" s="71"/>
      <c r="D327" s="74" t="s">
        <v>151</v>
      </c>
      <c r="E327" s="75">
        <v>3</v>
      </c>
      <c r="F327" s="76">
        <v>12</v>
      </c>
      <c r="G327" s="77" t="s">
        <v>33</v>
      </c>
      <c r="H327" s="76">
        <v>12</v>
      </c>
      <c r="I327" s="77" t="s">
        <v>151</v>
      </c>
      <c r="J327" s="78">
        <v>18600</v>
      </c>
      <c r="K327" s="74" t="s">
        <v>151</v>
      </c>
      <c r="L327" s="79">
        <v>0.125</v>
      </c>
      <c r="M327" s="79">
        <v>0.1</v>
      </c>
      <c r="N327" s="76">
        <v>432</v>
      </c>
      <c r="O327" s="77" t="s">
        <v>151</v>
      </c>
      <c r="P327" s="71">
        <f t="shared" si="266"/>
        <v>0</v>
      </c>
      <c r="Q327" s="77" t="s">
        <v>151</v>
      </c>
      <c r="R327" s="78">
        <f t="shared" si="267"/>
        <v>0</v>
      </c>
      <c r="S327" s="78">
        <f t="shared" ref="S327" si="268">R327/1.11</f>
        <v>0</v>
      </c>
    </row>
    <row r="328" spans="1:19" s="73" customFormat="1" x14ac:dyDescent="0.2">
      <c r="A328" s="72" t="s">
        <v>908</v>
      </c>
      <c r="B328" s="73" t="s">
        <v>18</v>
      </c>
      <c r="C328" s="71"/>
      <c r="D328" s="74" t="s">
        <v>151</v>
      </c>
      <c r="E328" s="75">
        <v>7</v>
      </c>
      <c r="F328" s="76">
        <v>6</v>
      </c>
      <c r="G328" s="77" t="s">
        <v>33</v>
      </c>
      <c r="H328" s="76">
        <v>12</v>
      </c>
      <c r="I328" s="77" t="s">
        <v>151</v>
      </c>
      <c r="J328" s="78">
        <v>37200</v>
      </c>
      <c r="K328" s="74" t="s">
        <v>151</v>
      </c>
      <c r="L328" s="79">
        <v>0.125</v>
      </c>
      <c r="M328" s="79">
        <v>0.05</v>
      </c>
      <c r="N328" s="76">
        <v>504</v>
      </c>
      <c r="O328" s="77" t="s">
        <v>151</v>
      </c>
      <c r="P328" s="71">
        <f t="shared" si="266"/>
        <v>0</v>
      </c>
      <c r="Q328" s="77" t="s">
        <v>151</v>
      </c>
      <c r="R328" s="78">
        <f t="shared" si="267"/>
        <v>0</v>
      </c>
      <c r="S328" s="78">
        <f t="shared" ref="S328" si="269">R328/1.11</f>
        <v>0</v>
      </c>
    </row>
    <row r="329" spans="1:19" s="73" customFormat="1" x14ac:dyDescent="0.2">
      <c r="A329" s="72" t="s">
        <v>173</v>
      </c>
      <c r="B329" s="73" t="s">
        <v>18</v>
      </c>
      <c r="C329" s="71">
        <v>144</v>
      </c>
      <c r="D329" s="74" t="s">
        <v>151</v>
      </c>
      <c r="E329" s="75">
        <v>41</v>
      </c>
      <c r="F329" s="76">
        <v>12</v>
      </c>
      <c r="G329" s="77" t="s">
        <v>33</v>
      </c>
      <c r="H329" s="76">
        <v>12</v>
      </c>
      <c r="I329" s="77" t="s">
        <v>151</v>
      </c>
      <c r="J329" s="78">
        <v>23900</v>
      </c>
      <c r="K329" s="74" t="s">
        <v>151</v>
      </c>
      <c r="L329" s="79">
        <v>0.125</v>
      </c>
      <c r="M329" s="79">
        <v>0.05</v>
      </c>
      <c r="N329" s="76">
        <v>6048</v>
      </c>
      <c r="O329" s="77" t="s">
        <v>151</v>
      </c>
      <c r="P329" s="71">
        <f t="shared" si="266"/>
        <v>0</v>
      </c>
      <c r="Q329" s="77" t="s">
        <v>151</v>
      </c>
      <c r="R329" s="78">
        <f t="shared" si="267"/>
        <v>0</v>
      </c>
      <c r="S329" s="78">
        <f t="shared" si="189"/>
        <v>0</v>
      </c>
    </row>
    <row r="330" spans="1:19" s="73" customFormat="1" x14ac:dyDescent="0.2">
      <c r="A330" s="184" t="s">
        <v>173</v>
      </c>
      <c r="B330" s="73" t="s">
        <v>18</v>
      </c>
      <c r="C330" s="71"/>
      <c r="D330" s="74" t="s">
        <v>151</v>
      </c>
      <c r="E330" s="75">
        <v>11</v>
      </c>
      <c r="F330" s="76">
        <v>12</v>
      </c>
      <c r="G330" s="77" t="s">
        <v>33</v>
      </c>
      <c r="H330" s="76">
        <v>12</v>
      </c>
      <c r="I330" s="77" t="s">
        <v>151</v>
      </c>
      <c r="J330" s="78">
        <v>23900</v>
      </c>
      <c r="K330" s="74" t="s">
        <v>151</v>
      </c>
      <c r="L330" s="79">
        <v>0.125</v>
      </c>
      <c r="M330" s="79">
        <v>0.1</v>
      </c>
      <c r="N330" s="76">
        <v>1584</v>
      </c>
      <c r="O330" s="77" t="s">
        <v>151</v>
      </c>
      <c r="P330" s="71">
        <f t="shared" si="266"/>
        <v>0</v>
      </c>
      <c r="Q330" s="77" t="s">
        <v>151</v>
      </c>
      <c r="R330" s="78">
        <f t="shared" si="267"/>
        <v>0</v>
      </c>
      <c r="S330" s="78">
        <f t="shared" ref="S330" si="270">R330/1.11</f>
        <v>0</v>
      </c>
    </row>
    <row r="331" spans="1:19" s="73" customFormat="1" x14ac:dyDescent="0.2">
      <c r="A331" s="72" t="s">
        <v>174</v>
      </c>
      <c r="B331" s="73" t="s">
        <v>18</v>
      </c>
      <c r="C331" s="71">
        <v>72</v>
      </c>
      <c r="D331" s="74" t="s">
        <v>151</v>
      </c>
      <c r="E331" s="75">
        <v>11</v>
      </c>
      <c r="F331" s="76">
        <v>12</v>
      </c>
      <c r="G331" s="77" t="s">
        <v>33</v>
      </c>
      <c r="H331" s="76">
        <v>6</v>
      </c>
      <c r="I331" s="77" t="s">
        <v>151</v>
      </c>
      <c r="J331" s="78">
        <v>47800</v>
      </c>
      <c r="K331" s="74" t="s">
        <v>151</v>
      </c>
      <c r="L331" s="79">
        <v>0.125</v>
      </c>
      <c r="M331" s="79">
        <v>0.05</v>
      </c>
      <c r="N331" s="76">
        <v>864</v>
      </c>
      <c r="O331" s="77" t="s">
        <v>151</v>
      </c>
      <c r="P331" s="71">
        <f t="shared" si="266"/>
        <v>0</v>
      </c>
      <c r="Q331" s="77" t="s">
        <v>151</v>
      </c>
      <c r="R331" s="78">
        <f t="shared" si="267"/>
        <v>0</v>
      </c>
      <c r="S331" s="78">
        <f t="shared" ref="S331" si="271">R331/1.11</f>
        <v>0</v>
      </c>
    </row>
    <row r="332" spans="1:19" s="73" customFormat="1" x14ac:dyDescent="0.2">
      <c r="A332" s="72"/>
      <c r="C332" s="71"/>
      <c r="D332" s="74"/>
      <c r="E332" s="75"/>
      <c r="F332" s="76"/>
      <c r="G332" s="77"/>
      <c r="H332" s="76"/>
      <c r="I332" s="77"/>
      <c r="J332" s="78"/>
      <c r="K332" s="74"/>
      <c r="L332" s="79"/>
      <c r="M332" s="79"/>
      <c r="N332" s="76"/>
      <c r="O332" s="77"/>
      <c r="P332" s="71"/>
      <c r="Q332" s="77"/>
      <c r="R332" s="78"/>
      <c r="S332" s="78"/>
    </row>
    <row r="333" spans="1:19" s="73" customFormat="1" x14ac:dyDescent="0.2">
      <c r="A333" s="72" t="s">
        <v>175</v>
      </c>
      <c r="B333" s="73" t="s">
        <v>25</v>
      </c>
      <c r="C333" s="71"/>
      <c r="D333" s="74" t="s">
        <v>151</v>
      </c>
      <c r="E333" s="75"/>
      <c r="F333" s="76">
        <v>12</v>
      </c>
      <c r="G333" s="77" t="s">
        <v>40</v>
      </c>
      <c r="H333" s="76">
        <v>12</v>
      </c>
      <c r="I333" s="77" t="s">
        <v>151</v>
      </c>
      <c r="J333" s="78">
        <f>2592000/12/12</f>
        <v>18000</v>
      </c>
      <c r="K333" s="74" t="s">
        <v>151</v>
      </c>
      <c r="L333" s="79"/>
      <c r="M333" s="79">
        <v>0.17</v>
      </c>
      <c r="N333" s="76">
        <v>0</v>
      </c>
      <c r="O333" s="77" t="s">
        <v>151</v>
      </c>
      <c r="P333" s="71">
        <f t="shared" ref="P333:P338" si="272">(C333+(E333*F333*H333))-N333</f>
        <v>0</v>
      </c>
      <c r="Q333" s="77" t="s">
        <v>151</v>
      </c>
      <c r="R333" s="78">
        <f t="shared" ref="R333:R338" si="273">P333*(J333-(J333*L333)-((J333-(J333*L333))*M333))</f>
        <v>0</v>
      </c>
      <c r="S333" s="78">
        <f t="shared" si="189"/>
        <v>0</v>
      </c>
    </row>
    <row r="334" spans="1:19" s="73" customFormat="1" x14ac:dyDescent="0.2">
      <c r="A334" s="72" t="s">
        <v>176</v>
      </c>
      <c r="B334" s="73" t="s">
        <v>25</v>
      </c>
      <c r="C334" s="71"/>
      <c r="D334" s="74" t="s">
        <v>151</v>
      </c>
      <c r="E334" s="75"/>
      <c r="F334" s="76">
        <v>8</v>
      </c>
      <c r="G334" s="77" t="s">
        <v>40</v>
      </c>
      <c r="H334" s="76">
        <v>12</v>
      </c>
      <c r="I334" s="77" t="s">
        <v>151</v>
      </c>
      <c r="J334" s="78">
        <v>24500</v>
      </c>
      <c r="K334" s="74" t="s">
        <v>151</v>
      </c>
      <c r="L334" s="79"/>
      <c r="M334" s="79">
        <v>0.17</v>
      </c>
      <c r="N334" s="76">
        <v>0</v>
      </c>
      <c r="O334" s="77" t="s">
        <v>151</v>
      </c>
      <c r="P334" s="71">
        <f t="shared" si="272"/>
        <v>0</v>
      </c>
      <c r="Q334" s="77" t="s">
        <v>151</v>
      </c>
      <c r="R334" s="78">
        <f t="shared" si="273"/>
        <v>0</v>
      </c>
      <c r="S334" s="78">
        <f t="shared" si="189"/>
        <v>0</v>
      </c>
    </row>
    <row r="335" spans="1:19" s="73" customFormat="1" x14ac:dyDescent="0.2">
      <c r="A335" s="187" t="s">
        <v>177</v>
      </c>
      <c r="B335" s="73" t="s">
        <v>25</v>
      </c>
      <c r="C335" s="71">
        <v>288</v>
      </c>
      <c r="D335" s="74" t="s">
        <v>151</v>
      </c>
      <c r="E335" s="75"/>
      <c r="F335" s="76">
        <v>12</v>
      </c>
      <c r="G335" s="77" t="s">
        <v>40</v>
      </c>
      <c r="H335" s="76">
        <v>12</v>
      </c>
      <c r="I335" s="77" t="s">
        <v>151</v>
      </c>
      <c r="J335" s="78">
        <f>3888000/144</f>
        <v>27000</v>
      </c>
      <c r="K335" s="74" t="s">
        <v>151</v>
      </c>
      <c r="L335" s="188">
        <v>0.05</v>
      </c>
      <c r="M335" s="79">
        <v>0.17</v>
      </c>
      <c r="N335" s="76">
        <v>288</v>
      </c>
      <c r="O335" s="77" t="s">
        <v>151</v>
      </c>
      <c r="P335" s="71">
        <f t="shared" si="272"/>
        <v>0</v>
      </c>
      <c r="Q335" s="77" t="s">
        <v>151</v>
      </c>
      <c r="R335" s="78">
        <f t="shared" si="273"/>
        <v>0</v>
      </c>
      <c r="S335" s="78">
        <f t="shared" si="189"/>
        <v>0</v>
      </c>
    </row>
    <row r="336" spans="1:19" s="73" customFormat="1" x14ac:dyDescent="0.2">
      <c r="A336" s="187" t="s">
        <v>177</v>
      </c>
      <c r="B336" s="73" t="s">
        <v>25</v>
      </c>
      <c r="C336" s="71"/>
      <c r="D336" s="74" t="s">
        <v>151</v>
      </c>
      <c r="E336" s="75">
        <v>5</v>
      </c>
      <c r="F336" s="76">
        <v>12</v>
      </c>
      <c r="G336" s="77" t="s">
        <v>40</v>
      </c>
      <c r="H336" s="76">
        <v>12</v>
      </c>
      <c r="I336" s="77" t="s">
        <v>151</v>
      </c>
      <c r="J336" s="78">
        <f>3888000/144</f>
        <v>27000</v>
      </c>
      <c r="K336" s="74" t="s">
        <v>151</v>
      </c>
      <c r="L336" s="188"/>
      <c r="M336" s="79">
        <v>0.17</v>
      </c>
      <c r="N336" s="76">
        <v>720</v>
      </c>
      <c r="O336" s="77" t="s">
        <v>151</v>
      </c>
      <c r="P336" s="71">
        <f t="shared" si="272"/>
        <v>0</v>
      </c>
      <c r="Q336" s="77" t="s">
        <v>151</v>
      </c>
      <c r="R336" s="78">
        <f t="shared" si="273"/>
        <v>0</v>
      </c>
      <c r="S336" s="78">
        <f t="shared" ref="S336" si="274">R336/1.11</f>
        <v>0</v>
      </c>
    </row>
    <row r="337" spans="1:19" s="73" customFormat="1" x14ac:dyDescent="0.2">
      <c r="A337" s="72" t="s">
        <v>986</v>
      </c>
      <c r="B337" s="73" t="s">
        <v>25</v>
      </c>
      <c r="C337" s="71"/>
      <c r="D337" s="74" t="s">
        <v>151</v>
      </c>
      <c r="E337" s="75">
        <v>12</v>
      </c>
      <c r="F337" s="76">
        <v>6</v>
      </c>
      <c r="G337" s="77" t="s">
        <v>40</v>
      </c>
      <c r="H337" s="76">
        <v>12</v>
      </c>
      <c r="I337" s="77" t="s">
        <v>151</v>
      </c>
      <c r="J337" s="78">
        <v>50000</v>
      </c>
      <c r="K337" s="74" t="s">
        <v>151</v>
      </c>
      <c r="L337" s="79"/>
      <c r="M337" s="79">
        <v>0.17</v>
      </c>
      <c r="N337" s="76">
        <v>864</v>
      </c>
      <c r="O337" s="77" t="s">
        <v>151</v>
      </c>
      <c r="P337" s="71">
        <f t="shared" si="272"/>
        <v>0</v>
      </c>
      <c r="Q337" s="77" t="s">
        <v>151</v>
      </c>
      <c r="R337" s="78">
        <f t="shared" si="273"/>
        <v>0</v>
      </c>
      <c r="S337" s="78">
        <f t="shared" ref="S337" si="275">R337/1.11</f>
        <v>0</v>
      </c>
    </row>
    <row r="338" spans="1:19" s="73" customFormat="1" x14ac:dyDescent="0.2">
      <c r="A338" s="72" t="s">
        <v>178</v>
      </c>
      <c r="B338" s="73" t="s">
        <v>25</v>
      </c>
      <c r="C338" s="71"/>
      <c r="D338" s="74" t="s">
        <v>151</v>
      </c>
      <c r="E338" s="75"/>
      <c r="F338" s="76">
        <v>6</v>
      </c>
      <c r="G338" s="77" t="s">
        <v>40</v>
      </c>
      <c r="H338" s="76">
        <v>12</v>
      </c>
      <c r="I338" s="77" t="s">
        <v>151</v>
      </c>
      <c r="J338" s="78">
        <v>36000</v>
      </c>
      <c r="K338" s="74" t="s">
        <v>151</v>
      </c>
      <c r="L338" s="79">
        <v>0.05</v>
      </c>
      <c r="M338" s="79">
        <v>0.17</v>
      </c>
      <c r="N338" s="76">
        <v>0</v>
      </c>
      <c r="O338" s="77" t="s">
        <v>151</v>
      </c>
      <c r="P338" s="71">
        <f t="shared" si="272"/>
        <v>0</v>
      </c>
      <c r="Q338" s="77" t="s">
        <v>151</v>
      </c>
      <c r="R338" s="78">
        <f t="shared" si="273"/>
        <v>0</v>
      </c>
      <c r="S338" s="78">
        <f t="shared" si="189"/>
        <v>0</v>
      </c>
    </row>
    <row r="339" spans="1:19" s="73" customFormat="1" x14ac:dyDescent="0.2">
      <c r="A339" s="72"/>
      <c r="C339" s="71"/>
      <c r="D339" s="74"/>
      <c r="E339" s="75"/>
      <c r="F339" s="76"/>
      <c r="G339" s="77"/>
      <c r="H339" s="76"/>
      <c r="I339" s="77"/>
      <c r="J339" s="78"/>
      <c r="K339" s="74"/>
      <c r="L339" s="79"/>
      <c r="M339" s="79"/>
      <c r="N339" s="76"/>
      <c r="O339" s="77"/>
      <c r="P339" s="71"/>
      <c r="Q339" s="77"/>
      <c r="R339" s="78"/>
      <c r="S339" s="78"/>
    </row>
    <row r="340" spans="1:19" s="90" customFormat="1" x14ac:dyDescent="0.2">
      <c r="A340" s="199" t="s">
        <v>179</v>
      </c>
      <c r="C340" s="91"/>
      <c r="D340" s="92"/>
      <c r="E340" s="93"/>
      <c r="F340" s="94"/>
      <c r="G340" s="95"/>
      <c r="H340" s="94"/>
      <c r="I340" s="95"/>
      <c r="J340" s="96"/>
      <c r="K340" s="92"/>
      <c r="L340" s="97"/>
      <c r="M340" s="97"/>
      <c r="N340" s="94"/>
      <c r="O340" s="95"/>
      <c r="P340" s="91"/>
      <c r="Q340" s="95"/>
      <c r="R340" s="96"/>
      <c r="S340" s="96"/>
    </row>
    <row r="341" spans="1:19" s="73" customFormat="1" x14ac:dyDescent="0.2">
      <c r="A341" s="72" t="s">
        <v>180</v>
      </c>
      <c r="B341" s="73" t="s">
        <v>181</v>
      </c>
      <c r="C341" s="71"/>
      <c r="D341" s="74" t="s">
        <v>40</v>
      </c>
      <c r="E341" s="75"/>
      <c r="F341" s="76">
        <v>1</v>
      </c>
      <c r="G341" s="77" t="s">
        <v>20</v>
      </c>
      <c r="H341" s="76">
        <v>5</v>
      </c>
      <c r="I341" s="77" t="s">
        <v>40</v>
      </c>
      <c r="J341" s="78">
        <v>475000</v>
      </c>
      <c r="K341" s="74" t="s">
        <v>40</v>
      </c>
      <c r="L341" s="79"/>
      <c r="M341" s="79"/>
      <c r="N341" s="76">
        <v>0</v>
      </c>
      <c r="O341" s="77" t="s">
        <v>40</v>
      </c>
      <c r="P341" s="71">
        <f>(C341+(E341*F341*H341))-N341</f>
        <v>0</v>
      </c>
      <c r="Q341" s="77" t="s">
        <v>40</v>
      </c>
      <c r="R341" s="78">
        <f>P341*(J341-(J341*L341)-((J341-(J341*L341))*M341))</f>
        <v>0</v>
      </c>
      <c r="S341" s="78">
        <f t="shared" si="189"/>
        <v>0</v>
      </c>
    </row>
    <row r="342" spans="1:19" s="73" customFormat="1" x14ac:dyDescent="0.2">
      <c r="A342" s="72"/>
      <c r="C342" s="71"/>
      <c r="D342" s="74"/>
      <c r="E342" s="75"/>
      <c r="F342" s="76"/>
      <c r="G342" s="77"/>
      <c r="H342" s="76"/>
      <c r="I342" s="77"/>
      <c r="J342" s="78"/>
      <c r="K342" s="74"/>
      <c r="L342" s="79"/>
      <c r="M342" s="79"/>
      <c r="N342" s="76"/>
      <c r="O342" s="77"/>
      <c r="P342" s="71"/>
      <c r="Q342" s="77"/>
      <c r="R342" s="78"/>
      <c r="S342" s="78"/>
    </row>
    <row r="343" spans="1:19" s="73" customFormat="1" x14ac:dyDescent="0.2">
      <c r="A343" s="72" t="s">
        <v>712</v>
      </c>
      <c r="B343" s="73" t="s">
        <v>18</v>
      </c>
      <c r="C343" s="71"/>
      <c r="D343" s="74" t="s">
        <v>151</v>
      </c>
      <c r="E343" s="75">
        <v>4</v>
      </c>
      <c r="F343" s="76">
        <v>8</v>
      </c>
      <c r="G343" s="77" t="s">
        <v>33</v>
      </c>
      <c r="H343" s="76">
        <v>12</v>
      </c>
      <c r="I343" s="77" t="s">
        <v>151</v>
      </c>
      <c r="J343" s="78">
        <v>26800</v>
      </c>
      <c r="K343" s="74" t="s">
        <v>151</v>
      </c>
      <c r="L343" s="79">
        <v>0.125</v>
      </c>
      <c r="M343" s="79">
        <v>0.05</v>
      </c>
      <c r="N343" s="76">
        <v>384</v>
      </c>
      <c r="O343" s="77" t="s">
        <v>151</v>
      </c>
      <c r="P343" s="71">
        <f t="shared" ref="P343:P348" si="276">(C343+(E343*F343*H343))-N343</f>
        <v>0</v>
      </c>
      <c r="Q343" s="77" t="s">
        <v>151</v>
      </c>
      <c r="R343" s="78">
        <f t="shared" ref="R343:R348" si="277">P343*(J343-(J343*L343)-((J343-(J343*L343))*M343))</f>
        <v>0</v>
      </c>
      <c r="S343" s="78">
        <f t="shared" si="189"/>
        <v>0</v>
      </c>
    </row>
    <row r="344" spans="1:19" s="73" customFormat="1" x14ac:dyDescent="0.2">
      <c r="A344" s="72" t="s">
        <v>182</v>
      </c>
      <c r="B344" s="73" t="s">
        <v>18</v>
      </c>
      <c r="C344" s="71"/>
      <c r="D344" s="74" t="s">
        <v>151</v>
      </c>
      <c r="E344" s="75"/>
      <c r="F344" s="76">
        <v>6</v>
      </c>
      <c r="G344" s="77" t="s">
        <v>33</v>
      </c>
      <c r="H344" s="76">
        <v>12</v>
      </c>
      <c r="I344" s="77" t="s">
        <v>151</v>
      </c>
      <c r="J344" s="78">
        <v>41500</v>
      </c>
      <c r="K344" s="74" t="s">
        <v>151</v>
      </c>
      <c r="L344" s="79">
        <v>0.125</v>
      </c>
      <c r="M344" s="79">
        <v>0.05</v>
      </c>
      <c r="N344" s="76">
        <v>0</v>
      </c>
      <c r="O344" s="77" t="s">
        <v>151</v>
      </c>
      <c r="P344" s="71">
        <f t="shared" si="276"/>
        <v>0</v>
      </c>
      <c r="Q344" s="77" t="s">
        <v>151</v>
      </c>
      <c r="R344" s="78">
        <f t="shared" si="277"/>
        <v>0</v>
      </c>
      <c r="S344" s="78">
        <f t="shared" si="189"/>
        <v>0</v>
      </c>
    </row>
    <row r="345" spans="1:19" s="73" customFormat="1" x14ac:dyDescent="0.2">
      <c r="A345" s="72" t="s">
        <v>903</v>
      </c>
      <c r="B345" s="73" t="s">
        <v>18</v>
      </c>
      <c r="C345" s="71"/>
      <c r="D345" s="74" t="s">
        <v>151</v>
      </c>
      <c r="E345" s="75">
        <v>5</v>
      </c>
      <c r="F345" s="76">
        <v>1</v>
      </c>
      <c r="G345" s="77" t="s">
        <v>20</v>
      </c>
      <c r="H345" s="76">
        <v>108</v>
      </c>
      <c r="I345" s="77" t="s">
        <v>151</v>
      </c>
      <c r="J345" s="78">
        <v>17500</v>
      </c>
      <c r="K345" s="74" t="s">
        <v>151</v>
      </c>
      <c r="L345" s="79">
        <v>0.125</v>
      </c>
      <c r="M345" s="79">
        <v>0.1</v>
      </c>
      <c r="N345" s="76">
        <v>540</v>
      </c>
      <c r="O345" s="77" t="s">
        <v>151</v>
      </c>
      <c r="P345" s="71">
        <f t="shared" si="276"/>
        <v>0</v>
      </c>
      <c r="Q345" s="77" t="s">
        <v>151</v>
      </c>
      <c r="R345" s="78">
        <f t="shared" si="277"/>
        <v>0</v>
      </c>
      <c r="S345" s="78">
        <f t="shared" ref="S345:S346" si="278">R345/1.11</f>
        <v>0</v>
      </c>
    </row>
    <row r="346" spans="1:19" s="73" customFormat="1" x14ac:dyDescent="0.2">
      <c r="A346" s="72" t="s">
        <v>904</v>
      </c>
      <c r="B346" s="73" t="s">
        <v>18</v>
      </c>
      <c r="C346" s="71"/>
      <c r="D346" s="74" t="s">
        <v>151</v>
      </c>
      <c r="E346" s="75">
        <v>5</v>
      </c>
      <c r="F346" s="76">
        <v>1</v>
      </c>
      <c r="G346" s="77" t="s">
        <v>20</v>
      </c>
      <c r="H346" s="76">
        <v>48</v>
      </c>
      <c r="I346" s="77" t="s">
        <v>151</v>
      </c>
      <c r="J346" s="78">
        <v>35000</v>
      </c>
      <c r="K346" s="74" t="s">
        <v>151</v>
      </c>
      <c r="L346" s="79">
        <v>0.125</v>
      </c>
      <c r="M346" s="79">
        <v>0.1</v>
      </c>
      <c r="N346" s="76">
        <v>240</v>
      </c>
      <c r="O346" s="77" t="s">
        <v>151</v>
      </c>
      <c r="P346" s="71">
        <f t="shared" si="276"/>
        <v>0</v>
      </c>
      <c r="Q346" s="77" t="s">
        <v>151</v>
      </c>
      <c r="R346" s="78">
        <f t="shared" si="277"/>
        <v>0</v>
      </c>
      <c r="S346" s="78">
        <f t="shared" si="278"/>
        <v>0</v>
      </c>
    </row>
    <row r="347" spans="1:19" s="73" customFormat="1" x14ac:dyDescent="0.2">
      <c r="A347" s="72" t="s">
        <v>929</v>
      </c>
      <c r="B347" s="73" t="s">
        <v>18</v>
      </c>
      <c r="C347" s="71">
        <v>18</v>
      </c>
      <c r="D347" s="74" t="s">
        <v>151</v>
      </c>
      <c r="E347" s="75"/>
      <c r="F347" s="76">
        <v>1</v>
      </c>
      <c r="G347" s="77" t="s">
        <v>20</v>
      </c>
      <c r="H347" s="76">
        <v>18</v>
      </c>
      <c r="I347" s="77" t="s">
        <v>151</v>
      </c>
      <c r="J347" s="78">
        <v>145000</v>
      </c>
      <c r="K347" s="74" t="s">
        <v>151</v>
      </c>
      <c r="L347" s="79">
        <v>0.125</v>
      </c>
      <c r="M347" s="79">
        <v>0.05</v>
      </c>
      <c r="N347" s="76">
        <v>18</v>
      </c>
      <c r="O347" s="77" t="s">
        <v>151</v>
      </c>
      <c r="P347" s="71">
        <f t="shared" si="276"/>
        <v>0</v>
      </c>
      <c r="Q347" s="77" t="s">
        <v>151</v>
      </c>
      <c r="R347" s="78">
        <f t="shared" si="277"/>
        <v>0</v>
      </c>
      <c r="S347" s="78">
        <f t="shared" ref="S347:S348" si="279">R347/1.11</f>
        <v>0</v>
      </c>
    </row>
    <row r="348" spans="1:19" s="73" customFormat="1" x14ac:dyDescent="0.2">
      <c r="A348" s="72" t="s">
        <v>929</v>
      </c>
      <c r="B348" s="73" t="s">
        <v>18</v>
      </c>
      <c r="C348" s="71">
        <v>15</v>
      </c>
      <c r="D348" s="74" t="s">
        <v>151</v>
      </c>
      <c r="E348" s="75"/>
      <c r="F348" s="76">
        <v>1</v>
      </c>
      <c r="G348" s="77" t="s">
        <v>20</v>
      </c>
      <c r="H348" s="76">
        <v>18</v>
      </c>
      <c r="I348" s="77" t="s">
        <v>151</v>
      </c>
      <c r="J348" s="78">
        <v>145000</v>
      </c>
      <c r="K348" s="74" t="s">
        <v>151</v>
      </c>
      <c r="L348" s="79">
        <v>0.1</v>
      </c>
      <c r="M348" s="79">
        <v>0.05</v>
      </c>
      <c r="N348" s="76">
        <v>15</v>
      </c>
      <c r="O348" s="77" t="s">
        <v>151</v>
      </c>
      <c r="P348" s="71">
        <f t="shared" si="276"/>
        <v>0</v>
      </c>
      <c r="Q348" s="77" t="s">
        <v>151</v>
      </c>
      <c r="R348" s="78">
        <f t="shared" si="277"/>
        <v>0</v>
      </c>
      <c r="S348" s="78">
        <f t="shared" si="279"/>
        <v>0</v>
      </c>
    </row>
    <row r="349" spans="1:19" s="19" customFormat="1" x14ac:dyDescent="0.2">
      <c r="A349" s="18"/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 ht="15.75" x14ac:dyDescent="0.25">
      <c r="A350" s="35" t="s">
        <v>183</v>
      </c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19" customFormat="1" x14ac:dyDescent="0.2">
      <c r="A351" s="57" t="s">
        <v>184</v>
      </c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73" customFormat="1" x14ac:dyDescent="0.2">
      <c r="A352" s="72" t="s">
        <v>690</v>
      </c>
      <c r="B352" s="73" t="s">
        <v>18</v>
      </c>
      <c r="C352" s="71"/>
      <c r="D352" s="74" t="s">
        <v>40</v>
      </c>
      <c r="E352" s="75">
        <v>2</v>
      </c>
      <c r="F352" s="76">
        <v>1</v>
      </c>
      <c r="G352" s="77" t="s">
        <v>20</v>
      </c>
      <c r="H352" s="76">
        <v>24</v>
      </c>
      <c r="I352" s="77" t="s">
        <v>40</v>
      </c>
      <c r="J352" s="78">
        <v>27600</v>
      </c>
      <c r="K352" s="74" t="s">
        <v>40</v>
      </c>
      <c r="L352" s="79">
        <v>0.125</v>
      </c>
      <c r="M352" s="79">
        <v>0.05</v>
      </c>
      <c r="N352" s="76">
        <v>48</v>
      </c>
      <c r="O352" s="77" t="s">
        <v>40</v>
      </c>
      <c r="P352" s="71">
        <f t="shared" ref="P352:P359" si="280">(C352+(E352*F352*H352))-N352</f>
        <v>0</v>
      </c>
      <c r="Q352" s="77" t="s">
        <v>40</v>
      </c>
      <c r="R352" s="78">
        <f t="shared" ref="R352:R359" si="281">P352*(J352-(J352*L352)-((J352-(J352*L352))*M352))</f>
        <v>0</v>
      </c>
      <c r="S352" s="78">
        <f t="shared" ref="S352" si="282">R352/1.11</f>
        <v>0</v>
      </c>
    </row>
    <row r="353" spans="1:19" s="73" customFormat="1" x14ac:dyDescent="0.2">
      <c r="A353" s="72" t="s">
        <v>185</v>
      </c>
      <c r="B353" s="73" t="s">
        <v>18</v>
      </c>
      <c r="C353" s="71"/>
      <c r="D353" s="74" t="s">
        <v>40</v>
      </c>
      <c r="E353" s="75"/>
      <c r="F353" s="76">
        <v>1</v>
      </c>
      <c r="G353" s="77" t="s">
        <v>20</v>
      </c>
      <c r="H353" s="76">
        <v>24</v>
      </c>
      <c r="I353" s="77" t="s">
        <v>40</v>
      </c>
      <c r="J353" s="78">
        <v>73200</v>
      </c>
      <c r="K353" s="74" t="s">
        <v>40</v>
      </c>
      <c r="L353" s="79">
        <v>0.125</v>
      </c>
      <c r="M353" s="79">
        <v>0.05</v>
      </c>
      <c r="N353" s="76">
        <v>0</v>
      </c>
      <c r="O353" s="77" t="s">
        <v>40</v>
      </c>
      <c r="P353" s="71">
        <f t="shared" si="280"/>
        <v>0</v>
      </c>
      <c r="Q353" s="77" t="s">
        <v>40</v>
      </c>
      <c r="R353" s="78">
        <f t="shared" si="281"/>
        <v>0</v>
      </c>
      <c r="S353" s="78">
        <f t="shared" si="189"/>
        <v>0</v>
      </c>
    </row>
    <row r="354" spans="1:19" s="73" customFormat="1" x14ac:dyDescent="0.2">
      <c r="A354" s="184" t="s">
        <v>185</v>
      </c>
      <c r="B354" s="73" t="s">
        <v>18</v>
      </c>
      <c r="C354" s="71"/>
      <c r="D354" s="74" t="s">
        <v>40</v>
      </c>
      <c r="E354" s="75">
        <v>1</v>
      </c>
      <c r="F354" s="76">
        <v>1</v>
      </c>
      <c r="G354" s="77" t="s">
        <v>20</v>
      </c>
      <c r="H354" s="76">
        <v>24</v>
      </c>
      <c r="I354" s="77" t="s">
        <v>40</v>
      </c>
      <c r="J354" s="78">
        <v>76800</v>
      </c>
      <c r="K354" s="74" t="s">
        <v>40</v>
      </c>
      <c r="L354" s="79">
        <v>0.125</v>
      </c>
      <c r="M354" s="79">
        <v>0.05</v>
      </c>
      <c r="N354" s="76">
        <v>24</v>
      </c>
      <c r="O354" s="77" t="s">
        <v>40</v>
      </c>
      <c r="P354" s="71">
        <f t="shared" ref="P354" si="283">(C354+(E354*F354*H354))-N354</f>
        <v>0</v>
      </c>
      <c r="Q354" s="77" t="s">
        <v>40</v>
      </c>
      <c r="R354" s="78">
        <f t="shared" ref="R354" si="284">P354*(J354-(J354*L354)-((J354-(J354*L354))*M354))</f>
        <v>0</v>
      </c>
      <c r="S354" s="78">
        <f t="shared" ref="S354" si="285">R354/1.11</f>
        <v>0</v>
      </c>
    </row>
    <row r="355" spans="1:19" s="73" customFormat="1" x14ac:dyDescent="0.2">
      <c r="A355" s="72" t="s">
        <v>186</v>
      </c>
      <c r="B355" s="73" t="s">
        <v>18</v>
      </c>
      <c r="C355" s="71">
        <v>36</v>
      </c>
      <c r="D355" s="74" t="s">
        <v>40</v>
      </c>
      <c r="E355" s="75">
        <v>2</v>
      </c>
      <c r="F355" s="76">
        <v>1</v>
      </c>
      <c r="G355" s="77" t="s">
        <v>20</v>
      </c>
      <c r="H355" s="76">
        <v>48</v>
      </c>
      <c r="I355" s="77" t="s">
        <v>40</v>
      </c>
      <c r="J355" s="78">
        <v>51600</v>
      </c>
      <c r="K355" s="74" t="s">
        <v>40</v>
      </c>
      <c r="L355" s="79">
        <v>0.125</v>
      </c>
      <c r="M355" s="79">
        <v>0.05</v>
      </c>
      <c r="N355" s="76">
        <v>132</v>
      </c>
      <c r="O355" s="77" t="s">
        <v>40</v>
      </c>
      <c r="P355" s="71">
        <f t="shared" si="280"/>
        <v>0</v>
      </c>
      <c r="Q355" s="77" t="s">
        <v>40</v>
      </c>
      <c r="R355" s="78">
        <f t="shared" si="281"/>
        <v>0</v>
      </c>
      <c r="S355" s="78">
        <f t="shared" si="189"/>
        <v>0</v>
      </c>
    </row>
    <row r="356" spans="1:19" s="73" customFormat="1" x14ac:dyDescent="0.2">
      <c r="A356" s="72" t="s">
        <v>187</v>
      </c>
      <c r="B356" s="73" t="s">
        <v>18</v>
      </c>
      <c r="C356" s="71">
        <v>20</v>
      </c>
      <c r="D356" s="74" t="s">
        <v>40</v>
      </c>
      <c r="E356" s="75">
        <v>12</v>
      </c>
      <c r="F356" s="76">
        <v>1</v>
      </c>
      <c r="G356" s="77" t="s">
        <v>20</v>
      </c>
      <c r="H356" s="76">
        <v>48</v>
      </c>
      <c r="I356" s="77" t="s">
        <v>40</v>
      </c>
      <c r="J356" s="78">
        <v>55800</v>
      </c>
      <c r="K356" s="74" t="s">
        <v>40</v>
      </c>
      <c r="L356" s="79">
        <v>0.125</v>
      </c>
      <c r="M356" s="79">
        <v>0.05</v>
      </c>
      <c r="N356" s="76">
        <v>596</v>
      </c>
      <c r="O356" s="77" t="s">
        <v>40</v>
      </c>
      <c r="P356" s="71">
        <f t="shared" si="280"/>
        <v>0</v>
      </c>
      <c r="Q356" s="77" t="s">
        <v>40</v>
      </c>
      <c r="R356" s="78">
        <f t="shared" si="281"/>
        <v>0</v>
      </c>
      <c r="S356" s="78">
        <f t="shared" si="189"/>
        <v>0</v>
      </c>
    </row>
    <row r="357" spans="1:19" s="73" customFormat="1" x14ac:dyDescent="0.2">
      <c r="A357" s="72" t="s">
        <v>1017</v>
      </c>
      <c r="B357" s="73" t="s">
        <v>18</v>
      </c>
      <c r="C357" s="71"/>
      <c r="D357" s="74" t="s">
        <v>830</v>
      </c>
      <c r="E357" s="75">
        <v>1</v>
      </c>
      <c r="F357" s="76">
        <v>1</v>
      </c>
      <c r="G357" s="77" t="s">
        <v>20</v>
      </c>
      <c r="H357" s="76">
        <v>144</v>
      </c>
      <c r="I357" s="77" t="s">
        <v>830</v>
      </c>
      <c r="J357" s="78">
        <v>13500</v>
      </c>
      <c r="K357" s="74" t="s">
        <v>830</v>
      </c>
      <c r="L357" s="79">
        <v>0.125</v>
      </c>
      <c r="M357" s="79">
        <v>0.05</v>
      </c>
      <c r="N357" s="76">
        <v>144</v>
      </c>
      <c r="O357" s="77" t="s">
        <v>830</v>
      </c>
      <c r="P357" s="71">
        <f t="shared" ref="P357" si="286">(C357+(E357*F357*H357))-N357</f>
        <v>0</v>
      </c>
      <c r="Q357" s="77" t="s">
        <v>830</v>
      </c>
      <c r="R357" s="78">
        <f t="shared" ref="R357" si="287">P357*(J357-(J357*L357)-((J357-(J357*L357))*M357))</f>
        <v>0</v>
      </c>
      <c r="S357" s="78">
        <f t="shared" ref="S357" si="288">R357/1.11</f>
        <v>0</v>
      </c>
    </row>
    <row r="358" spans="1:19" s="73" customFormat="1" x14ac:dyDescent="0.2">
      <c r="A358" s="72" t="s">
        <v>711</v>
      </c>
      <c r="B358" s="73" t="s">
        <v>18</v>
      </c>
      <c r="C358" s="71"/>
      <c r="D358" s="74" t="s">
        <v>40</v>
      </c>
      <c r="E358" s="75">
        <v>5</v>
      </c>
      <c r="F358" s="76">
        <v>1</v>
      </c>
      <c r="G358" s="77" t="s">
        <v>20</v>
      </c>
      <c r="H358" s="76">
        <f>288/12</f>
        <v>24</v>
      </c>
      <c r="I358" s="77" t="s">
        <v>40</v>
      </c>
      <c r="J358" s="78">
        <f>10600*12</f>
        <v>127200</v>
      </c>
      <c r="K358" s="74" t="s">
        <v>40</v>
      </c>
      <c r="L358" s="79">
        <v>0.125</v>
      </c>
      <c r="M358" s="79">
        <v>0.05</v>
      </c>
      <c r="N358" s="76">
        <v>120</v>
      </c>
      <c r="O358" s="77" t="s">
        <v>40</v>
      </c>
      <c r="P358" s="71">
        <f t="shared" si="280"/>
        <v>0</v>
      </c>
      <c r="Q358" s="77" t="s">
        <v>40</v>
      </c>
      <c r="R358" s="78">
        <f t="shared" si="281"/>
        <v>0</v>
      </c>
      <c r="S358" s="78">
        <f t="shared" si="189"/>
        <v>0</v>
      </c>
    </row>
    <row r="359" spans="1:19" s="73" customFormat="1" x14ac:dyDescent="0.2">
      <c r="A359" s="72" t="s">
        <v>188</v>
      </c>
      <c r="B359" s="73" t="s">
        <v>18</v>
      </c>
      <c r="C359" s="71">
        <v>9</v>
      </c>
      <c r="D359" s="74" t="s">
        <v>40</v>
      </c>
      <c r="E359" s="75">
        <v>28</v>
      </c>
      <c r="F359" s="76">
        <v>1</v>
      </c>
      <c r="G359" s="77" t="s">
        <v>20</v>
      </c>
      <c r="H359" s="76">
        <v>24</v>
      </c>
      <c r="I359" s="77" t="s">
        <v>40</v>
      </c>
      <c r="J359" s="78">
        <v>162000</v>
      </c>
      <c r="K359" s="74" t="s">
        <v>40</v>
      </c>
      <c r="L359" s="79">
        <v>0.125</v>
      </c>
      <c r="M359" s="79">
        <v>0.05</v>
      </c>
      <c r="N359" s="76">
        <v>681</v>
      </c>
      <c r="O359" s="77" t="s">
        <v>40</v>
      </c>
      <c r="P359" s="71">
        <f t="shared" si="280"/>
        <v>0</v>
      </c>
      <c r="Q359" s="77" t="s">
        <v>40</v>
      </c>
      <c r="R359" s="78">
        <f t="shared" si="281"/>
        <v>0</v>
      </c>
      <c r="S359" s="78">
        <f t="shared" si="189"/>
        <v>0</v>
      </c>
    </row>
    <row r="360" spans="1:19" s="73" customFormat="1" x14ac:dyDescent="0.2">
      <c r="A360" s="184" t="s">
        <v>188</v>
      </c>
      <c r="B360" s="73" t="s">
        <v>18</v>
      </c>
      <c r="C360" s="71"/>
      <c r="D360" s="74" t="s">
        <v>40</v>
      </c>
      <c r="E360" s="75">
        <v>8</v>
      </c>
      <c r="F360" s="76">
        <v>1</v>
      </c>
      <c r="G360" s="77" t="s">
        <v>20</v>
      </c>
      <c r="H360" s="76">
        <v>24</v>
      </c>
      <c r="I360" s="77" t="s">
        <v>40</v>
      </c>
      <c r="J360" s="78">
        <v>162000</v>
      </c>
      <c r="K360" s="74" t="s">
        <v>40</v>
      </c>
      <c r="L360" s="79">
        <v>0.125</v>
      </c>
      <c r="M360" s="79">
        <v>0.1</v>
      </c>
      <c r="N360" s="76">
        <v>192</v>
      </c>
      <c r="O360" s="77" t="s">
        <v>40</v>
      </c>
      <c r="P360" s="71">
        <f t="shared" ref="P360" si="289">(C360+(E360*F360*H360))-N360</f>
        <v>0</v>
      </c>
      <c r="Q360" s="77" t="s">
        <v>40</v>
      </c>
      <c r="R360" s="78">
        <f t="shared" ref="R360" si="290">P360*(J360-(J360*L360)-((J360-(J360*L360))*M360))</f>
        <v>0</v>
      </c>
      <c r="S360" s="78">
        <f t="shared" ref="S360" si="291">R360/1.11</f>
        <v>0</v>
      </c>
    </row>
    <row r="361" spans="1:19" s="73" customFormat="1" x14ac:dyDescent="0.2">
      <c r="A361" s="72"/>
      <c r="C361" s="71"/>
      <c r="D361" s="74"/>
      <c r="E361" s="75"/>
      <c r="F361" s="76"/>
      <c r="G361" s="77"/>
      <c r="H361" s="76"/>
      <c r="I361" s="77"/>
      <c r="J361" s="78"/>
      <c r="K361" s="74"/>
      <c r="L361" s="79"/>
      <c r="M361" s="79"/>
      <c r="N361" s="76"/>
      <c r="O361" s="77"/>
      <c r="P361" s="71"/>
      <c r="Q361" s="77"/>
      <c r="R361" s="78"/>
      <c r="S361" s="78"/>
    </row>
    <row r="362" spans="1:19" s="73" customFormat="1" x14ac:dyDescent="0.2">
      <c r="A362" s="72" t="s">
        <v>189</v>
      </c>
      <c r="B362" s="73" t="s">
        <v>25</v>
      </c>
      <c r="C362" s="71">
        <v>30</v>
      </c>
      <c r="D362" s="74" t="s">
        <v>40</v>
      </c>
      <c r="E362" s="75">
        <v>15</v>
      </c>
      <c r="F362" s="76">
        <v>1</v>
      </c>
      <c r="G362" s="77" t="s">
        <v>20</v>
      </c>
      <c r="H362" s="76">
        <v>30</v>
      </c>
      <c r="I362" s="77" t="s">
        <v>40</v>
      </c>
      <c r="J362" s="78">
        <f>1566000/30</f>
        <v>52200</v>
      </c>
      <c r="K362" s="74" t="s">
        <v>40</v>
      </c>
      <c r="L362" s="79"/>
      <c r="M362" s="79">
        <v>0.17</v>
      </c>
      <c r="N362" s="76">
        <v>480</v>
      </c>
      <c r="O362" s="77" t="s">
        <v>40</v>
      </c>
      <c r="P362" s="71">
        <f>(C362+(E362*F362*H362))-N362</f>
        <v>0</v>
      </c>
      <c r="Q362" s="77" t="s">
        <v>40</v>
      </c>
      <c r="R362" s="78">
        <f>P362*(J362-(J362*L362)-((J362-(J362*L362))*M362))</f>
        <v>0</v>
      </c>
      <c r="S362" s="78">
        <f t="shared" si="189"/>
        <v>0</v>
      </c>
    </row>
    <row r="363" spans="1:19" s="73" customFormat="1" x14ac:dyDescent="0.2">
      <c r="A363" s="72" t="s">
        <v>190</v>
      </c>
      <c r="B363" s="73" t="s">
        <v>25</v>
      </c>
      <c r="C363" s="71">
        <v>111</v>
      </c>
      <c r="D363" s="74" t="s">
        <v>40</v>
      </c>
      <c r="E363" s="75">
        <v>48</v>
      </c>
      <c r="F363" s="76">
        <v>1</v>
      </c>
      <c r="G363" s="77" t="s">
        <v>20</v>
      </c>
      <c r="H363" s="76">
        <v>30</v>
      </c>
      <c r="I363" s="77" t="s">
        <v>40</v>
      </c>
      <c r="J363" s="78">
        <f>1710000/30</f>
        <v>57000</v>
      </c>
      <c r="K363" s="74" t="s">
        <v>40</v>
      </c>
      <c r="L363" s="79"/>
      <c r="M363" s="79">
        <v>0.17</v>
      </c>
      <c r="N363" s="76">
        <v>1551</v>
      </c>
      <c r="O363" s="77" t="s">
        <v>40</v>
      </c>
      <c r="P363" s="71">
        <f>(C363+(E363*F363*H363))-N363</f>
        <v>0</v>
      </c>
      <c r="Q363" s="77" t="s">
        <v>40</v>
      </c>
      <c r="R363" s="78">
        <f>P363*(J363-(J363*L363)-((J363-(J363*L363))*M363))</f>
        <v>0</v>
      </c>
      <c r="S363" s="78">
        <f t="shared" si="189"/>
        <v>0</v>
      </c>
    </row>
    <row r="364" spans="1:19" s="19" customFormat="1" x14ac:dyDescent="0.2">
      <c r="A364" s="18" t="s">
        <v>191</v>
      </c>
      <c r="B364" s="19" t="s">
        <v>25</v>
      </c>
      <c r="C364" s="20">
        <v>140</v>
      </c>
      <c r="D364" s="21" t="s">
        <v>40</v>
      </c>
      <c r="E364" s="26">
        <v>116</v>
      </c>
      <c r="F364" s="22">
        <v>1</v>
      </c>
      <c r="G364" s="23" t="s">
        <v>20</v>
      </c>
      <c r="H364" s="22">
        <v>20</v>
      </c>
      <c r="I364" s="23" t="s">
        <v>40</v>
      </c>
      <c r="J364" s="24">
        <f>2952000/20</f>
        <v>147600</v>
      </c>
      <c r="K364" s="21" t="s">
        <v>40</v>
      </c>
      <c r="L364" s="25"/>
      <c r="M364" s="25">
        <v>0.17</v>
      </c>
      <c r="N364" s="22">
        <v>2380</v>
      </c>
      <c r="O364" s="23" t="s">
        <v>40</v>
      </c>
      <c r="P364" s="20">
        <f>(C364+(E364*F364*H364))-N364</f>
        <v>80</v>
      </c>
      <c r="Q364" s="23" t="s">
        <v>40</v>
      </c>
      <c r="R364" s="24">
        <f>P364*(J364-(J364*L364)-((J364-(J364*L364))*M364))</f>
        <v>9800640</v>
      </c>
      <c r="S364" s="24">
        <f t="shared" si="189"/>
        <v>8829405.405405404</v>
      </c>
    </row>
    <row r="365" spans="1:19" s="19" customFormat="1" x14ac:dyDescent="0.2">
      <c r="A365" s="18"/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73" customFormat="1" x14ac:dyDescent="0.2">
      <c r="A366" s="72" t="s">
        <v>661</v>
      </c>
      <c r="B366" s="73" t="s">
        <v>596</v>
      </c>
      <c r="C366" s="71">
        <v>25</v>
      </c>
      <c r="D366" s="74" t="s">
        <v>40</v>
      </c>
      <c r="E366" s="75">
        <v>1</v>
      </c>
      <c r="F366" s="76">
        <v>1</v>
      </c>
      <c r="G366" s="77" t="s">
        <v>20</v>
      </c>
      <c r="H366" s="76">
        <v>48</v>
      </c>
      <c r="I366" s="77" t="s">
        <v>40</v>
      </c>
      <c r="J366" s="78">
        <v>60600</v>
      </c>
      <c r="K366" s="74" t="s">
        <v>40</v>
      </c>
      <c r="L366" s="79">
        <v>0.15</v>
      </c>
      <c r="M366" s="79">
        <v>0.03</v>
      </c>
      <c r="N366" s="76">
        <v>73</v>
      </c>
      <c r="O366" s="77" t="s">
        <v>40</v>
      </c>
      <c r="P366" s="71">
        <f>(C366+(E366*F366*H366))-N366</f>
        <v>0</v>
      </c>
      <c r="Q366" s="77" t="s">
        <v>40</v>
      </c>
      <c r="R366" s="78">
        <f>P366*(J366-(J366*L366)-((J366-(J366*L366))*M366))</f>
        <v>0</v>
      </c>
      <c r="S366" s="78">
        <f t="shared" si="189"/>
        <v>0</v>
      </c>
    </row>
    <row r="367" spans="1:19" s="73" customFormat="1" x14ac:dyDescent="0.2">
      <c r="A367" s="72" t="s">
        <v>987</v>
      </c>
      <c r="B367" s="73" t="s">
        <v>596</v>
      </c>
      <c r="C367" s="71"/>
      <c r="D367" s="74" t="s">
        <v>40</v>
      </c>
      <c r="E367" s="75">
        <v>1</v>
      </c>
      <c r="F367" s="76">
        <v>1</v>
      </c>
      <c r="G367" s="77" t="s">
        <v>20</v>
      </c>
      <c r="H367" s="76">
        <v>24</v>
      </c>
      <c r="I367" s="77" t="s">
        <v>40</v>
      </c>
      <c r="J367" s="78">
        <v>144000</v>
      </c>
      <c r="K367" s="74" t="s">
        <v>40</v>
      </c>
      <c r="L367" s="79">
        <v>0.15</v>
      </c>
      <c r="M367" s="79">
        <v>0.03</v>
      </c>
      <c r="N367" s="76">
        <v>24</v>
      </c>
      <c r="O367" s="77" t="s">
        <v>40</v>
      </c>
      <c r="P367" s="71">
        <f>(C367+(E367*F367*H367))-N367</f>
        <v>0</v>
      </c>
      <c r="Q367" s="77" t="s">
        <v>40</v>
      </c>
      <c r="R367" s="78">
        <f>P367*(J367-(J367*L367)-((J367-(J367*L367))*M367))</f>
        <v>0</v>
      </c>
      <c r="S367" s="78">
        <f t="shared" ref="S367" si="292">R367/1.11</f>
        <v>0</v>
      </c>
    </row>
    <row r="368" spans="1:19" s="19" customFormat="1" x14ac:dyDescent="0.2">
      <c r="A368" s="18"/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19" customFormat="1" x14ac:dyDescent="0.2">
      <c r="A369" s="18" t="s">
        <v>767</v>
      </c>
      <c r="B369" s="18" t="s">
        <v>171</v>
      </c>
      <c r="C369" s="39">
        <v>600</v>
      </c>
      <c r="D369" s="40" t="s">
        <v>40</v>
      </c>
      <c r="E369" s="41"/>
      <c r="F369" s="42">
        <v>1</v>
      </c>
      <c r="G369" s="37" t="s">
        <v>20</v>
      </c>
      <c r="H369" s="42">
        <v>120</v>
      </c>
      <c r="I369" s="37" t="s">
        <v>40</v>
      </c>
      <c r="J369" s="27">
        <v>7500</v>
      </c>
      <c r="K369" s="40" t="s">
        <v>40</v>
      </c>
      <c r="L369" s="43">
        <v>0.05</v>
      </c>
      <c r="M369" s="43"/>
      <c r="N369" s="42">
        <f>600-240</f>
        <v>360</v>
      </c>
      <c r="O369" s="37" t="s">
        <v>40</v>
      </c>
      <c r="P369" s="39">
        <f>(C369+(E369*F369*H369))-N369</f>
        <v>240</v>
      </c>
      <c r="Q369" s="37" t="s">
        <v>40</v>
      </c>
      <c r="R369" s="27">
        <f>P369*(J369-(J369*L369)-((J369-(J369*L369))*M369))</f>
        <v>1710000</v>
      </c>
      <c r="S369" s="27">
        <f t="shared" ref="S369:S370" si="293">R369/1.11</f>
        <v>1540540.5405405404</v>
      </c>
    </row>
    <row r="370" spans="1:19" s="73" customFormat="1" x14ac:dyDescent="0.2">
      <c r="A370" s="72" t="s">
        <v>773</v>
      </c>
      <c r="B370" s="72" t="s">
        <v>171</v>
      </c>
      <c r="C370" s="117">
        <v>27</v>
      </c>
      <c r="D370" s="193" t="s">
        <v>40</v>
      </c>
      <c r="E370" s="194"/>
      <c r="F370" s="195">
        <v>1</v>
      </c>
      <c r="G370" s="103" t="s">
        <v>20</v>
      </c>
      <c r="H370" s="195">
        <v>20</v>
      </c>
      <c r="I370" s="103" t="s">
        <v>40</v>
      </c>
      <c r="J370" s="56">
        <f>5500*12</f>
        <v>66000</v>
      </c>
      <c r="K370" s="193" t="s">
        <v>40</v>
      </c>
      <c r="L370" s="196">
        <v>0.05</v>
      </c>
      <c r="M370" s="196"/>
      <c r="N370" s="195">
        <v>27</v>
      </c>
      <c r="O370" s="103" t="s">
        <v>40</v>
      </c>
      <c r="P370" s="117">
        <f>(C370+(E370*F370*H370))-N370</f>
        <v>0</v>
      </c>
      <c r="Q370" s="103" t="s">
        <v>40</v>
      </c>
      <c r="R370" s="56">
        <f>P370*(J370-(J370*L370)-((J370-(J370*L370))*M370))</f>
        <v>0</v>
      </c>
      <c r="S370" s="56">
        <f t="shared" si="293"/>
        <v>0</v>
      </c>
    </row>
    <row r="371" spans="1:19" s="19" customFormat="1" x14ac:dyDescent="0.2">
      <c r="A371" s="18"/>
      <c r="C371" s="20"/>
      <c r="D371" s="21"/>
      <c r="E371" s="26"/>
      <c r="F371" s="22"/>
      <c r="G371" s="23"/>
      <c r="H371" s="22"/>
      <c r="I371" s="23"/>
      <c r="J371" s="24"/>
      <c r="K371" s="21"/>
      <c r="L371" s="25"/>
      <c r="M371" s="25"/>
      <c r="N371" s="22"/>
      <c r="O371" s="23"/>
      <c r="P371" s="20"/>
      <c r="Q371" s="23"/>
      <c r="R371" s="24"/>
      <c r="S371" s="24"/>
    </row>
    <row r="372" spans="1:19" s="19" customFormat="1" x14ac:dyDescent="0.2">
      <c r="A372" s="57" t="s">
        <v>192</v>
      </c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73" customFormat="1" x14ac:dyDescent="0.2">
      <c r="A373" s="184" t="s">
        <v>954</v>
      </c>
      <c r="B373" s="73" t="s">
        <v>18</v>
      </c>
      <c r="C373" s="71"/>
      <c r="D373" s="74" t="s">
        <v>40</v>
      </c>
      <c r="E373" s="75">
        <v>1</v>
      </c>
      <c r="F373" s="76">
        <v>1</v>
      </c>
      <c r="G373" s="77" t="s">
        <v>20</v>
      </c>
      <c r="H373" s="76">
        <v>120</v>
      </c>
      <c r="I373" s="77" t="s">
        <v>40</v>
      </c>
      <c r="J373" s="78">
        <v>24600</v>
      </c>
      <c r="K373" s="74" t="s">
        <v>40</v>
      </c>
      <c r="L373" s="79">
        <v>0.125</v>
      </c>
      <c r="M373" s="79">
        <v>0.05</v>
      </c>
      <c r="N373" s="76">
        <v>120</v>
      </c>
      <c r="O373" s="77" t="s">
        <v>40</v>
      </c>
      <c r="P373" s="71">
        <f>(C373+(E373*F373*H373))-N373</f>
        <v>0</v>
      </c>
      <c r="Q373" s="77" t="s">
        <v>40</v>
      </c>
      <c r="R373" s="78">
        <f>P373*(J373-(J373*L373)-((J373-(J373*L373))*M373))</f>
        <v>0</v>
      </c>
      <c r="S373" s="78">
        <f t="shared" ref="S373" si="294">R373/1.11</f>
        <v>0</v>
      </c>
    </row>
    <row r="374" spans="1:19" s="73" customFormat="1" x14ac:dyDescent="0.2">
      <c r="A374" s="72" t="s">
        <v>193</v>
      </c>
      <c r="B374" s="73" t="s">
        <v>18</v>
      </c>
      <c r="C374" s="71">
        <v>230</v>
      </c>
      <c r="D374" s="74" t="s">
        <v>40</v>
      </c>
      <c r="E374" s="75">
        <v>10</v>
      </c>
      <c r="F374" s="76">
        <v>1</v>
      </c>
      <c r="G374" s="77" t="s">
        <v>20</v>
      </c>
      <c r="H374" s="76">
        <v>120</v>
      </c>
      <c r="I374" s="77" t="s">
        <v>40</v>
      </c>
      <c r="J374" s="78">
        <v>24600</v>
      </c>
      <c r="K374" s="74" t="s">
        <v>40</v>
      </c>
      <c r="L374" s="79">
        <v>0.125</v>
      </c>
      <c r="M374" s="79">
        <v>0.05</v>
      </c>
      <c r="N374" s="76">
        <v>1430</v>
      </c>
      <c r="O374" s="77" t="s">
        <v>40</v>
      </c>
      <c r="P374" s="71">
        <f>(C374+(E374*F374*H374))-N374</f>
        <v>0</v>
      </c>
      <c r="Q374" s="77" t="s">
        <v>40</v>
      </c>
      <c r="R374" s="78">
        <f>P374*(J374-(J374*L374)-((J374-(J374*L374))*M374))</f>
        <v>0</v>
      </c>
      <c r="S374" s="78">
        <f t="shared" si="189"/>
        <v>0</v>
      </c>
    </row>
    <row r="375" spans="1:19" s="73" customFormat="1" x14ac:dyDescent="0.2">
      <c r="A375" s="187" t="s">
        <v>1090</v>
      </c>
      <c r="B375" s="73" t="s">
        <v>18</v>
      </c>
      <c r="C375" s="71">
        <f>(16*40)+(96/12)</f>
        <v>648</v>
      </c>
      <c r="D375" s="74" t="s">
        <v>40</v>
      </c>
      <c r="E375" s="75">
        <v>21</v>
      </c>
      <c r="F375" s="76">
        <v>1</v>
      </c>
      <c r="G375" s="77" t="s">
        <v>20</v>
      </c>
      <c r="H375" s="76">
        <v>40</v>
      </c>
      <c r="I375" s="77" t="s">
        <v>40</v>
      </c>
      <c r="J375" s="190">
        <v>0</v>
      </c>
      <c r="K375" s="197" t="s">
        <v>40</v>
      </c>
      <c r="L375" s="188">
        <v>0</v>
      </c>
      <c r="M375" s="188">
        <v>0</v>
      </c>
      <c r="N375" s="76">
        <v>1488</v>
      </c>
      <c r="O375" s="77" t="s">
        <v>40</v>
      </c>
      <c r="P375" s="71">
        <f>(C375+(E375*F375*H375))-N375</f>
        <v>0</v>
      </c>
      <c r="Q375" s="77" t="s">
        <v>40</v>
      </c>
      <c r="R375" s="78">
        <f>P375*(J375-(J375*L375)-((J375-(J375*L375))*M375))</f>
        <v>0</v>
      </c>
      <c r="S375" s="78">
        <f t="shared" ref="S375" si="295">R375/1.11</f>
        <v>0</v>
      </c>
    </row>
    <row r="376" spans="1:19" s="73" customFormat="1" x14ac:dyDescent="0.2">
      <c r="A376" s="187" t="s">
        <v>728</v>
      </c>
      <c r="B376" s="73" t="s">
        <v>18</v>
      </c>
      <c r="C376" s="71">
        <v>320</v>
      </c>
      <c r="D376" s="74" t="s">
        <v>40</v>
      </c>
      <c r="E376" s="75">
        <v>39</v>
      </c>
      <c r="F376" s="76">
        <v>1</v>
      </c>
      <c r="G376" s="77" t="s">
        <v>20</v>
      </c>
      <c r="H376" s="76">
        <v>40</v>
      </c>
      <c r="I376" s="77" t="s">
        <v>40</v>
      </c>
      <c r="J376" s="190">
        <v>49200</v>
      </c>
      <c r="K376" s="197" t="s">
        <v>40</v>
      </c>
      <c r="L376" s="188">
        <v>0.125</v>
      </c>
      <c r="M376" s="188">
        <v>0.05</v>
      </c>
      <c r="N376" s="76">
        <v>1880</v>
      </c>
      <c r="O376" s="77" t="s">
        <v>40</v>
      </c>
      <c r="P376" s="71">
        <f>(C376+(E376*F376*H376))-N376</f>
        <v>0</v>
      </c>
      <c r="Q376" s="77" t="s">
        <v>40</v>
      </c>
      <c r="R376" s="78">
        <f>P376*(J376-(J376*L376)-((J376-(J376*L376))*M376))</f>
        <v>0</v>
      </c>
      <c r="S376" s="78">
        <f t="shared" si="189"/>
        <v>0</v>
      </c>
    </row>
    <row r="377" spans="1:19" s="19" customFormat="1" x14ac:dyDescent="0.2">
      <c r="A377" s="18"/>
      <c r="C377" s="20"/>
      <c r="D377" s="21"/>
      <c r="E377" s="26"/>
      <c r="F377" s="22"/>
      <c r="G377" s="23"/>
      <c r="H377" s="22"/>
      <c r="I377" s="23"/>
      <c r="J377" s="24"/>
      <c r="K377" s="21"/>
      <c r="L377" s="25"/>
      <c r="M377" s="25"/>
      <c r="N377" s="22"/>
      <c r="O377" s="23"/>
      <c r="P377" s="20"/>
      <c r="Q377" s="23"/>
      <c r="R377" s="24"/>
      <c r="S377" s="24"/>
    </row>
    <row r="378" spans="1:19" s="73" customFormat="1" x14ac:dyDescent="0.2">
      <c r="A378" s="72" t="s">
        <v>194</v>
      </c>
      <c r="B378" s="73" t="s">
        <v>25</v>
      </c>
      <c r="C378" s="71"/>
      <c r="D378" s="74" t="s">
        <v>40</v>
      </c>
      <c r="E378" s="75">
        <v>45</v>
      </c>
      <c r="F378" s="76">
        <v>1</v>
      </c>
      <c r="G378" s="77" t="s">
        <v>20</v>
      </c>
      <c r="H378" s="76">
        <v>120</v>
      </c>
      <c r="I378" s="77" t="s">
        <v>40</v>
      </c>
      <c r="J378" s="78">
        <f>3888000/120</f>
        <v>32400</v>
      </c>
      <c r="K378" s="74" t="s">
        <v>40</v>
      </c>
      <c r="L378" s="79"/>
      <c r="M378" s="79">
        <v>0.17</v>
      </c>
      <c r="N378" s="76">
        <v>5400</v>
      </c>
      <c r="O378" s="77" t="s">
        <v>40</v>
      </c>
      <c r="P378" s="71">
        <f t="shared" ref="P378:P383" si="296">(C378+(E378*F378*H378))-N378</f>
        <v>0</v>
      </c>
      <c r="Q378" s="77" t="s">
        <v>40</v>
      </c>
      <c r="R378" s="78">
        <f t="shared" ref="R378:R383" si="297">P378*(J378-(J378*L378)-((J378-(J378*L378))*M378))</f>
        <v>0</v>
      </c>
      <c r="S378" s="78">
        <f t="shared" si="189"/>
        <v>0</v>
      </c>
    </row>
    <row r="379" spans="1:19" s="73" customFormat="1" x14ac:dyDescent="0.2">
      <c r="A379" s="184" t="s">
        <v>194</v>
      </c>
      <c r="B379" s="73" t="s">
        <v>25</v>
      </c>
      <c r="C379" s="71"/>
      <c r="D379" s="74" t="s">
        <v>40</v>
      </c>
      <c r="E379" s="75">
        <v>25</v>
      </c>
      <c r="F379" s="76">
        <v>1</v>
      </c>
      <c r="G379" s="77" t="s">
        <v>20</v>
      </c>
      <c r="H379" s="76">
        <v>120</v>
      </c>
      <c r="I379" s="77" t="s">
        <v>40</v>
      </c>
      <c r="J379" s="78">
        <f>3888000/120</f>
        <v>32400</v>
      </c>
      <c r="K379" s="74" t="s">
        <v>40</v>
      </c>
      <c r="L379" s="79">
        <v>0.03</v>
      </c>
      <c r="M379" s="79">
        <v>0.17</v>
      </c>
      <c r="N379" s="76">
        <v>3000</v>
      </c>
      <c r="O379" s="77" t="s">
        <v>40</v>
      </c>
      <c r="P379" s="71">
        <f t="shared" si="296"/>
        <v>0</v>
      </c>
      <c r="Q379" s="77" t="s">
        <v>40</v>
      </c>
      <c r="R379" s="78">
        <f t="shared" si="297"/>
        <v>0</v>
      </c>
      <c r="S379" s="78">
        <f t="shared" ref="S379" si="298">R379/1.11</f>
        <v>0</v>
      </c>
    </row>
    <row r="380" spans="1:19" s="19" customFormat="1" x14ac:dyDescent="0.2">
      <c r="A380" s="134" t="s">
        <v>194</v>
      </c>
      <c r="B380" s="19" t="s">
        <v>25</v>
      </c>
      <c r="C380" s="20"/>
      <c r="D380" s="21" t="s">
        <v>40</v>
      </c>
      <c r="E380" s="26">
        <v>6</v>
      </c>
      <c r="F380" s="22">
        <v>1</v>
      </c>
      <c r="G380" s="23" t="s">
        <v>20</v>
      </c>
      <c r="H380" s="22">
        <v>120</v>
      </c>
      <c r="I380" s="23" t="s">
        <v>40</v>
      </c>
      <c r="J380" s="24">
        <f>3888000/120</f>
        <v>32400</v>
      </c>
      <c r="K380" s="21" t="s">
        <v>40</v>
      </c>
      <c r="L380" s="25">
        <v>0.05</v>
      </c>
      <c r="M380" s="25">
        <v>0.17</v>
      </c>
      <c r="N380" s="22"/>
      <c r="O380" s="23" t="s">
        <v>40</v>
      </c>
      <c r="P380" s="20">
        <f t="shared" si="296"/>
        <v>720</v>
      </c>
      <c r="Q380" s="23" t="s">
        <v>40</v>
      </c>
      <c r="R380" s="24">
        <f t="shared" si="297"/>
        <v>18394128</v>
      </c>
      <c r="S380" s="24">
        <f t="shared" ref="S380" si="299">R380/1.11</f>
        <v>16571286.486486485</v>
      </c>
    </row>
    <row r="381" spans="1:19" s="73" customFormat="1" x14ac:dyDescent="0.2">
      <c r="A381" s="72" t="s">
        <v>195</v>
      </c>
      <c r="B381" s="73" t="s">
        <v>25</v>
      </c>
      <c r="C381" s="71"/>
      <c r="D381" s="74" t="s">
        <v>40</v>
      </c>
      <c r="E381" s="75">
        <v>136</v>
      </c>
      <c r="F381" s="76">
        <v>1</v>
      </c>
      <c r="G381" s="77" t="s">
        <v>20</v>
      </c>
      <c r="H381" s="76">
        <v>60</v>
      </c>
      <c r="I381" s="77" t="s">
        <v>40</v>
      </c>
      <c r="J381" s="78">
        <f>3888000/60</f>
        <v>64800</v>
      </c>
      <c r="K381" s="74" t="s">
        <v>40</v>
      </c>
      <c r="L381" s="79"/>
      <c r="M381" s="79">
        <v>0.17</v>
      </c>
      <c r="N381" s="76">
        <v>8160</v>
      </c>
      <c r="O381" s="77" t="s">
        <v>40</v>
      </c>
      <c r="P381" s="71">
        <f t="shared" si="296"/>
        <v>0</v>
      </c>
      <c r="Q381" s="77" t="s">
        <v>40</v>
      </c>
      <c r="R381" s="78">
        <f t="shared" si="297"/>
        <v>0</v>
      </c>
      <c r="S381" s="78">
        <f t="shared" si="189"/>
        <v>0</v>
      </c>
    </row>
    <row r="382" spans="1:19" s="19" customFormat="1" x14ac:dyDescent="0.2">
      <c r="A382" s="134" t="s">
        <v>195</v>
      </c>
      <c r="B382" s="19" t="s">
        <v>25</v>
      </c>
      <c r="C382" s="20"/>
      <c r="D382" s="21" t="s">
        <v>40</v>
      </c>
      <c r="E382" s="26">
        <v>75</v>
      </c>
      <c r="F382" s="22">
        <v>1</v>
      </c>
      <c r="G382" s="23" t="s">
        <v>20</v>
      </c>
      <c r="H382" s="22">
        <v>60</v>
      </c>
      <c r="I382" s="23" t="s">
        <v>40</v>
      </c>
      <c r="J382" s="24">
        <f>3888000/60</f>
        <v>64800</v>
      </c>
      <c r="K382" s="21" t="s">
        <v>40</v>
      </c>
      <c r="L382" s="25">
        <v>0.03</v>
      </c>
      <c r="M382" s="25">
        <v>0.17</v>
      </c>
      <c r="N382" s="22">
        <f>4500-2700</f>
        <v>1800</v>
      </c>
      <c r="O382" s="23" t="s">
        <v>40</v>
      </c>
      <c r="P382" s="20">
        <f t="shared" si="296"/>
        <v>2700</v>
      </c>
      <c r="Q382" s="23" t="s">
        <v>40</v>
      </c>
      <c r="R382" s="24">
        <f t="shared" si="297"/>
        <v>140860296</v>
      </c>
      <c r="S382" s="24">
        <f t="shared" ref="S382" si="300">R382/1.11</f>
        <v>126901167.56756756</v>
      </c>
    </row>
    <row r="383" spans="1:19" s="73" customFormat="1" x14ac:dyDescent="0.2">
      <c r="A383" s="184" t="s">
        <v>195</v>
      </c>
      <c r="B383" s="73" t="s">
        <v>25</v>
      </c>
      <c r="C383" s="71"/>
      <c r="D383" s="74" t="s">
        <v>40</v>
      </c>
      <c r="E383" s="75">
        <v>27</v>
      </c>
      <c r="F383" s="76">
        <v>1</v>
      </c>
      <c r="G383" s="77" t="s">
        <v>20</v>
      </c>
      <c r="H383" s="76">
        <v>60</v>
      </c>
      <c r="I383" s="77" t="s">
        <v>40</v>
      </c>
      <c r="J383" s="78">
        <f>3888000/60</f>
        <v>64800</v>
      </c>
      <c r="K383" s="74" t="s">
        <v>40</v>
      </c>
      <c r="L383" s="79">
        <v>0.05</v>
      </c>
      <c r="M383" s="79">
        <v>0.17</v>
      </c>
      <c r="N383" s="76">
        <v>1620</v>
      </c>
      <c r="O383" s="77" t="s">
        <v>40</v>
      </c>
      <c r="P383" s="71">
        <f t="shared" si="296"/>
        <v>0</v>
      </c>
      <c r="Q383" s="77" t="s">
        <v>40</v>
      </c>
      <c r="R383" s="78">
        <f t="shared" si="297"/>
        <v>0</v>
      </c>
      <c r="S383" s="78">
        <f t="shared" ref="S383" si="301">R383/1.11</f>
        <v>0</v>
      </c>
    </row>
    <row r="384" spans="1:19" s="19" customFormat="1" x14ac:dyDescent="0.2">
      <c r="A384" s="18"/>
      <c r="C384" s="20"/>
      <c r="D384" s="21"/>
      <c r="E384" s="26"/>
      <c r="F384" s="22"/>
      <c r="G384" s="23"/>
      <c r="H384" s="22"/>
      <c r="I384" s="23"/>
      <c r="J384" s="24"/>
      <c r="K384" s="21"/>
      <c r="L384" s="25"/>
      <c r="M384" s="25"/>
      <c r="N384" s="22"/>
      <c r="O384" s="23"/>
      <c r="P384" s="20"/>
      <c r="Q384" s="23"/>
      <c r="R384" s="24"/>
      <c r="S384" s="24"/>
    </row>
    <row r="385" spans="1:19" s="19" customFormat="1" x14ac:dyDescent="0.2">
      <c r="A385" s="57" t="s">
        <v>196</v>
      </c>
      <c r="C385" s="20"/>
      <c r="D385" s="21"/>
      <c r="E385" s="26"/>
      <c r="F385" s="22"/>
      <c r="G385" s="23"/>
      <c r="H385" s="22"/>
      <c r="I385" s="23"/>
      <c r="J385" s="24"/>
      <c r="K385" s="21"/>
      <c r="L385" s="25"/>
      <c r="M385" s="25"/>
      <c r="N385" s="22"/>
      <c r="O385" s="23"/>
      <c r="P385" s="20"/>
      <c r="Q385" s="23"/>
      <c r="R385" s="24"/>
      <c r="S385" s="24"/>
    </row>
    <row r="386" spans="1:19" s="73" customFormat="1" x14ac:dyDescent="0.2">
      <c r="A386" s="72" t="s">
        <v>789</v>
      </c>
      <c r="B386" s="73" t="s">
        <v>18</v>
      </c>
      <c r="C386" s="71"/>
      <c r="D386" s="74" t="s">
        <v>19</v>
      </c>
      <c r="E386" s="75"/>
      <c r="F386" s="76">
        <v>1</v>
      </c>
      <c r="G386" s="77" t="s">
        <v>20</v>
      </c>
      <c r="H386" s="76">
        <v>20</v>
      </c>
      <c r="I386" s="77" t="s">
        <v>19</v>
      </c>
      <c r="J386" s="78">
        <v>124000</v>
      </c>
      <c r="K386" s="74" t="s">
        <v>19</v>
      </c>
      <c r="L386" s="79">
        <v>0.125</v>
      </c>
      <c r="M386" s="79">
        <v>0.05</v>
      </c>
      <c r="N386" s="76">
        <v>0</v>
      </c>
      <c r="O386" s="77" t="s">
        <v>19</v>
      </c>
      <c r="P386" s="71">
        <f>(C386+(E386*F386*H386))-N386</f>
        <v>0</v>
      </c>
      <c r="Q386" s="77" t="s">
        <v>19</v>
      </c>
      <c r="R386" s="78">
        <f>P386*(J386-(J386*L386)-((J386-(J386*L386))*M386))</f>
        <v>0</v>
      </c>
      <c r="S386" s="78">
        <f t="shared" ref="S386" si="302">R386/1.11</f>
        <v>0</v>
      </c>
    </row>
    <row r="387" spans="1:19" s="73" customFormat="1" x14ac:dyDescent="0.2">
      <c r="A387" s="72" t="s">
        <v>197</v>
      </c>
      <c r="B387" s="73" t="s">
        <v>18</v>
      </c>
      <c r="C387" s="71"/>
      <c r="D387" s="74" t="s">
        <v>19</v>
      </c>
      <c r="E387" s="75">
        <v>1</v>
      </c>
      <c r="F387" s="76">
        <v>1</v>
      </c>
      <c r="G387" s="77" t="s">
        <v>20</v>
      </c>
      <c r="H387" s="76">
        <v>5</v>
      </c>
      <c r="I387" s="77" t="s">
        <v>19</v>
      </c>
      <c r="J387" s="78">
        <v>214000</v>
      </c>
      <c r="K387" s="74" t="s">
        <v>19</v>
      </c>
      <c r="L387" s="79">
        <v>0.125</v>
      </c>
      <c r="M387" s="79">
        <v>0.05</v>
      </c>
      <c r="N387" s="76">
        <v>5</v>
      </c>
      <c r="O387" s="77" t="s">
        <v>19</v>
      </c>
      <c r="P387" s="71">
        <f>(C387+(E387*F387*H387))-N387</f>
        <v>0</v>
      </c>
      <c r="Q387" s="77" t="s">
        <v>19</v>
      </c>
      <c r="R387" s="78">
        <f>P387*(J387-(J387*L387)-((J387-(J387*L387))*M387))</f>
        <v>0</v>
      </c>
      <c r="S387" s="78">
        <f t="shared" si="189"/>
        <v>0</v>
      </c>
    </row>
    <row r="388" spans="1:19" s="73" customFormat="1" x14ac:dyDescent="0.2">
      <c r="A388" s="72" t="s">
        <v>198</v>
      </c>
      <c r="B388" s="73" t="s">
        <v>18</v>
      </c>
      <c r="C388" s="71">
        <v>3</v>
      </c>
      <c r="D388" s="74" t="s">
        <v>19</v>
      </c>
      <c r="E388" s="75"/>
      <c r="F388" s="76">
        <v>1</v>
      </c>
      <c r="G388" s="77" t="s">
        <v>20</v>
      </c>
      <c r="H388" s="76">
        <v>5</v>
      </c>
      <c r="I388" s="77" t="s">
        <v>19</v>
      </c>
      <c r="J388" s="78">
        <v>219000</v>
      </c>
      <c r="K388" s="74" t="s">
        <v>19</v>
      </c>
      <c r="L388" s="79">
        <v>0.125</v>
      </c>
      <c r="M388" s="79">
        <v>0.05</v>
      </c>
      <c r="N388" s="76">
        <v>3</v>
      </c>
      <c r="O388" s="77" t="s">
        <v>19</v>
      </c>
      <c r="P388" s="71">
        <f>(C388+(E388*F388*H388))-N388</f>
        <v>0</v>
      </c>
      <c r="Q388" s="77" t="s">
        <v>19</v>
      </c>
      <c r="R388" s="78">
        <f>P388*(J388-(J388*L388)-((J388-(J388*L388))*M388))</f>
        <v>0</v>
      </c>
      <c r="S388" s="78">
        <f t="shared" si="189"/>
        <v>0</v>
      </c>
    </row>
    <row r="389" spans="1:19" s="73" customFormat="1" x14ac:dyDescent="0.2">
      <c r="A389" s="72" t="s">
        <v>199</v>
      </c>
      <c r="B389" s="73" t="s">
        <v>18</v>
      </c>
      <c r="C389" s="71"/>
      <c r="D389" s="74" t="s">
        <v>19</v>
      </c>
      <c r="E389" s="75"/>
      <c r="F389" s="76">
        <v>1</v>
      </c>
      <c r="G389" s="77" t="s">
        <v>20</v>
      </c>
      <c r="H389" s="76">
        <v>4</v>
      </c>
      <c r="I389" s="77" t="s">
        <v>19</v>
      </c>
      <c r="J389" s="78">
        <v>291000</v>
      </c>
      <c r="K389" s="74" t="s">
        <v>19</v>
      </c>
      <c r="L389" s="79">
        <v>0.125</v>
      </c>
      <c r="M389" s="79">
        <v>0.05</v>
      </c>
      <c r="N389" s="76">
        <v>0</v>
      </c>
      <c r="O389" s="77" t="s">
        <v>19</v>
      </c>
      <c r="P389" s="71">
        <f>(C389+(E389*F389*H389))-N389</f>
        <v>0</v>
      </c>
      <c r="Q389" s="77" t="s">
        <v>19</v>
      </c>
      <c r="R389" s="78">
        <f>P389*(J389-(J389*L389)-((J389-(J389*L389))*M389))</f>
        <v>0</v>
      </c>
      <c r="S389" s="78">
        <f t="shared" si="189"/>
        <v>0</v>
      </c>
    </row>
    <row r="390" spans="1:19" s="73" customFormat="1" x14ac:dyDescent="0.2">
      <c r="A390" s="72"/>
      <c r="C390" s="71"/>
      <c r="D390" s="74"/>
      <c r="E390" s="75"/>
      <c r="F390" s="76"/>
      <c r="G390" s="77"/>
      <c r="H390" s="76"/>
      <c r="I390" s="77"/>
      <c r="J390" s="78"/>
      <c r="K390" s="74"/>
      <c r="L390" s="79"/>
      <c r="M390" s="79"/>
      <c r="N390" s="76"/>
      <c r="O390" s="77"/>
      <c r="P390" s="71"/>
      <c r="Q390" s="77"/>
      <c r="R390" s="78"/>
      <c r="S390" s="78"/>
    </row>
    <row r="391" spans="1:19" s="73" customFormat="1" x14ac:dyDescent="0.2">
      <c r="A391" s="72" t="s">
        <v>200</v>
      </c>
      <c r="B391" s="73" t="s">
        <v>25</v>
      </c>
      <c r="C391" s="71"/>
      <c r="D391" s="74" t="s">
        <v>19</v>
      </c>
      <c r="E391" s="75">
        <v>2</v>
      </c>
      <c r="F391" s="76">
        <v>1</v>
      </c>
      <c r="G391" s="77" t="s">
        <v>20</v>
      </c>
      <c r="H391" s="76">
        <v>5</v>
      </c>
      <c r="I391" s="77" t="s">
        <v>19</v>
      </c>
      <c r="J391" s="78">
        <f>1125000/5</f>
        <v>225000</v>
      </c>
      <c r="K391" s="74" t="s">
        <v>19</v>
      </c>
      <c r="L391" s="79"/>
      <c r="M391" s="79">
        <v>0.17</v>
      </c>
      <c r="N391" s="76">
        <v>10</v>
      </c>
      <c r="O391" s="77" t="s">
        <v>19</v>
      </c>
      <c r="P391" s="71">
        <f>(C391+(E391*F391*H391))-N391</f>
        <v>0</v>
      </c>
      <c r="Q391" s="77" t="s">
        <v>19</v>
      </c>
      <c r="R391" s="78">
        <f>P391*(J391-(J391*L391)-((J391-(J391*L391))*M391))</f>
        <v>0</v>
      </c>
      <c r="S391" s="78">
        <f t="shared" si="189"/>
        <v>0</v>
      </c>
    </row>
    <row r="392" spans="1:19" s="73" customFormat="1" x14ac:dyDescent="0.2">
      <c r="A392" s="72" t="s">
        <v>201</v>
      </c>
      <c r="B392" s="73" t="s">
        <v>25</v>
      </c>
      <c r="C392" s="71"/>
      <c r="D392" s="74" t="s">
        <v>19</v>
      </c>
      <c r="E392" s="75">
        <v>1</v>
      </c>
      <c r="F392" s="76">
        <v>1</v>
      </c>
      <c r="G392" s="77" t="s">
        <v>20</v>
      </c>
      <c r="H392" s="76">
        <v>5</v>
      </c>
      <c r="I392" s="77" t="s">
        <v>19</v>
      </c>
      <c r="J392" s="78">
        <v>235000</v>
      </c>
      <c r="K392" s="74" t="s">
        <v>19</v>
      </c>
      <c r="L392" s="79"/>
      <c r="M392" s="79">
        <v>0.17</v>
      </c>
      <c r="N392" s="76">
        <v>5</v>
      </c>
      <c r="O392" s="77" t="s">
        <v>19</v>
      </c>
      <c r="P392" s="71">
        <f>(C392+(E392*F392*H392))-N392</f>
        <v>0</v>
      </c>
      <c r="Q392" s="77" t="s">
        <v>19</v>
      </c>
      <c r="R392" s="78">
        <f>P392*(J392-(J392*L392)-((J392-(J392*L392))*M392))</f>
        <v>0</v>
      </c>
      <c r="S392" s="78">
        <f t="shared" ref="S392" si="303">R392/1.11</f>
        <v>0</v>
      </c>
    </row>
    <row r="393" spans="1:19" s="73" customFormat="1" x14ac:dyDescent="0.2">
      <c r="A393" s="72" t="s">
        <v>201</v>
      </c>
      <c r="B393" s="73" t="s">
        <v>25</v>
      </c>
      <c r="C393" s="71"/>
      <c r="D393" s="74" t="s">
        <v>19</v>
      </c>
      <c r="E393" s="75"/>
      <c r="F393" s="76">
        <v>1</v>
      </c>
      <c r="G393" s="77" t="s">
        <v>20</v>
      </c>
      <c r="H393" s="76">
        <v>5</v>
      </c>
      <c r="I393" s="77" t="s">
        <v>19</v>
      </c>
      <c r="J393" s="78">
        <f>1125000/5</f>
        <v>225000</v>
      </c>
      <c r="K393" s="74" t="s">
        <v>19</v>
      </c>
      <c r="L393" s="79"/>
      <c r="M393" s="79">
        <v>0.17</v>
      </c>
      <c r="N393" s="76">
        <v>0</v>
      </c>
      <c r="O393" s="77" t="s">
        <v>19</v>
      </c>
      <c r="P393" s="71">
        <f>(C393+(E393*F393*H393))-N393</f>
        <v>0</v>
      </c>
      <c r="Q393" s="77" t="s">
        <v>19</v>
      </c>
      <c r="R393" s="78">
        <f>P393*(J393-(J393*L393)-((J393-(J393*L393))*M393))</f>
        <v>0</v>
      </c>
      <c r="S393" s="78">
        <f t="shared" si="189"/>
        <v>0</v>
      </c>
    </row>
    <row r="394" spans="1:19" s="73" customFormat="1" x14ac:dyDescent="0.2">
      <c r="A394" s="72" t="s">
        <v>202</v>
      </c>
      <c r="B394" s="73" t="s">
        <v>25</v>
      </c>
      <c r="C394" s="71"/>
      <c r="D394" s="74" t="s">
        <v>19</v>
      </c>
      <c r="E394" s="75">
        <v>1</v>
      </c>
      <c r="F394" s="76">
        <v>1</v>
      </c>
      <c r="G394" s="77" t="s">
        <v>20</v>
      </c>
      <c r="H394" s="76">
        <v>4</v>
      </c>
      <c r="I394" s="77" t="s">
        <v>19</v>
      </c>
      <c r="J394" s="78">
        <f>1180000/4</f>
        <v>295000</v>
      </c>
      <c r="K394" s="74" t="s">
        <v>19</v>
      </c>
      <c r="L394" s="79"/>
      <c r="M394" s="79">
        <v>0.17</v>
      </c>
      <c r="N394" s="76">
        <v>4</v>
      </c>
      <c r="O394" s="77" t="s">
        <v>19</v>
      </c>
      <c r="P394" s="71">
        <f>(C394+(E394*F394*H394))-N394</f>
        <v>0</v>
      </c>
      <c r="Q394" s="77" t="s">
        <v>19</v>
      </c>
      <c r="R394" s="78">
        <f>P394*(J394-(J394*L394)-((J394-(J394*L394))*M394))</f>
        <v>0</v>
      </c>
      <c r="S394" s="78">
        <f t="shared" ref="S394:S512" si="304">R394/1.11</f>
        <v>0</v>
      </c>
    </row>
    <row r="395" spans="1:19" s="73" customFormat="1" x14ac:dyDescent="0.2">
      <c r="A395" s="72"/>
      <c r="C395" s="71"/>
      <c r="D395" s="74"/>
      <c r="E395" s="75"/>
      <c r="F395" s="76"/>
      <c r="G395" s="77"/>
      <c r="H395" s="76"/>
      <c r="I395" s="77"/>
      <c r="J395" s="78"/>
      <c r="K395" s="74"/>
      <c r="L395" s="79"/>
      <c r="M395" s="79"/>
      <c r="N395" s="76"/>
      <c r="O395" s="77"/>
      <c r="P395" s="71"/>
      <c r="Q395" s="77"/>
      <c r="R395" s="78"/>
      <c r="S395" s="78"/>
    </row>
    <row r="396" spans="1:19" s="90" customFormat="1" ht="15.75" x14ac:dyDescent="0.25">
      <c r="A396" s="200" t="s">
        <v>739</v>
      </c>
      <c r="C396" s="91"/>
      <c r="D396" s="92"/>
      <c r="E396" s="93"/>
      <c r="F396" s="94"/>
      <c r="G396" s="95"/>
      <c r="H396" s="94"/>
      <c r="I396" s="95"/>
      <c r="J396" s="96"/>
      <c r="K396" s="92"/>
      <c r="L396" s="97"/>
      <c r="M396" s="97"/>
      <c r="N396" s="94"/>
      <c r="O396" s="95"/>
      <c r="P396" s="91"/>
      <c r="Q396" s="95"/>
      <c r="R396" s="96"/>
      <c r="S396" s="96"/>
    </row>
    <row r="397" spans="1:19" s="73" customFormat="1" x14ac:dyDescent="0.2">
      <c r="A397" s="72" t="s">
        <v>740</v>
      </c>
      <c r="B397" s="73" t="s">
        <v>596</v>
      </c>
      <c r="C397" s="71">
        <v>14</v>
      </c>
      <c r="D397" s="74" t="s">
        <v>19</v>
      </c>
      <c r="E397" s="75"/>
      <c r="F397" s="76">
        <v>1</v>
      </c>
      <c r="G397" s="77" t="s">
        <v>20</v>
      </c>
      <c r="H397" s="76">
        <v>48</v>
      </c>
      <c r="I397" s="77" t="s">
        <v>19</v>
      </c>
      <c r="J397" s="78">
        <v>53000</v>
      </c>
      <c r="K397" s="74" t="s">
        <v>19</v>
      </c>
      <c r="L397" s="79">
        <v>0.17499999999999999</v>
      </c>
      <c r="M397" s="79">
        <v>1.0999999999999999E-2</v>
      </c>
      <c r="N397" s="76">
        <v>14</v>
      </c>
      <c r="O397" s="77" t="s">
        <v>19</v>
      </c>
      <c r="P397" s="71">
        <f>(C397+(E397*F397*H397))-N397</f>
        <v>0</v>
      </c>
      <c r="Q397" s="77" t="s">
        <v>19</v>
      </c>
      <c r="R397" s="78">
        <f>P397*(J397-(J397*L397)-((J397-(J397*L397))*M397))</f>
        <v>0</v>
      </c>
      <c r="S397" s="78">
        <f t="shared" ref="S397" si="305">R397/1.11</f>
        <v>0</v>
      </c>
    </row>
    <row r="398" spans="1:19" s="73" customFormat="1" x14ac:dyDescent="0.2">
      <c r="A398" s="72"/>
      <c r="C398" s="71"/>
      <c r="D398" s="74"/>
      <c r="E398" s="75"/>
      <c r="F398" s="76"/>
      <c r="G398" s="77"/>
      <c r="H398" s="76"/>
      <c r="I398" s="77"/>
      <c r="J398" s="78"/>
      <c r="K398" s="74"/>
      <c r="L398" s="79"/>
      <c r="M398" s="79"/>
      <c r="N398" s="76"/>
      <c r="O398" s="77"/>
      <c r="P398" s="71"/>
      <c r="Q398" s="77"/>
      <c r="R398" s="78"/>
      <c r="S398" s="78"/>
    </row>
    <row r="399" spans="1:19" s="90" customFormat="1" ht="15.75" x14ac:dyDescent="0.25">
      <c r="A399" s="200" t="s">
        <v>203</v>
      </c>
      <c r="C399" s="91"/>
      <c r="D399" s="92"/>
      <c r="E399" s="93"/>
      <c r="F399" s="94"/>
      <c r="G399" s="95"/>
      <c r="H399" s="94"/>
      <c r="I399" s="95"/>
      <c r="J399" s="96"/>
      <c r="K399" s="92"/>
      <c r="L399" s="97"/>
      <c r="M399" s="97"/>
      <c r="N399" s="94"/>
      <c r="O399" s="95"/>
      <c r="P399" s="91"/>
      <c r="Q399" s="95"/>
      <c r="R399" s="96"/>
      <c r="S399" s="96"/>
    </row>
    <row r="400" spans="1:19" s="73" customFormat="1" x14ac:dyDescent="0.2">
      <c r="A400" s="72" t="s">
        <v>798</v>
      </c>
      <c r="B400" s="73" t="s">
        <v>18</v>
      </c>
      <c r="C400" s="71">
        <v>12</v>
      </c>
      <c r="D400" s="74" t="s">
        <v>19</v>
      </c>
      <c r="E400" s="75"/>
      <c r="F400" s="76">
        <v>8</v>
      </c>
      <c r="G400" s="77" t="s">
        <v>33</v>
      </c>
      <c r="H400" s="76">
        <v>12</v>
      </c>
      <c r="I400" s="77" t="s">
        <v>19</v>
      </c>
      <c r="J400" s="78">
        <v>11500</v>
      </c>
      <c r="K400" s="74" t="s">
        <v>19</v>
      </c>
      <c r="L400" s="79">
        <v>0.125</v>
      </c>
      <c r="M400" s="79">
        <v>0.05</v>
      </c>
      <c r="N400" s="76">
        <v>12</v>
      </c>
      <c r="O400" s="77" t="s">
        <v>19</v>
      </c>
      <c r="P400" s="71">
        <f>(C400+(E400*F400*H400))-N400</f>
        <v>0</v>
      </c>
      <c r="Q400" s="77" t="s">
        <v>19</v>
      </c>
      <c r="R400" s="78">
        <f>P400*(J400-(J400*L400)-((J400-(J400*L400))*M400))</f>
        <v>0</v>
      </c>
      <c r="S400" s="78">
        <f t="shared" ref="S400" si="306">R400/1.11</f>
        <v>0</v>
      </c>
    </row>
    <row r="401" spans="1:19" s="73" customFormat="1" x14ac:dyDescent="0.2">
      <c r="A401" s="72" t="s">
        <v>204</v>
      </c>
      <c r="B401" s="73" t="s">
        <v>18</v>
      </c>
      <c r="C401" s="71">
        <v>90</v>
      </c>
      <c r="D401" s="74" t="s">
        <v>19</v>
      </c>
      <c r="E401" s="75">
        <v>1</v>
      </c>
      <c r="F401" s="76">
        <v>1</v>
      </c>
      <c r="G401" s="77" t="s">
        <v>20</v>
      </c>
      <c r="H401" s="76">
        <v>90</v>
      </c>
      <c r="I401" s="77" t="s">
        <v>19</v>
      </c>
      <c r="J401" s="78">
        <v>24000</v>
      </c>
      <c r="K401" s="74" t="s">
        <v>19</v>
      </c>
      <c r="L401" s="79">
        <v>0.125</v>
      </c>
      <c r="M401" s="79">
        <v>0.05</v>
      </c>
      <c r="N401" s="76">
        <v>180</v>
      </c>
      <c r="O401" s="77" t="s">
        <v>19</v>
      </c>
      <c r="P401" s="71">
        <f>(C401+(E401*F401*H401))-N401</f>
        <v>0</v>
      </c>
      <c r="Q401" s="77" t="s">
        <v>19</v>
      </c>
      <c r="R401" s="78">
        <f>P401*(J401-(J401*L401)-((J401-(J401*L401))*M401))</f>
        <v>0</v>
      </c>
      <c r="S401" s="78">
        <f t="shared" si="304"/>
        <v>0</v>
      </c>
    </row>
    <row r="402" spans="1:19" s="90" customFormat="1" x14ac:dyDescent="0.2">
      <c r="A402" s="82" t="s">
        <v>205</v>
      </c>
      <c r="B402" s="90" t="s">
        <v>18</v>
      </c>
      <c r="C402" s="91"/>
      <c r="D402" s="92" t="s">
        <v>19</v>
      </c>
      <c r="E402" s="93">
        <v>3</v>
      </c>
      <c r="F402" s="94">
        <v>1</v>
      </c>
      <c r="G402" s="95" t="s">
        <v>20</v>
      </c>
      <c r="H402" s="94">
        <v>48</v>
      </c>
      <c r="I402" s="95" t="s">
        <v>19</v>
      </c>
      <c r="J402" s="96">
        <v>26200</v>
      </c>
      <c r="K402" s="92" t="s">
        <v>19</v>
      </c>
      <c r="L402" s="97">
        <v>0.125</v>
      </c>
      <c r="M402" s="97">
        <v>0.05</v>
      </c>
      <c r="N402" s="94">
        <v>96</v>
      </c>
      <c r="O402" s="95" t="s">
        <v>19</v>
      </c>
      <c r="P402" s="91">
        <f>(C402+(E402*F402*H402))-N402</f>
        <v>48</v>
      </c>
      <c r="Q402" s="95" t="s">
        <v>19</v>
      </c>
      <c r="R402" s="96">
        <f>P402*(J402-(J402*L402)-((J402-(J402*L402))*M402))</f>
        <v>1045380</v>
      </c>
      <c r="S402" s="96">
        <f t="shared" ref="S402" si="307">R402/1.11</f>
        <v>941783.78378378367</v>
      </c>
    </row>
    <row r="403" spans="1:19" s="73" customFormat="1" x14ac:dyDescent="0.2">
      <c r="A403" s="72" t="s">
        <v>205</v>
      </c>
      <c r="B403" s="73" t="s">
        <v>18</v>
      </c>
      <c r="C403" s="71"/>
      <c r="D403" s="74" t="s">
        <v>19</v>
      </c>
      <c r="E403" s="75"/>
      <c r="F403" s="76">
        <v>1</v>
      </c>
      <c r="G403" s="77" t="s">
        <v>20</v>
      </c>
      <c r="H403" s="76">
        <v>48</v>
      </c>
      <c r="I403" s="77" t="s">
        <v>19</v>
      </c>
      <c r="J403" s="78">
        <v>24900</v>
      </c>
      <c r="K403" s="74" t="s">
        <v>19</v>
      </c>
      <c r="L403" s="79">
        <v>0.125</v>
      </c>
      <c r="M403" s="79">
        <v>0.05</v>
      </c>
      <c r="N403" s="76"/>
      <c r="O403" s="77" t="s">
        <v>19</v>
      </c>
      <c r="P403" s="71">
        <f>(C403+(E403*F403*H403))-N403</f>
        <v>0</v>
      </c>
      <c r="Q403" s="77" t="s">
        <v>19</v>
      </c>
      <c r="R403" s="78">
        <f>P403*(J403-(J403*L403)-((J403-(J403*L403))*M403))</f>
        <v>0</v>
      </c>
      <c r="S403" s="78">
        <f t="shared" si="304"/>
        <v>0</v>
      </c>
    </row>
    <row r="404" spans="1:19" s="73" customFormat="1" x14ac:dyDescent="0.2">
      <c r="A404" s="72" t="s">
        <v>833</v>
      </c>
      <c r="B404" s="73" t="s">
        <v>18</v>
      </c>
      <c r="C404" s="71"/>
      <c r="D404" s="74" t="s">
        <v>19</v>
      </c>
      <c r="E404" s="75">
        <v>2</v>
      </c>
      <c r="F404" s="76">
        <v>1</v>
      </c>
      <c r="G404" s="77" t="s">
        <v>20</v>
      </c>
      <c r="H404" s="76">
        <v>50</v>
      </c>
      <c r="I404" s="77" t="s">
        <v>19</v>
      </c>
      <c r="J404" s="78">
        <v>20500</v>
      </c>
      <c r="K404" s="74" t="s">
        <v>19</v>
      </c>
      <c r="L404" s="79">
        <v>0.125</v>
      </c>
      <c r="M404" s="79">
        <v>0.05</v>
      </c>
      <c r="N404" s="76">
        <v>100</v>
      </c>
      <c r="O404" s="77" t="s">
        <v>19</v>
      </c>
      <c r="P404" s="71">
        <f>(C404+(E404*F404*H404))-N404</f>
        <v>0</v>
      </c>
      <c r="Q404" s="77" t="s">
        <v>19</v>
      </c>
      <c r="R404" s="78">
        <f>P404*(J404-(J404*L404)-((J404-(J404*L404))*M404))</f>
        <v>0</v>
      </c>
      <c r="S404" s="78">
        <f t="shared" ref="S404" si="308">R404/1.11</f>
        <v>0</v>
      </c>
    </row>
    <row r="405" spans="1:19" s="19" customFormat="1" x14ac:dyDescent="0.2">
      <c r="A405" s="18"/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73" customFormat="1" x14ac:dyDescent="0.2">
      <c r="A406" s="72" t="s">
        <v>206</v>
      </c>
      <c r="B406" s="73" t="s">
        <v>25</v>
      </c>
      <c r="C406" s="71"/>
      <c r="D406" s="74" t="s">
        <v>19</v>
      </c>
      <c r="E406" s="75"/>
      <c r="F406" s="76">
        <v>1</v>
      </c>
      <c r="G406" s="77" t="s">
        <v>20</v>
      </c>
      <c r="H406" s="76">
        <v>24</v>
      </c>
      <c r="I406" s="77" t="s">
        <v>19</v>
      </c>
      <c r="J406" s="78">
        <f>720000/24</f>
        <v>30000</v>
      </c>
      <c r="K406" s="74" t="s">
        <v>19</v>
      </c>
      <c r="L406" s="79"/>
      <c r="M406" s="79">
        <v>0.17</v>
      </c>
      <c r="N406" s="76"/>
      <c r="O406" s="77" t="s">
        <v>19</v>
      </c>
      <c r="P406" s="71">
        <f>(C406+(E406*F406*H406))-N406</f>
        <v>0</v>
      </c>
      <c r="Q406" s="77" t="s">
        <v>19</v>
      </c>
      <c r="R406" s="78">
        <f>P406*(J406-(J406*L406)-((J406-(J406*L406))*M406))</f>
        <v>0</v>
      </c>
      <c r="S406" s="78">
        <f t="shared" si="304"/>
        <v>0</v>
      </c>
    </row>
    <row r="407" spans="1:19" s="73" customFormat="1" x14ac:dyDescent="0.2">
      <c r="A407" s="72" t="s">
        <v>207</v>
      </c>
      <c r="B407" s="73" t="s">
        <v>25</v>
      </c>
      <c r="C407" s="71">
        <v>112</v>
      </c>
      <c r="D407" s="74" t="s">
        <v>19</v>
      </c>
      <c r="E407" s="75"/>
      <c r="F407" s="76">
        <v>1</v>
      </c>
      <c r="G407" s="77" t="s">
        <v>20</v>
      </c>
      <c r="H407" s="76">
        <v>48</v>
      </c>
      <c r="I407" s="77" t="s">
        <v>19</v>
      </c>
      <c r="J407" s="78">
        <f>1152000/48</f>
        <v>24000</v>
      </c>
      <c r="K407" s="74" t="s">
        <v>19</v>
      </c>
      <c r="L407" s="79"/>
      <c r="M407" s="79">
        <v>0.17</v>
      </c>
      <c r="N407" s="76">
        <v>112</v>
      </c>
      <c r="O407" s="77" t="s">
        <v>19</v>
      </c>
      <c r="P407" s="71">
        <f>(C407+(E407*F407*H407))-N407</f>
        <v>0</v>
      </c>
      <c r="Q407" s="77" t="s">
        <v>19</v>
      </c>
      <c r="R407" s="78">
        <f>P407*(J407-(J407*L407)-((J407-(J407*L407))*M407))</f>
        <v>0</v>
      </c>
      <c r="S407" s="78">
        <f t="shared" si="304"/>
        <v>0</v>
      </c>
    </row>
    <row r="408" spans="1:19" s="19" customFormat="1" x14ac:dyDescent="0.2">
      <c r="A408" s="18"/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 ht="15.75" x14ac:dyDescent="0.25">
      <c r="A409" s="35" t="s">
        <v>208</v>
      </c>
      <c r="C409" s="20"/>
      <c r="D409" s="21"/>
      <c r="E409" s="26"/>
      <c r="F409" s="22"/>
      <c r="G409" s="23"/>
      <c r="H409" s="22"/>
      <c r="I409" s="23"/>
      <c r="J409" s="24"/>
      <c r="K409" s="21"/>
      <c r="L409" s="25"/>
      <c r="M409" s="25"/>
      <c r="N409" s="22"/>
      <c r="O409" s="23"/>
      <c r="P409" s="20"/>
      <c r="Q409" s="23"/>
      <c r="R409" s="24"/>
      <c r="S409" s="24"/>
    </row>
    <row r="410" spans="1:19" s="19" customFormat="1" x14ac:dyDescent="0.2">
      <c r="A410" s="57" t="s">
        <v>759</v>
      </c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73" customFormat="1" x14ac:dyDescent="0.2">
      <c r="A411" s="72" t="s">
        <v>760</v>
      </c>
      <c r="B411" s="73" t="s">
        <v>25</v>
      </c>
      <c r="C411" s="71"/>
      <c r="D411" s="74" t="s">
        <v>40</v>
      </c>
      <c r="E411" s="75"/>
      <c r="F411" s="76">
        <v>1</v>
      </c>
      <c r="G411" s="77" t="s">
        <v>20</v>
      </c>
      <c r="H411" s="76">
        <v>40</v>
      </c>
      <c r="I411" s="77" t="s">
        <v>40</v>
      </c>
      <c r="J411" s="78">
        <v>32400</v>
      </c>
      <c r="K411" s="74" t="s">
        <v>40</v>
      </c>
      <c r="L411" s="79"/>
      <c r="M411" s="79">
        <v>0.17</v>
      </c>
      <c r="N411" s="76"/>
      <c r="O411" s="77" t="s">
        <v>40</v>
      </c>
      <c r="P411" s="71">
        <f>(C411+(E411*F411*H411))-N411</f>
        <v>0</v>
      </c>
      <c r="Q411" s="77" t="s">
        <v>40</v>
      </c>
      <c r="R411" s="78">
        <f>P411*(J411-(J411*L411)-((J411-(J411*L411))*M411))</f>
        <v>0</v>
      </c>
      <c r="S411" s="78">
        <f t="shared" ref="S411" si="309">R411/1.11</f>
        <v>0</v>
      </c>
    </row>
    <row r="412" spans="1:19" s="19" customFormat="1" x14ac:dyDescent="0.2">
      <c r="A412" s="18"/>
      <c r="C412" s="20"/>
      <c r="D412" s="21"/>
      <c r="E412" s="26"/>
      <c r="F412" s="22"/>
      <c r="G412" s="23"/>
      <c r="H412" s="22"/>
      <c r="I412" s="23"/>
      <c r="J412" s="24"/>
      <c r="K412" s="21"/>
      <c r="L412" s="25"/>
      <c r="M412" s="25"/>
      <c r="N412" s="22"/>
      <c r="O412" s="23"/>
      <c r="P412" s="20"/>
      <c r="Q412" s="23"/>
      <c r="R412" s="24"/>
      <c r="S412" s="24"/>
    </row>
    <row r="413" spans="1:19" s="19" customFormat="1" x14ac:dyDescent="0.2">
      <c r="A413" s="57" t="s">
        <v>209</v>
      </c>
      <c r="C413" s="20"/>
      <c r="D413" s="21"/>
      <c r="E413" s="26"/>
      <c r="F413" s="22"/>
      <c r="G413" s="23"/>
      <c r="H413" s="22"/>
      <c r="I413" s="23"/>
      <c r="J413" s="24"/>
      <c r="K413" s="21"/>
      <c r="L413" s="25"/>
      <c r="M413" s="25"/>
      <c r="N413" s="22"/>
      <c r="O413" s="23"/>
      <c r="P413" s="20"/>
      <c r="Q413" s="23"/>
      <c r="R413" s="24"/>
      <c r="S413" s="24"/>
    </row>
    <row r="414" spans="1:19" s="73" customFormat="1" x14ac:dyDescent="0.2">
      <c r="A414" s="72" t="s">
        <v>210</v>
      </c>
      <c r="B414" s="73" t="s">
        <v>18</v>
      </c>
      <c r="C414" s="71"/>
      <c r="D414" s="74" t="s">
        <v>19</v>
      </c>
      <c r="E414" s="75"/>
      <c r="F414" s="76">
        <v>1</v>
      </c>
      <c r="G414" s="77" t="s">
        <v>20</v>
      </c>
      <c r="H414" s="76">
        <v>40</v>
      </c>
      <c r="I414" s="77" t="s">
        <v>19</v>
      </c>
      <c r="J414" s="78">
        <v>38500</v>
      </c>
      <c r="K414" s="74" t="s">
        <v>19</v>
      </c>
      <c r="L414" s="79">
        <v>0.125</v>
      </c>
      <c r="M414" s="79">
        <v>0.05</v>
      </c>
      <c r="N414" s="76"/>
      <c r="O414" s="77" t="s">
        <v>19</v>
      </c>
      <c r="P414" s="71">
        <f>(C414+(E414*F414*H414))-N414</f>
        <v>0</v>
      </c>
      <c r="Q414" s="77" t="s">
        <v>19</v>
      </c>
      <c r="R414" s="78">
        <f>P414*(J414-(J414*L414)-((J414-(J414*L414))*M414))</f>
        <v>0</v>
      </c>
      <c r="S414" s="78">
        <f t="shared" si="304"/>
        <v>0</v>
      </c>
    </row>
    <row r="415" spans="1:19" s="19" customFormat="1" x14ac:dyDescent="0.2">
      <c r="A415" s="18"/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19" customFormat="1" x14ac:dyDescent="0.2">
      <c r="A416" s="57" t="s">
        <v>211</v>
      </c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73" customFormat="1" x14ac:dyDescent="0.2">
      <c r="A417" s="72" t="s">
        <v>729</v>
      </c>
      <c r="B417" s="73" t="s">
        <v>18</v>
      </c>
      <c r="C417" s="71">
        <v>361</v>
      </c>
      <c r="D417" s="74" t="s">
        <v>19</v>
      </c>
      <c r="E417" s="75"/>
      <c r="F417" s="76">
        <v>1</v>
      </c>
      <c r="G417" s="77" t="s">
        <v>20</v>
      </c>
      <c r="H417" s="76">
        <v>48</v>
      </c>
      <c r="I417" s="77" t="s">
        <v>19</v>
      </c>
      <c r="J417" s="78">
        <v>17600</v>
      </c>
      <c r="K417" s="74" t="s">
        <v>19</v>
      </c>
      <c r="L417" s="79">
        <v>0.125</v>
      </c>
      <c r="M417" s="79">
        <v>0.05</v>
      </c>
      <c r="N417" s="76">
        <v>361</v>
      </c>
      <c r="O417" s="77" t="s">
        <v>19</v>
      </c>
      <c r="P417" s="71">
        <f>(C417+(E417*F417*H417))-N417</f>
        <v>0</v>
      </c>
      <c r="Q417" s="77" t="s">
        <v>19</v>
      </c>
      <c r="R417" s="78">
        <f>P417*(J417-(J417*L417)-((J417-(J417*L417))*M417))</f>
        <v>0</v>
      </c>
      <c r="S417" s="78">
        <f t="shared" si="304"/>
        <v>0</v>
      </c>
    </row>
    <row r="418" spans="1:19" s="19" customFormat="1" x14ac:dyDescent="0.2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 x14ac:dyDescent="0.2">
      <c r="A419" s="57" t="s">
        <v>1085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73" customFormat="1" x14ac:dyDescent="0.2">
      <c r="A420" s="184" t="s">
        <v>1083</v>
      </c>
      <c r="B420" s="73" t="s">
        <v>171</v>
      </c>
      <c r="C420" s="71"/>
      <c r="D420" s="74" t="s">
        <v>19</v>
      </c>
      <c r="E420" s="75">
        <v>2</v>
      </c>
      <c r="F420" s="76">
        <v>1</v>
      </c>
      <c r="G420" s="77" t="s">
        <v>20</v>
      </c>
      <c r="H420" s="76">
        <v>1200</v>
      </c>
      <c r="I420" s="77" t="s">
        <v>19</v>
      </c>
      <c r="J420" s="78">
        <v>2350</v>
      </c>
      <c r="K420" s="74" t="s">
        <v>19</v>
      </c>
      <c r="L420" s="79">
        <v>7.0000000000000007E-2</v>
      </c>
      <c r="M420" s="79"/>
      <c r="N420" s="76">
        <v>2400</v>
      </c>
      <c r="O420" s="77" t="s">
        <v>19</v>
      </c>
      <c r="P420" s="71">
        <f>(C420+(E420*F420*H420))-N420</f>
        <v>0</v>
      </c>
      <c r="Q420" s="77" t="s">
        <v>19</v>
      </c>
      <c r="R420" s="78">
        <f>P420*(J420-(J420*L420)-((J420-(J420*L420))*M420))</f>
        <v>0</v>
      </c>
      <c r="S420" s="78">
        <f t="shared" ref="S420" si="310">R420/1.11</f>
        <v>0</v>
      </c>
    </row>
    <row r="421" spans="1:19" s="73" customFormat="1" x14ac:dyDescent="0.2">
      <c r="A421" s="184" t="s">
        <v>1084</v>
      </c>
      <c r="B421" s="73" t="s">
        <v>171</v>
      </c>
      <c r="C421" s="71"/>
      <c r="D421" s="74" t="s">
        <v>19</v>
      </c>
      <c r="E421" s="75">
        <v>2</v>
      </c>
      <c r="F421" s="76">
        <v>1</v>
      </c>
      <c r="G421" s="77" t="s">
        <v>20</v>
      </c>
      <c r="H421" s="76">
        <v>1200</v>
      </c>
      <c r="I421" s="77" t="s">
        <v>19</v>
      </c>
      <c r="J421" s="78">
        <v>2350</v>
      </c>
      <c r="K421" s="74" t="s">
        <v>19</v>
      </c>
      <c r="L421" s="79">
        <v>7.0000000000000007E-2</v>
      </c>
      <c r="M421" s="79"/>
      <c r="N421" s="76">
        <v>2400</v>
      </c>
      <c r="O421" s="77" t="s">
        <v>19</v>
      </c>
      <c r="P421" s="71">
        <f>(C421+(E421*F421*H421))-N421</f>
        <v>0</v>
      </c>
      <c r="Q421" s="77" t="s">
        <v>19</v>
      </c>
      <c r="R421" s="78">
        <f>P421*(J421-(J421*L421)-((J421-(J421*L421))*M421))</f>
        <v>0</v>
      </c>
      <c r="S421" s="78">
        <f t="shared" ref="S421" si="311">R421/1.11</f>
        <v>0</v>
      </c>
    </row>
    <row r="422" spans="1:19" s="19" customFormat="1" x14ac:dyDescent="0.2">
      <c r="A422" s="18"/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19" customFormat="1" x14ac:dyDescent="0.2">
      <c r="A423" s="57" t="s">
        <v>1086</v>
      </c>
      <c r="C423" s="20"/>
      <c r="D423" s="21"/>
      <c r="E423" s="26"/>
      <c r="F423" s="22"/>
      <c r="G423" s="23"/>
      <c r="H423" s="22"/>
      <c r="I423" s="23"/>
      <c r="J423" s="24"/>
      <c r="K423" s="21"/>
      <c r="L423" s="25"/>
      <c r="M423" s="25"/>
      <c r="N423" s="22"/>
      <c r="O423" s="23"/>
      <c r="P423" s="20"/>
      <c r="Q423" s="23"/>
      <c r="R423" s="24"/>
      <c r="S423" s="24"/>
    </row>
    <row r="424" spans="1:19" s="73" customFormat="1" x14ac:dyDescent="0.2">
      <c r="A424" s="184" t="s">
        <v>1087</v>
      </c>
      <c r="B424" s="73" t="s">
        <v>171</v>
      </c>
      <c r="C424" s="71"/>
      <c r="D424" s="74" t="s">
        <v>19</v>
      </c>
      <c r="E424" s="75">
        <v>5</v>
      </c>
      <c r="F424" s="76">
        <v>1</v>
      </c>
      <c r="G424" s="77" t="s">
        <v>20</v>
      </c>
      <c r="H424" s="76">
        <v>12</v>
      </c>
      <c r="I424" s="77" t="s">
        <v>19</v>
      </c>
      <c r="J424" s="78">
        <v>875000</v>
      </c>
      <c r="K424" s="74" t="s">
        <v>19</v>
      </c>
      <c r="L424" s="79">
        <v>7.0000000000000007E-2</v>
      </c>
      <c r="M424" s="79"/>
      <c r="N424" s="76">
        <v>60</v>
      </c>
      <c r="O424" s="77" t="s">
        <v>19</v>
      </c>
      <c r="P424" s="71">
        <f>(C424+(E424*F424*H424))-N424</f>
        <v>0</v>
      </c>
      <c r="Q424" s="77" t="s">
        <v>19</v>
      </c>
      <c r="R424" s="78">
        <f>P424*(J424-(J424*L424)-((J424-(J424*L424))*M424))</f>
        <v>0</v>
      </c>
      <c r="S424" s="78">
        <f t="shared" ref="S424" si="312">R424/1.11</f>
        <v>0</v>
      </c>
    </row>
    <row r="425" spans="1:19" s="19" customFormat="1" x14ac:dyDescent="0.2">
      <c r="A425" s="18"/>
      <c r="C425" s="20"/>
      <c r="D425" s="21"/>
      <c r="E425" s="26"/>
      <c r="F425" s="22"/>
      <c r="G425" s="23"/>
      <c r="H425" s="22"/>
      <c r="I425" s="23"/>
      <c r="J425" s="24"/>
      <c r="K425" s="21"/>
      <c r="L425" s="25"/>
      <c r="M425" s="25"/>
      <c r="N425" s="22"/>
      <c r="O425" s="23"/>
      <c r="P425" s="20"/>
      <c r="Q425" s="23"/>
      <c r="R425" s="24"/>
      <c r="S425" s="24"/>
    </row>
    <row r="426" spans="1:19" s="19" customFormat="1" ht="15.75" x14ac:dyDescent="0.25">
      <c r="A426" s="35" t="s">
        <v>212</v>
      </c>
      <c r="C426" s="20"/>
      <c r="D426" s="21"/>
      <c r="E426" s="26"/>
      <c r="F426" s="22"/>
      <c r="G426" s="23"/>
      <c r="H426" s="22"/>
      <c r="I426" s="23"/>
      <c r="J426" s="24"/>
      <c r="K426" s="21"/>
      <c r="L426" s="25"/>
      <c r="M426" s="25"/>
      <c r="N426" s="22"/>
      <c r="O426" s="23"/>
      <c r="P426" s="20"/>
      <c r="Q426" s="23"/>
      <c r="R426" s="24"/>
      <c r="S426" s="24"/>
    </row>
    <row r="427" spans="1:19" s="19" customFormat="1" x14ac:dyDescent="0.2">
      <c r="A427" s="57" t="s">
        <v>213</v>
      </c>
      <c r="C427" s="20"/>
      <c r="D427" s="21"/>
      <c r="E427" s="26"/>
      <c r="F427" s="22"/>
      <c r="G427" s="23"/>
      <c r="H427" s="22"/>
      <c r="I427" s="23"/>
      <c r="J427" s="24"/>
      <c r="K427" s="21"/>
      <c r="L427" s="25"/>
      <c r="M427" s="25"/>
      <c r="N427" s="22"/>
      <c r="O427" s="23"/>
      <c r="P427" s="20"/>
      <c r="Q427" s="23"/>
      <c r="R427" s="24"/>
      <c r="S427" s="24"/>
    </row>
    <row r="428" spans="1:19" s="73" customFormat="1" x14ac:dyDescent="0.2">
      <c r="A428" s="185" t="s">
        <v>214</v>
      </c>
      <c r="B428" s="73" t="s">
        <v>25</v>
      </c>
      <c r="C428" s="71">
        <v>9</v>
      </c>
      <c r="D428" s="74" t="s">
        <v>40</v>
      </c>
      <c r="E428" s="75"/>
      <c r="F428" s="76">
        <v>1</v>
      </c>
      <c r="G428" s="77" t="s">
        <v>20</v>
      </c>
      <c r="H428" s="76">
        <v>50</v>
      </c>
      <c r="I428" s="77" t="s">
        <v>40</v>
      </c>
      <c r="J428" s="186">
        <f>1800000/50</f>
        <v>36000</v>
      </c>
      <c r="K428" s="74" t="s">
        <v>40</v>
      </c>
      <c r="L428" s="79"/>
      <c r="M428" s="79">
        <v>0.17</v>
      </c>
      <c r="N428" s="76">
        <v>9</v>
      </c>
      <c r="O428" s="77" t="s">
        <v>40</v>
      </c>
      <c r="P428" s="71">
        <f t="shared" ref="P428:P436" si="313">(C428+(E428*F428*H428))-N428</f>
        <v>0</v>
      </c>
      <c r="Q428" s="77" t="s">
        <v>40</v>
      </c>
      <c r="R428" s="78">
        <f t="shared" ref="R428:R436" si="314">P428*(J428-(J428*L428)-((J428-(J428*L428))*M428))</f>
        <v>0</v>
      </c>
      <c r="S428" s="78">
        <f t="shared" si="304"/>
        <v>0</v>
      </c>
    </row>
    <row r="429" spans="1:19" s="73" customFormat="1" x14ac:dyDescent="0.2">
      <c r="A429" s="185" t="s">
        <v>214</v>
      </c>
      <c r="B429" s="73" t="s">
        <v>25</v>
      </c>
      <c r="C429" s="71"/>
      <c r="D429" s="74" t="s">
        <v>40</v>
      </c>
      <c r="E429" s="75">
        <v>1</v>
      </c>
      <c r="F429" s="76">
        <v>1</v>
      </c>
      <c r="G429" s="77" t="s">
        <v>20</v>
      </c>
      <c r="H429" s="76">
        <v>50</v>
      </c>
      <c r="I429" s="77" t="s">
        <v>40</v>
      </c>
      <c r="J429" s="186">
        <v>37800</v>
      </c>
      <c r="K429" s="74" t="s">
        <v>40</v>
      </c>
      <c r="L429" s="79"/>
      <c r="M429" s="79">
        <v>0.17</v>
      </c>
      <c r="N429" s="76">
        <v>50</v>
      </c>
      <c r="O429" s="77" t="s">
        <v>40</v>
      </c>
      <c r="P429" s="71">
        <f>(C429+(E429*F429*H429))-N429</f>
        <v>0</v>
      </c>
      <c r="Q429" s="77" t="s">
        <v>40</v>
      </c>
      <c r="R429" s="78">
        <f>P429*(J429-(J429*L429)-((J429-(J429*L429))*M429))</f>
        <v>0</v>
      </c>
      <c r="S429" s="78">
        <f>R429/1.11</f>
        <v>0</v>
      </c>
    </row>
    <row r="430" spans="1:19" s="73" customFormat="1" x14ac:dyDescent="0.2">
      <c r="A430" s="72" t="s">
        <v>747</v>
      </c>
      <c r="B430" s="73" t="s">
        <v>25</v>
      </c>
      <c r="C430" s="71"/>
      <c r="D430" s="74" t="s">
        <v>40</v>
      </c>
      <c r="E430" s="75">
        <v>1</v>
      </c>
      <c r="F430" s="76">
        <v>1</v>
      </c>
      <c r="G430" s="77" t="s">
        <v>20</v>
      </c>
      <c r="H430" s="76">
        <v>25</v>
      </c>
      <c r="I430" s="77" t="s">
        <v>40</v>
      </c>
      <c r="J430" s="78">
        <v>70800</v>
      </c>
      <c r="K430" s="74" t="s">
        <v>40</v>
      </c>
      <c r="L430" s="79"/>
      <c r="M430" s="79">
        <v>0.17</v>
      </c>
      <c r="N430" s="76">
        <v>25</v>
      </c>
      <c r="O430" s="77" t="s">
        <v>40</v>
      </c>
      <c r="P430" s="71">
        <f t="shared" ref="P430" si="315">(C430+(E430*F430*H430))-N430</f>
        <v>0</v>
      </c>
      <c r="Q430" s="77" t="s">
        <v>40</v>
      </c>
      <c r="R430" s="78">
        <f t="shared" ref="R430" si="316">P430*(J430-(J430*L430)-((J430-(J430*L430))*M430))</f>
        <v>0</v>
      </c>
      <c r="S430" s="78">
        <f t="shared" ref="S430" si="317">R430/1.11</f>
        <v>0</v>
      </c>
    </row>
    <row r="431" spans="1:19" s="19" customFormat="1" x14ac:dyDescent="0.2">
      <c r="A431" s="18" t="s">
        <v>215</v>
      </c>
      <c r="B431" s="19" t="s">
        <v>25</v>
      </c>
      <c r="C431" s="20">
        <v>43</v>
      </c>
      <c r="D431" s="21" t="s">
        <v>40</v>
      </c>
      <c r="E431" s="26">
        <v>7</v>
      </c>
      <c r="F431" s="22">
        <v>1</v>
      </c>
      <c r="G431" s="23" t="s">
        <v>20</v>
      </c>
      <c r="H431" s="22">
        <v>25</v>
      </c>
      <c r="I431" s="23" t="s">
        <v>40</v>
      </c>
      <c r="J431" s="24">
        <f>2100000/25</f>
        <v>84000</v>
      </c>
      <c r="K431" s="21" t="s">
        <v>40</v>
      </c>
      <c r="L431" s="25"/>
      <c r="M431" s="25">
        <v>0.17</v>
      </c>
      <c r="N431" s="22">
        <v>193</v>
      </c>
      <c r="O431" s="23" t="s">
        <v>40</v>
      </c>
      <c r="P431" s="20">
        <f t="shared" si="313"/>
        <v>25</v>
      </c>
      <c r="Q431" s="23" t="s">
        <v>40</v>
      </c>
      <c r="R431" s="24">
        <f t="shared" si="314"/>
        <v>1743000</v>
      </c>
      <c r="S431" s="24">
        <f t="shared" si="304"/>
        <v>1570270.2702702701</v>
      </c>
    </row>
    <row r="432" spans="1:19" s="73" customFormat="1" x14ac:dyDescent="0.2">
      <c r="A432" s="72" t="s">
        <v>216</v>
      </c>
      <c r="B432" s="73" t="s">
        <v>25</v>
      </c>
      <c r="C432" s="71">
        <v>8</v>
      </c>
      <c r="D432" s="74" t="s">
        <v>40</v>
      </c>
      <c r="E432" s="75">
        <v>3</v>
      </c>
      <c r="F432" s="76">
        <v>1</v>
      </c>
      <c r="G432" s="77" t="s">
        <v>20</v>
      </c>
      <c r="H432" s="76">
        <v>10</v>
      </c>
      <c r="I432" s="77" t="s">
        <v>40</v>
      </c>
      <c r="J432" s="78">
        <f>1632000/10</f>
        <v>163200</v>
      </c>
      <c r="K432" s="74" t="s">
        <v>40</v>
      </c>
      <c r="L432" s="79"/>
      <c r="M432" s="79">
        <v>0.17</v>
      </c>
      <c r="N432" s="76">
        <v>38</v>
      </c>
      <c r="O432" s="77" t="s">
        <v>40</v>
      </c>
      <c r="P432" s="71">
        <f t="shared" si="313"/>
        <v>0</v>
      </c>
      <c r="Q432" s="77" t="s">
        <v>40</v>
      </c>
      <c r="R432" s="78">
        <f t="shared" si="314"/>
        <v>0</v>
      </c>
      <c r="S432" s="78">
        <f t="shared" si="304"/>
        <v>0</v>
      </c>
    </row>
    <row r="433" spans="1:19" s="73" customFormat="1" x14ac:dyDescent="0.2">
      <c r="A433" s="185" t="s">
        <v>217</v>
      </c>
      <c r="B433" s="73" t="s">
        <v>25</v>
      </c>
      <c r="C433" s="71"/>
      <c r="D433" s="74" t="s">
        <v>40</v>
      </c>
      <c r="E433" s="75">
        <v>3</v>
      </c>
      <c r="F433" s="76">
        <v>1</v>
      </c>
      <c r="G433" s="77" t="s">
        <v>20</v>
      </c>
      <c r="H433" s="76">
        <v>10</v>
      </c>
      <c r="I433" s="77" t="s">
        <v>40</v>
      </c>
      <c r="J433" s="186">
        <v>215400</v>
      </c>
      <c r="K433" s="74" t="s">
        <v>40</v>
      </c>
      <c r="L433" s="79"/>
      <c r="M433" s="79">
        <v>0.17</v>
      </c>
      <c r="N433" s="76">
        <v>30</v>
      </c>
      <c r="O433" s="77" t="s">
        <v>40</v>
      </c>
      <c r="P433" s="71">
        <f t="shared" ref="P433" si="318">(C433+(E433*F433*H433))-N433</f>
        <v>0</v>
      </c>
      <c r="Q433" s="77" t="s">
        <v>40</v>
      </c>
      <c r="R433" s="78">
        <f t="shared" ref="R433" si="319">P433*(J433-(J433*L433)-((J433-(J433*L433))*M433))</f>
        <v>0</v>
      </c>
      <c r="S433" s="78">
        <f t="shared" ref="S433" si="320">R433/1.11</f>
        <v>0</v>
      </c>
    </row>
    <row r="434" spans="1:19" s="73" customFormat="1" x14ac:dyDescent="0.2">
      <c r="A434" s="185" t="s">
        <v>217</v>
      </c>
      <c r="B434" s="73" t="s">
        <v>25</v>
      </c>
      <c r="C434" s="71">
        <v>7</v>
      </c>
      <c r="D434" s="74" t="s">
        <v>40</v>
      </c>
      <c r="E434" s="75"/>
      <c r="F434" s="76">
        <v>1</v>
      </c>
      <c r="G434" s="77" t="s">
        <v>20</v>
      </c>
      <c r="H434" s="76">
        <v>10</v>
      </c>
      <c r="I434" s="77" t="s">
        <v>40</v>
      </c>
      <c r="J434" s="186">
        <f>2028000/10</f>
        <v>202800</v>
      </c>
      <c r="K434" s="74" t="s">
        <v>40</v>
      </c>
      <c r="L434" s="79"/>
      <c r="M434" s="79">
        <v>0.17</v>
      </c>
      <c r="N434" s="76">
        <v>7</v>
      </c>
      <c r="O434" s="77" t="s">
        <v>40</v>
      </c>
      <c r="P434" s="71">
        <f t="shared" si="313"/>
        <v>0</v>
      </c>
      <c r="Q434" s="77" t="s">
        <v>40</v>
      </c>
      <c r="R434" s="78">
        <f t="shared" si="314"/>
        <v>0</v>
      </c>
      <c r="S434" s="78">
        <f t="shared" si="304"/>
        <v>0</v>
      </c>
    </row>
    <row r="435" spans="1:19" s="73" customFormat="1" x14ac:dyDescent="0.2">
      <c r="A435" s="72" t="s">
        <v>218</v>
      </c>
      <c r="B435" s="73" t="s">
        <v>25</v>
      </c>
      <c r="C435" s="71">
        <v>2</v>
      </c>
      <c r="D435" s="74" t="s">
        <v>40</v>
      </c>
      <c r="E435" s="75">
        <v>2</v>
      </c>
      <c r="F435" s="76">
        <v>1</v>
      </c>
      <c r="G435" s="77" t="s">
        <v>20</v>
      </c>
      <c r="H435" s="76">
        <v>10</v>
      </c>
      <c r="I435" s="77" t="s">
        <v>40</v>
      </c>
      <c r="J435" s="78">
        <f>2520000/10</f>
        <v>252000</v>
      </c>
      <c r="K435" s="74" t="s">
        <v>40</v>
      </c>
      <c r="L435" s="79"/>
      <c r="M435" s="79">
        <v>0.17</v>
      </c>
      <c r="N435" s="76">
        <v>22</v>
      </c>
      <c r="O435" s="77" t="s">
        <v>40</v>
      </c>
      <c r="P435" s="71">
        <f t="shared" si="313"/>
        <v>0</v>
      </c>
      <c r="Q435" s="77" t="s">
        <v>40</v>
      </c>
      <c r="R435" s="78">
        <f t="shared" si="314"/>
        <v>0</v>
      </c>
      <c r="S435" s="78">
        <f t="shared" si="304"/>
        <v>0</v>
      </c>
    </row>
    <row r="436" spans="1:19" s="73" customFormat="1" x14ac:dyDescent="0.2">
      <c r="A436" s="72" t="s">
        <v>219</v>
      </c>
      <c r="B436" s="73" t="s">
        <v>25</v>
      </c>
      <c r="C436" s="71">
        <v>108</v>
      </c>
      <c r="D436" s="74" t="s">
        <v>19</v>
      </c>
      <c r="E436" s="75">
        <v>1</v>
      </c>
      <c r="F436" s="76">
        <v>10</v>
      </c>
      <c r="G436" s="77" t="s">
        <v>40</v>
      </c>
      <c r="H436" s="76">
        <v>12</v>
      </c>
      <c r="I436" s="77" t="s">
        <v>19</v>
      </c>
      <c r="J436" s="78">
        <f>5220000/10/12</f>
        <v>43500</v>
      </c>
      <c r="K436" s="74" t="s">
        <v>19</v>
      </c>
      <c r="L436" s="79"/>
      <c r="M436" s="79">
        <v>0.17</v>
      </c>
      <c r="N436" s="76">
        <v>228</v>
      </c>
      <c r="O436" s="77" t="s">
        <v>19</v>
      </c>
      <c r="P436" s="71">
        <f t="shared" si="313"/>
        <v>0</v>
      </c>
      <c r="Q436" s="77" t="s">
        <v>19</v>
      </c>
      <c r="R436" s="78">
        <f t="shared" si="314"/>
        <v>0</v>
      </c>
      <c r="S436" s="78">
        <f t="shared" si="304"/>
        <v>0</v>
      </c>
    </row>
    <row r="437" spans="1:19" s="19" customFormat="1" x14ac:dyDescent="0.2">
      <c r="A437" s="18"/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 x14ac:dyDescent="0.2">
      <c r="A438" s="57" t="s">
        <v>663</v>
      </c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73" customFormat="1" x14ac:dyDescent="0.2">
      <c r="A439" s="72" t="s">
        <v>758</v>
      </c>
      <c r="C439" s="71">
        <v>408</v>
      </c>
      <c r="D439" s="74" t="s">
        <v>40</v>
      </c>
      <c r="E439" s="75"/>
      <c r="F439" s="76">
        <v>20</v>
      </c>
      <c r="G439" s="77" t="s">
        <v>33</v>
      </c>
      <c r="H439" s="76">
        <v>4</v>
      </c>
      <c r="I439" s="77" t="s">
        <v>40</v>
      </c>
      <c r="J439" s="78">
        <f>1400*12</f>
        <v>16800</v>
      </c>
      <c r="K439" s="74" t="s">
        <v>40</v>
      </c>
      <c r="L439" s="79">
        <v>0.05</v>
      </c>
      <c r="M439" s="79"/>
      <c r="N439" s="76">
        <v>408</v>
      </c>
      <c r="O439" s="77" t="s">
        <v>40</v>
      </c>
      <c r="P439" s="71">
        <f>(C439+(E439*F439*H439))-N439</f>
        <v>0</v>
      </c>
      <c r="Q439" s="77" t="s">
        <v>40</v>
      </c>
      <c r="R439" s="78">
        <f>P439*(J439-(J439*L439)-((J439-(J439*L439))*M439))</f>
        <v>0</v>
      </c>
      <c r="S439" s="78">
        <f t="shared" ref="S439" si="321">R439/1.11</f>
        <v>0</v>
      </c>
    </row>
    <row r="440" spans="1:19" s="73" customFormat="1" x14ac:dyDescent="0.2">
      <c r="A440" s="72"/>
      <c r="C440" s="71"/>
      <c r="D440" s="74"/>
      <c r="E440" s="75"/>
      <c r="F440" s="76"/>
      <c r="G440" s="77"/>
      <c r="H440" s="76"/>
      <c r="I440" s="77"/>
      <c r="J440" s="78"/>
      <c r="K440" s="74"/>
      <c r="L440" s="79"/>
      <c r="M440" s="79"/>
      <c r="N440" s="76"/>
      <c r="O440" s="77"/>
      <c r="P440" s="71"/>
      <c r="Q440" s="77"/>
      <c r="R440" s="78"/>
      <c r="S440" s="78"/>
    </row>
    <row r="441" spans="1:19" s="73" customFormat="1" x14ac:dyDescent="0.2">
      <c r="A441" s="72" t="s">
        <v>949</v>
      </c>
      <c r="B441" s="73" t="s">
        <v>171</v>
      </c>
      <c r="C441" s="71"/>
      <c r="D441" s="74" t="s">
        <v>151</v>
      </c>
      <c r="E441" s="75">
        <v>2</v>
      </c>
      <c r="F441" s="76">
        <v>1</v>
      </c>
      <c r="G441" s="77" t="s">
        <v>20</v>
      </c>
      <c r="H441" s="76">
        <v>640</v>
      </c>
      <c r="I441" s="77" t="s">
        <v>151</v>
      </c>
      <c r="J441" s="78">
        <v>2400</v>
      </c>
      <c r="K441" s="74" t="s">
        <v>151</v>
      </c>
      <c r="L441" s="79"/>
      <c r="M441" s="79"/>
      <c r="N441" s="76">
        <v>1280</v>
      </c>
      <c r="O441" s="77" t="s">
        <v>151</v>
      </c>
      <c r="P441" s="71">
        <f>(C441+(E441*F441*H441))-N441</f>
        <v>0</v>
      </c>
      <c r="Q441" s="77" t="s">
        <v>151</v>
      </c>
      <c r="R441" s="78">
        <f>P441*(J441-(J441*L441)-((J441-(J441*L441))*M441))</f>
        <v>0</v>
      </c>
      <c r="S441" s="78">
        <f t="shared" ref="S441" si="322">R441/1.11</f>
        <v>0</v>
      </c>
    </row>
    <row r="442" spans="1:19" s="73" customFormat="1" x14ac:dyDescent="0.2">
      <c r="A442" s="72" t="s">
        <v>975</v>
      </c>
      <c r="B442" s="73" t="s">
        <v>171</v>
      </c>
      <c r="C442" s="71">
        <v>637</v>
      </c>
      <c r="D442" s="74" t="s">
        <v>151</v>
      </c>
      <c r="E442" s="75">
        <v>2</v>
      </c>
      <c r="F442" s="76">
        <v>1</v>
      </c>
      <c r="G442" s="77" t="s">
        <v>20</v>
      </c>
      <c r="H442" s="76">
        <v>640</v>
      </c>
      <c r="I442" s="77" t="s">
        <v>151</v>
      </c>
      <c r="J442" s="78">
        <v>2600</v>
      </c>
      <c r="K442" s="74" t="s">
        <v>151</v>
      </c>
      <c r="L442" s="79"/>
      <c r="M442" s="79"/>
      <c r="N442" s="76">
        <v>1917</v>
      </c>
      <c r="O442" s="77" t="s">
        <v>151</v>
      </c>
      <c r="P442" s="71">
        <f>(C442+(E442*F442*H442))-N442</f>
        <v>0</v>
      </c>
      <c r="Q442" s="77" t="s">
        <v>151</v>
      </c>
      <c r="R442" s="78">
        <f>P442*(J442-(J442*L442)-((J442-(J442*L442))*M442))</f>
        <v>0</v>
      </c>
      <c r="S442" s="78">
        <f t="shared" ref="S442:S447" si="323">R442/1.11</f>
        <v>0</v>
      </c>
    </row>
    <row r="443" spans="1:19" s="19" customFormat="1" x14ac:dyDescent="0.2">
      <c r="A443" s="18" t="s">
        <v>1018</v>
      </c>
      <c r="B443" s="19" t="s">
        <v>171</v>
      </c>
      <c r="C443" s="20"/>
      <c r="D443" s="21" t="s">
        <v>151</v>
      </c>
      <c r="E443" s="26">
        <v>3</v>
      </c>
      <c r="F443" s="22">
        <v>1</v>
      </c>
      <c r="G443" s="23" t="s">
        <v>20</v>
      </c>
      <c r="H443" s="22">
        <v>640</v>
      </c>
      <c r="I443" s="23" t="s">
        <v>151</v>
      </c>
      <c r="J443" s="24">
        <v>2400</v>
      </c>
      <c r="K443" s="21" t="s">
        <v>151</v>
      </c>
      <c r="L443" s="25">
        <v>7.0000000000000007E-2</v>
      </c>
      <c r="M443" s="25"/>
      <c r="N443" s="22">
        <v>1280</v>
      </c>
      <c r="O443" s="23" t="s">
        <v>151</v>
      </c>
      <c r="P443" s="20">
        <f t="shared" ref="P443:P447" si="324">(C443+(E443*F443*H443))-N443</f>
        <v>640</v>
      </c>
      <c r="Q443" s="23" t="s">
        <v>151</v>
      </c>
      <c r="R443" s="24">
        <f t="shared" ref="R443:R447" si="325">P443*(J443-(J443*L443)-((J443-(J443*L443))*M443))</f>
        <v>1428480</v>
      </c>
      <c r="S443" s="24">
        <f t="shared" si="323"/>
        <v>1286918.9189189188</v>
      </c>
    </row>
    <row r="444" spans="1:19" s="19" customFormat="1" x14ac:dyDescent="0.2">
      <c r="A444" s="18" t="s">
        <v>1019</v>
      </c>
      <c r="B444" s="19" t="s">
        <v>171</v>
      </c>
      <c r="C444" s="20"/>
      <c r="D444" s="21" t="s">
        <v>151</v>
      </c>
      <c r="E444" s="26">
        <v>3</v>
      </c>
      <c r="F444" s="22">
        <v>1</v>
      </c>
      <c r="G444" s="23" t="s">
        <v>20</v>
      </c>
      <c r="H444" s="22">
        <v>640</v>
      </c>
      <c r="I444" s="23" t="s">
        <v>151</v>
      </c>
      <c r="J444" s="24">
        <v>2400</v>
      </c>
      <c r="K444" s="21" t="s">
        <v>151</v>
      </c>
      <c r="L444" s="25">
        <v>7.0000000000000007E-2</v>
      </c>
      <c r="M444" s="25"/>
      <c r="N444" s="22">
        <v>1280</v>
      </c>
      <c r="O444" s="23" t="s">
        <v>151</v>
      </c>
      <c r="P444" s="20">
        <f t="shared" si="324"/>
        <v>640</v>
      </c>
      <c r="Q444" s="23" t="s">
        <v>151</v>
      </c>
      <c r="R444" s="24">
        <f t="shared" si="325"/>
        <v>1428480</v>
      </c>
      <c r="S444" s="24">
        <f t="shared" si="323"/>
        <v>1286918.9189189188</v>
      </c>
    </row>
    <row r="445" spans="1:19" s="19" customFormat="1" x14ac:dyDescent="0.2">
      <c r="A445" s="18" t="s">
        <v>975</v>
      </c>
      <c r="B445" s="19" t="s">
        <v>171</v>
      </c>
      <c r="C445" s="20"/>
      <c r="D445" s="21" t="s">
        <v>151</v>
      </c>
      <c r="E445" s="26">
        <v>3</v>
      </c>
      <c r="F445" s="22">
        <v>1</v>
      </c>
      <c r="G445" s="23" t="s">
        <v>20</v>
      </c>
      <c r="H445" s="22">
        <v>640</v>
      </c>
      <c r="I445" s="23" t="s">
        <v>151</v>
      </c>
      <c r="J445" s="24">
        <v>2400</v>
      </c>
      <c r="K445" s="21" t="s">
        <v>151</v>
      </c>
      <c r="L445" s="25">
        <v>7.0000000000000007E-2</v>
      </c>
      <c r="M445" s="25"/>
      <c r="N445" s="22">
        <v>1280</v>
      </c>
      <c r="O445" s="23" t="s">
        <v>151</v>
      </c>
      <c r="P445" s="20">
        <f t="shared" si="324"/>
        <v>640</v>
      </c>
      <c r="Q445" s="23" t="s">
        <v>151</v>
      </c>
      <c r="R445" s="24">
        <f t="shared" si="325"/>
        <v>1428480</v>
      </c>
      <c r="S445" s="24">
        <f t="shared" si="323"/>
        <v>1286918.9189189188</v>
      </c>
    </row>
    <row r="446" spans="1:19" s="19" customFormat="1" x14ac:dyDescent="0.2">
      <c r="A446" s="18" t="s">
        <v>1020</v>
      </c>
      <c r="B446" s="19" t="s">
        <v>171</v>
      </c>
      <c r="C446" s="20"/>
      <c r="D446" s="21" t="s">
        <v>151</v>
      </c>
      <c r="E446" s="26">
        <v>3</v>
      </c>
      <c r="F446" s="22">
        <v>1</v>
      </c>
      <c r="G446" s="23" t="s">
        <v>20</v>
      </c>
      <c r="H446" s="22">
        <v>640</v>
      </c>
      <c r="I446" s="23" t="s">
        <v>151</v>
      </c>
      <c r="J446" s="24">
        <v>2400</v>
      </c>
      <c r="K446" s="21" t="s">
        <v>151</v>
      </c>
      <c r="L446" s="25">
        <v>7.0000000000000007E-2</v>
      </c>
      <c r="M446" s="25"/>
      <c r="N446" s="22">
        <v>1280</v>
      </c>
      <c r="O446" s="23" t="s">
        <v>151</v>
      </c>
      <c r="P446" s="20">
        <f t="shared" si="324"/>
        <v>640</v>
      </c>
      <c r="Q446" s="23" t="s">
        <v>151</v>
      </c>
      <c r="R446" s="24">
        <f t="shared" si="325"/>
        <v>1428480</v>
      </c>
      <c r="S446" s="24">
        <f t="shared" si="323"/>
        <v>1286918.9189189188</v>
      </c>
    </row>
    <row r="447" spans="1:19" s="73" customFormat="1" x14ac:dyDescent="0.2">
      <c r="A447" s="72" t="s">
        <v>1021</v>
      </c>
      <c r="B447" s="73" t="s">
        <v>171</v>
      </c>
      <c r="C447" s="71"/>
      <c r="D447" s="74" t="s">
        <v>151</v>
      </c>
      <c r="E447" s="75">
        <v>2</v>
      </c>
      <c r="F447" s="76">
        <v>1</v>
      </c>
      <c r="G447" s="77" t="s">
        <v>20</v>
      </c>
      <c r="H447" s="76">
        <v>640</v>
      </c>
      <c r="I447" s="77" t="s">
        <v>151</v>
      </c>
      <c r="J447" s="78">
        <v>2400</v>
      </c>
      <c r="K447" s="74" t="s">
        <v>151</v>
      </c>
      <c r="L447" s="79">
        <v>7.0000000000000007E-2</v>
      </c>
      <c r="M447" s="79"/>
      <c r="N447" s="76">
        <v>1280</v>
      </c>
      <c r="O447" s="77" t="s">
        <v>151</v>
      </c>
      <c r="P447" s="71">
        <f t="shared" si="324"/>
        <v>0</v>
      </c>
      <c r="Q447" s="77" t="s">
        <v>151</v>
      </c>
      <c r="R447" s="78">
        <f t="shared" si="325"/>
        <v>0</v>
      </c>
      <c r="S447" s="78">
        <f t="shared" si="323"/>
        <v>0</v>
      </c>
    </row>
    <row r="448" spans="1:19" s="19" customFormat="1" x14ac:dyDescent="0.2">
      <c r="A448" s="18"/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19" ht="15.75" x14ac:dyDescent="0.25">
      <c r="A449" s="14" t="s">
        <v>976</v>
      </c>
      <c r="R449" s="16"/>
      <c r="S449" s="16"/>
    </row>
    <row r="450" spans="1:19" s="64" customFormat="1" x14ac:dyDescent="0.2">
      <c r="A450" s="63" t="s">
        <v>977</v>
      </c>
      <c r="B450" s="64" t="s">
        <v>18</v>
      </c>
      <c r="C450" s="65"/>
      <c r="D450" s="66" t="s">
        <v>33</v>
      </c>
      <c r="E450" s="67">
        <v>1</v>
      </c>
      <c r="F450" s="68">
        <v>1</v>
      </c>
      <c r="G450" s="69" t="s">
        <v>1006</v>
      </c>
      <c r="H450" s="68">
        <v>4</v>
      </c>
      <c r="I450" s="69" t="s">
        <v>33</v>
      </c>
      <c r="J450" s="78">
        <v>216000</v>
      </c>
      <c r="K450" s="74" t="s">
        <v>33</v>
      </c>
      <c r="L450" s="79">
        <v>0.125</v>
      </c>
      <c r="M450" s="79">
        <v>0.05</v>
      </c>
      <c r="N450" s="76">
        <v>4</v>
      </c>
      <c r="O450" s="77" t="s">
        <v>33</v>
      </c>
      <c r="P450" s="71">
        <f>(C450+(E450*F450*H450))-N450</f>
        <v>0</v>
      </c>
      <c r="Q450" s="77" t="s">
        <v>33</v>
      </c>
      <c r="R450" s="78">
        <f>P450*(J450-(J450*L450)-((J450-(J450*L450))*M450))</f>
        <v>0</v>
      </c>
      <c r="S450" s="78">
        <f t="shared" ref="S450" si="326">R450/1.11</f>
        <v>0</v>
      </c>
    </row>
    <row r="451" spans="1:19" s="64" customFormat="1" x14ac:dyDescent="0.2">
      <c r="A451" s="63" t="s">
        <v>978</v>
      </c>
      <c r="B451" s="64" t="s">
        <v>18</v>
      </c>
      <c r="C451" s="65"/>
      <c r="D451" s="66" t="s">
        <v>33</v>
      </c>
      <c r="E451" s="67">
        <v>1</v>
      </c>
      <c r="F451" s="68">
        <v>1</v>
      </c>
      <c r="G451" s="69" t="s">
        <v>1006</v>
      </c>
      <c r="H451" s="68">
        <v>4</v>
      </c>
      <c r="I451" s="69" t="s">
        <v>33</v>
      </c>
      <c r="J451" s="78">
        <v>184000</v>
      </c>
      <c r="K451" s="74" t="s">
        <v>33</v>
      </c>
      <c r="L451" s="79">
        <v>0.125</v>
      </c>
      <c r="M451" s="79">
        <v>0.05</v>
      </c>
      <c r="N451" s="76">
        <v>4</v>
      </c>
      <c r="O451" s="77" t="s">
        <v>33</v>
      </c>
      <c r="P451" s="71">
        <f>(C451+(E451*F451*H451))-N451</f>
        <v>0</v>
      </c>
      <c r="Q451" s="77" t="s">
        <v>33</v>
      </c>
      <c r="R451" s="78">
        <f>P451*(J451-(J451*L451)-((J451-(J451*L451))*M451))</f>
        <v>0</v>
      </c>
      <c r="S451" s="78">
        <f t="shared" ref="S451" si="327">R451/1.11</f>
        <v>0</v>
      </c>
    </row>
    <row r="452" spans="1:19" s="19" customFormat="1" ht="15.75" x14ac:dyDescent="0.25">
      <c r="A452" s="58"/>
    </row>
    <row r="453" spans="1:19" s="19" customFormat="1" ht="15.75" x14ac:dyDescent="0.25">
      <c r="A453" s="35" t="s">
        <v>220</v>
      </c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73" customFormat="1" x14ac:dyDescent="0.2">
      <c r="A454" s="72" t="s">
        <v>221</v>
      </c>
      <c r="B454" s="73" t="s">
        <v>18</v>
      </c>
      <c r="C454" s="71"/>
      <c r="D454" s="74" t="s">
        <v>19</v>
      </c>
      <c r="E454" s="75"/>
      <c r="F454" s="76">
        <v>12</v>
      </c>
      <c r="G454" s="77" t="s">
        <v>33</v>
      </c>
      <c r="H454" s="76">
        <v>12</v>
      </c>
      <c r="I454" s="77" t="s">
        <v>19</v>
      </c>
      <c r="J454" s="78">
        <f>52500/12</f>
        <v>4375</v>
      </c>
      <c r="K454" s="74" t="s">
        <v>19</v>
      </c>
      <c r="L454" s="79">
        <v>0.125</v>
      </c>
      <c r="M454" s="79">
        <v>0.05</v>
      </c>
      <c r="N454" s="76"/>
      <c r="O454" s="77" t="s">
        <v>19</v>
      </c>
      <c r="P454" s="71">
        <f t="shared" ref="P454:P467" si="328">(C454+(E454*F454*H454))-N454</f>
        <v>0</v>
      </c>
      <c r="Q454" s="77" t="s">
        <v>19</v>
      </c>
      <c r="R454" s="78">
        <f t="shared" ref="R454:R467" si="329">P454*(J454-(J454*L454)-((J454-(J454*L454))*M454))</f>
        <v>0</v>
      </c>
      <c r="S454" s="78">
        <f t="shared" ref="S454" si="330">R454/1.11</f>
        <v>0</v>
      </c>
    </row>
    <row r="455" spans="1:19" s="73" customFormat="1" x14ac:dyDescent="0.2">
      <c r="A455" s="72" t="s">
        <v>820</v>
      </c>
      <c r="B455" s="73" t="s">
        <v>18</v>
      </c>
      <c r="C455" s="71"/>
      <c r="D455" s="74" t="s">
        <v>19</v>
      </c>
      <c r="E455" s="75">
        <v>1</v>
      </c>
      <c r="F455" s="76">
        <v>12</v>
      </c>
      <c r="G455" s="77" t="s">
        <v>33</v>
      </c>
      <c r="H455" s="76">
        <v>12</v>
      </c>
      <c r="I455" s="77" t="s">
        <v>19</v>
      </c>
      <c r="J455" s="78">
        <v>7200</v>
      </c>
      <c r="K455" s="74" t="s">
        <v>19</v>
      </c>
      <c r="L455" s="79">
        <v>0.125</v>
      </c>
      <c r="M455" s="79">
        <v>0.05</v>
      </c>
      <c r="N455" s="76">
        <v>144</v>
      </c>
      <c r="O455" s="77" t="s">
        <v>19</v>
      </c>
      <c r="P455" s="71">
        <f t="shared" ref="P455" si="331">(C455+(E455*F455*H455))-N455</f>
        <v>0</v>
      </c>
      <c r="Q455" s="77" t="s">
        <v>19</v>
      </c>
      <c r="R455" s="78">
        <f>P455*(J455-(J455*L455)-((J455-(J455*L455))*M455))</f>
        <v>0</v>
      </c>
      <c r="S455" s="78">
        <f t="shared" ref="S455" si="332">R455/1.11</f>
        <v>0</v>
      </c>
    </row>
    <row r="456" spans="1:19" s="73" customFormat="1" x14ac:dyDescent="0.2">
      <c r="A456" s="72" t="s">
        <v>222</v>
      </c>
      <c r="B456" s="73" t="s">
        <v>18</v>
      </c>
      <c r="C456" s="71">
        <v>288</v>
      </c>
      <c r="D456" s="74" t="s">
        <v>19</v>
      </c>
      <c r="E456" s="75"/>
      <c r="F456" s="76">
        <v>12</v>
      </c>
      <c r="G456" s="77" t="s">
        <v>33</v>
      </c>
      <c r="H456" s="76">
        <v>12</v>
      </c>
      <c r="I456" s="77" t="s">
        <v>19</v>
      </c>
      <c r="J456" s="78">
        <v>20500</v>
      </c>
      <c r="K456" s="74" t="s">
        <v>19</v>
      </c>
      <c r="L456" s="79">
        <v>0.125</v>
      </c>
      <c r="M456" s="79">
        <v>0.05</v>
      </c>
      <c r="N456" s="76">
        <v>288</v>
      </c>
      <c r="O456" s="77" t="s">
        <v>19</v>
      </c>
      <c r="P456" s="71">
        <f t="shared" si="328"/>
        <v>0</v>
      </c>
      <c r="Q456" s="77" t="s">
        <v>19</v>
      </c>
      <c r="R456" s="78">
        <f t="shared" si="329"/>
        <v>0</v>
      </c>
      <c r="S456" s="78">
        <f t="shared" si="304"/>
        <v>0</v>
      </c>
    </row>
    <row r="457" spans="1:19" s="73" customFormat="1" x14ac:dyDescent="0.2">
      <c r="A457" s="72" t="s">
        <v>223</v>
      </c>
      <c r="B457" s="73" t="s">
        <v>18</v>
      </c>
      <c r="C457" s="71">
        <v>276</v>
      </c>
      <c r="D457" s="74" t="s">
        <v>19</v>
      </c>
      <c r="E457" s="75"/>
      <c r="F457" s="76">
        <v>12</v>
      </c>
      <c r="G457" s="77" t="s">
        <v>33</v>
      </c>
      <c r="H457" s="76">
        <v>12</v>
      </c>
      <c r="I457" s="77" t="s">
        <v>19</v>
      </c>
      <c r="J457" s="78">
        <v>22000</v>
      </c>
      <c r="K457" s="74" t="s">
        <v>19</v>
      </c>
      <c r="L457" s="79">
        <v>0.125</v>
      </c>
      <c r="M457" s="79">
        <v>0.05</v>
      </c>
      <c r="N457" s="76">
        <v>276</v>
      </c>
      <c r="O457" s="77" t="s">
        <v>19</v>
      </c>
      <c r="P457" s="71">
        <f t="shared" si="328"/>
        <v>0</v>
      </c>
      <c r="Q457" s="77" t="s">
        <v>19</v>
      </c>
      <c r="R457" s="78">
        <f t="shared" si="329"/>
        <v>0</v>
      </c>
      <c r="S457" s="78">
        <f t="shared" si="304"/>
        <v>0</v>
      </c>
    </row>
    <row r="458" spans="1:19" s="73" customFormat="1" x14ac:dyDescent="0.2">
      <c r="A458" s="72" t="s">
        <v>224</v>
      </c>
      <c r="B458" s="73" t="s">
        <v>18</v>
      </c>
      <c r="C458" s="71">
        <v>1464</v>
      </c>
      <c r="D458" s="74" t="s">
        <v>19</v>
      </c>
      <c r="E458" s="75">
        <v>111</v>
      </c>
      <c r="F458" s="76">
        <v>12</v>
      </c>
      <c r="G458" s="77" t="s">
        <v>33</v>
      </c>
      <c r="H458" s="76">
        <v>12</v>
      </c>
      <c r="I458" s="77" t="s">
        <v>19</v>
      </c>
      <c r="J458" s="78">
        <v>4350</v>
      </c>
      <c r="K458" s="74" t="s">
        <v>19</v>
      </c>
      <c r="L458" s="79">
        <v>0.125</v>
      </c>
      <c r="M458" s="79">
        <v>0.05</v>
      </c>
      <c r="N458" s="76">
        <v>17448</v>
      </c>
      <c r="O458" s="77" t="s">
        <v>19</v>
      </c>
      <c r="P458" s="71">
        <f t="shared" si="328"/>
        <v>0</v>
      </c>
      <c r="Q458" s="77" t="s">
        <v>19</v>
      </c>
      <c r="R458" s="78">
        <f t="shared" si="329"/>
        <v>0</v>
      </c>
      <c r="S458" s="78">
        <f t="shared" si="304"/>
        <v>0</v>
      </c>
    </row>
    <row r="459" spans="1:19" s="73" customFormat="1" x14ac:dyDescent="0.2">
      <c r="A459" s="72" t="s">
        <v>225</v>
      </c>
      <c r="B459" s="73" t="s">
        <v>18</v>
      </c>
      <c r="C459" s="71"/>
      <c r="D459" s="74" t="s">
        <v>19</v>
      </c>
      <c r="E459" s="75">
        <v>102</v>
      </c>
      <c r="F459" s="76">
        <v>12</v>
      </c>
      <c r="G459" s="77" t="s">
        <v>33</v>
      </c>
      <c r="H459" s="76">
        <v>12</v>
      </c>
      <c r="I459" s="77" t="s">
        <v>19</v>
      </c>
      <c r="J459" s="78">
        <v>6500</v>
      </c>
      <c r="K459" s="74" t="s">
        <v>19</v>
      </c>
      <c r="L459" s="79">
        <v>0.125</v>
      </c>
      <c r="M459" s="79">
        <v>0.05</v>
      </c>
      <c r="N459" s="76">
        <v>14688</v>
      </c>
      <c r="O459" s="77" t="s">
        <v>19</v>
      </c>
      <c r="P459" s="71">
        <f t="shared" si="328"/>
        <v>0</v>
      </c>
      <c r="Q459" s="77" t="s">
        <v>19</v>
      </c>
      <c r="R459" s="78">
        <f t="shared" si="329"/>
        <v>0</v>
      </c>
      <c r="S459" s="78">
        <f t="shared" si="304"/>
        <v>0</v>
      </c>
    </row>
    <row r="460" spans="1:19" s="73" customFormat="1" x14ac:dyDescent="0.2">
      <c r="A460" s="72" t="s">
        <v>226</v>
      </c>
      <c r="B460" s="73" t="s">
        <v>18</v>
      </c>
      <c r="C460" s="71"/>
      <c r="D460" s="74" t="s">
        <v>19</v>
      </c>
      <c r="E460" s="75">
        <v>57</v>
      </c>
      <c r="F460" s="76">
        <v>12</v>
      </c>
      <c r="G460" s="77" t="s">
        <v>33</v>
      </c>
      <c r="H460" s="76">
        <v>12</v>
      </c>
      <c r="I460" s="77" t="s">
        <v>19</v>
      </c>
      <c r="J460" s="78">
        <v>9750</v>
      </c>
      <c r="K460" s="74" t="s">
        <v>19</v>
      </c>
      <c r="L460" s="79">
        <v>0.125</v>
      </c>
      <c r="M460" s="79">
        <v>0.05</v>
      </c>
      <c r="N460" s="76">
        <v>8208</v>
      </c>
      <c r="O460" s="77" t="s">
        <v>19</v>
      </c>
      <c r="P460" s="71">
        <f t="shared" si="328"/>
        <v>0</v>
      </c>
      <c r="Q460" s="77" t="s">
        <v>19</v>
      </c>
      <c r="R460" s="78">
        <f t="shared" si="329"/>
        <v>0</v>
      </c>
      <c r="S460" s="78">
        <f t="shared" si="304"/>
        <v>0</v>
      </c>
    </row>
    <row r="461" spans="1:19" s="73" customFormat="1" x14ac:dyDescent="0.2">
      <c r="A461" s="72" t="s">
        <v>911</v>
      </c>
      <c r="B461" s="73" t="s">
        <v>18</v>
      </c>
      <c r="C461" s="71"/>
      <c r="D461" s="74" t="s">
        <v>19</v>
      </c>
      <c r="E461" s="75">
        <v>2</v>
      </c>
      <c r="F461" s="76">
        <v>12</v>
      </c>
      <c r="G461" s="77" t="s">
        <v>33</v>
      </c>
      <c r="H461" s="76">
        <v>12</v>
      </c>
      <c r="I461" s="77" t="s">
        <v>19</v>
      </c>
      <c r="J461" s="78">
        <v>17700</v>
      </c>
      <c r="K461" s="74" t="s">
        <v>19</v>
      </c>
      <c r="L461" s="79">
        <v>0.125</v>
      </c>
      <c r="M461" s="79">
        <v>0.05</v>
      </c>
      <c r="N461" s="76">
        <v>288</v>
      </c>
      <c r="O461" s="77" t="s">
        <v>19</v>
      </c>
      <c r="P461" s="71">
        <f t="shared" ref="P461" si="333">(C461+(E461*F461*H461))-N461</f>
        <v>0</v>
      </c>
      <c r="Q461" s="77" t="s">
        <v>19</v>
      </c>
      <c r="R461" s="78">
        <f t="shared" ref="R461" si="334">P461*(J461-(J461*L461)-((J461-(J461*L461))*M461))</f>
        <v>0</v>
      </c>
      <c r="S461" s="78">
        <f t="shared" ref="S461" si="335">R461/1.11</f>
        <v>0</v>
      </c>
    </row>
    <row r="462" spans="1:19" s="73" customFormat="1" x14ac:dyDescent="0.2">
      <c r="A462" s="72" t="s">
        <v>227</v>
      </c>
      <c r="B462" s="73" t="s">
        <v>18</v>
      </c>
      <c r="C462" s="71"/>
      <c r="D462" s="74" t="s">
        <v>19</v>
      </c>
      <c r="E462" s="75"/>
      <c r="F462" s="76">
        <v>6</v>
      </c>
      <c r="G462" s="77" t="s">
        <v>33</v>
      </c>
      <c r="H462" s="76">
        <v>12</v>
      </c>
      <c r="I462" s="77" t="s">
        <v>19</v>
      </c>
      <c r="J462" s="78">
        <v>19200</v>
      </c>
      <c r="K462" s="74" t="s">
        <v>19</v>
      </c>
      <c r="L462" s="79">
        <v>0.125</v>
      </c>
      <c r="M462" s="79">
        <v>0.05</v>
      </c>
      <c r="N462" s="76">
        <v>0</v>
      </c>
      <c r="O462" s="77" t="s">
        <v>19</v>
      </c>
      <c r="P462" s="71">
        <f t="shared" si="328"/>
        <v>0</v>
      </c>
      <c r="Q462" s="77" t="s">
        <v>19</v>
      </c>
      <c r="R462" s="78">
        <f t="shared" si="329"/>
        <v>0</v>
      </c>
      <c r="S462" s="78">
        <f t="shared" si="304"/>
        <v>0</v>
      </c>
    </row>
    <row r="463" spans="1:19" s="73" customFormat="1" x14ac:dyDescent="0.2">
      <c r="A463" s="72" t="s">
        <v>228</v>
      </c>
      <c r="B463" s="73" t="s">
        <v>18</v>
      </c>
      <c r="C463" s="71"/>
      <c r="D463" s="74" t="s">
        <v>19</v>
      </c>
      <c r="E463" s="75">
        <v>3</v>
      </c>
      <c r="F463" s="76">
        <v>12</v>
      </c>
      <c r="G463" s="77" t="s">
        <v>33</v>
      </c>
      <c r="H463" s="76">
        <v>12</v>
      </c>
      <c r="I463" s="77" t="s">
        <v>19</v>
      </c>
      <c r="J463" s="78">
        <v>6100</v>
      </c>
      <c r="K463" s="74" t="s">
        <v>19</v>
      </c>
      <c r="L463" s="79">
        <v>0.125</v>
      </c>
      <c r="M463" s="79">
        <v>0.05</v>
      </c>
      <c r="N463" s="76">
        <v>432</v>
      </c>
      <c r="O463" s="77" t="s">
        <v>19</v>
      </c>
      <c r="P463" s="71">
        <f t="shared" ref="P463" si="336">(C463+(E463*F463*H463))-N463</f>
        <v>0</v>
      </c>
      <c r="Q463" s="77" t="s">
        <v>19</v>
      </c>
      <c r="R463" s="78">
        <f t="shared" ref="R463" si="337">P463*(J463-(J463*L463)-((J463-(J463*L463))*M463))</f>
        <v>0</v>
      </c>
      <c r="S463" s="78">
        <f t="shared" ref="S463" si="338">R463/1.11</f>
        <v>0</v>
      </c>
    </row>
    <row r="464" spans="1:19" s="73" customFormat="1" x14ac:dyDescent="0.2">
      <c r="A464" s="72" t="s">
        <v>229</v>
      </c>
      <c r="B464" s="73" t="s">
        <v>18</v>
      </c>
      <c r="C464" s="71"/>
      <c r="D464" s="74" t="s">
        <v>19</v>
      </c>
      <c r="E464" s="75">
        <v>5</v>
      </c>
      <c r="F464" s="76">
        <v>12</v>
      </c>
      <c r="G464" s="77" t="s">
        <v>33</v>
      </c>
      <c r="H464" s="76">
        <v>12</v>
      </c>
      <c r="I464" s="77" t="s">
        <v>19</v>
      </c>
      <c r="J464" s="78">
        <v>7700</v>
      </c>
      <c r="K464" s="74" t="s">
        <v>19</v>
      </c>
      <c r="L464" s="79">
        <v>0.125</v>
      </c>
      <c r="M464" s="79">
        <v>0.05</v>
      </c>
      <c r="N464" s="76">
        <v>720</v>
      </c>
      <c r="O464" s="77" t="s">
        <v>19</v>
      </c>
      <c r="P464" s="71">
        <f t="shared" si="328"/>
        <v>0</v>
      </c>
      <c r="Q464" s="77" t="s">
        <v>19</v>
      </c>
      <c r="R464" s="78">
        <f t="shared" si="329"/>
        <v>0</v>
      </c>
      <c r="S464" s="78">
        <f t="shared" si="304"/>
        <v>0</v>
      </c>
    </row>
    <row r="465" spans="1:19" s="73" customFormat="1" ht="15" x14ac:dyDescent="0.25">
      <c r="A465" s="72" t="s">
        <v>230</v>
      </c>
      <c r="B465" s="73" t="s">
        <v>18</v>
      </c>
      <c r="C465" s="201"/>
      <c r="D465" s="74" t="s">
        <v>19</v>
      </c>
      <c r="E465" s="75">
        <v>2</v>
      </c>
      <c r="F465" s="76">
        <v>12</v>
      </c>
      <c r="G465" s="77" t="s">
        <v>33</v>
      </c>
      <c r="H465" s="76">
        <v>12</v>
      </c>
      <c r="I465" s="77" t="s">
        <v>19</v>
      </c>
      <c r="J465" s="78">
        <v>12000</v>
      </c>
      <c r="K465" s="74" t="s">
        <v>19</v>
      </c>
      <c r="L465" s="79">
        <v>0.125</v>
      </c>
      <c r="M465" s="79">
        <v>0.05</v>
      </c>
      <c r="N465" s="76">
        <v>288</v>
      </c>
      <c r="O465" s="77" t="s">
        <v>19</v>
      </c>
      <c r="P465" s="71">
        <f t="shared" ref="P465" si="339">(C465+(E465*F465*H465))-N465</f>
        <v>0</v>
      </c>
      <c r="Q465" s="77" t="s">
        <v>19</v>
      </c>
      <c r="R465" s="78">
        <f t="shared" ref="R465" si="340">P465*(J465-(J465*L465)-((J465-(J465*L465))*M465))</f>
        <v>0</v>
      </c>
      <c r="S465" s="78">
        <f t="shared" ref="S465" si="341">R465/1.11</f>
        <v>0</v>
      </c>
    </row>
    <row r="466" spans="1:19" s="73" customFormat="1" x14ac:dyDescent="0.2">
      <c r="A466" s="72" t="s">
        <v>231</v>
      </c>
      <c r="B466" s="73" t="s">
        <v>18</v>
      </c>
      <c r="C466" s="71">
        <v>72</v>
      </c>
      <c r="D466" s="74" t="s">
        <v>19</v>
      </c>
      <c r="E466" s="75"/>
      <c r="F466" s="76">
        <v>12</v>
      </c>
      <c r="G466" s="77" t="s">
        <v>33</v>
      </c>
      <c r="H466" s="76">
        <v>12</v>
      </c>
      <c r="I466" s="77" t="s">
        <v>19</v>
      </c>
      <c r="J466" s="78">
        <v>7600</v>
      </c>
      <c r="K466" s="74" t="s">
        <v>19</v>
      </c>
      <c r="L466" s="79">
        <v>0.125</v>
      </c>
      <c r="M466" s="79">
        <v>0.05</v>
      </c>
      <c r="N466" s="76">
        <v>72</v>
      </c>
      <c r="O466" s="77" t="s">
        <v>19</v>
      </c>
      <c r="P466" s="71">
        <f t="shared" si="328"/>
        <v>0</v>
      </c>
      <c r="Q466" s="77" t="s">
        <v>19</v>
      </c>
      <c r="R466" s="78">
        <f t="shared" si="329"/>
        <v>0</v>
      </c>
      <c r="S466" s="78">
        <f t="shared" si="304"/>
        <v>0</v>
      </c>
    </row>
    <row r="467" spans="1:19" s="73" customFormat="1" x14ac:dyDescent="0.2">
      <c r="A467" s="72" t="s">
        <v>232</v>
      </c>
      <c r="B467" s="73" t="s">
        <v>18</v>
      </c>
      <c r="C467" s="71"/>
      <c r="D467" s="74" t="s">
        <v>19</v>
      </c>
      <c r="E467" s="75"/>
      <c r="F467" s="76">
        <v>8</v>
      </c>
      <c r="G467" s="77" t="s">
        <v>33</v>
      </c>
      <c r="H467" s="76">
        <v>6</v>
      </c>
      <c r="I467" s="77" t="s">
        <v>19</v>
      </c>
      <c r="J467" s="78">
        <v>65000</v>
      </c>
      <c r="K467" s="74" t="s">
        <v>19</v>
      </c>
      <c r="L467" s="79">
        <v>0.125</v>
      </c>
      <c r="M467" s="79">
        <v>0.05</v>
      </c>
      <c r="N467" s="76"/>
      <c r="O467" s="77" t="s">
        <v>19</v>
      </c>
      <c r="P467" s="71">
        <f t="shared" si="328"/>
        <v>0</v>
      </c>
      <c r="Q467" s="77" t="s">
        <v>19</v>
      </c>
      <c r="R467" s="78">
        <f t="shared" si="329"/>
        <v>0</v>
      </c>
      <c r="S467" s="78">
        <f t="shared" si="304"/>
        <v>0</v>
      </c>
    </row>
    <row r="468" spans="1:19" s="19" customFormat="1" x14ac:dyDescent="0.2">
      <c r="A468" s="18"/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73" customFormat="1" x14ac:dyDescent="0.2">
      <c r="A469" s="72" t="s">
        <v>233</v>
      </c>
      <c r="B469" s="73" t="s">
        <v>25</v>
      </c>
      <c r="C469" s="71">
        <v>53</v>
      </c>
      <c r="D469" s="74" t="s">
        <v>40</v>
      </c>
      <c r="E469" s="75">
        <v>19</v>
      </c>
      <c r="F469" s="76">
        <v>1</v>
      </c>
      <c r="G469" s="77" t="s">
        <v>20</v>
      </c>
      <c r="H469" s="76">
        <v>25</v>
      </c>
      <c r="I469" s="77" t="s">
        <v>40</v>
      </c>
      <c r="J469" s="78">
        <v>56400</v>
      </c>
      <c r="K469" s="74" t="s">
        <v>40</v>
      </c>
      <c r="L469" s="79"/>
      <c r="M469" s="79">
        <v>0.17</v>
      </c>
      <c r="N469" s="76">
        <v>528</v>
      </c>
      <c r="O469" s="77" t="s">
        <v>40</v>
      </c>
      <c r="P469" s="71">
        <f t="shared" ref="P469:P474" si="342">(C469+(E469*F469*H469))-N469</f>
        <v>0</v>
      </c>
      <c r="Q469" s="77" t="s">
        <v>40</v>
      </c>
      <c r="R469" s="78">
        <f t="shared" ref="R469:R474" si="343">P469*(J469-(J469*L469)-((J469-(J469*L469))*M469))</f>
        <v>0</v>
      </c>
      <c r="S469" s="78">
        <f t="shared" ref="S469" si="344">R469/1.11</f>
        <v>0</v>
      </c>
    </row>
    <row r="470" spans="1:19" s="73" customFormat="1" x14ac:dyDescent="0.2">
      <c r="A470" s="72" t="s">
        <v>234</v>
      </c>
      <c r="B470" s="73" t="s">
        <v>25</v>
      </c>
      <c r="C470" s="71">
        <v>131</v>
      </c>
      <c r="D470" s="74" t="s">
        <v>40</v>
      </c>
      <c r="E470" s="75">
        <v>26</v>
      </c>
      <c r="F470" s="76">
        <v>1</v>
      </c>
      <c r="G470" s="77" t="s">
        <v>20</v>
      </c>
      <c r="H470" s="76">
        <v>25</v>
      </c>
      <c r="I470" s="77" t="s">
        <v>40</v>
      </c>
      <c r="J470" s="78">
        <v>79800</v>
      </c>
      <c r="K470" s="74" t="s">
        <v>40</v>
      </c>
      <c r="L470" s="79"/>
      <c r="M470" s="79">
        <v>0.17</v>
      </c>
      <c r="N470" s="76">
        <v>781</v>
      </c>
      <c r="O470" s="77" t="s">
        <v>40</v>
      </c>
      <c r="P470" s="71">
        <f t="shared" si="342"/>
        <v>0</v>
      </c>
      <c r="Q470" s="77" t="s">
        <v>40</v>
      </c>
      <c r="R470" s="78">
        <f t="shared" si="343"/>
        <v>0</v>
      </c>
      <c r="S470" s="78">
        <f t="shared" ref="S470" si="345">R470/1.11</f>
        <v>0</v>
      </c>
    </row>
    <row r="471" spans="1:19" s="19" customFormat="1" x14ac:dyDescent="0.2">
      <c r="A471" s="134" t="s">
        <v>234</v>
      </c>
      <c r="B471" s="19" t="s">
        <v>25</v>
      </c>
      <c r="C471" s="20"/>
      <c r="D471" s="21" t="s">
        <v>40</v>
      </c>
      <c r="E471" s="26">
        <v>10</v>
      </c>
      <c r="F471" s="22">
        <v>1</v>
      </c>
      <c r="G471" s="23" t="s">
        <v>20</v>
      </c>
      <c r="H471" s="22">
        <v>25</v>
      </c>
      <c r="I471" s="23" t="s">
        <v>40</v>
      </c>
      <c r="J471" s="24">
        <v>79800</v>
      </c>
      <c r="K471" s="21" t="s">
        <v>40</v>
      </c>
      <c r="L471" s="25">
        <v>0.05</v>
      </c>
      <c r="M471" s="25">
        <v>0.17</v>
      </c>
      <c r="N471" s="22">
        <v>100</v>
      </c>
      <c r="O471" s="23" t="s">
        <v>40</v>
      </c>
      <c r="P471" s="20">
        <f t="shared" ref="P471" si="346">(C471+(E471*F471*H471))-N471</f>
        <v>150</v>
      </c>
      <c r="Q471" s="23" t="s">
        <v>40</v>
      </c>
      <c r="R471" s="24">
        <f t="shared" ref="R471" si="347">P471*(J471-(J471*L471)-((J471-(J471*L471))*M471))</f>
        <v>9438345</v>
      </c>
      <c r="S471" s="24">
        <f t="shared" ref="S471" si="348">R471/1.11</f>
        <v>8503013.5135135129</v>
      </c>
    </row>
    <row r="472" spans="1:19" s="73" customFormat="1" x14ac:dyDescent="0.2">
      <c r="A472" s="72" t="s">
        <v>235</v>
      </c>
      <c r="B472" s="73" t="s">
        <v>25</v>
      </c>
      <c r="C472" s="71">
        <v>118</v>
      </c>
      <c r="D472" s="74" t="s">
        <v>40</v>
      </c>
      <c r="E472" s="75">
        <v>38</v>
      </c>
      <c r="F472" s="76">
        <v>1</v>
      </c>
      <c r="G472" s="77" t="s">
        <v>20</v>
      </c>
      <c r="H472" s="76">
        <v>10</v>
      </c>
      <c r="I472" s="77" t="s">
        <v>40</v>
      </c>
      <c r="J472" s="78">
        <v>118800</v>
      </c>
      <c r="K472" s="74" t="s">
        <v>40</v>
      </c>
      <c r="L472" s="79"/>
      <c r="M472" s="79">
        <v>0.17</v>
      </c>
      <c r="N472" s="76">
        <v>498</v>
      </c>
      <c r="O472" s="77" t="s">
        <v>40</v>
      </c>
      <c r="P472" s="71">
        <f t="shared" si="342"/>
        <v>0</v>
      </c>
      <c r="Q472" s="77" t="s">
        <v>40</v>
      </c>
      <c r="R472" s="78">
        <f t="shared" si="343"/>
        <v>0</v>
      </c>
      <c r="S472" s="78">
        <f t="shared" ref="S472" si="349">R472/1.11</f>
        <v>0</v>
      </c>
    </row>
    <row r="473" spans="1:19" s="73" customFormat="1" x14ac:dyDescent="0.2">
      <c r="A473" s="72" t="s">
        <v>677</v>
      </c>
      <c r="B473" s="73" t="s">
        <v>25</v>
      </c>
      <c r="C473" s="71">
        <v>15</v>
      </c>
      <c r="D473" s="74" t="s">
        <v>40</v>
      </c>
      <c r="E473" s="75"/>
      <c r="F473" s="76">
        <v>1</v>
      </c>
      <c r="G473" s="77" t="s">
        <v>20</v>
      </c>
      <c r="H473" s="76">
        <v>25</v>
      </c>
      <c r="I473" s="77" t="s">
        <v>40</v>
      </c>
      <c r="J473" s="78">
        <f>2010000/25</f>
        <v>80400</v>
      </c>
      <c r="K473" s="74" t="s">
        <v>40</v>
      </c>
      <c r="L473" s="79"/>
      <c r="M473" s="79">
        <v>0.17</v>
      </c>
      <c r="N473" s="76">
        <v>15</v>
      </c>
      <c r="O473" s="77" t="s">
        <v>40</v>
      </c>
      <c r="P473" s="71">
        <f t="shared" si="342"/>
        <v>0</v>
      </c>
      <c r="Q473" s="77" t="s">
        <v>40</v>
      </c>
      <c r="R473" s="78">
        <f t="shared" si="343"/>
        <v>0</v>
      </c>
      <c r="S473" s="78">
        <f t="shared" si="304"/>
        <v>0</v>
      </c>
    </row>
    <row r="474" spans="1:19" s="19" customFormat="1" x14ac:dyDescent="0.2">
      <c r="A474" s="18" t="s">
        <v>236</v>
      </c>
      <c r="B474" s="19" t="s">
        <v>25</v>
      </c>
      <c r="C474" s="20">
        <v>18</v>
      </c>
      <c r="D474" s="21" t="s">
        <v>40</v>
      </c>
      <c r="E474" s="26"/>
      <c r="F474" s="22">
        <v>1</v>
      </c>
      <c r="G474" s="23" t="s">
        <v>20</v>
      </c>
      <c r="H474" s="22">
        <v>10</v>
      </c>
      <c r="I474" s="23" t="s">
        <v>40</v>
      </c>
      <c r="J474" s="24">
        <f>1260000/10</f>
        <v>126000</v>
      </c>
      <c r="K474" s="21" t="s">
        <v>40</v>
      </c>
      <c r="L474" s="25"/>
      <c r="M474" s="25">
        <v>0.17</v>
      </c>
      <c r="N474" s="22">
        <v>8</v>
      </c>
      <c r="O474" s="23" t="s">
        <v>40</v>
      </c>
      <c r="P474" s="20">
        <f t="shared" si="342"/>
        <v>10</v>
      </c>
      <c r="Q474" s="23" t="s">
        <v>40</v>
      </c>
      <c r="R474" s="24">
        <f t="shared" si="343"/>
        <v>1045800</v>
      </c>
      <c r="S474" s="24">
        <f t="shared" si="304"/>
        <v>942162.16216216213</v>
      </c>
    </row>
    <row r="475" spans="1:19" s="19" customFormat="1" x14ac:dyDescent="0.2">
      <c r="A475" s="18"/>
      <c r="C475" s="20"/>
      <c r="D475" s="21"/>
      <c r="E475" s="26"/>
      <c r="F475" s="22"/>
      <c r="G475" s="23"/>
      <c r="H475" s="22"/>
      <c r="I475" s="23"/>
      <c r="J475" s="24"/>
      <c r="K475" s="21"/>
      <c r="L475" s="25"/>
      <c r="M475" s="25"/>
      <c r="N475" s="22"/>
      <c r="O475" s="23"/>
      <c r="P475" s="20"/>
      <c r="Q475" s="23"/>
      <c r="R475" s="24"/>
      <c r="S475" s="24"/>
    </row>
    <row r="476" spans="1:19" s="19" customFormat="1" ht="15.75" x14ac:dyDescent="0.25">
      <c r="A476" s="35" t="s">
        <v>237</v>
      </c>
      <c r="C476" s="20"/>
      <c r="D476" s="21"/>
      <c r="E476" s="26"/>
      <c r="F476" s="22"/>
      <c r="G476" s="23"/>
      <c r="H476" s="22"/>
      <c r="I476" s="23"/>
      <c r="J476" s="24"/>
      <c r="K476" s="21"/>
      <c r="L476" s="25"/>
      <c r="M476" s="25"/>
      <c r="N476" s="22"/>
      <c r="O476" s="23"/>
      <c r="P476" s="20"/>
      <c r="Q476" s="23"/>
      <c r="R476" s="24"/>
      <c r="S476" s="24"/>
    </row>
    <row r="477" spans="1:19" s="73" customFormat="1" x14ac:dyDescent="0.2">
      <c r="A477" s="106" t="s">
        <v>238</v>
      </c>
      <c r="B477" s="73" t="s">
        <v>25</v>
      </c>
      <c r="C477" s="71">
        <v>18</v>
      </c>
      <c r="D477" s="74" t="s">
        <v>19</v>
      </c>
      <c r="E477" s="75">
        <v>2</v>
      </c>
      <c r="F477" s="76">
        <v>20</v>
      </c>
      <c r="G477" s="77" t="s">
        <v>33</v>
      </c>
      <c r="H477" s="76">
        <v>10</v>
      </c>
      <c r="I477" s="77" t="s">
        <v>19</v>
      </c>
      <c r="J477" s="78">
        <f>3800000/20/10</f>
        <v>19000</v>
      </c>
      <c r="K477" s="74" t="s">
        <v>19</v>
      </c>
      <c r="L477" s="79"/>
      <c r="M477" s="79">
        <v>0.17</v>
      </c>
      <c r="N477" s="76">
        <v>418</v>
      </c>
      <c r="O477" s="77" t="s">
        <v>19</v>
      </c>
      <c r="P477" s="71">
        <f>(C477+(E477*F477*H477))-N477</f>
        <v>0</v>
      </c>
      <c r="Q477" s="77" t="s">
        <v>19</v>
      </c>
      <c r="R477" s="78">
        <f>P477*(J477-(J477*L477)-((J477-(J477*L477))*M477))</f>
        <v>0</v>
      </c>
      <c r="S477" s="78">
        <f t="shared" si="304"/>
        <v>0</v>
      </c>
    </row>
    <row r="478" spans="1:19" s="73" customFormat="1" x14ac:dyDescent="0.2">
      <c r="A478" s="106" t="s">
        <v>239</v>
      </c>
      <c r="B478" s="73" t="s">
        <v>25</v>
      </c>
      <c r="C478" s="71">
        <v>120</v>
      </c>
      <c r="D478" s="74" t="s">
        <v>19</v>
      </c>
      <c r="E478" s="75">
        <v>1</v>
      </c>
      <c r="F478" s="76">
        <v>20</v>
      </c>
      <c r="G478" s="77" t="s">
        <v>33</v>
      </c>
      <c r="H478" s="76">
        <v>12</v>
      </c>
      <c r="I478" s="77" t="s">
        <v>19</v>
      </c>
      <c r="J478" s="78">
        <f>3120000/20/12</f>
        <v>13000</v>
      </c>
      <c r="K478" s="74" t="s">
        <v>19</v>
      </c>
      <c r="L478" s="79"/>
      <c r="M478" s="79">
        <v>0.17</v>
      </c>
      <c r="N478" s="76">
        <v>360</v>
      </c>
      <c r="O478" s="77" t="s">
        <v>19</v>
      </c>
      <c r="P478" s="71">
        <f>(C478+(E478*F478*H478))-N478</f>
        <v>0</v>
      </c>
      <c r="Q478" s="77" t="s">
        <v>19</v>
      </c>
      <c r="R478" s="78">
        <f>P478*(J478-(J478*L478)-((J478-(J478*L478))*M478))</f>
        <v>0</v>
      </c>
      <c r="S478" s="78">
        <f t="shared" si="304"/>
        <v>0</v>
      </c>
    </row>
    <row r="479" spans="1:19" s="19" customFormat="1" x14ac:dyDescent="0.2">
      <c r="A479" s="18"/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19" s="19" customFormat="1" ht="15.75" x14ac:dyDescent="0.25">
      <c r="A480" s="35" t="s">
        <v>240</v>
      </c>
      <c r="C480" s="20"/>
      <c r="D480" s="21"/>
      <c r="E480" s="26"/>
      <c r="F480" s="22"/>
      <c r="G480" s="23"/>
      <c r="H480" s="22"/>
      <c r="I480" s="23"/>
      <c r="J480" s="24"/>
      <c r="K480" s="21"/>
      <c r="L480" s="25"/>
      <c r="M480" s="25"/>
      <c r="N480" s="22"/>
      <c r="O480" s="23"/>
      <c r="P480" s="20"/>
      <c r="Q480" s="23"/>
      <c r="R480" s="24"/>
      <c r="S480" s="24"/>
    </row>
    <row r="481" spans="1:19" s="73" customFormat="1" x14ac:dyDescent="0.2">
      <c r="A481" s="202" t="s">
        <v>915</v>
      </c>
      <c r="B481" s="73" t="s">
        <v>18</v>
      </c>
      <c r="C481" s="71"/>
      <c r="D481" s="74" t="s">
        <v>40</v>
      </c>
      <c r="E481" s="75">
        <v>1</v>
      </c>
      <c r="F481" s="76">
        <v>1</v>
      </c>
      <c r="G481" s="77" t="s">
        <v>20</v>
      </c>
      <c r="H481" s="76">
        <v>24</v>
      </c>
      <c r="I481" s="77" t="s">
        <v>40</v>
      </c>
      <c r="J481" s="78">
        <v>118800</v>
      </c>
      <c r="K481" s="74" t="s">
        <v>40</v>
      </c>
      <c r="L481" s="79">
        <v>0.125</v>
      </c>
      <c r="M481" s="79">
        <v>0.05</v>
      </c>
      <c r="N481" s="76">
        <v>24</v>
      </c>
      <c r="O481" s="77" t="s">
        <v>40</v>
      </c>
      <c r="P481" s="71">
        <f t="shared" ref="P481" si="350">(C481+(E481*F481*H481))-N481</f>
        <v>0</v>
      </c>
      <c r="Q481" s="77" t="s">
        <v>40</v>
      </c>
      <c r="R481" s="78">
        <f t="shared" ref="R481" si="351">P481*(J481-(J481*L481)-((J481-(J481*L481))*M481))</f>
        <v>0</v>
      </c>
      <c r="S481" s="78">
        <f t="shared" ref="S481" si="352">R481/1.11</f>
        <v>0</v>
      </c>
    </row>
    <row r="482" spans="1:19" s="73" customFormat="1" x14ac:dyDescent="0.2">
      <c r="A482" s="203" t="s">
        <v>241</v>
      </c>
      <c r="B482" s="73" t="s">
        <v>18</v>
      </c>
      <c r="C482" s="71"/>
      <c r="D482" s="74" t="s">
        <v>40</v>
      </c>
      <c r="E482" s="75">
        <v>14</v>
      </c>
      <c r="F482" s="76">
        <v>1</v>
      </c>
      <c r="G482" s="77" t="s">
        <v>20</v>
      </c>
      <c r="H482" s="76">
        <v>24</v>
      </c>
      <c r="I482" s="77" t="s">
        <v>40</v>
      </c>
      <c r="J482" s="190">
        <v>89400</v>
      </c>
      <c r="K482" s="74" t="s">
        <v>40</v>
      </c>
      <c r="L482" s="79">
        <v>0.125</v>
      </c>
      <c r="M482" s="79">
        <v>0.05</v>
      </c>
      <c r="N482" s="76">
        <v>336</v>
      </c>
      <c r="O482" s="77" t="s">
        <v>40</v>
      </c>
      <c r="P482" s="71">
        <f t="shared" ref="P482" si="353">(C482+(E482*F482*H482))-N482</f>
        <v>0</v>
      </c>
      <c r="Q482" s="77" t="s">
        <v>40</v>
      </c>
      <c r="R482" s="78">
        <f t="shared" ref="R482" si="354">P482*(J482-(J482*L482)-((J482-(J482*L482))*M482))</f>
        <v>0</v>
      </c>
      <c r="S482" s="78">
        <f t="shared" ref="S482" si="355">R482/1.11</f>
        <v>0</v>
      </c>
    </row>
    <row r="483" spans="1:19" s="73" customFormat="1" x14ac:dyDescent="0.2">
      <c r="A483" s="203" t="s">
        <v>241</v>
      </c>
      <c r="B483" s="73" t="s">
        <v>18</v>
      </c>
      <c r="C483" s="71">
        <v>26</v>
      </c>
      <c r="D483" s="74" t="s">
        <v>40</v>
      </c>
      <c r="E483" s="75">
        <v>7</v>
      </c>
      <c r="F483" s="76">
        <v>1</v>
      </c>
      <c r="G483" s="77" t="s">
        <v>20</v>
      </c>
      <c r="H483" s="76">
        <v>24</v>
      </c>
      <c r="I483" s="77" t="s">
        <v>40</v>
      </c>
      <c r="J483" s="190">
        <v>88200</v>
      </c>
      <c r="K483" s="74" t="s">
        <v>40</v>
      </c>
      <c r="L483" s="79">
        <v>0.125</v>
      </c>
      <c r="M483" s="79">
        <v>0.05</v>
      </c>
      <c r="N483" s="76">
        <v>194</v>
      </c>
      <c r="O483" s="77" t="s">
        <v>40</v>
      </c>
      <c r="P483" s="71">
        <f t="shared" ref="P483:P498" si="356">(C483+(E483*F483*H483))-N483</f>
        <v>0</v>
      </c>
      <c r="Q483" s="77" t="s">
        <v>40</v>
      </c>
      <c r="R483" s="78">
        <f t="shared" ref="R483:R498" si="357">P483*(J483-(J483*L483)-((J483-(J483*L483))*M483))</f>
        <v>0</v>
      </c>
      <c r="S483" s="78">
        <f t="shared" si="304"/>
        <v>0</v>
      </c>
    </row>
    <row r="484" spans="1:19" s="73" customFormat="1" x14ac:dyDescent="0.2">
      <c r="A484" s="185" t="s">
        <v>654</v>
      </c>
      <c r="B484" s="73" t="s">
        <v>18</v>
      </c>
      <c r="C484" s="71"/>
      <c r="D484" s="74" t="s">
        <v>40</v>
      </c>
      <c r="E484" s="75">
        <v>2</v>
      </c>
      <c r="F484" s="76">
        <v>1</v>
      </c>
      <c r="G484" s="77" t="s">
        <v>20</v>
      </c>
      <c r="H484" s="76">
        <v>24</v>
      </c>
      <c r="I484" s="77" t="s">
        <v>40</v>
      </c>
      <c r="J484" s="186">
        <v>118800</v>
      </c>
      <c r="K484" s="74" t="s">
        <v>40</v>
      </c>
      <c r="L484" s="79">
        <v>0.125</v>
      </c>
      <c r="M484" s="79">
        <v>0.05</v>
      </c>
      <c r="N484" s="76">
        <v>48</v>
      </c>
      <c r="O484" s="77" t="s">
        <v>40</v>
      </c>
      <c r="P484" s="71">
        <f t="shared" ref="P484" si="358">(C484+(E484*F484*H484))-N484</f>
        <v>0</v>
      </c>
      <c r="Q484" s="77" t="s">
        <v>40</v>
      </c>
      <c r="R484" s="78">
        <f t="shared" ref="R484" si="359">P484*(J484-(J484*L484)-((J484-(J484*L484))*M484))</f>
        <v>0</v>
      </c>
      <c r="S484" s="78">
        <f t="shared" ref="S484" si="360">R484/1.11</f>
        <v>0</v>
      </c>
    </row>
    <row r="485" spans="1:19" s="73" customFormat="1" x14ac:dyDescent="0.2">
      <c r="A485" s="185" t="s">
        <v>654</v>
      </c>
      <c r="B485" s="73" t="s">
        <v>18</v>
      </c>
      <c r="C485" s="71">
        <v>16</v>
      </c>
      <c r="D485" s="74" t="s">
        <v>40</v>
      </c>
      <c r="E485" s="75"/>
      <c r="F485" s="76">
        <v>1</v>
      </c>
      <c r="G485" s="77" t="s">
        <v>20</v>
      </c>
      <c r="H485" s="76">
        <v>24</v>
      </c>
      <c r="I485" s="77" t="s">
        <v>40</v>
      </c>
      <c r="J485" s="186">
        <v>114000</v>
      </c>
      <c r="K485" s="74" t="s">
        <v>40</v>
      </c>
      <c r="L485" s="79">
        <v>0.125</v>
      </c>
      <c r="M485" s="79">
        <v>0.05</v>
      </c>
      <c r="N485" s="76">
        <v>16</v>
      </c>
      <c r="O485" s="77" t="s">
        <v>40</v>
      </c>
      <c r="P485" s="71">
        <f t="shared" si="356"/>
        <v>0</v>
      </c>
      <c r="Q485" s="77" t="s">
        <v>40</v>
      </c>
      <c r="R485" s="78">
        <f t="shared" si="357"/>
        <v>0</v>
      </c>
      <c r="S485" s="78">
        <f t="shared" si="304"/>
        <v>0</v>
      </c>
    </row>
    <row r="486" spans="1:19" s="73" customFormat="1" x14ac:dyDescent="0.2">
      <c r="A486" s="187" t="s">
        <v>242</v>
      </c>
      <c r="B486" s="73" t="s">
        <v>18</v>
      </c>
      <c r="C486" s="71"/>
      <c r="D486" s="74" t="s">
        <v>40</v>
      </c>
      <c r="E486" s="75">
        <v>17</v>
      </c>
      <c r="F486" s="76">
        <v>1</v>
      </c>
      <c r="G486" s="77" t="s">
        <v>20</v>
      </c>
      <c r="H486" s="76">
        <v>24</v>
      </c>
      <c r="I486" s="77" t="s">
        <v>40</v>
      </c>
      <c r="J486" s="190">
        <v>89400</v>
      </c>
      <c r="K486" s="74" t="s">
        <v>40</v>
      </c>
      <c r="L486" s="79">
        <v>0.125</v>
      </c>
      <c r="M486" s="79">
        <v>0.05</v>
      </c>
      <c r="N486" s="76">
        <v>408</v>
      </c>
      <c r="O486" s="77" t="s">
        <v>40</v>
      </c>
      <c r="P486" s="71">
        <f t="shared" ref="P486" si="361">(C486+(E486*F486*H486))-N486</f>
        <v>0</v>
      </c>
      <c r="Q486" s="77" t="s">
        <v>40</v>
      </c>
      <c r="R486" s="78">
        <f t="shared" ref="R486" si="362">P486*(J486-(J486*L486)-((J486-(J486*L486))*M486))</f>
        <v>0</v>
      </c>
      <c r="S486" s="78">
        <f t="shared" ref="S486" si="363">R486/1.11</f>
        <v>0</v>
      </c>
    </row>
    <row r="487" spans="1:19" s="73" customFormat="1" x14ac:dyDescent="0.2">
      <c r="A487" s="187" t="s">
        <v>242</v>
      </c>
      <c r="B487" s="73" t="s">
        <v>18</v>
      </c>
      <c r="C487" s="71">
        <v>204</v>
      </c>
      <c r="D487" s="74" t="s">
        <v>40</v>
      </c>
      <c r="E487" s="75">
        <v>5</v>
      </c>
      <c r="F487" s="76">
        <v>1</v>
      </c>
      <c r="G487" s="77" t="s">
        <v>20</v>
      </c>
      <c r="H487" s="76">
        <v>24</v>
      </c>
      <c r="I487" s="77" t="s">
        <v>40</v>
      </c>
      <c r="J487" s="190">
        <v>88200</v>
      </c>
      <c r="K487" s="74" t="s">
        <v>40</v>
      </c>
      <c r="L487" s="79">
        <v>0.125</v>
      </c>
      <c r="M487" s="79">
        <v>0.05</v>
      </c>
      <c r="N487" s="76">
        <v>324</v>
      </c>
      <c r="O487" s="77" t="s">
        <v>40</v>
      </c>
      <c r="P487" s="71">
        <f t="shared" si="356"/>
        <v>0</v>
      </c>
      <c r="Q487" s="77" t="s">
        <v>40</v>
      </c>
      <c r="R487" s="78">
        <f t="shared" si="357"/>
        <v>0</v>
      </c>
      <c r="S487" s="78">
        <f t="shared" si="304"/>
        <v>0</v>
      </c>
    </row>
    <row r="488" spans="1:19" s="73" customFormat="1" x14ac:dyDescent="0.2">
      <c r="A488" s="185" t="s">
        <v>243</v>
      </c>
      <c r="B488" s="73" t="s">
        <v>18</v>
      </c>
      <c r="C488" s="71"/>
      <c r="D488" s="74" t="s">
        <v>40</v>
      </c>
      <c r="E488" s="75">
        <v>13</v>
      </c>
      <c r="F488" s="76">
        <v>1</v>
      </c>
      <c r="G488" s="77" t="s">
        <v>20</v>
      </c>
      <c r="H488" s="76">
        <v>24</v>
      </c>
      <c r="I488" s="77" t="s">
        <v>40</v>
      </c>
      <c r="J488" s="186">
        <v>90600</v>
      </c>
      <c r="K488" s="74" t="s">
        <v>40</v>
      </c>
      <c r="L488" s="79">
        <v>0.125</v>
      </c>
      <c r="M488" s="79">
        <v>0.05</v>
      </c>
      <c r="N488" s="76">
        <v>312</v>
      </c>
      <c r="O488" s="77" t="s">
        <v>40</v>
      </c>
      <c r="P488" s="71">
        <f t="shared" ref="P488" si="364">(C488+(E488*F488*H488))-N488</f>
        <v>0</v>
      </c>
      <c r="Q488" s="77" t="s">
        <v>40</v>
      </c>
      <c r="R488" s="78">
        <f t="shared" ref="R488" si="365">P488*(J488-(J488*L488)-((J488-(J488*L488))*M488))</f>
        <v>0</v>
      </c>
      <c r="S488" s="78">
        <f t="shared" ref="S488" si="366">R488/1.11</f>
        <v>0</v>
      </c>
    </row>
    <row r="489" spans="1:19" s="73" customFormat="1" x14ac:dyDescent="0.2">
      <c r="A489" s="185" t="s">
        <v>243</v>
      </c>
      <c r="B489" s="73" t="s">
        <v>18</v>
      </c>
      <c r="C489" s="71">
        <v>350</v>
      </c>
      <c r="D489" s="74" t="s">
        <v>40</v>
      </c>
      <c r="E489" s="75">
        <v>4</v>
      </c>
      <c r="F489" s="76">
        <v>1</v>
      </c>
      <c r="G489" s="77" t="s">
        <v>20</v>
      </c>
      <c r="H489" s="76">
        <v>24</v>
      </c>
      <c r="I489" s="77" t="s">
        <v>40</v>
      </c>
      <c r="J489" s="186">
        <v>89400</v>
      </c>
      <c r="K489" s="74" t="s">
        <v>40</v>
      </c>
      <c r="L489" s="79">
        <v>0.125</v>
      </c>
      <c r="M489" s="79">
        <v>0.05</v>
      </c>
      <c r="N489" s="76">
        <v>446</v>
      </c>
      <c r="O489" s="77" t="s">
        <v>40</v>
      </c>
      <c r="P489" s="71">
        <f t="shared" si="356"/>
        <v>0</v>
      </c>
      <c r="Q489" s="77" t="s">
        <v>40</v>
      </c>
      <c r="R489" s="78">
        <f t="shared" si="357"/>
        <v>0</v>
      </c>
      <c r="S489" s="78">
        <f t="shared" si="304"/>
        <v>0</v>
      </c>
    </row>
    <row r="490" spans="1:19" s="73" customFormat="1" x14ac:dyDescent="0.2">
      <c r="A490" s="202" t="s">
        <v>916</v>
      </c>
      <c r="B490" s="73" t="s">
        <v>18</v>
      </c>
      <c r="C490" s="71"/>
      <c r="D490" s="74" t="s">
        <v>40</v>
      </c>
      <c r="E490" s="75">
        <v>1</v>
      </c>
      <c r="F490" s="76">
        <v>1</v>
      </c>
      <c r="G490" s="77" t="s">
        <v>20</v>
      </c>
      <c r="H490" s="76">
        <v>24</v>
      </c>
      <c r="I490" s="77" t="s">
        <v>40</v>
      </c>
      <c r="J490" s="78">
        <v>139200</v>
      </c>
      <c r="K490" s="74" t="s">
        <v>40</v>
      </c>
      <c r="L490" s="79">
        <v>0.125</v>
      </c>
      <c r="M490" s="79">
        <v>0.05</v>
      </c>
      <c r="N490" s="76">
        <v>24</v>
      </c>
      <c r="O490" s="77" t="s">
        <v>40</v>
      </c>
      <c r="P490" s="71">
        <f t="shared" si="356"/>
        <v>0</v>
      </c>
      <c r="Q490" s="77" t="s">
        <v>40</v>
      </c>
      <c r="R490" s="78">
        <f t="shared" si="357"/>
        <v>0</v>
      </c>
      <c r="S490" s="78">
        <f t="shared" si="304"/>
        <v>0</v>
      </c>
    </row>
    <row r="491" spans="1:19" s="73" customFormat="1" x14ac:dyDescent="0.2">
      <c r="A491" s="202" t="s">
        <v>917</v>
      </c>
      <c r="B491" s="73" t="s">
        <v>18</v>
      </c>
      <c r="C491" s="71"/>
      <c r="D491" s="74" t="s">
        <v>40</v>
      </c>
      <c r="E491" s="75">
        <v>1</v>
      </c>
      <c r="F491" s="76">
        <v>1</v>
      </c>
      <c r="G491" s="77" t="s">
        <v>20</v>
      </c>
      <c r="H491" s="76">
        <v>12</v>
      </c>
      <c r="I491" s="77" t="s">
        <v>40</v>
      </c>
      <c r="J491" s="78">
        <v>182400</v>
      </c>
      <c r="K491" s="74" t="s">
        <v>40</v>
      </c>
      <c r="L491" s="79">
        <v>0.125</v>
      </c>
      <c r="M491" s="79">
        <v>0.05</v>
      </c>
      <c r="N491" s="76">
        <v>12</v>
      </c>
      <c r="O491" s="77" t="s">
        <v>40</v>
      </c>
      <c r="P491" s="71">
        <f t="shared" si="356"/>
        <v>0</v>
      </c>
      <c r="Q491" s="77" t="s">
        <v>40</v>
      </c>
      <c r="R491" s="78">
        <f t="shared" si="357"/>
        <v>0</v>
      </c>
      <c r="S491" s="78">
        <f t="shared" si="304"/>
        <v>0</v>
      </c>
    </row>
    <row r="492" spans="1:19" s="73" customFormat="1" x14ac:dyDescent="0.2">
      <c r="A492" s="72" t="s">
        <v>934</v>
      </c>
      <c r="B492" s="73" t="s">
        <v>18</v>
      </c>
      <c r="C492" s="71"/>
      <c r="D492" s="74" t="s">
        <v>151</v>
      </c>
      <c r="E492" s="75">
        <v>4</v>
      </c>
      <c r="F492" s="76">
        <v>1</v>
      </c>
      <c r="G492" s="77" t="s">
        <v>20</v>
      </c>
      <c r="H492" s="76">
        <v>24</v>
      </c>
      <c r="I492" s="77" t="s">
        <v>33</v>
      </c>
      <c r="J492" s="78">
        <v>34800</v>
      </c>
      <c r="K492" s="74" t="s">
        <v>33</v>
      </c>
      <c r="L492" s="79">
        <v>0.125</v>
      </c>
      <c r="M492" s="79">
        <v>0.05</v>
      </c>
      <c r="N492" s="76">
        <v>96</v>
      </c>
      <c r="O492" s="77" t="s">
        <v>33</v>
      </c>
      <c r="P492" s="71">
        <f t="shared" ref="P492" si="367">(C492+(E492*F492*H492))-N492</f>
        <v>0</v>
      </c>
      <c r="Q492" s="77" t="s">
        <v>33</v>
      </c>
      <c r="R492" s="78">
        <f t="shared" ref="R492" si="368">P492*(J492-(J492*L492)-((J492-(J492*L492))*M492))</f>
        <v>0</v>
      </c>
      <c r="S492" s="78">
        <f t="shared" ref="S492" si="369">R492/1.11</f>
        <v>0</v>
      </c>
    </row>
    <row r="493" spans="1:19" s="73" customFormat="1" x14ac:dyDescent="0.2">
      <c r="A493" s="72" t="s">
        <v>244</v>
      </c>
      <c r="B493" s="73" t="s">
        <v>18</v>
      </c>
      <c r="C493" s="71"/>
      <c r="D493" s="74" t="s">
        <v>151</v>
      </c>
      <c r="E493" s="75">
        <v>5</v>
      </c>
      <c r="F493" s="76">
        <v>12</v>
      </c>
      <c r="G493" s="77" t="s">
        <v>33</v>
      </c>
      <c r="H493" s="76">
        <v>24</v>
      </c>
      <c r="I493" s="77" t="s">
        <v>151</v>
      </c>
      <c r="J493" s="78">
        <v>12000</v>
      </c>
      <c r="K493" s="74" t="s">
        <v>151</v>
      </c>
      <c r="L493" s="79">
        <v>0.125</v>
      </c>
      <c r="M493" s="79">
        <v>0.05</v>
      </c>
      <c r="N493" s="76">
        <v>1440</v>
      </c>
      <c r="O493" s="77" t="s">
        <v>151</v>
      </c>
      <c r="P493" s="71">
        <f t="shared" si="356"/>
        <v>0</v>
      </c>
      <c r="Q493" s="77" t="s">
        <v>151</v>
      </c>
      <c r="R493" s="78">
        <f t="shared" si="357"/>
        <v>0</v>
      </c>
      <c r="S493" s="78">
        <f t="shared" si="304"/>
        <v>0</v>
      </c>
    </row>
    <row r="494" spans="1:19" s="73" customFormat="1" x14ac:dyDescent="0.2">
      <c r="A494" s="72" t="s">
        <v>245</v>
      </c>
      <c r="B494" s="73" t="s">
        <v>18</v>
      </c>
      <c r="C494" s="71"/>
      <c r="D494" s="74" t="s">
        <v>151</v>
      </c>
      <c r="E494" s="75"/>
      <c r="F494" s="76">
        <v>10</v>
      </c>
      <c r="G494" s="77" t="s">
        <v>33</v>
      </c>
      <c r="H494" s="76">
        <v>10</v>
      </c>
      <c r="I494" s="77" t="s">
        <v>151</v>
      </c>
      <c r="J494" s="78">
        <v>28000</v>
      </c>
      <c r="K494" s="74" t="s">
        <v>151</v>
      </c>
      <c r="L494" s="79">
        <v>0.125</v>
      </c>
      <c r="M494" s="79">
        <v>0.05</v>
      </c>
      <c r="N494" s="76">
        <v>0</v>
      </c>
      <c r="O494" s="77" t="s">
        <v>151</v>
      </c>
      <c r="P494" s="71">
        <f t="shared" si="356"/>
        <v>0</v>
      </c>
      <c r="Q494" s="77" t="s">
        <v>151</v>
      </c>
      <c r="R494" s="78">
        <f t="shared" si="357"/>
        <v>0</v>
      </c>
      <c r="S494" s="78">
        <f t="shared" si="304"/>
        <v>0</v>
      </c>
    </row>
    <row r="495" spans="1:19" s="73" customFormat="1" x14ac:dyDescent="0.2">
      <c r="A495" s="72" t="s">
        <v>246</v>
      </c>
      <c r="B495" s="73" t="s">
        <v>18</v>
      </c>
      <c r="C495" s="71"/>
      <c r="D495" s="74" t="s">
        <v>151</v>
      </c>
      <c r="E495" s="75"/>
      <c r="F495" s="76">
        <v>10</v>
      </c>
      <c r="G495" s="77" t="s">
        <v>33</v>
      </c>
      <c r="H495" s="76">
        <v>10</v>
      </c>
      <c r="I495" s="77" t="s">
        <v>151</v>
      </c>
      <c r="J495" s="78">
        <v>33500</v>
      </c>
      <c r="K495" s="74" t="s">
        <v>151</v>
      </c>
      <c r="L495" s="79">
        <v>0.125</v>
      </c>
      <c r="M495" s="79">
        <v>0.05</v>
      </c>
      <c r="N495" s="76">
        <v>0</v>
      </c>
      <c r="O495" s="77" t="s">
        <v>151</v>
      </c>
      <c r="P495" s="71">
        <f t="shared" si="356"/>
        <v>0</v>
      </c>
      <c r="Q495" s="77" t="s">
        <v>151</v>
      </c>
      <c r="R495" s="78">
        <f t="shared" si="357"/>
        <v>0</v>
      </c>
      <c r="S495" s="78">
        <f t="shared" si="304"/>
        <v>0</v>
      </c>
    </row>
    <row r="496" spans="1:19" s="73" customFormat="1" x14ac:dyDescent="0.2">
      <c r="A496" s="72" t="s">
        <v>247</v>
      </c>
      <c r="B496" s="73" t="s">
        <v>18</v>
      </c>
      <c r="C496" s="71"/>
      <c r="D496" s="74" t="s">
        <v>151</v>
      </c>
      <c r="E496" s="75"/>
      <c r="F496" s="76">
        <v>8</v>
      </c>
      <c r="G496" s="77" t="s">
        <v>33</v>
      </c>
      <c r="H496" s="76">
        <v>10</v>
      </c>
      <c r="I496" s="77" t="s">
        <v>151</v>
      </c>
      <c r="J496" s="78">
        <v>48500</v>
      </c>
      <c r="K496" s="74" t="s">
        <v>151</v>
      </c>
      <c r="L496" s="79">
        <v>0.125</v>
      </c>
      <c r="M496" s="79">
        <v>0.05</v>
      </c>
      <c r="N496" s="76">
        <v>0</v>
      </c>
      <c r="O496" s="77" t="s">
        <v>151</v>
      </c>
      <c r="P496" s="71">
        <f t="shared" si="356"/>
        <v>0</v>
      </c>
      <c r="Q496" s="77" t="s">
        <v>151</v>
      </c>
      <c r="R496" s="78">
        <f t="shared" si="357"/>
        <v>0</v>
      </c>
      <c r="S496" s="78">
        <f t="shared" si="304"/>
        <v>0</v>
      </c>
    </row>
    <row r="497" spans="1:19" s="73" customFormat="1" x14ac:dyDescent="0.2">
      <c r="A497" s="72" t="s">
        <v>248</v>
      </c>
      <c r="B497" s="73" t="s">
        <v>18</v>
      </c>
      <c r="C497" s="71"/>
      <c r="D497" s="74" t="s">
        <v>151</v>
      </c>
      <c r="E497" s="75"/>
      <c r="F497" s="76">
        <v>10</v>
      </c>
      <c r="G497" s="77" t="s">
        <v>33</v>
      </c>
      <c r="H497" s="76">
        <v>12</v>
      </c>
      <c r="I497" s="77" t="s">
        <v>151</v>
      </c>
      <c r="J497" s="78">
        <v>17000</v>
      </c>
      <c r="K497" s="74" t="s">
        <v>151</v>
      </c>
      <c r="L497" s="79">
        <v>0.125</v>
      </c>
      <c r="M497" s="79">
        <v>0.05</v>
      </c>
      <c r="N497" s="76">
        <v>0</v>
      </c>
      <c r="O497" s="77" t="s">
        <v>151</v>
      </c>
      <c r="P497" s="71">
        <f t="shared" si="356"/>
        <v>0</v>
      </c>
      <c r="Q497" s="77" t="s">
        <v>151</v>
      </c>
      <c r="R497" s="78">
        <f t="shared" si="357"/>
        <v>0</v>
      </c>
      <c r="S497" s="78">
        <f t="shared" si="304"/>
        <v>0</v>
      </c>
    </row>
    <row r="498" spans="1:19" s="73" customFormat="1" x14ac:dyDescent="0.2">
      <c r="A498" s="72" t="s">
        <v>249</v>
      </c>
      <c r="B498" s="73" t="s">
        <v>18</v>
      </c>
      <c r="C498" s="71"/>
      <c r="D498" s="74" t="s">
        <v>151</v>
      </c>
      <c r="E498" s="75"/>
      <c r="F498" s="76">
        <v>24</v>
      </c>
      <c r="G498" s="77" t="s">
        <v>33</v>
      </c>
      <c r="H498" s="76">
        <v>12</v>
      </c>
      <c r="I498" s="77" t="s">
        <v>151</v>
      </c>
      <c r="J498" s="78">
        <v>13300</v>
      </c>
      <c r="K498" s="74" t="s">
        <v>151</v>
      </c>
      <c r="L498" s="79">
        <v>0.125</v>
      </c>
      <c r="M498" s="79">
        <v>0.05</v>
      </c>
      <c r="N498" s="76">
        <v>0</v>
      </c>
      <c r="O498" s="77" t="s">
        <v>151</v>
      </c>
      <c r="P498" s="71">
        <f t="shared" si="356"/>
        <v>0</v>
      </c>
      <c r="Q498" s="77" t="s">
        <v>151</v>
      </c>
      <c r="R498" s="78">
        <f t="shared" si="357"/>
        <v>0</v>
      </c>
      <c r="S498" s="78">
        <f t="shared" si="304"/>
        <v>0</v>
      </c>
    </row>
    <row r="499" spans="1:19" s="19" customFormat="1" x14ac:dyDescent="0.2">
      <c r="A499" s="18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73" customFormat="1" x14ac:dyDescent="0.2">
      <c r="A500" s="104" t="s">
        <v>250</v>
      </c>
      <c r="B500" s="73" t="s">
        <v>25</v>
      </c>
      <c r="C500" s="71"/>
      <c r="D500" s="74" t="s">
        <v>19</v>
      </c>
      <c r="E500" s="75">
        <v>2</v>
      </c>
      <c r="F500" s="76">
        <v>24</v>
      </c>
      <c r="G500" s="77" t="s">
        <v>40</v>
      </c>
      <c r="H500" s="76">
        <v>12</v>
      </c>
      <c r="I500" s="77" t="s">
        <v>19</v>
      </c>
      <c r="J500" s="78">
        <f>2160000/24/12</f>
        <v>7500</v>
      </c>
      <c r="K500" s="74" t="s">
        <v>19</v>
      </c>
      <c r="L500" s="79"/>
      <c r="M500" s="79">
        <v>0.17</v>
      </c>
      <c r="N500" s="76">
        <v>576</v>
      </c>
      <c r="O500" s="77" t="s">
        <v>19</v>
      </c>
      <c r="P500" s="71">
        <f t="shared" ref="P500:P503" si="370">(C500+(E500*F500*H500))-N500</f>
        <v>0</v>
      </c>
      <c r="Q500" s="77" t="s">
        <v>19</v>
      </c>
      <c r="R500" s="78">
        <f t="shared" ref="R500:R503" si="371">P500*(J500-(J500*L500)-((J500-(J500*L500))*M500))</f>
        <v>0</v>
      </c>
      <c r="S500" s="78">
        <f t="shared" si="304"/>
        <v>0</v>
      </c>
    </row>
    <row r="501" spans="1:19" s="73" customFormat="1" x14ac:dyDescent="0.2">
      <c r="A501" s="104" t="s">
        <v>251</v>
      </c>
      <c r="B501" s="73" t="s">
        <v>25</v>
      </c>
      <c r="C501" s="71"/>
      <c r="D501" s="74" t="s">
        <v>19</v>
      </c>
      <c r="E501" s="75">
        <v>2</v>
      </c>
      <c r="F501" s="76">
        <v>24</v>
      </c>
      <c r="G501" s="77" t="s">
        <v>40</v>
      </c>
      <c r="H501" s="76">
        <v>12</v>
      </c>
      <c r="I501" s="77" t="s">
        <v>19</v>
      </c>
      <c r="J501" s="78">
        <f>2160000/24/12</f>
        <v>7500</v>
      </c>
      <c r="K501" s="74" t="s">
        <v>19</v>
      </c>
      <c r="L501" s="79"/>
      <c r="M501" s="79">
        <v>0.17</v>
      </c>
      <c r="N501" s="76">
        <v>576</v>
      </c>
      <c r="O501" s="77" t="s">
        <v>19</v>
      </c>
      <c r="P501" s="71">
        <f t="shared" si="370"/>
        <v>0</v>
      </c>
      <c r="Q501" s="77" t="s">
        <v>19</v>
      </c>
      <c r="R501" s="78">
        <f t="shared" si="371"/>
        <v>0</v>
      </c>
      <c r="S501" s="78">
        <f t="shared" si="304"/>
        <v>0</v>
      </c>
    </row>
    <row r="502" spans="1:19" s="73" customFormat="1" x14ac:dyDescent="0.2">
      <c r="A502" s="104" t="s">
        <v>782</v>
      </c>
      <c r="B502" s="73" t="s">
        <v>25</v>
      </c>
      <c r="C502" s="71">
        <v>288</v>
      </c>
      <c r="D502" s="74" t="s">
        <v>19</v>
      </c>
      <c r="E502" s="75">
        <v>5</v>
      </c>
      <c r="F502" s="76">
        <v>24</v>
      </c>
      <c r="G502" s="77" t="s">
        <v>40</v>
      </c>
      <c r="H502" s="76">
        <v>12</v>
      </c>
      <c r="I502" s="77" t="s">
        <v>19</v>
      </c>
      <c r="J502" s="78">
        <f>2160000/24/12</f>
        <v>7500</v>
      </c>
      <c r="K502" s="74" t="s">
        <v>19</v>
      </c>
      <c r="L502" s="79"/>
      <c r="M502" s="79">
        <v>0.17</v>
      </c>
      <c r="N502" s="76">
        <v>1728</v>
      </c>
      <c r="O502" s="77" t="s">
        <v>19</v>
      </c>
      <c r="P502" s="71">
        <f t="shared" si="370"/>
        <v>0</v>
      </c>
      <c r="Q502" s="77" t="s">
        <v>19</v>
      </c>
      <c r="R502" s="78">
        <f t="shared" si="371"/>
        <v>0</v>
      </c>
      <c r="S502" s="78">
        <f t="shared" si="304"/>
        <v>0</v>
      </c>
    </row>
    <row r="503" spans="1:19" s="73" customFormat="1" x14ac:dyDescent="0.2">
      <c r="A503" s="104" t="s">
        <v>783</v>
      </c>
      <c r="B503" s="73" t="s">
        <v>25</v>
      </c>
      <c r="C503" s="71">
        <v>204</v>
      </c>
      <c r="D503" s="74" t="s">
        <v>19</v>
      </c>
      <c r="E503" s="75"/>
      <c r="F503" s="76">
        <v>12</v>
      </c>
      <c r="G503" s="77" t="s">
        <v>40</v>
      </c>
      <c r="H503" s="76">
        <v>12</v>
      </c>
      <c r="I503" s="77" t="s">
        <v>19</v>
      </c>
      <c r="J503" s="78">
        <f>3024000/12/12</f>
        <v>21000</v>
      </c>
      <c r="K503" s="74" t="s">
        <v>19</v>
      </c>
      <c r="L503" s="79"/>
      <c r="M503" s="79">
        <v>0.17</v>
      </c>
      <c r="N503" s="76">
        <v>204</v>
      </c>
      <c r="O503" s="77" t="s">
        <v>19</v>
      </c>
      <c r="P503" s="71">
        <f t="shared" si="370"/>
        <v>0</v>
      </c>
      <c r="Q503" s="77" t="s">
        <v>19</v>
      </c>
      <c r="R503" s="78">
        <f t="shared" si="371"/>
        <v>0</v>
      </c>
      <c r="S503" s="78">
        <f t="shared" si="304"/>
        <v>0</v>
      </c>
    </row>
    <row r="504" spans="1:19" s="19" customFormat="1" x14ac:dyDescent="0.2">
      <c r="A504" s="18"/>
      <c r="C504" s="20"/>
      <c r="D504" s="21"/>
      <c r="E504" s="26"/>
      <c r="F504" s="22"/>
      <c r="G504" s="23"/>
      <c r="H504" s="22"/>
      <c r="I504" s="23"/>
      <c r="J504" s="24"/>
      <c r="K504" s="21"/>
      <c r="L504" s="25"/>
      <c r="M504" s="25"/>
      <c r="N504" s="22"/>
      <c r="O504" s="23"/>
      <c r="P504" s="20"/>
      <c r="Q504" s="23"/>
      <c r="R504" s="24"/>
      <c r="S504" s="24"/>
    </row>
    <row r="505" spans="1:19" s="19" customFormat="1" ht="15.75" x14ac:dyDescent="0.25">
      <c r="A505" s="35" t="s">
        <v>252</v>
      </c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73" customFormat="1" x14ac:dyDescent="0.2">
      <c r="A506" s="72" t="s">
        <v>253</v>
      </c>
      <c r="B506" s="73" t="s">
        <v>18</v>
      </c>
      <c r="C506" s="71"/>
      <c r="D506" s="74" t="s">
        <v>33</v>
      </c>
      <c r="E506" s="75"/>
      <c r="F506" s="76">
        <v>1</v>
      </c>
      <c r="G506" s="77" t="s">
        <v>20</v>
      </c>
      <c r="H506" s="76">
        <v>20</v>
      </c>
      <c r="I506" s="77" t="s">
        <v>33</v>
      </c>
      <c r="J506" s="78">
        <f>6200*12</f>
        <v>74400</v>
      </c>
      <c r="K506" s="74" t="s">
        <v>33</v>
      </c>
      <c r="L506" s="79">
        <v>0.125</v>
      </c>
      <c r="M506" s="79">
        <v>0.05</v>
      </c>
      <c r="N506" s="76">
        <v>0</v>
      </c>
      <c r="O506" s="77" t="s">
        <v>33</v>
      </c>
      <c r="P506" s="71">
        <f>(C506+(E506*F506*H506))-N506</f>
        <v>0</v>
      </c>
      <c r="Q506" s="77" t="s">
        <v>33</v>
      </c>
      <c r="R506" s="78">
        <f>P506*(J506-(J506*L506)-((J506-(J506*L506))*M506))</f>
        <v>0</v>
      </c>
      <c r="S506" s="78">
        <f t="shared" si="304"/>
        <v>0</v>
      </c>
    </row>
    <row r="507" spans="1:19" s="73" customFormat="1" x14ac:dyDescent="0.2">
      <c r="A507" s="72" t="s">
        <v>254</v>
      </c>
      <c r="B507" s="73" t="s">
        <v>18</v>
      </c>
      <c r="C507" s="71"/>
      <c r="D507" s="74" t="s">
        <v>33</v>
      </c>
      <c r="E507" s="75"/>
      <c r="F507" s="76">
        <v>1</v>
      </c>
      <c r="G507" s="77" t="s">
        <v>20</v>
      </c>
      <c r="H507" s="76">
        <v>20</v>
      </c>
      <c r="I507" s="77" t="s">
        <v>33</v>
      </c>
      <c r="J507" s="78">
        <f>6800*12</f>
        <v>81600</v>
      </c>
      <c r="K507" s="74" t="s">
        <v>33</v>
      </c>
      <c r="L507" s="79">
        <v>0.125</v>
      </c>
      <c r="M507" s="79">
        <v>0.05</v>
      </c>
      <c r="N507" s="76">
        <v>0</v>
      </c>
      <c r="O507" s="77" t="s">
        <v>33</v>
      </c>
      <c r="P507" s="71">
        <f>(C507+(E507*F507*H507))-N507</f>
        <v>0</v>
      </c>
      <c r="Q507" s="77" t="s">
        <v>33</v>
      </c>
      <c r="R507" s="78">
        <f>P507*(J507-(J507*L507)-((J507-(J507*L507))*M507))</f>
        <v>0</v>
      </c>
      <c r="S507" s="78">
        <f t="shared" si="304"/>
        <v>0</v>
      </c>
    </row>
    <row r="508" spans="1:19" s="73" customFormat="1" x14ac:dyDescent="0.2">
      <c r="A508" s="72" t="s">
        <v>866</v>
      </c>
      <c r="B508" s="73" t="s">
        <v>18</v>
      </c>
      <c r="C508" s="71"/>
      <c r="D508" s="74" t="s">
        <v>33</v>
      </c>
      <c r="E508" s="75">
        <v>1</v>
      </c>
      <c r="F508" s="76">
        <v>1</v>
      </c>
      <c r="G508" s="77" t="s">
        <v>20</v>
      </c>
      <c r="H508" s="76">
        <v>10</v>
      </c>
      <c r="I508" s="77" t="s">
        <v>33</v>
      </c>
      <c r="J508" s="78">
        <v>135600</v>
      </c>
      <c r="K508" s="74" t="s">
        <v>33</v>
      </c>
      <c r="L508" s="79">
        <v>0.125</v>
      </c>
      <c r="M508" s="79">
        <v>0.05</v>
      </c>
      <c r="N508" s="76">
        <v>10</v>
      </c>
      <c r="O508" s="77" t="s">
        <v>33</v>
      </c>
      <c r="P508" s="71">
        <f>(C508+(E508*F508*H508))-N508</f>
        <v>0</v>
      </c>
      <c r="Q508" s="77" t="s">
        <v>33</v>
      </c>
      <c r="R508" s="78">
        <f>P508*(J508-(J508*L508)-((J508-(J508*L508))*M508))</f>
        <v>0</v>
      </c>
      <c r="S508" s="78">
        <f t="shared" ref="S508" si="372">R508/1.11</f>
        <v>0</v>
      </c>
    </row>
    <row r="509" spans="1:19" s="19" customFormat="1" x14ac:dyDescent="0.2">
      <c r="A509" s="18"/>
      <c r="C509" s="20"/>
      <c r="D509" s="21"/>
      <c r="E509" s="26"/>
      <c r="F509" s="22"/>
      <c r="G509" s="23"/>
      <c r="H509" s="22"/>
      <c r="I509" s="23"/>
      <c r="J509" s="24"/>
      <c r="K509" s="21"/>
      <c r="L509" s="25"/>
      <c r="M509" s="25"/>
      <c r="N509" s="22"/>
      <c r="O509" s="23"/>
      <c r="P509" s="20"/>
      <c r="Q509" s="23"/>
      <c r="R509" s="24"/>
      <c r="S509" s="24"/>
    </row>
    <row r="510" spans="1:19" s="19" customFormat="1" ht="15.75" x14ac:dyDescent="0.25">
      <c r="A510" s="35" t="s">
        <v>255</v>
      </c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 x14ac:dyDescent="0.2">
      <c r="A511" s="57" t="s">
        <v>256</v>
      </c>
      <c r="C511" s="20"/>
      <c r="D511" s="21"/>
      <c r="E511" s="26"/>
      <c r="F511" s="22"/>
      <c r="G511" s="23"/>
      <c r="H511" s="22"/>
      <c r="I511" s="23"/>
      <c r="J511" s="24"/>
      <c r="K511" s="21"/>
      <c r="L511" s="25"/>
      <c r="M511" s="25"/>
      <c r="N511" s="22"/>
      <c r="O511" s="23"/>
      <c r="P511" s="20"/>
      <c r="Q511" s="23"/>
      <c r="R511" s="24"/>
      <c r="S511" s="24"/>
    </row>
    <row r="512" spans="1:19" s="73" customFormat="1" x14ac:dyDescent="0.2">
      <c r="A512" s="72" t="s">
        <v>257</v>
      </c>
      <c r="B512" s="73" t="s">
        <v>25</v>
      </c>
      <c r="C512" s="71"/>
      <c r="D512" s="74" t="s">
        <v>98</v>
      </c>
      <c r="E512" s="75"/>
      <c r="F512" s="76">
        <v>1</v>
      </c>
      <c r="G512" s="77" t="s">
        <v>20</v>
      </c>
      <c r="H512" s="76">
        <v>50</v>
      </c>
      <c r="I512" s="77" t="s">
        <v>98</v>
      </c>
      <c r="J512" s="78">
        <f>740000/50</f>
        <v>14800</v>
      </c>
      <c r="K512" s="74" t="s">
        <v>98</v>
      </c>
      <c r="L512" s="79"/>
      <c r="M512" s="79">
        <v>0.17</v>
      </c>
      <c r="N512" s="76">
        <v>0</v>
      </c>
      <c r="O512" s="77" t="s">
        <v>98</v>
      </c>
      <c r="P512" s="71">
        <f>(C512+(E512*F512*H512))-N512</f>
        <v>0</v>
      </c>
      <c r="Q512" s="77" t="s">
        <v>98</v>
      </c>
      <c r="R512" s="78">
        <f>P512*(J512-(J512*L512)-((J512-(J512*L512))*M512))</f>
        <v>0</v>
      </c>
      <c r="S512" s="78">
        <f t="shared" si="304"/>
        <v>0</v>
      </c>
    </row>
    <row r="513" spans="1:19" s="73" customFormat="1" x14ac:dyDescent="0.2">
      <c r="A513" s="72"/>
      <c r="C513" s="71"/>
      <c r="D513" s="74"/>
      <c r="E513" s="75"/>
      <c r="F513" s="76"/>
      <c r="G513" s="77"/>
      <c r="H513" s="76"/>
      <c r="I513" s="77"/>
      <c r="J513" s="78"/>
      <c r="K513" s="74"/>
      <c r="L513" s="79"/>
      <c r="M513" s="79"/>
      <c r="N513" s="76"/>
      <c r="O513" s="77"/>
      <c r="P513" s="71"/>
      <c r="Q513" s="77"/>
      <c r="R513" s="78"/>
      <c r="S513" s="78"/>
    </row>
    <row r="514" spans="1:19" s="19" customFormat="1" x14ac:dyDescent="0.2">
      <c r="A514" s="57" t="s">
        <v>258</v>
      </c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19" customFormat="1" x14ac:dyDescent="0.2">
      <c r="A515" s="18" t="s">
        <v>259</v>
      </c>
      <c r="B515" s="19" t="s">
        <v>260</v>
      </c>
      <c r="C515" s="20">
        <v>250</v>
      </c>
      <c r="D515" s="21" t="s">
        <v>98</v>
      </c>
      <c r="E515" s="26"/>
      <c r="F515" s="22">
        <v>1</v>
      </c>
      <c r="G515" s="23" t="s">
        <v>20</v>
      </c>
      <c r="H515" s="22">
        <v>50</v>
      </c>
      <c r="I515" s="23" t="s">
        <v>98</v>
      </c>
      <c r="J515" s="24">
        <v>32500</v>
      </c>
      <c r="K515" s="21" t="s">
        <v>98</v>
      </c>
      <c r="L515" s="25"/>
      <c r="M515" s="25"/>
      <c r="N515" s="22">
        <v>100</v>
      </c>
      <c r="O515" s="23" t="s">
        <v>98</v>
      </c>
      <c r="P515" s="20">
        <f>(C515+(E515*F515*H515))-N515</f>
        <v>150</v>
      </c>
      <c r="Q515" s="23" t="s">
        <v>98</v>
      </c>
      <c r="R515" s="24">
        <f>P515*(J515-(J515*L515)-((J515-(J515*L515))*M515))</f>
        <v>4875000</v>
      </c>
      <c r="S515" s="24">
        <f t="shared" ref="S515:S626" si="373">R515/1.11</f>
        <v>4391891.8918918911</v>
      </c>
    </row>
    <row r="516" spans="1:19" s="19" customFormat="1" x14ac:dyDescent="0.2">
      <c r="A516" s="18"/>
      <c r="C516" s="20"/>
      <c r="D516" s="21"/>
      <c r="E516" s="26"/>
      <c r="F516" s="22"/>
      <c r="G516" s="23"/>
      <c r="H516" s="22"/>
      <c r="I516" s="23"/>
      <c r="J516" s="24"/>
      <c r="K516" s="21"/>
      <c r="L516" s="25"/>
      <c r="M516" s="25"/>
      <c r="N516" s="22"/>
      <c r="O516" s="23"/>
      <c r="P516" s="20"/>
      <c r="Q516" s="23"/>
      <c r="R516" s="24"/>
      <c r="S516" s="24"/>
    </row>
    <row r="517" spans="1:19" x14ac:dyDescent="0.2">
      <c r="A517" s="15" t="s">
        <v>1033</v>
      </c>
      <c r="R517" s="16"/>
      <c r="S517" s="16"/>
    </row>
    <row r="518" spans="1:19" s="64" customFormat="1" x14ac:dyDescent="0.2">
      <c r="A518" s="72" t="s">
        <v>1034</v>
      </c>
      <c r="B518" s="64" t="s">
        <v>1074</v>
      </c>
      <c r="C518" s="65"/>
      <c r="D518" s="66" t="s">
        <v>830</v>
      </c>
      <c r="E518" s="67">
        <v>5</v>
      </c>
      <c r="F518" s="68">
        <v>1</v>
      </c>
      <c r="G518" s="69" t="s">
        <v>20</v>
      </c>
      <c r="H518" s="68">
        <v>900</v>
      </c>
      <c r="I518" s="69" t="s">
        <v>830</v>
      </c>
      <c r="J518" s="78">
        <v>2200</v>
      </c>
      <c r="K518" s="74" t="s">
        <v>830</v>
      </c>
      <c r="L518" s="79">
        <v>0.1</v>
      </c>
      <c r="M518" s="79">
        <v>0.1</v>
      </c>
      <c r="N518" s="76">
        <v>4500</v>
      </c>
      <c r="O518" s="77" t="s">
        <v>830</v>
      </c>
      <c r="P518" s="71">
        <f>(C518+(E518*F518*H518))-N518</f>
        <v>0</v>
      </c>
      <c r="Q518" s="77" t="s">
        <v>830</v>
      </c>
      <c r="R518" s="78">
        <f>P518*(J518-(J518*L518)-((J518-(J518*L518))*M518))</f>
        <v>0</v>
      </c>
      <c r="S518" s="78">
        <f t="shared" ref="S518" si="374">R518/1.11</f>
        <v>0</v>
      </c>
    </row>
    <row r="519" spans="1:19" s="64" customFormat="1" x14ac:dyDescent="0.2">
      <c r="A519" s="72" t="s">
        <v>1035</v>
      </c>
      <c r="B519" s="64" t="s">
        <v>1074</v>
      </c>
      <c r="C519" s="65"/>
      <c r="D519" s="66" t="s">
        <v>830</v>
      </c>
      <c r="E519" s="67">
        <v>5</v>
      </c>
      <c r="F519" s="68">
        <v>1</v>
      </c>
      <c r="G519" s="69" t="s">
        <v>20</v>
      </c>
      <c r="H519" s="68">
        <v>750</v>
      </c>
      <c r="I519" s="69" t="s">
        <v>830</v>
      </c>
      <c r="J519" s="78">
        <v>2600</v>
      </c>
      <c r="K519" s="74" t="s">
        <v>830</v>
      </c>
      <c r="L519" s="79">
        <v>0.1</v>
      </c>
      <c r="M519" s="79">
        <v>0.1</v>
      </c>
      <c r="N519" s="76">
        <v>3750</v>
      </c>
      <c r="O519" s="77" t="s">
        <v>830</v>
      </c>
      <c r="P519" s="71">
        <f>(C519+(E519*F519*H519))-N519</f>
        <v>0</v>
      </c>
      <c r="Q519" s="77" t="s">
        <v>830</v>
      </c>
      <c r="R519" s="78">
        <f>P519*(J519-(J519*L519)-((J519-(J519*L519))*M519))</f>
        <v>0</v>
      </c>
      <c r="S519" s="78">
        <f t="shared" ref="S519" si="375">R519/1.11</f>
        <v>0</v>
      </c>
    </row>
    <row r="520" spans="1:19" s="19" customFormat="1" x14ac:dyDescent="0.2">
      <c r="A520" s="18"/>
      <c r="C520" s="20"/>
      <c r="D520" s="21"/>
      <c r="E520" s="26"/>
      <c r="F520" s="22"/>
      <c r="G520" s="23"/>
      <c r="H520" s="22"/>
      <c r="I520" s="23"/>
      <c r="J520" s="24"/>
      <c r="K520" s="21"/>
      <c r="L520" s="25"/>
      <c r="M520" s="25"/>
      <c r="N520" s="22"/>
      <c r="O520" s="23"/>
      <c r="P520" s="20"/>
      <c r="Q520" s="23"/>
      <c r="R520" s="24"/>
      <c r="S520" s="24"/>
    </row>
    <row r="521" spans="1:19" s="19" customFormat="1" ht="15.75" x14ac:dyDescent="0.25">
      <c r="A521" s="35" t="s">
        <v>261</v>
      </c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19" s="73" customFormat="1" x14ac:dyDescent="0.2">
      <c r="A522" s="72" t="s">
        <v>262</v>
      </c>
      <c r="B522" s="73" t="s">
        <v>18</v>
      </c>
      <c r="C522" s="71"/>
      <c r="D522" s="74" t="s">
        <v>102</v>
      </c>
      <c r="E522" s="75">
        <v>2</v>
      </c>
      <c r="F522" s="76">
        <v>8</v>
      </c>
      <c r="G522" s="77" t="s">
        <v>33</v>
      </c>
      <c r="H522" s="76">
        <v>25</v>
      </c>
      <c r="I522" s="77" t="s">
        <v>102</v>
      </c>
      <c r="J522" s="78">
        <v>4800</v>
      </c>
      <c r="K522" s="74" t="s">
        <v>102</v>
      </c>
      <c r="L522" s="79">
        <v>0.125</v>
      </c>
      <c r="M522" s="79">
        <v>0.05</v>
      </c>
      <c r="N522" s="76">
        <v>400</v>
      </c>
      <c r="O522" s="77" t="s">
        <v>102</v>
      </c>
      <c r="P522" s="71">
        <f>(C522+(E522*F522*H522))-N522</f>
        <v>0</v>
      </c>
      <c r="Q522" s="77" t="s">
        <v>102</v>
      </c>
      <c r="R522" s="78">
        <f>P522*(J522-(J522*L522)-((J522-(J522*L522))*M522))</f>
        <v>0</v>
      </c>
      <c r="S522" s="78">
        <f t="shared" ref="S522" si="376">R522/1.11</f>
        <v>0</v>
      </c>
    </row>
    <row r="523" spans="1:19" s="73" customFormat="1" x14ac:dyDescent="0.2">
      <c r="A523" s="72" t="s">
        <v>263</v>
      </c>
      <c r="B523" s="73" t="s">
        <v>18</v>
      </c>
      <c r="C523" s="71"/>
      <c r="D523" s="74" t="s">
        <v>76</v>
      </c>
      <c r="E523" s="75">
        <v>3</v>
      </c>
      <c r="F523" s="76">
        <v>1</v>
      </c>
      <c r="G523" s="77" t="s">
        <v>20</v>
      </c>
      <c r="H523" s="76">
        <v>40</v>
      </c>
      <c r="I523" s="77" t="s">
        <v>76</v>
      </c>
      <c r="J523" s="78">
        <v>33750</v>
      </c>
      <c r="K523" s="74" t="s">
        <v>76</v>
      </c>
      <c r="L523" s="79">
        <v>0.125</v>
      </c>
      <c r="M523" s="79">
        <v>0.05</v>
      </c>
      <c r="N523" s="76">
        <v>120</v>
      </c>
      <c r="O523" s="77" t="s">
        <v>76</v>
      </c>
      <c r="P523" s="71">
        <f>(C523+(E523*F523*H523))-N523</f>
        <v>0</v>
      </c>
      <c r="Q523" s="77" t="s">
        <v>76</v>
      </c>
      <c r="R523" s="78">
        <f>P523*(J523-(J523*L523)-((J523-(J523*L523))*M523))</f>
        <v>0</v>
      </c>
      <c r="S523" s="78">
        <f t="shared" ref="S523" si="377">R523/1.11</f>
        <v>0</v>
      </c>
    </row>
    <row r="524" spans="1:19" s="73" customFormat="1" x14ac:dyDescent="0.2">
      <c r="A524" s="72" t="s">
        <v>264</v>
      </c>
      <c r="B524" s="73" t="s">
        <v>18</v>
      </c>
      <c r="C524" s="71"/>
      <c r="D524" s="74" t="s">
        <v>76</v>
      </c>
      <c r="E524" s="75">
        <v>3</v>
      </c>
      <c r="F524" s="76">
        <v>1</v>
      </c>
      <c r="G524" s="77" t="s">
        <v>20</v>
      </c>
      <c r="H524" s="76">
        <v>48</v>
      </c>
      <c r="I524" s="77" t="s">
        <v>76</v>
      </c>
      <c r="J524" s="78">
        <v>23000</v>
      </c>
      <c r="K524" s="74" t="s">
        <v>76</v>
      </c>
      <c r="L524" s="79">
        <v>0.125</v>
      </c>
      <c r="M524" s="79">
        <v>0.05</v>
      </c>
      <c r="N524" s="76">
        <v>144</v>
      </c>
      <c r="O524" s="77" t="s">
        <v>76</v>
      </c>
      <c r="P524" s="71">
        <f>(C524+(E524*F524*H524))-N524</f>
        <v>0</v>
      </c>
      <c r="Q524" s="77" t="s">
        <v>76</v>
      </c>
      <c r="R524" s="78">
        <f>P524*(J524-(J524*L524)-((J524-(J524*L524))*M524))</f>
        <v>0</v>
      </c>
      <c r="S524" s="78">
        <f t="shared" si="373"/>
        <v>0</v>
      </c>
    </row>
    <row r="525" spans="1:19" s="19" customFormat="1" x14ac:dyDescent="0.2">
      <c r="A525" s="18"/>
      <c r="C525" s="20"/>
      <c r="D525" s="21"/>
      <c r="E525" s="26"/>
      <c r="F525" s="22"/>
      <c r="G525" s="23"/>
      <c r="H525" s="22"/>
      <c r="I525" s="23"/>
      <c r="J525" s="24"/>
      <c r="K525" s="21"/>
      <c r="L525" s="25"/>
      <c r="M525" s="25"/>
      <c r="N525" s="22"/>
      <c r="O525" s="23"/>
      <c r="P525" s="20"/>
      <c r="Q525" s="23"/>
      <c r="R525" s="24"/>
      <c r="S525" s="24"/>
    </row>
    <row r="526" spans="1:19" s="73" customFormat="1" x14ac:dyDescent="0.2">
      <c r="A526" s="72" t="s">
        <v>265</v>
      </c>
      <c r="B526" s="73" t="s">
        <v>25</v>
      </c>
      <c r="C526" s="71"/>
      <c r="D526" s="74" t="s">
        <v>102</v>
      </c>
      <c r="E526" s="75"/>
      <c r="F526" s="76">
        <v>80</v>
      </c>
      <c r="G526" s="77" t="s">
        <v>33</v>
      </c>
      <c r="H526" s="76">
        <v>25</v>
      </c>
      <c r="I526" s="77" t="s">
        <v>102</v>
      </c>
      <c r="J526" s="78">
        <v>4500</v>
      </c>
      <c r="K526" s="74" t="s">
        <v>102</v>
      </c>
      <c r="L526" s="79"/>
      <c r="M526" s="79">
        <v>0.17</v>
      </c>
      <c r="N526" s="76">
        <v>0</v>
      </c>
      <c r="O526" s="77" t="s">
        <v>102</v>
      </c>
      <c r="P526" s="71">
        <f>(C526+(E526*F526*H526))-N526</f>
        <v>0</v>
      </c>
      <c r="Q526" s="77" t="s">
        <v>102</v>
      </c>
      <c r="R526" s="78">
        <f>P526*(J526-(J526*L526)-((J526-(J526*L526))*M526))</f>
        <v>0</v>
      </c>
      <c r="S526" s="78">
        <f t="shared" si="373"/>
        <v>0</v>
      </c>
    </row>
    <row r="527" spans="1:19" s="73" customFormat="1" x14ac:dyDescent="0.2">
      <c r="A527" s="72" t="s">
        <v>266</v>
      </c>
      <c r="B527" s="73" t="s">
        <v>25</v>
      </c>
      <c r="C527" s="71"/>
      <c r="D527" s="74" t="s">
        <v>76</v>
      </c>
      <c r="E527" s="75"/>
      <c r="F527" s="76">
        <v>1</v>
      </c>
      <c r="G527" s="77" t="s">
        <v>20</v>
      </c>
      <c r="H527" s="76">
        <v>48</v>
      </c>
      <c r="I527" s="77" t="s">
        <v>76</v>
      </c>
      <c r="J527" s="78">
        <v>23500</v>
      </c>
      <c r="K527" s="74" t="s">
        <v>76</v>
      </c>
      <c r="L527" s="79"/>
      <c r="M527" s="79">
        <v>0.17</v>
      </c>
      <c r="N527" s="76">
        <v>0</v>
      </c>
      <c r="O527" s="77" t="s">
        <v>76</v>
      </c>
      <c r="P527" s="71">
        <f>(C527+(E527*F527*H527))-N527</f>
        <v>0</v>
      </c>
      <c r="Q527" s="77" t="s">
        <v>76</v>
      </c>
      <c r="R527" s="78">
        <f>P527*(J527-(J527*L527)-((J527-(J527*L527))*M527))</f>
        <v>0</v>
      </c>
      <c r="S527" s="78">
        <f t="shared" si="373"/>
        <v>0</v>
      </c>
    </row>
    <row r="528" spans="1:19" s="19" customFormat="1" x14ac:dyDescent="0.2">
      <c r="A528" s="18"/>
      <c r="C528" s="20"/>
      <c r="D528" s="21"/>
      <c r="E528" s="26"/>
      <c r="F528" s="22"/>
      <c r="G528" s="23"/>
      <c r="H528" s="22"/>
      <c r="I528" s="23"/>
      <c r="J528" s="24"/>
      <c r="K528" s="21"/>
      <c r="L528" s="25"/>
      <c r="M528" s="25"/>
      <c r="N528" s="22"/>
      <c r="O528" s="23"/>
      <c r="P528" s="20"/>
      <c r="Q528" s="23"/>
      <c r="R528" s="24"/>
      <c r="S528" s="24"/>
    </row>
    <row r="529" spans="1:19" s="19" customFormat="1" ht="15.75" x14ac:dyDescent="0.25">
      <c r="A529" s="35" t="s">
        <v>267</v>
      </c>
      <c r="C529" s="20"/>
      <c r="D529" s="21"/>
      <c r="E529" s="26"/>
      <c r="F529" s="22"/>
      <c r="G529" s="23"/>
      <c r="H529" s="22"/>
      <c r="I529" s="23"/>
      <c r="J529" s="24"/>
      <c r="K529" s="21"/>
      <c r="L529" s="25"/>
      <c r="M529" s="25"/>
      <c r="N529" s="22"/>
      <c r="O529" s="23"/>
      <c r="P529" s="20"/>
      <c r="Q529" s="23"/>
      <c r="R529" s="24"/>
      <c r="S529" s="24"/>
    </row>
    <row r="530" spans="1:19" s="73" customFormat="1" x14ac:dyDescent="0.2">
      <c r="A530" s="72" t="s">
        <v>268</v>
      </c>
      <c r="B530" s="73" t="s">
        <v>18</v>
      </c>
      <c r="C530" s="71">
        <v>286</v>
      </c>
      <c r="D530" s="74" t="s">
        <v>151</v>
      </c>
      <c r="E530" s="75">
        <v>32</v>
      </c>
      <c r="F530" s="76">
        <v>10</v>
      </c>
      <c r="G530" s="77" t="s">
        <v>33</v>
      </c>
      <c r="H530" s="76">
        <v>24</v>
      </c>
      <c r="I530" s="77" t="s">
        <v>151</v>
      </c>
      <c r="J530" s="78">
        <v>8800</v>
      </c>
      <c r="K530" s="74" t="s">
        <v>151</v>
      </c>
      <c r="L530" s="79">
        <v>0.125</v>
      </c>
      <c r="M530" s="79">
        <v>0.05</v>
      </c>
      <c r="N530" s="76">
        <v>7966</v>
      </c>
      <c r="O530" s="77" t="s">
        <v>151</v>
      </c>
      <c r="P530" s="71">
        <f t="shared" ref="P530:P551" si="378">(C530+(E530*F530*H530))-N530</f>
        <v>0</v>
      </c>
      <c r="Q530" s="77" t="s">
        <v>151</v>
      </c>
      <c r="R530" s="78">
        <f t="shared" ref="R530:R551" si="379">P530*(J530-(J530*L530)-((J530-(J530*L530))*M530))</f>
        <v>0</v>
      </c>
      <c r="S530" s="78">
        <f t="shared" si="373"/>
        <v>0</v>
      </c>
    </row>
    <row r="531" spans="1:19" s="73" customFormat="1" x14ac:dyDescent="0.2">
      <c r="A531" s="72" t="s">
        <v>269</v>
      </c>
      <c r="B531" s="73" t="s">
        <v>18</v>
      </c>
      <c r="C531" s="71"/>
      <c r="D531" s="74" t="s">
        <v>151</v>
      </c>
      <c r="E531" s="75"/>
      <c r="F531" s="76">
        <v>6</v>
      </c>
      <c r="G531" s="77" t="s">
        <v>33</v>
      </c>
      <c r="H531" s="76">
        <v>24</v>
      </c>
      <c r="I531" s="77" t="s">
        <v>151</v>
      </c>
      <c r="J531" s="78">
        <v>29500</v>
      </c>
      <c r="K531" s="74" t="s">
        <v>151</v>
      </c>
      <c r="L531" s="79">
        <v>0.125</v>
      </c>
      <c r="M531" s="79">
        <v>0.05</v>
      </c>
      <c r="N531" s="76">
        <v>0</v>
      </c>
      <c r="O531" s="77" t="s">
        <v>151</v>
      </c>
      <c r="P531" s="71">
        <f t="shared" si="378"/>
        <v>0</v>
      </c>
      <c r="Q531" s="77" t="s">
        <v>151</v>
      </c>
      <c r="R531" s="78">
        <f t="shared" si="379"/>
        <v>0</v>
      </c>
      <c r="S531" s="78">
        <f t="shared" si="373"/>
        <v>0</v>
      </c>
    </row>
    <row r="532" spans="1:19" s="73" customFormat="1" x14ac:dyDescent="0.2">
      <c r="A532" s="72" t="s">
        <v>270</v>
      </c>
      <c r="B532" s="73" t="s">
        <v>18</v>
      </c>
      <c r="C532" s="71"/>
      <c r="D532" s="74" t="s">
        <v>151</v>
      </c>
      <c r="E532" s="75"/>
      <c r="F532" s="76">
        <v>12</v>
      </c>
      <c r="G532" s="77" t="s">
        <v>33</v>
      </c>
      <c r="H532" s="76">
        <v>12</v>
      </c>
      <c r="I532" s="77" t="s">
        <v>151</v>
      </c>
      <c r="J532" s="78">
        <v>19600</v>
      </c>
      <c r="K532" s="74" t="s">
        <v>151</v>
      </c>
      <c r="L532" s="79">
        <v>0.125</v>
      </c>
      <c r="M532" s="79">
        <v>0.05</v>
      </c>
      <c r="N532" s="76">
        <v>0</v>
      </c>
      <c r="O532" s="77" t="s">
        <v>151</v>
      </c>
      <c r="P532" s="71">
        <f t="shared" si="378"/>
        <v>0</v>
      </c>
      <c r="Q532" s="77" t="s">
        <v>151</v>
      </c>
      <c r="R532" s="78">
        <f t="shared" si="379"/>
        <v>0</v>
      </c>
      <c r="S532" s="78">
        <f t="shared" si="373"/>
        <v>0</v>
      </c>
    </row>
    <row r="533" spans="1:19" s="73" customFormat="1" x14ac:dyDescent="0.2">
      <c r="A533" s="72" t="s">
        <v>271</v>
      </c>
      <c r="B533" s="73" t="s">
        <v>18</v>
      </c>
      <c r="C533" s="71">
        <v>120</v>
      </c>
      <c r="D533" s="74" t="s">
        <v>151</v>
      </c>
      <c r="E533" s="75"/>
      <c r="F533" s="76">
        <v>12</v>
      </c>
      <c r="G533" s="77" t="s">
        <v>33</v>
      </c>
      <c r="H533" s="76">
        <v>12</v>
      </c>
      <c r="I533" s="77" t="s">
        <v>151</v>
      </c>
      <c r="J533" s="78">
        <v>18500</v>
      </c>
      <c r="K533" s="74" t="s">
        <v>151</v>
      </c>
      <c r="L533" s="79">
        <v>0.125</v>
      </c>
      <c r="M533" s="79">
        <v>0.05</v>
      </c>
      <c r="N533" s="76">
        <v>120</v>
      </c>
      <c r="O533" s="77" t="s">
        <v>151</v>
      </c>
      <c r="P533" s="71">
        <f t="shared" si="378"/>
        <v>0</v>
      </c>
      <c r="Q533" s="77" t="s">
        <v>151</v>
      </c>
      <c r="R533" s="78">
        <f t="shared" si="379"/>
        <v>0</v>
      </c>
      <c r="S533" s="78">
        <f t="shared" si="373"/>
        <v>0</v>
      </c>
    </row>
    <row r="534" spans="1:19" s="73" customFormat="1" x14ac:dyDescent="0.2">
      <c r="A534" s="72" t="s">
        <v>272</v>
      </c>
      <c r="B534" s="73" t="s">
        <v>18</v>
      </c>
      <c r="C534" s="71"/>
      <c r="D534" s="74" t="s">
        <v>151</v>
      </c>
      <c r="E534" s="75">
        <v>6</v>
      </c>
      <c r="F534" s="76">
        <v>10</v>
      </c>
      <c r="G534" s="77" t="s">
        <v>33</v>
      </c>
      <c r="H534" s="76">
        <v>24</v>
      </c>
      <c r="I534" s="77" t="s">
        <v>151</v>
      </c>
      <c r="J534" s="78">
        <v>10600</v>
      </c>
      <c r="K534" s="74" t="s">
        <v>151</v>
      </c>
      <c r="L534" s="79">
        <v>0.125</v>
      </c>
      <c r="M534" s="79">
        <v>0.05</v>
      </c>
      <c r="N534" s="76">
        <v>1440</v>
      </c>
      <c r="O534" s="77" t="s">
        <v>151</v>
      </c>
      <c r="P534" s="71">
        <f t="shared" si="378"/>
        <v>0</v>
      </c>
      <c r="Q534" s="77" t="s">
        <v>151</v>
      </c>
      <c r="R534" s="78">
        <f t="shared" si="379"/>
        <v>0</v>
      </c>
      <c r="S534" s="78">
        <f t="shared" si="373"/>
        <v>0</v>
      </c>
    </row>
    <row r="535" spans="1:19" s="73" customFormat="1" x14ac:dyDescent="0.2">
      <c r="A535" s="185" t="s">
        <v>273</v>
      </c>
      <c r="B535" s="73" t="s">
        <v>18</v>
      </c>
      <c r="C535" s="71"/>
      <c r="D535" s="74" t="s">
        <v>151</v>
      </c>
      <c r="E535" s="75">
        <v>2</v>
      </c>
      <c r="F535" s="76">
        <v>20</v>
      </c>
      <c r="G535" s="77" t="s">
        <v>33</v>
      </c>
      <c r="H535" s="76">
        <v>12</v>
      </c>
      <c r="I535" s="77" t="s">
        <v>151</v>
      </c>
      <c r="J535" s="186">
        <v>7800</v>
      </c>
      <c r="K535" s="74" t="s">
        <v>151</v>
      </c>
      <c r="L535" s="189">
        <v>0.125</v>
      </c>
      <c r="M535" s="79">
        <v>0.05</v>
      </c>
      <c r="N535" s="76">
        <v>480</v>
      </c>
      <c r="O535" s="77" t="s">
        <v>151</v>
      </c>
      <c r="P535" s="71">
        <f t="shared" ref="P535" si="380">(C535+(E535*F535*H535))-N535</f>
        <v>0</v>
      </c>
      <c r="Q535" s="77" t="s">
        <v>151</v>
      </c>
      <c r="R535" s="78">
        <f t="shared" ref="R535" si="381">P535*(J535-(J535*L535)-((J535-(J535*L535))*M535))</f>
        <v>0</v>
      </c>
      <c r="S535" s="78">
        <f t="shared" ref="S535" si="382">R535/1.11</f>
        <v>0</v>
      </c>
    </row>
    <row r="536" spans="1:19" s="73" customFormat="1" x14ac:dyDescent="0.2">
      <c r="A536" s="185" t="s">
        <v>273</v>
      </c>
      <c r="B536" s="73" t="s">
        <v>18</v>
      </c>
      <c r="C536" s="71">
        <v>204</v>
      </c>
      <c r="D536" s="74" t="s">
        <v>151</v>
      </c>
      <c r="E536" s="75"/>
      <c r="F536" s="76">
        <v>20</v>
      </c>
      <c r="G536" s="77" t="s">
        <v>33</v>
      </c>
      <c r="H536" s="76">
        <v>12</v>
      </c>
      <c r="I536" s="77" t="s">
        <v>151</v>
      </c>
      <c r="J536" s="186">
        <v>4000</v>
      </c>
      <c r="K536" s="74" t="s">
        <v>151</v>
      </c>
      <c r="L536" s="189">
        <v>0.4</v>
      </c>
      <c r="M536" s="79">
        <v>0.05</v>
      </c>
      <c r="N536" s="76">
        <v>204</v>
      </c>
      <c r="O536" s="77" t="s">
        <v>151</v>
      </c>
      <c r="P536" s="71">
        <f t="shared" si="378"/>
        <v>0</v>
      </c>
      <c r="Q536" s="77" t="s">
        <v>151</v>
      </c>
      <c r="R536" s="78">
        <f t="shared" si="379"/>
        <v>0</v>
      </c>
      <c r="S536" s="78">
        <f t="shared" si="373"/>
        <v>0</v>
      </c>
    </row>
    <row r="537" spans="1:19" s="73" customFormat="1" x14ac:dyDescent="0.2">
      <c r="A537" s="72" t="s">
        <v>735</v>
      </c>
      <c r="B537" s="73" t="s">
        <v>18</v>
      </c>
      <c r="C537" s="71">
        <v>6</v>
      </c>
      <c r="D537" s="74" t="s">
        <v>151</v>
      </c>
      <c r="E537" s="75"/>
      <c r="F537" s="76">
        <v>12</v>
      </c>
      <c r="G537" s="77" t="s">
        <v>33</v>
      </c>
      <c r="H537" s="76">
        <v>12</v>
      </c>
      <c r="I537" s="77" t="s">
        <v>151</v>
      </c>
      <c r="J537" s="78">
        <v>34500</v>
      </c>
      <c r="K537" s="74" t="s">
        <v>151</v>
      </c>
      <c r="L537" s="79">
        <v>0.125</v>
      </c>
      <c r="M537" s="79">
        <v>0.05</v>
      </c>
      <c r="N537" s="76">
        <v>6</v>
      </c>
      <c r="O537" s="77" t="s">
        <v>151</v>
      </c>
      <c r="P537" s="71">
        <f t="shared" si="378"/>
        <v>0</v>
      </c>
      <c r="Q537" s="77" t="s">
        <v>151</v>
      </c>
      <c r="R537" s="78">
        <f t="shared" si="379"/>
        <v>0</v>
      </c>
      <c r="S537" s="78">
        <f t="shared" si="373"/>
        <v>0</v>
      </c>
    </row>
    <row r="538" spans="1:19" s="73" customFormat="1" x14ac:dyDescent="0.2">
      <c r="A538" s="72" t="s">
        <v>918</v>
      </c>
      <c r="B538" s="73" t="s">
        <v>18</v>
      </c>
      <c r="C538" s="71"/>
      <c r="D538" s="74" t="s">
        <v>151</v>
      </c>
      <c r="E538" s="75">
        <v>1</v>
      </c>
      <c r="F538" s="76">
        <v>1</v>
      </c>
      <c r="G538" s="77" t="s">
        <v>20</v>
      </c>
      <c r="H538" s="76">
        <v>240</v>
      </c>
      <c r="I538" s="77" t="s">
        <v>40</v>
      </c>
      <c r="J538" s="78">
        <v>28800</v>
      </c>
      <c r="K538" s="74" t="s">
        <v>40</v>
      </c>
      <c r="L538" s="79">
        <v>0.125</v>
      </c>
      <c r="M538" s="79">
        <v>0.05</v>
      </c>
      <c r="N538" s="76">
        <v>240</v>
      </c>
      <c r="O538" s="77" t="s">
        <v>40</v>
      </c>
      <c r="P538" s="71">
        <f t="shared" ref="P538" si="383">(C538+(E538*F538*H538))-N538</f>
        <v>0</v>
      </c>
      <c r="Q538" s="77" t="s">
        <v>40</v>
      </c>
      <c r="R538" s="78">
        <f t="shared" ref="R538" si="384">P538*(J538-(J538*L538)-((J538-(J538*L538))*M538))</f>
        <v>0</v>
      </c>
      <c r="S538" s="78">
        <f t="shared" ref="S538" si="385">R538/1.11</f>
        <v>0</v>
      </c>
    </row>
    <row r="539" spans="1:19" s="64" customFormat="1" x14ac:dyDescent="0.2">
      <c r="A539" s="63" t="s">
        <v>850</v>
      </c>
      <c r="B539" s="64" t="s">
        <v>18</v>
      </c>
      <c r="C539" s="65"/>
      <c r="D539" s="66" t="s">
        <v>151</v>
      </c>
      <c r="E539" s="67"/>
      <c r="F539" s="68">
        <v>1</v>
      </c>
      <c r="G539" s="69" t="s">
        <v>20</v>
      </c>
      <c r="H539" s="68">
        <v>240</v>
      </c>
      <c r="I539" s="69" t="s">
        <v>40</v>
      </c>
      <c r="J539" s="16">
        <v>26400</v>
      </c>
      <c r="K539" s="66" t="s">
        <v>40</v>
      </c>
      <c r="L539" s="70">
        <v>0.125</v>
      </c>
      <c r="M539" s="70">
        <v>0.05</v>
      </c>
      <c r="N539" s="68">
        <v>0</v>
      </c>
      <c r="O539" s="69" t="s">
        <v>40</v>
      </c>
      <c r="P539" s="65">
        <f t="shared" si="378"/>
        <v>0</v>
      </c>
      <c r="Q539" s="69" t="s">
        <v>40</v>
      </c>
      <c r="R539" s="16">
        <f t="shared" si="379"/>
        <v>0</v>
      </c>
      <c r="S539" s="16">
        <f t="shared" si="373"/>
        <v>0</v>
      </c>
    </row>
    <row r="540" spans="1:19" s="64" customFormat="1" x14ac:dyDescent="0.2">
      <c r="A540" s="63" t="s">
        <v>851</v>
      </c>
      <c r="B540" s="64" t="s">
        <v>18</v>
      </c>
      <c r="C540" s="65"/>
      <c r="D540" s="66" t="s">
        <v>151</v>
      </c>
      <c r="E540" s="67"/>
      <c r="F540" s="68">
        <v>1</v>
      </c>
      <c r="G540" s="69" t="s">
        <v>20</v>
      </c>
      <c r="H540" s="68">
        <v>240</v>
      </c>
      <c r="I540" s="69" t="s">
        <v>40</v>
      </c>
      <c r="J540" s="16">
        <v>26400</v>
      </c>
      <c r="K540" s="66" t="s">
        <v>40</v>
      </c>
      <c r="L540" s="70">
        <v>0.125</v>
      </c>
      <c r="M540" s="70">
        <v>0.05</v>
      </c>
      <c r="N540" s="68">
        <v>0</v>
      </c>
      <c r="O540" s="69" t="s">
        <v>40</v>
      </c>
      <c r="P540" s="65">
        <f t="shared" si="378"/>
        <v>0</v>
      </c>
      <c r="Q540" s="69" t="s">
        <v>40</v>
      </c>
      <c r="R540" s="16">
        <f t="shared" si="379"/>
        <v>0</v>
      </c>
      <c r="S540" s="16">
        <f t="shared" si="373"/>
        <v>0</v>
      </c>
    </row>
    <row r="541" spans="1:19" s="64" customFormat="1" x14ac:dyDescent="0.2">
      <c r="A541" s="63" t="s">
        <v>852</v>
      </c>
      <c r="B541" s="64" t="s">
        <v>18</v>
      </c>
      <c r="C541" s="65"/>
      <c r="D541" s="66" t="s">
        <v>151</v>
      </c>
      <c r="E541" s="67"/>
      <c r="F541" s="68">
        <v>1</v>
      </c>
      <c r="G541" s="69" t="s">
        <v>20</v>
      </c>
      <c r="H541" s="68">
        <v>240</v>
      </c>
      <c r="I541" s="69" t="s">
        <v>40</v>
      </c>
      <c r="J541" s="16">
        <v>30000</v>
      </c>
      <c r="K541" s="66" t="s">
        <v>40</v>
      </c>
      <c r="L541" s="70">
        <v>0.125</v>
      </c>
      <c r="M541" s="70">
        <v>0.05</v>
      </c>
      <c r="N541" s="68">
        <v>0</v>
      </c>
      <c r="O541" s="69" t="s">
        <v>40</v>
      </c>
      <c r="P541" s="65">
        <f t="shared" si="378"/>
        <v>0</v>
      </c>
      <c r="Q541" s="69" t="s">
        <v>40</v>
      </c>
      <c r="R541" s="16">
        <f t="shared" si="379"/>
        <v>0</v>
      </c>
      <c r="S541" s="16">
        <f t="shared" si="373"/>
        <v>0</v>
      </c>
    </row>
    <row r="542" spans="1:19" s="64" customFormat="1" x14ac:dyDescent="0.2">
      <c r="A542" s="63" t="s">
        <v>853</v>
      </c>
      <c r="B542" s="64" t="s">
        <v>18</v>
      </c>
      <c r="C542" s="65"/>
      <c r="D542" s="66" t="s">
        <v>151</v>
      </c>
      <c r="E542" s="67"/>
      <c r="F542" s="68">
        <v>1</v>
      </c>
      <c r="G542" s="69" t="s">
        <v>20</v>
      </c>
      <c r="H542" s="68">
        <v>240</v>
      </c>
      <c r="I542" s="69" t="s">
        <v>40</v>
      </c>
      <c r="J542" s="16">
        <v>31200</v>
      </c>
      <c r="K542" s="66" t="s">
        <v>40</v>
      </c>
      <c r="L542" s="70">
        <v>0.125</v>
      </c>
      <c r="M542" s="70">
        <v>0.05</v>
      </c>
      <c r="N542" s="68">
        <v>0</v>
      </c>
      <c r="O542" s="69" t="s">
        <v>40</v>
      </c>
      <c r="P542" s="65">
        <f t="shared" si="378"/>
        <v>0</v>
      </c>
      <c r="Q542" s="69" t="s">
        <v>40</v>
      </c>
      <c r="R542" s="16">
        <f t="shared" si="379"/>
        <v>0</v>
      </c>
      <c r="S542" s="16">
        <f t="shared" si="373"/>
        <v>0</v>
      </c>
    </row>
    <row r="543" spans="1:19" s="73" customFormat="1" x14ac:dyDescent="0.2">
      <c r="A543" s="72" t="s">
        <v>854</v>
      </c>
      <c r="B543" s="73" t="s">
        <v>18</v>
      </c>
      <c r="C543" s="71"/>
      <c r="D543" s="74" t="s">
        <v>151</v>
      </c>
      <c r="E543" s="75">
        <v>1</v>
      </c>
      <c r="F543" s="76">
        <v>1</v>
      </c>
      <c r="G543" s="77" t="s">
        <v>20</v>
      </c>
      <c r="H543" s="76">
        <v>240</v>
      </c>
      <c r="I543" s="77" t="s">
        <v>40</v>
      </c>
      <c r="J543" s="78">
        <v>34200</v>
      </c>
      <c r="K543" s="74" t="s">
        <v>40</v>
      </c>
      <c r="L543" s="79">
        <v>0.125</v>
      </c>
      <c r="M543" s="79">
        <v>0.05</v>
      </c>
      <c r="N543" s="76">
        <v>240</v>
      </c>
      <c r="O543" s="77" t="s">
        <v>40</v>
      </c>
      <c r="P543" s="71">
        <f t="shared" ref="P543" si="386">(C543+(E543*F543*H543))-N543</f>
        <v>0</v>
      </c>
      <c r="Q543" s="77" t="s">
        <v>40</v>
      </c>
      <c r="R543" s="78">
        <f t="shared" ref="R543" si="387">P543*(J543-(J543*L543)-((J543-(J543*L543))*M543))</f>
        <v>0</v>
      </c>
      <c r="S543" s="78">
        <f t="shared" ref="S543" si="388">R543/1.11</f>
        <v>0</v>
      </c>
    </row>
    <row r="544" spans="1:19" s="64" customFormat="1" x14ac:dyDescent="0.2">
      <c r="A544" s="63" t="s">
        <v>855</v>
      </c>
      <c r="B544" s="64" t="s">
        <v>18</v>
      </c>
      <c r="C544" s="65"/>
      <c r="D544" s="66" t="s">
        <v>151</v>
      </c>
      <c r="E544" s="67"/>
      <c r="F544" s="68">
        <v>1</v>
      </c>
      <c r="G544" s="69" t="s">
        <v>20</v>
      </c>
      <c r="H544" s="68">
        <v>240</v>
      </c>
      <c r="I544" s="69" t="s">
        <v>40</v>
      </c>
      <c r="J544" s="16">
        <v>37800</v>
      </c>
      <c r="K544" s="66" t="s">
        <v>40</v>
      </c>
      <c r="L544" s="70">
        <v>0.125</v>
      </c>
      <c r="M544" s="70">
        <v>0.05</v>
      </c>
      <c r="N544" s="68">
        <v>0</v>
      </c>
      <c r="O544" s="69" t="s">
        <v>40</v>
      </c>
      <c r="P544" s="65">
        <f t="shared" si="378"/>
        <v>0</v>
      </c>
      <c r="Q544" s="69" t="s">
        <v>40</v>
      </c>
      <c r="R544" s="16">
        <f t="shared" si="379"/>
        <v>0</v>
      </c>
      <c r="S544" s="16">
        <f t="shared" si="373"/>
        <v>0</v>
      </c>
    </row>
    <row r="545" spans="1:19" s="64" customFormat="1" x14ac:dyDescent="0.2">
      <c r="A545" s="63" t="s">
        <v>856</v>
      </c>
      <c r="B545" s="64" t="s">
        <v>18</v>
      </c>
      <c r="C545" s="65"/>
      <c r="D545" s="66" t="s">
        <v>151</v>
      </c>
      <c r="E545" s="67"/>
      <c r="F545" s="68">
        <v>1</v>
      </c>
      <c r="G545" s="69" t="s">
        <v>20</v>
      </c>
      <c r="H545" s="68"/>
      <c r="I545" s="69" t="s">
        <v>40</v>
      </c>
      <c r="J545" s="16"/>
      <c r="K545" s="66" t="s">
        <v>40</v>
      </c>
      <c r="L545" s="70">
        <v>0.125</v>
      </c>
      <c r="M545" s="70">
        <v>0.05</v>
      </c>
      <c r="N545" s="68">
        <v>0</v>
      </c>
      <c r="O545" s="69" t="s">
        <v>40</v>
      </c>
      <c r="P545" s="65">
        <f t="shared" si="378"/>
        <v>0</v>
      </c>
      <c r="Q545" s="69" t="s">
        <v>40</v>
      </c>
      <c r="R545" s="16">
        <f t="shared" si="379"/>
        <v>0</v>
      </c>
      <c r="S545" s="16">
        <f t="shared" si="373"/>
        <v>0</v>
      </c>
    </row>
    <row r="546" spans="1:19" s="64" customFormat="1" x14ac:dyDescent="0.2">
      <c r="A546" s="63" t="s">
        <v>857</v>
      </c>
      <c r="B546" s="64" t="s">
        <v>18</v>
      </c>
      <c r="C546" s="65"/>
      <c r="D546" s="66" t="s">
        <v>151</v>
      </c>
      <c r="E546" s="67"/>
      <c r="F546" s="68">
        <v>1</v>
      </c>
      <c r="G546" s="69" t="s">
        <v>20</v>
      </c>
      <c r="H546" s="68">
        <v>240</v>
      </c>
      <c r="I546" s="69" t="s">
        <v>40</v>
      </c>
      <c r="J546" s="16">
        <v>41400</v>
      </c>
      <c r="K546" s="66" t="s">
        <v>40</v>
      </c>
      <c r="L546" s="70">
        <v>0.125</v>
      </c>
      <c r="M546" s="70">
        <v>0.05</v>
      </c>
      <c r="N546" s="68">
        <v>0</v>
      </c>
      <c r="O546" s="69" t="s">
        <v>40</v>
      </c>
      <c r="P546" s="65">
        <f t="shared" si="378"/>
        <v>0</v>
      </c>
      <c r="Q546" s="69" t="s">
        <v>40</v>
      </c>
      <c r="R546" s="16">
        <f t="shared" si="379"/>
        <v>0</v>
      </c>
      <c r="S546" s="16">
        <f t="shared" si="373"/>
        <v>0</v>
      </c>
    </row>
    <row r="547" spans="1:19" s="64" customFormat="1" x14ac:dyDescent="0.2">
      <c r="A547" s="63" t="s">
        <v>858</v>
      </c>
      <c r="B547" s="64" t="s">
        <v>18</v>
      </c>
      <c r="C547" s="65"/>
      <c r="D547" s="66" t="s">
        <v>151</v>
      </c>
      <c r="E547" s="67"/>
      <c r="F547" s="68">
        <v>1</v>
      </c>
      <c r="G547" s="69" t="s">
        <v>20</v>
      </c>
      <c r="H547" s="68">
        <v>240</v>
      </c>
      <c r="I547" s="69" t="s">
        <v>40</v>
      </c>
      <c r="J547" s="16">
        <v>45600</v>
      </c>
      <c r="K547" s="66" t="s">
        <v>40</v>
      </c>
      <c r="L547" s="70">
        <v>0.125</v>
      </c>
      <c r="M547" s="70">
        <v>0.05</v>
      </c>
      <c r="N547" s="68">
        <v>0</v>
      </c>
      <c r="O547" s="69" t="s">
        <v>40</v>
      </c>
      <c r="P547" s="65">
        <f t="shared" si="378"/>
        <v>0</v>
      </c>
      <c r="Q547" s="69" t="s">
        <v>40</v>
      </c>
      <c r="R547" s="16">
        <f t="shared" si="379"/>
        <v>0</v>
      </c>
      <c r="S547" s="16">
        <f t="shared" si="373"/>
        <v>0</v>
      </c>
    </row>
    <row r="548" spans="1:19" s="64" customFormat="1" x14ac:dyDescent="0.2">
      <c r="A548" s="63" t="s">
        <v>859</v>
      </c>
      <c r="B548" s="64" t="s">
        <v>18</v>
      </c>
      <c r="C548" s="65"/>
      <c r="D548" s="66" t="s">
        <v>151</v>
      </c>
      <c r="E548" s="67"/>
      <c r="F548" s="68">
        <v>1</v>
      </c>
      <c r="G548" s="69" t="s">
        <v>20</v>
      </c>
      <c r="H548" s="68">
        <v>108</v>
      </c>
      <c r="I548" s="69" t="s">
        <v>40</v>
      </c>
      <c r="J548" s="16">
        <v>51000</v>
      </c>
      <c r="K548" s="66" t="s">
        <v>40</v>
      </c>
      <c r="L548" s="70">
        <v>0.125</v>
      </c>
      <c r="M548" s="70">
        <v>0.05</v>
      </c>
      <c r="N548" s="68">
        <v>0</v>
      </c>
      <c r="O548" s="69" t="s">
        <v>40</v>
      </c>
      <c r="P548" s="65">
        <f t="shared" si="378"/>
        <v>0</v>
      </c>
      <c r="Q548" s="69" t="s">
        <v>40</v>
      </c>
      <c r="R548" s="16">
        <f t="shared" si="379"/>
        <v>0</v>
      </c>
      <c r="S548" s="16">
        <f t="shared" si="373"/>
        <v>0</v>
      </c>
    </row>
    <row r="549" spans="1:19" s="64" customFormat="1" x14ac:dyDescent="0.2">
      <c r="A549" s="63" t="s">
        <v>860</v>
      </c>
      <c r="B549" s="64" t="s">
        <v>18</v>
      </c>
      <c r="C549" s="65"/>
      <c r="D549" s="66" t="s">
        <v>151</v>
      </c>
      <c r="E549" s="67"/>
      <c r="F549" s="68">
        <v>1</v>
      </c>
      <c r="G549" s="69" t="s">
        <v>20</v>
      </c>
      <c r="H549" s="68">
        <v>108</v>
      </c>
      <c r="I549" s="69" t="s">
        <v>40</v>
      </c>
      <c r="J549" s="16">
        <v>55200</v>
      </c>
      <c r="K549" s="66" t="s">
        <v>40</v>
      </c>
      <c r="L549" s="70">
        <v>0.125</v>
      </c>
      <c r="M549" s="70">
        <v>0.05</v>
      </c>
      <c r="N549" s="68">
        <v>0</v>
      </c>
      <c r="O549" s="69" t="s">
        <v>40</v>
      </c>
      <c r="P549" s="65">
        <f t="shared" si="378"/>
        <v>0</v>
      </c>
      <c r="Q549" s="69" t="s">
        <v>40</v>
      </c>
      <c r="R549" s="16">
        <f t="shared" si="379"/>
        <v>0</v>
      </c>
      <c r="S549" s="16">
        <f t="shared" si="373"/>
        <v>0</v>
      </c>
    </row>
    <row r="550" spans="1:19" s="64" customFormat="1" x14ac:dyDescent="0.2">
      <c r="A550" s="63" t="s">
        <v>861</v>
      </c>
      <c r="B550" s="64" t="s">
        <v>18</v>
      </c>
      <c r="C550" s="65"/>
      <c r="D550" s="66" t="s">
        <v>151</v>
      </c>
      <c r="E550" s="67"/>
      <c r="F550" s="68">
        <v>1</v>
      </c>
      <c r="G550" s="69" t="s">
        <v>20</v>
      </c>
      <c r="H550" s="68">
        <v>108</v>
      </c>
      <c r="I550" s="69" t="s">
        <v>40</v>
      </c>
      <c r="J550" s="16">
        <v>60300</v>
      </c>
      <c r="K550" s="66" t="s">
        <v>40</v>
      </c>
      <c r="L550" s="70">
        <v>0.125</v>
      </c>
      <c r="M550" s="70">
        <v>0.05</v>
      </c>
      <c r="N550" s="68">
        <v>0</v>
      </c>
      <c r="O550" s="69" t="s">
        <v>40</v>
      </c>
      <c r="P550" s="65">
        <f t="shared" si="378"/>
        <v>0</v>
      </c>
      <c r="Q550" s="69" t="s">
        <v>40</v>
      </c>
      <c r="R550" s="16">
        <f t="shared" si="379"/>
        <v>0</v>
      </c>
      <c r="S550" s="16">
        <f t="shared" si="373"/>
        <v>0</v>
      </c>
    </row>
    <row r="551" spans="1:19" s="64" customFormat="1" x14ac:dyDescent="0.2">
      <c r="A551" s="63" t="s">
        <v>862</v>
      </c>
      <c r="B551" s="64" t="s">
        <v>18</v>
      </c>
      <c r="C551" s="65"/>
      <c r="D551" s="66" t="s">
        <v>151</v>
      </c>
      <c r="E551" s="67"/>
      <c r="F551" s="68">
        <v>1</v>
      </c>
      <c r="G551" s="69" t="s">
        <v>20</v>
      </c>
      <c r="H551" s="68">
        <v>108</v>
      </c>
      <c r="I551" s="69" t="s">
        <v>40</v>
      </c>
      <c r="J551" s="16">
        <v>65400</v>
      </c>
      <c r="K551" s="66" t="s">
        <v>40</v>
      </c>
      <c r="L551" s="70">
        <v>0.125</v>
      </c>
      <c r="M551" s="70">
        <v>0.05</v>
      </c>
      <c r="N551" s="68">
        <v>0</v>
      </c>
      <c r="O551" s="69" t="s">
        <v>40</v>
      </c>
      <c r="P551" s="65">
        <f t="shared" si="378"/>
        <v>0</v>
      </c>
      <c r="Q551" s="69" t="s">
        <v>40</v>
      </c>
      <c r="R551" s="16">
        <f t="shared" si="379"/>
        <v>0</v>
      </c>
      <c r="S551" s="16">
        <f t="shared" si="373"/>
        <v>0</v>
      </c>
    </row>
    <row r="552" spans="1:19" s="19" customFormat="1" x14ac:dyDescent="0.2">
      <c r="A552" s="18"/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19" s="19" customFormat="1" ht="15.75" x14ac:dyDescent="0.25">
      <c r="A553" s="35" t="s">
        <v>274</v>
      </c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19" customFormat="1" x14ac:dyDescent="0.2">
      <c r="A554" s="57" t="s">
        <v>275</v>
      </c>
      <c r="C554" s="20"/>
      <c r="D554" s="21"/>
      <c r="E554" s="26"/>
      <c r="F554" s="22"/>
      <c r="G554" s="23"/>
      <c r="H554" s="22"/>
      <c r="I554" s="23"/>
      <c r="J554" s="24"/>
      <c r="K554" s="21"/>
      <c r="L554" s="25"/>
      <c r="M554" s="25"/>
      <c r="N554" s="22"/>
      <c r="O554" s="23"/>
      <c r="P554" s="20"/>
      <c r="Q554" s="23"/>
      <c r="R554" s="24"/>
      <c r="S554" s="24"/>
    </row>
    <row r="555" spans="1:19" s="73" customFormat="1" x14ac:dyDescent="0.2">
      <c r="A555" s="72" t="s">
        <v>276</v>
      </c>
      <c r="B555" s="73" t="s">
        <v>18</v>
      </c>
      <c r="C555" s="71">
        <v>4270</v>
      </c>
      <c r="D555" s="74" t="s">
        <v>277</v>
      </c>
      <c r="E555" s="75">
        <v>61</v>
      </c>
      <c r="F555" s="76">
        <v>100</v>
      </c>
      <c r="G555" s="77" t="s">
        <v>98</v>
      </c>
      <c r="H555" s="76">
        <v>10</v>
      </c>
      <c r="I555" s="77" t="s">
        <v>277</v>
      </c>
      <c r="J555" s="78">
        <v>2050</v>
      </c>
      <c r="K555" s="74" t="s">
        <v>277</v>
      </c>
      <c r="L555" s="79">
        <v>0.125</v>
      </c>
      <c r="M555" s="79">
        <v>0.05</v>
      </c>
      <c r="N555" s="76">
        <v>65270</v>
      </c>
      <c r="O555" s="77" t="s">
        <v>277</v>
      </c>
      <c r="P555" s="71">
        <f t="shared" ref="P555:P564" si="389">(C555+(E555*F555*H555))-N555</f>
        <v>0</v>
      </c>
      <c r="Q555" s="77" t="s">
        <v>277</v>
      </c>
      <c r="R555" s="78">
        <f t="shared" ref="R555:R564" si="390">P555*(J555-(J555*L555)-((J555-(J555*L555))*M555))</f>
        <v>0</v>
      </c>
      <c r="S555" s="78">
        <f t="shared" si="373"/>
        <v>0</v>
      </c>
    </row>
    <row r="556" spans="1:19" s="73" customFormat="1" x14ac:dyDescent="0.2">
      <c r="A556" s="72" t="s">
        <v>278</v>
      </c>
      <c r="B556" s="73" t="s">
        <v>18</v>
      </c>
      <c r="C556" s="71">
        <v>1300</v>
      </c>
      <c r="D556" s="74" t="s">
        <v>277</v>
      </c>
      <c r="E556" s="75">
        <v>13</v>
      </c>
      <c r="F556" s="76">
        <v>100</v>
      </c>
      <c r="G556" s="77" t="s">
        <v>98</v>
      </c>
      <c r="H556" s="76">
        <v>10</v>
      </c>
      <c r="I556" s="77" t="s">
        <v>277</v>
      </c>
      <c r="J556" s="78">
        <v>3000</v>
      </c>
      <c r="K556" s="74" t="s">
        <v>277</v>
      </c>
      <c r="L556" s="79">
        <v>0.125</v>
      </c>
      <c r="M556" s="79">
        <v>0.05</v>
      </c>
      <c r="N556" s="76">
        <v>14300</v>
      </c>
      <c r="O556" s="77" t="s">
        <v>277</v>
      </c>
      <c r="P556" s="71">
        <f t="shared" si="389"/>
        <v>0</v>
      </c>
      <c r="Q556" s="77" t="s">
        <v>277</v>
      </c>
      <c r="R556" s="78">
        <f t="shared" si="390"/>
        <v>0</v>
      </c>
      <c r="S556" s="78">
        <f t="shared" si="373"/>
        <v>0</v>
      </c>
    </row>
    <row r="557" spans="1:19" s="73" customFormat="1" x14ac:dyDescent="0.2">
      <c r="A557" s="72" t="s">
        <v>876</v>
      </c>
      <c r="B557" s="73" t="s">
        <v>18</v>
      </c>
      <c r="C557" s="71"/>
      <c r="D557" s="74" t="s">
        <v>277</v>
      </c>
      <c r="E557" s="75">
        <v>1</v>
      </c>
      <c r="F557" s="76">
        <v>50</v>
      </c>
      <c r="G557" s="77" t="s">
        <v>98</v>
      </c>
      <c r="H557" s="76">
        <v>10</v>
      </c>
      <c r="I557" s="77" t="s">
        <v>277</v>
      </c>
      <c r="J557" s="78">
        <v>3300</v>
      </c>
      <c r="K557" s="74" t="s">
        <v>277</v>
      </c>
      <c r="L557" s="79">
        <v>0.125</v>
      </c>
      <c r="M557" s="79">
        <v>0.05</v>
      </c>
      <c r="N557" s="76">
        <v>500</v>
      </c>
      <c r="O557" s="77" t="s">
        <v>277</v>
      </c>
      <c r="P557" s="71">
        <f t="shared" ref="P557" si="391">(C557+(E557*F557*H557))-N557</f>
        <v>0</v>
      </c>
      <c r="Q557" s="77" t="s">
        <v>277</v>
      </c>
      <c r="R557" s="78">
        <f t="shared" ref="R557" si="392">P557*(J557-(J557*L557)-((J557-(J557*L557))*M557))</f>
        <v>0</v>
      </c>
      <c r="S557" s="78">
        <f t="shared" ref="S557" si="393">R557/1.11</f>
        <v>0</v>
      </c>
    </row>
    <row r="558" spans="1:19" s="19" customFormat="1" x14ac:dyDescent="0.2">
      <c r="A558" s="18" t="s">
        <v>279</v>
      </c>
      <c r="B558" s="19" t="s">
        <v>18</v>
      </c>
      <c r="C558" s="20">
        <v>350</v>
      </c>
      <c r="D558" s="21" t="s">
        <v>277</v>
      </c>
      <c r="E558" s="26">
        <v>25</v>
      </c>
      <c r="F558" s="22">
        <v>50</v>
      </c>
      <c r="G558" s="23" t="s">
        <v>98</v>
      </c>
      <c r="H558" s="22">
        <v>10</v>
      </c>
      <c r="I558" s="23" t="s">
        <v>277</v>
      </c>
      <c r="J558" s="24">
        <v>3050</v>
      </c>
      <c r="K558" s="21" t="s">
        <v>277</v>
      </c>
      <c r="L558" s="25">
        <v>0.125</v>
      </c>
      <c r="M558" s="25">
        <v>0.05</v>
      </c>
      <c r="N558" s="22">
        <v>12350</v>
      </c>
      <c r="O558" s="23" t="s">
        <v>277</v>
      </c>
      <c r="P558" s="20">
        <f t="shared" si="389"/>
        <v>500</v>
      </c>
      <c r="Q558" s="23" t="s">
        <v>277</v>
      </c>
      <c r="R558" s="24">
        <f t="shared" si="390"/>
        <v>1267656.25</v>
      </c>
      <c r="S558" s="24">
        <f t="shared" si="373"/>
        <v>1142032.6576576575</v>
      </c>
    </row>
    <row r="559" spans="1:19" s="73" customFormat="1" x14ac:dyDescent="0.2">
      <c r="A559" s="72" t="s">
        <v>280</v>
      </c>
      <c r="B559" s="73" t="s">
        <v>18</v>
      </c>
      <c r="C559" s="71">
        <v>850</v>
      </c>
      <c r="D559" s="74" t="s">
        <v>277</v>
      </c>
      <c r="E559" s="75">
        <v>4</v>
      </c>
      <c r="F559" s="76">
        <v>50</v>
      </c>
      <c r="G559" s="77" t="s">
        <v>98</v>
      </c>
      <c r="H559" s="76">
        <v>10</v>
      </c>
      <c r="I559" s="77" t="s">
        <v>277</v>
      </c>
      <c r="J559" s="78">
        <v>4200</v>
      </c>
      <c r="K559" s="74" t="s">
        <v>277</v>
      </c>
      <c r="L559" s="79">
        <v>0.125</v>
      </c>
      <c r="M559" s="79">
        <v>0.05</v>
      </c>
      <c r="N559" s="76">
        <v>2850</v>
      </c>
      <c r="O559" s="77" t="s">
        <v>277</v>
      </c>
      <c r="P559" s="71">
        <f t="shared" si="389"/>
        <v>0</v>
      </c>
      <c r="Q559" s="77" t="s">
        <v>277</v>
      </c>
      <c r="R559" s="78">
        <f t="shared" si="390"/>
        <v>0</v>
      </c>
      <c r="S559" s="78">
        <f t="shared" si="373"/>
        <v>0</v>
      </c>
    </row>
    <row r="560" spans="1:19" s="73" customFormat="1" x14ac:dyDescent="0.2">
      <c r="A560" s="105" t="s">
        <v>281</v>
      </c>
      <c r="B560" s="73" t="s">
        <v>18</v>
      </c>
      <c r="C560" s="71">
        <v>2500</v>
      </c>
      <c r="D560" s="74" t="s">
        <v>277</v>
      </c>
      <c r="E560" s="75">
        <v>5</v>
      </c>
      <c r="F560" s="76">
        <v>50</v>
      </c>
      <c r="G560" s="77" t="s">
        <v>98</v>
      </c>
      <c r="H560" s="76">
        <v>10</v>
      </c>
      <c r="I560" s="77" t="s">
        <v>277</v>
      </c>
      <c r="J560" s="78">
        <v>4300</v>
      </c>
      <c r="K560" s="74" t="s">
        <v>277</v>
      </c>
      <c r="L560" s="79">
        <v>0.125</v>
      </c>
      <c r="M560" s="79">
        <v>0.05</v>
      </c>
      <c r="N560" s="76">
        <v>5000</v>
      </c>
      <c r="O560" s="77" t="s">
        <v>277</v>
      </c>
      <c r="P560" s="71">
        <f t="shared" si="389"/>
        <v>0</v>
      </c>
      <c r="Q560" s="77" t="s">
        <v>277</v>
      </c>
      <c r="R560" s="78">
        <f t="shared" si="390"/>
        <v>0</v>
      </c>
      <c r="S560" s="78">
        <f t="shared" si="373"/>
        <v>0</v>
      </c>
    </row>
    <row r="561" spans="1:19" s="73" customFormat="1" x14ac:dyDescent="0.2">
      <c r="A561" s="105" t="s">
        <v>282</v>
      </c>
      <c r="B561" s="73" t="s">
        <v>18</v>
      </c>
      <c r="C561" s="71"/>
      <c r="D561" s="74" t="s">
        <v>277</v>
      </c>
      <c r="E561" s="75"/>
      <c r="F561" s="76">
        <v>100</v>
      </c>
      <c r="G561" s="77" t="s">
        <v>98</v>
      </c>
      <c r="H561" s="76">
        <v>10</v>
      </c>
      <c r="I561" s="77" t="s">
        <v>277</v>
      </c>
      <c r="J561" s="78">
        <v>3000</v>
      </c>
      <c r="K561" s="74" t="s">
        <v>277</v>
      </c>
      <c r="L561" s="79">
        <v>0.125</v>
      </c>
      <c r="M561" s="79">
        <v>0.05</v>
      </c>
      <c r="N561" s="76">
        <v>0</v>
      </c>
      <c r="O561" s="77" t="s">
        <v>277</v>
      </c>
      <c r="P561" s="71">
        <f t="shared" si="389"/>
        <v>0</v>
      </c>
      <c r="Q561" s="77" t="s">
        <v>277</v>
      </c>
      <c r="R561" s="78">
        <f t="shared" si="390"/>
        <v>0</v>
      </c>
      <c r="S561" s="78">
        <f t="shared" si="373"/>
        <v>0</v>
      </c>
    </row>
    <row r="562" spans="1:19" s="73" customFormat="1" x14ac:dyDescent="0.2">
      <c r="A562" s="105" t="s">
        <v>283</v>
      </c>
      <c r="B562" s="73" t="s">
        <v>18</v>
      </c>
      <c r="C562" s="71"/>
      <c r="D562" s="74" t="s">
        <v>277</v>
      </c>
      <c r="E562" s="75"/>
      <c r="F562" s="76">
        <v>100</v>
      </c>
      <c r="G562" s="77" t="s">
        <v>98</v>
      </c>
      <c r="H562" s="76">
        <v>10</v>
      </c>
      <c r="I562" s="77" t="s">
        <v>277</v>
      </c>
      <c r="J562" s="78">
        <v>3000</v>
      </c>
      <c r="K562" s="74" t="s">
        <v>277</v>
      </c>
      <c r="L562" s="79">
        <v>0.125</v>
      </c>
      <c r="M562" s="79">
        <v>0.05</v>
      </c>
      <c r="N562" s="76">
        <v>0</v>
      </c>
      <c r="O562" s="77" t="s">
        <v>277</v>
      </c>
      <c r="P562" s="71">
        <f t="shared" si="389"/>
        <v>0</v>
      </c>
      <c r="Q562" s="77" t="s">
        <v>277</v>
      </c>
      <c r="R562" s="78">
        <f t="shared" si="390"/>
        <v>0</v>
      </c>
      <c r="S562" s="78">
        <f t="shared" si="373"/>
        <v>0</v>
      </c>
    </row>
    <row r="563" spans="1:19" s="73" customFormat="1" x14ac:dyDescent="0.2">
      <c r="A563" s="105" t="s">
        <v>284</v>
      </c>
      <c r="B563" s="73" t="s">
        <v>18</v>
      </c>
      <c r="C563" s="71"/>
      <c r="D563" s="74" t="s">
        <v>277</v>
      </c>
      <c r="E563" s="75"/>
      <c r="F563" s="76">
        <v>50</v>
      </c>
      <c r="G563" s="77" t="s">
        <v>98</v>
      </c>
      <c r="H563" s="76">
        <v>10</v>
      </c>
      <c r="I563" s="77" t="s">
        <v>277</v>
      </c>
      <c r="J563" s="78">
        <v>4300</v>
      </c>
      <c r="K563" s="74" t="s">
        <v>277</v>
      </c>
      <c r="L563" s="79">
        <v>0.125</v>
      </c>
      <c r="M563" s="79">
        <v>0.05</v>
      </c>
      <c r="N563" s="76">
        <v>0</v>
      </c>
      <c r="O563" s="77" t="s">
        <v>277</v>
      </c>
      <c r="P563" s="71">
        <f t="shared" si="389"/>
        <v>0</v>
      </c>
      <c r="Q563" s="77" t="s">
        <v>277</v>
      </c>
      <c r="R563" s="78">
        <f t="shared" si="390"/>
        <v>0</v>
      </c>
      <c r="S563" s="78">
        <f t="shared" si="373"/>
        <v>0</v>
      </c>
    </row>
    <row r="564" spans="1:19" s="73" customFormat="1" x14ac:dyDescent="0.2">
      <c r="A564" s="105" t="s">
        <v>285</v>
      </c>
      <c r="B564" s="73" t="s">
        <v>18</v>
      </c>
      <c r="C564" s="71"/>
      <c r="D564" s="74" t="s">
        <v>98</v>
      </c>
      <c r="E564" s="75">
        <v>3</v>
      </c>
      <c r="F564" s="76">
        <v>1</v>
      </c>
      <c r="G564" s="77" t="s">
        <v>20</v>
      </c>
      <c r="H564" s="76">
        <v>50</v>
      </c>
      <c r="I564" s="77" t="s">
        <v>98</v>
      </c>
      <c r="J564" s="78">
        <v>15500</v>
      </c>
      <c r="K564" s="74" t="s">
        <v>98</v>
      </c>
      <c r="L564" s="79">
        <v>0.125</v>
      </c>
      <c r="M564" s="79">
        <v>0.05</v>
      </c>
      <c r="N564" s="76">
        <v>150</v>
      </c>
      <c r="O564" s="77" t="s">
        <v>98</v>
      </c>
      <c r="P564" s="71">
        <f t="shared" si="389"/>
        <v>0</v>
      </c>
      <c r="Q564" s="77" t="s">
        <v>98</v>
      </c>
      <c r="R564" s="78">
        <f t="shared" si="390"/>
        <v>0</v>
      </c>
      <c r="S564" s="78">
        <f t="shared" si="373"/>
        <v>0</v>
      </c>
    </row>
    <row r="565" spans="1:19" s="19" customFormat="1" x14ac:dyDescent="0.2">
      <c r="A565" s="37"/>
      <c r="C565" s="20"/>
      <c r="D565" s="21"/>
      <c r="E565" s="26"/>
      <c r="F565" s="22"/>
      <c r="G565" s="23"/>
      <c r="H565" s="22"/>
      <c r="I565" s="23"/>
      <c r="J565" s="24"/>
      <c r="K565" s="21"/>
      <c r="L565" s="25"/>
      <c r="M565" s="25"/>
      <c r="N565" s="22"/>
      <c r="O565" s="23"/>
      <c r="P565" s="20"/>
      <c r="Q565" s="23"/>
      <c r="R565" s="24"/>
      <c r="S565" s="24"/>
    </row>
    <row r="566" spans="1:19" s="19" customFormat="1" x14ac:dyDescent="0.2">
      <c r="A566" s="18" t="s">
        <v>286</v>
      </c>
      <c r="B566" s="19" t="s">
        <v>25</v>
      </c>
      <c r="C566" s="20">
        <v>290</v>
      </c>
      <c r="D566" s="21" t="s">
        <v>287</v>
      </c>
      <c r="E566" s="26">
        <v>37</v>
      </c>
      <c r="F566" s="22">
        <v>1</v>
      </c>
      <c r="G566" s="23" t="s">
        <v>20</v>
      </c>
      <c r="H566" s="22">
        <v>50</v>
      </c>
      <c r="I566" s="23" t="s">
        <v>287</v>
      </c>
      <c r="J566" s="24">
        <f>1050000/50</f>
        <v>21000</v>
      </c>
      <c r="K566" s="21" t="s">
        <v>287</v>
      </c>
      <c r="L566" s="25"/>
      <c r="M566" s="25">
        <v>0.17</v>
      </c>
      <c r="N566" s="22">
        <v>2040</v>
      </c>
      <c r="O566" s="23" t="s">
        <v>287</v>
      </c>
      <c r="P566" s="20">
        <f>(C566+(E566*F566*H566))-N566</f>
        <v>100</v>
      </c>
      <c r="Q566" s="23" t="s">
        <v>287</v>
      </c>
      <c r="R566" s="24">
        <f>P566*(J566-(J566*L566)-((J566-(J566*L566))*M566))</f>
        <v>1743000</v>
      </c>
      <c r="S566" s="24">
        <f t="shared" si="373"/>
        <v>1570270.2702702701</v>
      </c>
    </row>
    <row r="567" spans="1:19" s="73" customFormat="1" x14ac:dyDescent="0.2">
      <c r="A567" s="72" t="s">
        <v>288</v>
      </c>
      <c r="B567" s="73" t="s">
        <v>25</v>
      </c>
      <c r="C567" s="71">
        <v>175</v>
      </c>
      <c r="D567" s="74" t="s">
        <v>287</v>
      </c>
      <c r="E567" s="75">
        <v>3</v>
      </c>
      <c r="F567" s="76">
        <v>1</v>
      </c>
      <c r="G567" s="77" t="s">
        <v>20</v>
      </c>
      <c r="H567" s="76">
        <v>50</v>
      </c>
      <c r="I567" s="77" t="s">
        <v>287</v>
      </c>
      <c r="J567" s="78">
        <f>1350000/50</f>
        <v>27000</v>
      </c>
      <c r="K567" s="74" t="s">
        <v>287</v>
      </c>
      <c r="L567" s="79"/>
      <c r="M567" s="79">
        <v>0.17</v>
      </c>
      <c r="N567" s="76">
        <v>325</v>
      </c>
      <c r="O567" s="77" t="s">
        <v>287</v>
      </c>
      <c r="P567" s="71">
        <f>(C567+(E567*F567*H567))-N567</f>
        <v>0</v>
      </c>
      <c r="Q567" s="77" t="s">
        <v>287</v>
      </c>
      <c r="R567" s="78">
        <f>P567*(J567-(J567*L567)-((J567-(J567*L567))*M567))</f>
        <v>0</v>
      </c>
      <c r="S567" s="78">
        <f t="shared" si="373"/>
        <v>0</v>
      </c>
    </row>
    <row r="568" spans="1:19" s="19" customFormat="1" x14ac:dyDescent="0.2">
      <c r="A568" s="18"/>
      <c r="C568" s="20"/>
      <c r="D568" s="21"/>
      <c r="E568" s="26"/>
      <c r="F568" s="22"/>
      <c r="G568" s="23"/>
      <c r="H568" s="22"/>
      <c r="I568" s="23"/>
      <c r="J568" s="24"/>
      <c r="K568" s="21"/>
      <c r="L568" s="25"/>
      <c r="M568" s="25"/>
      <c r="N568" s="22"/>
      <c r="O568" s="23"/>
      <c r="P568" s="20"/>
      <c r="Q568" s="23"/>
      <c r="R568" s="24"/>
      <c r="S568" s="24"/>
    </row>
    <row r="569" spans="1:19" s="19" customFormat="1" x14ac:dyDescent="0.2">
      <c r="A569" s="57" t="s">
        <v>289</v>
      </c>
      <c r="C569" s="20"/>
      <c r="D569" s="21"/>
      <c r="E569" s="26"/>
      <c r="F569" s="22"/>
      <c r="G569" s="23"/>
      <c r="H569" s="22"/>
      <c r="I569" s="23"/>
      <c r="J569" s="24"/>
      <c r="K569" s="21"/>
      <c r="L569" s="25"/>
      <c r="M569" s="25"/>
      <c r="N569" s="22"/>
      <c r="O569" s="23"/>
      <c r="P569" s="20"/>
      <c r="Q569" s="23"/>
      <c r="R569" s="24"/>
      <c r="S569" s="24"/>
    </row>
    <row r="570" spans="1:19" s="73" customFormat="1" x14ac:dyDescent="0.2">
      <c r="A570" s="72" t="s">
        <v>290</v>
      </c>
      <c r="B570" s="73" t="s">
        <v>18</v>
      </c>
      <c r="C570" s="71">
        <v>2</v>
      </c>
      <c r="D570" s="74" t="s">
        <v>19</v>
      </c>
      <c r="E570" s="75">
        <v>34</v>
      </c>
      <c r="F570" s="76">
        <v>1</v>
      </c>
      <c r="G570" s="77" t="s">
        <v>20</v>
      </c>
      <c r="H570" s="76">
        <v>20</v>
      </c>
      <c r="I570" s="77" t="s">
        <v>19</v>
      </c>
      <c r="J570" s="78">
        <v>40500</v>
      </c>
      <c r="K570" s="74" t="s">
        <v>19</v>
      </c>
      <c r="L570" s="79">
        <v>0.125</v>
      </c>
      <c r="M570" s="79">
        <v>0.05</v>
      </c>
      <c r="N570" s="76">
        <v>682</v>
      </c>
      <c r="O570" s="77" t="s">
        <v>19</v>
      </c>
      <c r="P570" s="71">
        <f>(C570+(E570*F570*H570))-N570</f>
        <v>0</v>
      </c>
      <c r="Q570" s="77" t="s">
        <v>19</v>
      </c>
      <c r="R570" s="78">
        <f>P570*(J570-(J570*L570)-((J570-(J570*L570))*M570))</f>
        <v>0</v>
      </c>
      <c r="S570" s="78">
        <f t="shared" si="373"/>
        <v>0</v>
      </c>
    </row>
    <row r="571" spans="1:19" s="73" customFormat="1" x14ac:dyDescent="0.2">
      <c r="A571" s="72" t="s">
        <v>863</v>
      </c>
      <c r="B571" s="73" t="s">
        <v>18</v>
      </c>
      <c r="C571" s="71">
        <v>8</v>
      </c>
      <c r="D571" s="74" t="s">
        <v>19</v>
      </c>
      <c r="E571" s="75">
        <v>2</v>
      </c>
      <c r="F571" s="76">
        <v>1</v>
      </c>
      <c r="G571" s="77" t="s">
        <v>20</v>
      </c>
      <c r="H571" s="76">
        <v>20</v>
      </c>
      <c r="I571" s="77" t="s">
        <v>19</v>
      </c>
      <c r="J571" s="78">
        <v>94500</v>
      </c>
      <c r="K571" s="74" t="s">
        <v>19</v>
      </c>
      <c r="L571" s="79">
        <v>0.125</v>
      </c>
      <c r="M571" s="79">
        <v>0.05</v>
      </c>
      <c r="N571" s="76">
        <v>48</v>
      </c>
      <c r="O571" s="77" t="s">
        <v>19</v>
      </c>
      <c r="P571" s="71">
        <f>(C571+(E571*F571*H571))-N571</f>
        <v>0</v>
      </c>
      <c r="Q571" s="77" t="s">
        <v>19</v>
      </c>
      <c r="R571" s="78">
        <f>P571*(J571-(J571*L571)-((J571-(J571*L571))*M571))</f>
        <v>0</v>
      </c>
      <c r="S571" s="78">
        <f t="shared" si="373"/>
        <v>0</v>
      </c>
    </row>
    <row r="572" spans="1:19" s="73" customFormat="1" x14ac:dyDescent="0.2">
      <c r="A572" s="184" t="s">
        <v>1043</v>
      </c>
      <c r="B572" s="73" t="s">
        <v>18</v>
      </c>
      <c r="C572" s="71"/>
      <c r="D572" s="74" t="s">
        <v>19</v>
      </c>
      <c r="E572" s="75">
        <v>1</v>
      </c>
      <c r="F572" s="76">
        <v>1</v>
      </c>
      <c r="G572" s="77" t="s">
        <v>20</v>
      </c>
      <c r="H572" s="76">
        <v>20</v>
      </c>
      <c r="I572" s="77" t="s">
        <v>19</v>
      </c>
      <c r="J572" s="78">
        <v>94500</v>
      </c>
      <c r="K572" s="74" t="s">
        <v>19</v>
      </c>
      <c r="L572" s="79">
        <v>0.125</v>
      </c>
      <c r="M572" s="79">
        <v>0.05</v>
      </c>
      <c r="N572" s="76">
        <v>20</v>
      </c>
      <c r="O572" s="77" t="s">
        <v>19</v>
      </c>
      <c r="P572" s="71">
        <f>(C572+(E572*F572*H572))-N572</f>
        <v>0</v>
      </c>
      <c r="Q572" s="77" t="s">
        <v>19</v>
      </c>
      <c r="R572" s="78">
        <f>P572*(J572-(J572*L572)-((J572-(J572*L572))*M572))</f>
        <v>0</v>
      </c>
      <c r="S572" s="78">
        <f t="shared" ref="S572" si="394">R572/1.11</f>
        <v>0</v>
      </c>
    </row>
    <row r="573" spans="1:19" s="19" customFormat="1" x14ac:dyDescent="0.2">
      <c r="A573" s="18"/>
      <c r="C573" s="20"/>
      <c r="D573" s="21"/>
      <c r="E573" s="26"/>
      <c r="F573" s="22"/>
      <c r="G573" s="23"/>
      <c r="H573" s="22"/>
      <c r="I573" s="23"/>
      <c r="J573" s="24"/>
      <c r="K573" s="21"/>
      <c r="L573" s="25"/>
      <c r="M573" s="25"/>
      <c r="N573" s="22"/>
      <c r="O573" s="23"/>
      <c r="P573" s="20"/>
      <c r="Q573" s="23"/>
      <c r="R573" s="24"/>
      <c r="S573" s="24"/>
    </row>
    <row r="574" spans="1:19" s="19" customFormat="1" x14ac:dyDescent="0.2">
      <c r="A574" s="18" t="s">
        <v>291</v>
      </c>
      <c r="B574" s="19" t="s">
        <v>25</v>
      </c>
      <c r="C574" s="20">
        <v>34</v>
      </c>
      <c r="D574" s="21" t="s">
        <v>19</v>
      </c>
      <c r="E574" s="26">
        <v>13</v>
      </c>
      <c r="F574" s="22">
        <v>1</v>
      </c>
      <c r="G574" s="23" t="s">
        <v>20</v>
      </c>
      <c r="H574" s="22">
        <v>50</v>
      </c>
      <c r="I574" s="23" t="s">
        <v>19</v>
      </c>
      <c r="J574" s="24">
        <f>2250000/50</f>
        <v>45000</v>
      </c>
      <c r="K574" s="21" t="s">
        <v>19</v>
      </c>
      <c r="L574" s="25"/>
      <c r="M574" s="25">
        <v>0.17</v>
      </c>
      <c r="N574" s="22">
        <v>634</v>
      </c>
      <c r="O574" s="23" t="s">
        <v>19</v>
      </c>
      <c r="P574" s="20">
        <f>(C574+(E574*F574*H574))-N574</f>
        <v>50</v>
      </c>
      <c r="Q574" s="23" t="s">
        <v>19</v>
      </c>
      <c r="R574" s="24">
        <f>P574*(J574-(J574*L574)-((J574-(J574*L574))*M574))</f>
        <v>1867500</v>
      </c>
      <c r="S574" s="24">
        <f t="shared" si="373"/>
        <v>1682432.4324324322</v>
      </c>
    </row>
    <row r="575" spans="1:19" s="19" customFormat="1" x14ac:dyDescent="0.2">
      <c r="A575" s="18" t="s">
        <v>292</v>
      </c>
      <c r="B575" s="19" t="s">
        <v>25</v>
      </c>
      <c r="C575" s="20"/>
      <c r="D575" s="21" t="s">
        <v>19</v>
      </c>
      <c r="E575" s="26">
        <v>6</v>
      </c>
      <c r="F575" s="22">
        <v>1</v>
      </c>
      <c r="G575" s="23" t="s">
        <v>20</v>
      </c>
      <c r="H575" s="22">
        <v>50</v>
      </c>
      <c r="I575" s="23" t="s">
        <v>19</v>
      </c>
      <c r="J575" s="24">
        <f>2750000/50</f>
        <v>55000</v>
      </c>
      <c r="K575" s="21" t="s">
        <v>19</v>
      </c>
      <c r="L575" s="25"/>
      <c r="M575" s="25">
        <v>0.17</v>
      </c>
      <c r="N575" s="22">
        <v>200</v>
      </c>
      <c r="O575" s="23" t="s">
        <v>19</v>
      </c>
      <c r="P575" s="20">
        <f>(C575+(E575*F575*H575))-N575</f>
        <v>100</v>
      </c>
      <c r="Q575" s="23" t="s">
        <v>19</v>
      </c>
      <c r="R575" s="24">
        <f>P575*(J575-(J575*L575)-((J575-(J575*L575))*M575))</f>
        <v>4565000</v>
      </c>
      <c r="S575" s="24">
        <f t="shared" si="373"/>
        <v>4112612.6126126121</v>
      </c>
    </row>
    <row r="576" spans="1:19" s="73" customFormat="1" x14ac:dyDescent="0.2">
      <c r="A576" s="104" t="s">
        <v>293</v>
      </c>
      <c r="B576" s="73" t="s">
        <v>25</v>
      </c>
      <c r="C576" s="71">
        <v>54</v>
      </c>
      <c r="D576" s="74" t="s">
        <v>19</v>
      </c>
      <c r="E576" s="75">
        <v>4</v>
      </c>
      <c r="F576" s="76">
        <v>1</v>
      </c>
      <c r="G576" s="77" t="s">
        <v>20</v>
      </c>
      <c r="H576" s="76">
        <v>50</v>
      </c>
      <c r="I576" s="77" t="s">
        <v>19</v>
      </c>
      <c r="J576" s="78">
        <f>4750000/50</f>
        <v>95000</v>
      </c>
      <c r="K576" s="74" t="s">
        <v>19</v>
      </c>
      <c r="L576" s="79"/>
      <c r="M576" s="79">
        <v>0.17</v>
      </c>
      <c r="N576" s="76">
        <v>254</v>
      </c>
      <c r="O576" s="77" t="s">
        <v>19</v>
      </c>
      <c r="P576" s="71">
        <f>(C576+(E576*F576*H576))-N576</f>
        <v>0</v>
      </c>
      <c r="Q576" s="77" t="s">
        <v>19</v>
      </c>
      <c r="R576" s="78">
        <f>P576*(J576-(J576*L576)-((J576-(J576*L576))*M576))</f>
        <v>0</v>
      </c>
      <c r="S576" s="78">
        <f t="shared" si="373"/>
        <v>0</v>
      </c>
    </row>
    <row r="577" spans="1:19" s="19" customFormat="1" x14ac:dyDescent="0.2">
      <c r="A577" s="18"/>
      <c r="C577" s="20"/>
      <c r="D577" s="21"/>
      <c r="E577" s="26"/>
      <c r="F577" s="22"/>
      <c r="G577" s="23"/>
      <c r="H577" s="22"/>
      <c r="I577" s="23"/>
      <c r="J577" s="24"/>
      <c r="K577" s="21"/>
      <c r="L577" s="25"/>
      <c r="M577" s="25"/>
      <c r="N577" s="22"/>
      <c r="O577" s="23"/>
      <c r="P577" s="20"/>
      <c r="Q577" s="23"/>
      <c r="R577" s="24"/>
      <c r="S577" s="24"/>
    </row>
    <row r="578" spans="1:19" s="19" customFormat="1" ht="15.75" x14ac:dyDescent="0.25">
      <c r="A578" s="35" t="s">
        <v>294</v>
      </c>
      <c r="C578" s="20"/>
      <c r="D578" s="21"/>
      <c r="E578" s="26"/>
      <c r="F578" s="22"/>
      <c r="G578" s="23"/>
      <c r="H578" s="22"/>
      <c r="I578" s="23"/>
      <c r="J578" s="24"/>
      <c r="K578" s="21"/>
      <c r="L578" s="25"/>
      <c r="M578" s="25"/>
      <c r="N578" s="22"/>
      <c r="O578" s="23"/>
      <c r="P578" s="20"/>
      <c r="Q578" s="23"/>
      <c r="R578" s="24"/>
      <c r="S578" s="24"/>
    </row>
    <row r="579" spans="1:19" s="73" customFormat="1" x14ac:dyDescent="0.2">
      <c r="A579" s="72" t="s">
        <v>785</v>
      </c>
      <c r="B579" s="73" t="s">
        <v>18</v>
      </c>
      <c r="C579" s="71"/>
      <c r="D579" s="74" t="s">
        <v>98</v>
      </c>
      <c r="E579" s="75"/>
      <c r="F579" s="76">
        <v>1</v>
      </c>
      <c r="G579" s="77" t="s">
        <v>20</v>
      </c>
      <c r="H579" s="76">
        <v>10</v>
      </c>
      <c r="I579" s="77" t="s">
        <v>98</v>
      </c>
      <c r="J579" s="78">
        <v>85000</v>
      </c>
      <c r="K579" s="74" t="s">
        <v>98</v>
      </c>
      <c r="L579" s="79">
        <v>0.125</v>
      </c>
      <c r="M579" s="79">
        <v>0.05</v>
      </c>
      <c r="N579" s="76"/>
      <c r="O579" s="77" t="s">
        <v>98</v>
      </c>
      <c r="P579" s="71">
        <f>(C579+(E579*F579*H579))-N579</f>
        <v>0</v>
      </c>
      <c r="Q579" s="77" t="s">
        <v>98</v>
      </c>
      <c r="R579" s="78">
        <f>P579*(J579-(J579*L579)-((J579-(J579*L579))*M579))</f>
        <v>0</v>
      </c>
      <c r="S579" s="78">
        <f t="shared" ref="S579:S580" si="395">R579/1.11</f>
        <v>0</v>
      </c>
    </row>
    <row r="580" spans="1:19" s="73" customFormat="1" x14ac:dyDescent="0.2">
      <c r="A580" s="72" t="s">
        <v>295</v>
      </c>
      <c r="B580" s="73" t="s">
        <v>18</v>
      </c>
      <c r="C580" s="71"/>
      <c r="D580" s="74" t="s">
        <v>98</v>
      </c>
      <c r="E580" s="75">
        <v>2</v>
      </c>
      <c r="F580" s="76">
        <v>1</v>
      </c>
      <c r="G580" s="77" t="s">
        <v>20</v>
      </c>
      <c r="H580" s="76">
        <v>10</v>
      </c>
      <c r="I580" s="77" t="s">
        <v>98</v>
      </c>
      <c r="J580" s="78">
        <v>95000</v>
      </c>
      <c r="K580" s="74" t="s">
        <v>98</v>
      </c>
      <c r="L580" s="79">
        <v>0.125</v>
      </c>
      <c r="M580" s="79">
        <v>0.05</v>
      </c>
      <c r="N580" s="76">
        <v>20</v>
      </c>
      <c r="O580" s="77" t="s">
        <v>98</v>
      </c>
      <c r="P580" s="71">
        <f>(C580+(E580*F580*H580))-N580</f>
        <v>0</v>
      </c>
      <c r="Q580" s="77" t="s">
        <v>98</v>
      </c>
      <c r="R580" s="78">
        <f>P580*(J580-(J580*L580)-((J580-(J580*L580))*M580))</f>
        <v>0</v>
      </c>
      <c r="S580" s="78">
        <f t="shared" si="395"/>
        <v>0</v>
      </c>
    </row>
    <row r="581" spans="1:19" s="73" customFormat="1" x14ac:dyDescent="0.2">
      <c r="A581" s="72" t="s">
        <v>295</v>
      </c>
      <c r="B581" s="73" t="s">
        <v>18</v>
      </c>
      <c r="C581" s="71"/>
      <c r="D581" s="74" t="s">
        <v>98</v>
      </c>
      <c r="E581" s="75">
        <v>5</v>
      </c>
      <c r="F581" s="76">
        <v>1</v>
      </c>
      <c r="G581" s="77" t="s">
        <v>20</v>
      </c>
      <c r="H581" s="76">
        <v>10</v>
      </c>
      <c r="I581" s="77" t="s">
        <v>98</v>
      </c>
      <c r="J581" s="78">
        <v>89000</v>
      </c>
      <c r="K581" s="74" t="s">
        <v>98</v>
      </c>
      <c r="L581" s="79">
        <v>0.125</v>
      </c>
      <c r="M581" s="79">
        <v>0.05</v>
      </c>
      <c r="N581" s="76">
        <v>50</v>
      </c>
      <c r="O581" s="77" t="s">
        <v>98</v>
      </c>
      <c r="P581" s="71">
        <f>(C581+(E581*F581*H581))-N581</f>
        <v>0</v>
      </c>
      <c r="Q581" s="77" t="s">
        <v>98</v>
      </c>
      <c r="R581" s="78">
        <f>P581*(J581-(J581*L581)-((J581-(J581*L581))*M581))</f>
        <v>0</v>
      </c>
      <c r="S581" s="78">
        <f t="shared" ref="S581" si="396">R581/1.11</f>
        <v>0</v>
      </c>
    </row>
    <row r="582" spans="1:19" s="73" customFormat="1" x14ac:dyDescent="0.2">
      <c r="A582" s="184" t="s">
        <v>295</v>
      </c>
      <c r="B582" s="73" t="s">
        <v>18</v>
      </c>
      <c r="C582" s="71"/>
      <c r="D582" s="74" t="s">
        <v>98</v>
      </c>
      <c r="E582" s="75">
        <v>2</v>
      </c>
      <c r="F582" s="76">
        <v>1</v>
      </c>
      <c r="G582" s="77" t="s">
        <v>20</v>
      </c>
      <c r="H582" s="76">
        <v>10</v>
      </c>
      <c r="I582" s="77" t="s">
        <v>98</v>
      </c>
      <c r="J582" s="78">
        <v>86000</v>
      </c>
      <c r="K582" s="74" t="s">
        <v>98</v>
      </c>
      <c r="L582" s="79">
        <v>0.125</v>
      </c>
      <c r="M582" s="79">
        <v>0.05</v>
      </c>
      <c r="N582" s="76">
        <v>20</v>
      </c>
      <c r="O582" s="77" t="s">
        <v>98</v>
      </c>
      <c r="P582" s="71">
        <f>(C582+(E582*F582*H582))-N582</f>
        <v>0</v>
      </c>
      <c r="Q582" s="77" t="s">
        <v>98</v>
      </c>
      <c r="R582" s="78">
        <f>P582*(J582-(J582*L582)-((J582-(J582*L582))*M582))</f>
        <v>0</v>
      </c>
      <c r="S582" s="78">
        <f t="shared" ref="S582" si="397">R582/1.11</f>
        <v>0</v>
      </c>
    </row>
    <row r="583" spans="1:19" s="73" customFormat="1" x14ac:dyDescent="0.2">
      <c r="A583" s="72"/>
      <c r="C583" s="71"/>
      <c r="D583" s="74"/>
      <c r="E583" s="75"/>
      <c r="F583" s="76"/>
      <c r="G583" s="77"/>
      <c r="H583" s="76"/>
      <c r="I583" s="77"/>
      <c r="J583" s="78"/>
      <c r="K583" s="74"/>
      <c r="L583" s="79"/>
      <c r="M583" s="79"/>
      <c r="N583" s="76"/>
      <c r="O583" s="77"/>
      <c r="P583" s="71"/>
      <c r="Q583" s="77"/>
      <c r="R583" s="78"/>
      <c r="S583" s="78"/>
    </row>
    <row r="584" spans="1:19" s="73" customFormat="1" x14ac:dyDescent="0.2">
      <c r="A584" s="72" t="s">
        <v>296</v>
      </c>
      <c r="B584" s="73" t="s">
        <v>25</v>
      </c>
      <c r="C584" s="71">
        <v>100</v>
      </c>
      <c r="D584" s="74" t="s">
        <v>98</v>
      </c>
      <c r="E584" s="75">
        <v>31</v>
      </c>
      <c r="F584" s="76">
        <v>1</v>
      </c>
      <c r="G584" s="77" t="s">
        <v>20</v>
      </c>
      <c r="H584" s="76">
        <v>10</v>
      </c>
      <c r="I584" s="77" t="s">
        <v>98</v>
      </c>
      <c r="J584" s="78">
        <f>1150000/10</f>
        <v>115000</v>
      </c>
      <c r="K584" s="74" t="s">
        <v>98</v>
      </c>
      <c r="L584" s="79"/>
      <c r="M584" s="79">
        <v>0.17</v>
      </c>
      <c r="N584" s="76">
        <v>410</v>
      </c>
      <c r="O584" s="77" t="s">
        <v>98</v>
      </c>
      <c r="P584" s="71">
        <f>(C584+(E584*F584*H584))-N584</f>
        <v>0</v>
      </c>
      <c r="Q584" s="77" t="s">
        <v>98</v>
      </c>
      <c r="R584" s="78">
        <f>P584*(J584-(J584*L584)-((J584-(J584*L584))*M584))</f>
        <v>0</v>
      </c>
      <c r="S584" s="78">
        <f t="shared" si="373"/>
        <v>0</v>
      </c>
    </row>
    <row r="585" spans="1:19" s="19" customFormat="1" x14ac:dyDescent="0.2">
      <c r="A585" s="18"/>
      <c r="C585" s="20"/>
      <c r="D585" s="21"/>
      <c r="E585" s="26"/>
      <c r="F585" s="22"/>
      <c r="G585" s="23"/>
      <c r="H585" s="22"/>
      <c r="I585" s="23"/>
      <c r="J585" s="24"/>
      <c r="K585" s="21"/>
      <c r="L585" s="25"/>
      <c r="M585" s="25"/>
      <c r="N585" s="22"/>
      <c r="O585" s="23"/>
      <c r="P585" s="20"/>
      <c r="Q585" s="23"/>
      <c r="R585" s="24"/>
      <c r="S585" s="24"/>
    </row>
    <row r="586" spans="1:19" s="19" customFormat="1" x14ac:dyDescent="0.2">
      <c r="A586" s="134" t="s">
        <v>1044</v>
      </c>
      <c r="B586" s="19" t="s">
        <v>171</v>
      </c>
      <c r="C586" s="20"/>
      <c r="D586" s="21" t="s">
        <v>98</v>
      </c>
      <c r="E586" s="26">
        <v>5</v>
      </c>
      <c r="F586" s="22">
        <v>1</v>
      </c>
      <c r="G586" s="23" t="s">
        <v>20</v>
      </c>
      <c r="H586" s="22">
        <v>10</v>
      </c>
      <c r="I586" s="23" t="s">
        <v>98</v>
      </c>
      <c r="J586" s="24">
        <v>61500</v>
      </c>
      <c r="K586" s="21" t="s">
        <v>98</v>
      </c>
      <c r="L586" s="25">
        <v>7.0000000000000007E-2</v>
      </c>
      <c r="M586" s="25"/>
      <c r="N586" s="22">
        <v>40</v>
      </c>
      <c r="O586" s="23" t="s">
        <v>98</v>
      </c>
      <c r="P586" s="20">
        <f>(C586+(E586*F586*H586))-N586</f>
        <v>10</v>
      </c>
      <c r="Q586" s="23" t="s">
        <v>98</v>
      </c>
      <c r="R586" s="24">
        <f>P586*(J586-(J586*L586)-((J586-(J586*L586))*M586))</f>
        <v>571950</v>
      </c>
      <c r="S586" s="24">
        <f t="shared" ref="S586" si="398">R586/1.11</f>
        <v>515270.27027027024</v>
      </c>
    </row>
    <row r="587" spans="1:19" s="19" customFormat="1" x14ac:dyDescent="0.2">
      <c r="A587" s="18"/>
      <c r="C587" s="20"/>
      <c r="D587" s="21"/>
      <c r="E587" s="26"/>
      <c r="F587" s="22"/>
      <c r="G587" s="23"/>
      <c r="H587" s="22"/>
      <c r="I587" s="23"/>
      <c r="J587" s="24"/>
      <c r="K587" s="21"/>
      <c r="L587" s="25"/>
      <c r="M587" s="25"/>
      <c r="N587" s="22"/>
      <c r="O587" s="23"/>
      <c r="P587" s="20"/>
      <c r="Q587" s="23"/>
      <c r="R587" s="24"/>
      <c r="S587" s="24"/>
    </row>
    <row r="588" spans="1:19" s="19" customFormat="1" ht="15.75" x14ac:dyDescent="0.25">
      <c r="A588" s="35" t="s">
        <v>297</v>
      </c>
      <c r="C588" s="20"/>
      <c r="D588" s="21"/>
      <c r="E588" s="26"/>
      <c r="F588" s="22"/>
      <c r="G588" s="23"/>
      <c r="H588" s="22"/>
      <c r="I588" s="23"/>
      <c r="J588" s="24"/>
      <c r="K588" s="21"/>
      <c r="L588" s="25"/>
      <c r="M588" s="25"/>
      <c r="N588" s="22"/>
      <c r="O588" s="23"/>
      <c r="P588" s="20"/>
      <c r="Q588" s="23"/>
      <c r="R588" s="24"/>
      <c r="S588" s="24"/>
    </row>
    <row r="589" spans="1:19" s="19" customFormat="1" x14ac:dyDescent="0.2">
      <c r="A589" s="57" t="s">
        <v>298</v>
      </c>
      <c r="C589" s="20"/>
      <c r="D589" s="21"/>
      <c r="E589" s="26"/>
      <c r="F589" s="22"/>
      <c r="G589" s="23"/>
      <c r="H589" s="22"/>
      <c r="I589" s="23"/>
      <c r="J589" s="24"/>
      <c r="K589" s="21"/>
      <c r="L589" s="25"/>
      <c r="M589" s="25"/>
      <c r="N589" s="22"/>
      <c r="O589" s="23"/>
      <c r="P589" s="20"/>
      <c r="Q589" s="23"/>
      <c r="R589" s="24"/>
      <c r="S589" s="24"/>
    </row>
    <row r="590" spans="1:19" s="73" customFormat="1" x14ac:dyDescent="0.2">
      <c r="A590" s="184" t="s">
        <v>299</v>
      </c>
      <c r="B590" s="73" t="s">
        <v>18</v>
      </c>
      <c r="C590" s="71"/>
      <c r="D590" s="74" t="s">
        <v>40</v>
      </c>
      <c r="E590" s="75">
        <v>1</v>
      </c>
      <c r="F590" s="76">
        <v>48</v>
      </c>
      <c r="G590" s="77" t="s">
        <v>33</v>
      </c>
      <c r="H590" s="76">
        <v>1</v>
      </c>
      <c r="I590" s="77" t="s">
        <v>40</v>
      </c>
      <c r="J590" s="78">
        <v>19800</v>
      </c>
      <c r="K590" s="74" t="s">
        <v>40</v>
      </c>
      <c r="L590" s="79">
        <v>0.125</v>
      </c>
      <c r="M590" s="79">
        <v>0.05</v>
      </c>
      <c r="N590" s="76">
        <v>48</v>
      </c>
      <c r="O590" s="77" t="s">
        <v>40</v>
      </c>
      <c r="P590" s="71">
        <f t="shared" ref="P590" si="399">(C590+(E590*F590*H590))-N590</f>
        <v>0</v>
      </c>
      <c r="Q590" s="77" t="s">
        <v>40</v>
      </c>
      <c r="R590" s="78">
        <f t="shared" ref="R590" si="400">P590*(J590-(J590*L590)-((J590-(J590*L590))*M590))</f>
        <v>0</v>
      </c>
      <c r="S590" s="78">
        <f t="shared" ref="S590" si="401">R590/1.11</f>
        <v>0</v>
      </c>
    </row>
    <row r="591" spans="1:19" s="73" customFormat="1" x14ac:dyDescent="0.2">
      <c r="A591" s="72" t="s">
        <v>721</v>
      </c>
      <c r="B591" s="73" t="s">
        <v>18</v>
      </c>
      <c r="C591" s="71">
        <v>16</v>
      </c>
      <c r="D591" s="74" t="s">
        <v>40</v>
      </c>
      <c r="E591" s="75">
        <v>1</v>
      </c>
      <c r="F591" s="76">
        <v>24</v>
      </c>
      <c r="G591" s="77" t="s">
        <v>33</v>
      </c>
      <c r="H591" s="76">
        <v>1</v>
      </c>
      <c r="I591" s="77" t="s">
        <v>40</v>
      </c>
      <c r="J591" s="78">
        <f>2500*12</f>
        <v>30000</v>
      </c>
      <c r="K591" s="74" t="s">
        <v>40</v>
      </c>
      <c r="L591" s="79">
        <v>0.125</v>
      </c>
      <c r="M591" s="79">
        <v>0.05</v>
      </c>
      <c r="N591" s="76">
        <v>40</v>
      </c>
      <c r="O591" s="77" t="s">
        <v>40</v>
      </c>
      <c r="P591" s="71">
        <f t="shared" ref="P591:P595" si="402">(C591+(E591*F591*H591))-N591</f>
        <v>0</v>
      </c>
      <c r="Q591" s="77" t="s">
        <v>40</v>
      </c>
      <c r="R591" s="78">
        <f t="shared" ref="R591:R595" si="403">P591*(J591-(J591*L591)-((J591-(J591*L591))*M591))</f>
        <v>0</v>
      </c>
      <c r="S591" s="78">
        <f t="shared" si="373"/>
        <v>0</v>
      </c>
    </row>
    <row r="592" spans="1:19" s="19" customFormat="1" x14ac:dyDescent="0.2">
      <c r="A592" s="37" t="s">
        <v>300</v>
      </c>
      <c r="B592" s="19" t="s">
        <v>18</v>
      </c>
      <c r="C592" s="20"/>
      <c r="D592" s="21" t="s">
        <v>40</v>
      </c>
      <c r="E592" s="26">
        <v>30</v>
      </c>
      <c r="F592" s="22">
        <v>48</v>
      </c>
      <c r="G592" s="23" t="s">
        <v>33</v>
      </c>
      <c r="H592" s="22">
        <v>1</v>
      </c>
      <c r="I592" s="23" t="s">
        <v>40</v>
      </c>
      <c r="J592" s="24">
        <f>1550*12</f>
        <v>18600</v>
      </c>
      <c r="K592" s="21" t="s">
        <v>40</v>
      </c>
      <c r="L592" s="25">
        <v>0.125</v>
      </c>
      <c r="M592" s="25">
        <v>0.05</v>
      </c>
      <c r="N592" s="22">
        <f>1440-96</f>
        <v>1344</v>
      </c>
      <c r="O592" s="23" t="s">
        <v>40</v>
      </c>
      <c r="P592" s="20">
        <f t="shared" si="402"/>
        <v>96</v>
      </c>
      <c r="Q592" s="23" t="s">
        <v>40</v>
      </c>
      <c r="R592" s="24">
        <f t="shared" si="403"/>
        <v>1484280</v>
      </c>
      <c r="S592" s="24">
        <f t="shared" si="373"/>
        <v>1337189.1891891891</v>
      </c>
    </row>
    <row r="593" spans="1:19" s="73" customFormat="1" x14ac:dyDescent="0.2">
      <c r="A593" s="103" t="s">
        <v>301</v>
      </c>
      <c r="B593" s="73" t="s">
        <v>18</v>
      </c>
      <c r="C593" s="71">
        <v>24</v>
      </c>
      <c r="D593" s="74" t="s">
        <v>40</v>
      </c>
      <c r="E593" s="75">
        <v>36</v>
      </c>
      <c r="F593" s="76">
        <v>24</v>
      </c>
      <c r="G593" s="77" t="s">
        <v>33</v>
      </c>
      <c r="H593" s="76">
        <v>1</v>
      </c>
      <c r="I593" s="77" t="s">
        <v>40</v>
      </c>
      <c r="J593" s="78">
        <f>2150*12</f>
        <v>25800</v>
      </c>
      <c r="K593" s="74" t="s">
        <v>40</v>
      </c>
      <c r="L593" s="79">
        <v>0.125</v>
      </c>
      <c r="M593" s="79">
        <v>0.05</v>
      </c>
      <c r="N593" s="76">
        <v>888</v>
      </c>
      <c r="O593" s="77" t="s">
        <v>40</v>
      </c>
      <c r="P593" s="71">
        <f t="shared" si="402"/>
        <v>0</v>
      </c>
      <c r="Q593" s="77" t="s">
        <v>40</v>
      </c>
      <c r="R593" s="78">
        <f t="shared" si="403"/>
        <v>0</v>
      </c>
      <c r="S593" s="78">
        <f t="shared" si="373"/>
        <v>0</v>
      </c>
    </row>
    <row r="594" spans="1:19" s="73" customFormat="1" x14ac:dyDescent="0.2">
      <c r="A594" s="103" t="s">
        <v>821</v>
      </c>
      <c r="B594" s="73" t="s">
        <v>18</v>
      </c>
      <c r="C594" s="71"/>
      <c r="D594" s="74" t="s">
        <v>40</v>
      </c>
      <c r="E594" s="75">
        <v>2</v>
      </c>
      <c r="F594" s="76">
        <v>24</v>
      </c>
      <c r="G594" s="77" t="s">
        <v>33</v>
      </c>
      <c r="H594" s="76">
        <v>1</v>
      </c>
      <c r="I594" s="77" t="s">
        <v>40</v>
      </c>
      <c r="J594" s="78">
        <v>31200</v>
      </c>
      <c r="K594" s="74" t="s">
        <v>40</v>
      </c>
      <c r="L594" s="79">
        <v>0.125</v>
      </c>
      <c r="M594" s="79">
        <v>0.05</v>
      </c>
      <c r="N594" s="76">
        <v>48</v>
      </c>
      <c r="O594" s="77" t="s">
        <v>40</v>
      </c>
      <c r="P594" s="71">
        <f t="shared" si="402"/>
        <v>0</v>
      </c>
      <c r="Q594" s="77" t="s">
        <v>40</v>
      </c>
      <c r="R594" s="78">
        <f t="shared" si="403"/>
        <v>0</v>
      </c>
      <c r="S594" s="78">
        <f t="shared" ref="S594" si="404">R594/1.11</f>
        <v>0</v>
      </c>
    </row>
    <row r="595" spans="1:19" s="73" customFormat="1" x14ac:dyDescent="0.2">
      <c r="A595" s="72" t="s">
        <v>302</v>
      </c>
      <c r="B595" s="73" t="s">
        <v>18</v>
      </c>
      <c r="C595" s="71"/>
      <c r="D595" s="74" t="s">
        <v>40</v>
      </c>
      <c r="E595" s="75">
        <v>1</v>
      </c>
      <c r="F595" s="76">
        <v>24</v>
      </c>
      <c r="G595" s="77" t="s">
        <v>33</v>
      </c>
      <c r="H595" s="76">
        <v>1</v>
      </c>
      <c r="I595" s="77" t="s">
        <v>40</v>
      </c>
      <c r="J595" s="78">
        <f>3000*12</f>
        <v>36000</v>
      </c>
      <c r="K595" s="74" t="s">
        <v>40</v>
      </c>
      <c r="L595" s="79">
        <v>0.125</v>
      </c>
      <c r="M595" s="79">
        <v>0.05</v>
      </c>
      <c r="N595" s="76">
        <v>24</v>
      </c>
      <c r="O595" s="77" t="s">
        <v>40</v>
      </c>
      <c r="P595" s="71">
        <f t="shared" si="402"/>
        <v>0</v>
      </c>
      <c r="Q595" s="77" t="s">
        <v>40</v>
      </c>
      <c r="R595" s="78">
        <f t="shared" si="403"/>
        <v>0</v>
      </c>
      <c r="S595" s="78">
        <f t="shared" si="373"/>
        <v>0</v>
      </c>
    </row>
    <row r="596" spans="1:19" s="19" customFormat="1" x14ac:dyDescent="0.2">
      <c r="A596" s="18"/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19" s="73" customFormat="1" x14ac:dyDescent="0.2">
      <c r="A597" s="72" t="s">
        <v>303</v>
      </c>
      <c r="B597" s="73" t="s">
        <v>25</v>
      </c>
      <c r="C597" s="71">
        <v>40</v>
      </c>
      <c r="D597" s="74" t="s">
        <v>40</v>
      </c>
      <c r="E597" s="75">
        <v>87</v>
      </c>
      <c r="F597" s="76">
        <v>1</v>
      </c>
      <c r="G597" s="77" t="s">
        <v>20</v>
      </c>
      <c r="H597" s="76">
        <v>20</v>
      </c>
      <c r="I597" s="77" t="s">
        <v>40</v>
      </c>
      <c r="J597" s="78">
        <f>396000/20</f>
        <v>19800</v>
      </c>
      <c r="K597" s="74" t="s">
        <v>40</v>
      </c>
      <c r="L597" s="79"/>
      <c r="M597" s="79">
        <v>0.17</v>
      </c>
      <c r="N597" s="76">
        <v>1780</v>
      </c>
      <c r="O597" s="77" t="s">
        <v>40</v>
      </c>
      <c r="P597" s="71">
        <f>(C597+(E597*F597*H597))-N597</f>
        <v>0</v>
      </c>
      <c r="Q597" s="77" t="s">
        <v>40</v>
      </c>
      <c r="R597" s="78">
        <f>P597*(J597-(J597*L597)-((J597-(J597*L597))*M597))</f>
        <v>0</v>
      </c>
      <c r="S597" s="78">
        <f t="shared" si="373"/>
        <v>0</v>
      </c>
    </row>
    <row r="598" spans="1:19" s="73" customFormat="1" x14ac:dyDescent="0.2">
      <c r="A598" s="72" t="s">
        <v>304</v>
      </c>
      <c r="B598" s="73" t="s">
        <v>25</v>
      </c>
      <c r="C598" s="71">
        <v>29</v>
      </c>
      <c r="D598" s="74" t="s">
        <v>40</v>
      </c>
      <c r="E598" s="75">
        <v>43</v>
      </c>
      <c r="F598" s="76">
        <v>1</v>
      </c>
      <c r="G598" s="77" t="s">
        <v>20</v>
      </c>
      <c r="H598" s="76">
        <v>20</v>
      </c>
      <c r="I598" s="77" t="s">
        <v>40</v>
      </c>
      <c r="J598" s="78">
        <f>504000/20</f>
        <v>25200</v>
      </c>
      <c r="K598" s="74" t="s">
        <v>40</v>
      </c>
      <c r="L598" s="79"/>
      <c r="M598" s="79">
        <v>0.17</v>
      </c>
      <c r="N598" s="76">
        <v>889</v>
      </c>
      <c r="O598" s="77" t="s">
        <v>40</v>
      </c>
      <c r="P598" s="71">
        <f>(C598+(E598*F598*H598))-N598</f>
        <v>0</v>
      </c>
      <c r="Q598" s="77" t="s">
        <v>40</v>
      </c>
      <c r="R598" s="78">
        <f>P598*(J598-(J598*L598)-((J598-(J598*L598))*M598))</f>
        <v>0</v>
      </c>
      <c r="S598" s="78">
        <f t="shared" si="373"/>
        <v>0</v>
      </c>
    </row>
    <row r="599" spans="1:19" s="73" customFormat="1" x14ac:dyDescent="0.2">
      <c r="A599" s="72" t="s">
        <v>305</v>
      </c>
      <c r="B599" s="73" t="s">
        <v>25</v>
      </c>
      <c r="C599" s="71"/>
      <c r="D599" s="74" t="s">
        <v>40</v>
      </c>
      <c r="E599" s="75"/>
      <c r="F599" s="76">
        <v>1</v>
      </c>
      <c r="G599" s="77" t="s">
        <v>20</v>
      </c>
      <c r="H599" s="76">
        <v>20</v>
      </c>
      <c r="I599" s="77" t="s">
        <v>40</v>
      </c>
      <c r="J599" s="78">
        <f>480000/20</f>
        <v>24000</v>
      </c>
      <c r="K599" s="74" t="s">
        <v>40</v>
      </c>
      <c r="L599" s="79"/>
      <c r="M599" s="79">
        <v>0.17</v>
      </c>
      <c r="N599" s="76"/>
      <c r="O599" s="77" t="s">
        <v>40</v>
      </c>
      <c r="P599" s="71">
        <f>(C599+(E599*F599*H599))-N599</f>
        <v>0</v>
      </c>
      <c r="Q599" s="77" t="s">
        <v>40</v>
      </c>
      <c r="R599" s="78">
        <f>P599*(J599-(J599*L599)-((J599-(J599*L599))*M599))</f>
        <v>0</v>
      </c>
      <c r="S599" s="78">
        <f t="shared" si="373"/>
        <v>0</v>
      </c>
    </row>
    <row r="600" spans="1:19" s="19" customFormat="1" x14ac:dyDescent="0.2">
      <c r="A600" s="18" t="s">
        <v>988</v>
      </c>
      <c r="B600" s="19" t="s">
        <v>25</v>
      </c>
      <c r="C600" s="20"/>
      <c r="D600" s="21" t="s">
        <v>40</v>
      </c>
      <c r="E600" s="26">
        <v>2</v>
      </c>
      <c r="F600" s="22">
        <v>1</v>
      </c>
      <c r="G600" s="23" t="s">
        <v>20</v>
      </c>
      <c r="H600" s="22">
        <v>144</v>
      </c>
      <c r="I600" s="23" t="s">
        <v>924</v>
      </c>
      <c r="J600" s="24">
        <v>48000</v>
      </c>
      <c r="K600" s="21" t="s">
        <v>40</v>
      </c>
      <c r="L600" s="25"/>
      <c r="M600" s="25">
        <v>0.17</v>
      </c>
      <c r="N600" s="22">
        <v>144</v>
      </c>
      <c r="O600" s="23" t="s">
        <v>40</v>
      </c>
      <c r="P600" s="20">
        <f>(C600+(E600*F600*H600))-N600</f>
        <v>144</v>
      </c>
      <c r="Q600" s="23" t="s">
        <v>40</v>
      </c>
      <c r="R600" s="24">
        <f>P600*(J600-(J600*L600)-((J600-(J600*L600))*M600))</f>
        <v>5736960</v>
      </c>
      <c r="S600" s="24">
        <f t="shared" ref="S600" si="405">R600/1.11</f>
        <v>5168432.4324324317</v>
      </c>
    </row>
    <row r="601" spans="1:19" s="19" customFormat="1" x14ac:dyDescent="0.2">
      <c r="A601" s="18"/>
      <c r="C601" s="20"/>
      <c r="D601" s="21"/>
      <c r="E601" s="26"/>
      <c r="F601" s="22"/>
      <c r="G601" s="23"/>
      <c r="H601" s="22"/>
      <c r="I601" s="23"/>
      <c r="J601" s="24"/>
      <c r="K601" s="21"/>
      <c r="L601" s="25"/>
      <c r="M601" s="25"/>
      <c r="N601" s="22"/>
      <c r="O601" s="23"/>
      <c r="P601" s="20"/>
      <c r="Q601" s="23"/>
      <c r="R601" s="24"/>
      <c r="S601" s="24"/>
    </row>
    <row r="602" spans="1:19" s="19" customFormat="1" x14ac:dyDescent="0.2">
      <c r="A602" s="18" t="s">
        <v>835</v>
      </c>
      <c r="B602" s="18" t="s">
        <v>171</v>
      </c>
      <c r="C602" s="20">
        <v>430</v>
      </c>
      <c r="D602" s="21" t="s">
        <v>830</v>
      </c>
      <c r="E602" s="26">
        <v>9</v>
      </c>
      <c r="F602" s="22">
        <v>1</v>
      </c>
      <c r="G602" s="23" t="s">
        <v>20</v>
      </c>
      <c r="H602" s="22">
        <v>432</v>
      </c>
      <c r="I602" s="23" t="s">
        <v>830</v>
      </c>
      <c r="J602" s="24">
        <v>1400</v>
      </c>
      <c r="K602" s="21" t="s">
        <v>830</v>
      </c>
      <c r="L602" s="25"/>
      <c r="M602" s="25">
        <v>0.05</v>
      </c>
      <c r="N602" s="22">
        <f>4318-2592</f>
        <v>1726</v>
      </c>
      <c r="O602" s="23" t="s">
        <v>830</v>
      </c>
      <c r="P602" s="20">
        <f>(C602+(E602*F602*H602))-N602</f>
        <v>2592</v>
      </c>
      <c r="Q602" s="23" t="s">
        <v>830</v>
      </c>
      <c r="R602" s="24">
        <f>P602*(J602-(J602*L602)-((J602-(J602*L602))*M602))</f>
        <v>3447360</v>
      </c>
      <c r="S602" s="24">
        <f t="shared" ref="S602" si="406">R602/1.11</f>
        <v>3105729.7297297292</v>
      </c>
    </row>
    <row r="603" spans="1:19" s="19" customFormat="1" x14ac:dyDescent="0.2">
      <c r="A603" s="18"/>
      <c r="C603" s="20"/>
      <c r="D603" s="21"/>
      <c r="E603" s="26"/>
      <c r="F603" s="22"/>
      <c r="G603" s="23"/>
      <c r="H603" s="22"/>
      <c r="I603" s="23"/>
      <c r="J603" s="24"/>
      <c r="K603" s="21"/>
      <c r="L603" s="25"/>
      <c r="M603" s="25"/>
      <c r="N603" s="22"/>
      <c r="O603" s="23"/>
      <c r="P603" s="20"/>
      <c r="Q603" s="23"/>
      <c r="R603" s="24"/>
      <c r="S603" s="24"/>
    </row>
    <row r="604" spans="1:19" s="19" customFormat="1" x14ac:dyDescent="0.2">
      <c r="A604" s="57" t="s">
        <v>306</v>
      </c>
      <c r="C604" s="20"/>
      <c r="D604" s="21"/>
      <c r="E604" s="26"/>
      <c r="F604" s="22"/>
      <c r="G604" s="23"/>
      <c r="H604" s="22"/>
      <c r="I604" s="23"/>
      <c r="J604" s="24"/>
      <c r="K604" s="21"/>
      <c r="L604" s="25"/>
      <c r="M604" s="25"/>
      <c r="N604" s="22"/>
      <c r="O604" s="23"/>
      <c r="P604" s="20"/>
      <c r="Q604" s="23"/>
      <c r="R604" s="24"/>
      <c r="S604" s="24">
        <f t="shared" si="373"/>
        <v>0</v>
      </c>
    </row>
    <row r="605" spans="1:19" s="73" customFormat="1" x14ac:dyDescent="0.2">
      <c r="A605" s="72" t="s">
        <v>307</v>
      </c>
      <c r="B605" s="73" t="s">
        <v>18</v>
      </c>
      <c r="C605" s="71">
        <v>91</v>
      </c>
      <c r="D605" s="74" t="s">
        <v>33</v>
      </c>
      <c r="E605" s="75">
        <v>44</v>
      </c>
      <c r="F605" s="76">
        <v>1</v>
      </c>
      <c r="G605" s="77" t="s">
        <v>20</v>
      </c>
      <c r="H605" s="76">
        <v>64</v>
      </c>
      <c r="I605" s="77" t="s">
        <v>33</v>
      </c>
      <c r="J605" s="78">
        <f>2100*12</f>
        <v>25200</v>
      </c>
      <c r="K605" s="74" t="s">
        <v>33</v>
      </c>
      <c r="L605" s="79">
        <v>0.125</v>
      </c>
      <c r="M605" s="79">
        <v>0.05</v>
      </c>
      <c r="N605" s="76">
        <v>2907</v>
      </c>
      <c r="O605" s="77" t="s">
        <v>33</v>
      </c>
      <c r="P605" s="71">
        <f t="shared" ref="P605:P612" si="407">(C605+(E605*F605*H605))-N605</f>
        <v>0</v>
      </c>
      <c r="Q605" s="77" t="s">
        <v>33</v>
      </c>
      <c r="R605" s="78">
        <f t="shared" ref="R605:R612" si="408">P605*(J605-(J605*L605)-((J605-(J605*L605))*M605))</f>
        <v>0</v>
      </c>
      <c r="S605" s="78">
        <f t="shared" si="373"/>
        <v>0</v>
      </c>
    </row>
    <row r="606" spans="1:19" s="73" customFormat="1" x14ac:dyDescent="0.2">
      <c r="A606" s="72" t="s">
        <v>309</v>
      </c>
      <c r="B606" s="73" t="s">
        <v>18</v>
      </c>
      <c r="C606" s="71">
        <v>72</v>
      </c>
      <c r="D606" s="74" t="s">
        <v>33</v>
      </c>
      <c r="E606" s="75">
        <v>21</v>
      </c>
      <c r="F606" s="76">
        <v>1</v>
      </c>
      <c r="G606" s="77" t="s">
        <v>20</v>
      </c>
      <c r="H606" s="76">
        <v>36</v>
      </c>
      <c r="I606" s="77" t="s">
        <v>33</v>
      </c>
      <c r="J606" s="78">
        <f>2100*24</f>
        <v>50400</v>
      </c>
      <c r="K606" s="74" t="s">
        <v>33</v>
      </c>
      <c r="L606" s="79">
        <v>0.125</v>
      </c>
      <c r="M606" s="79">
        <v>0.05</v>
      </c>
      <c r="N606" s="76">
        <v>828</v>
      </c>
      <c r="O606" s="77" t="s">
        <v>33</v>
      </c>
      <c r="P606" s="71">
        <f t="shared" si="407"/>
        <v>0</v>
      </c>
      <c r="Q606" s="77" t="s">
        <v>33</v>
      </c>
      <c r="R606" s="78">
        <f t="shared" si="408"/>
        <v>0</v>
      </c>
      <c r="S606" s="78">
        <f>R606/1.11</f>
        <v>0</v>
      </c>
    </row>
    <row r="607" spans="1:19" s="73" customFormat="1" x14ac:dyDescent="0.2">
      <c r="A607" s="106" t="s">
        <v>720</v>
      </c>
      <c r="B607" s="73" t="s">
        <v>18</v>
      </c>
      <c r="C607" s="71"/>
      <c r="D607" s="74" t="s">
        <v>33</v>
      </c>
      <c r="E607" s="75">
        <v>6</v>
      </c>
      <c r="F607" s="76">
        <v>1</v>
      </c>
      <c r="G607" s="77" t="s">
        <v>20</v>
      </c>
      <c r="H607" s="76">
        <v>36</v>
      </c>
      <c r="I607" s="77" t="s">
        <v>33</v>
      </c>
      <c r="J607" s="78">
        <f>2300*24</f>
        <v>55200</v>
      </c>
      <c r="K607" s="74" t="s">
        <v>33</v>
      </c>
      <c r="L607" s="79">
        <v>0.125</v>
      </c>
      <c r="M607" s="79">
        <v>0.05</v>
      </c>
      <c r="N607" s="76">
        <v>216</v>
      </c>
      <c r="O607" s="77" t="s">
        <v>33</v>
      </c>
      <c r="P607" s="71">
        <f t="shared" si="407"/>
        <v>0</v>
      </c>
      <c r="Q607" s="77" t="s">
        <v>33</v>
      </c>
      <c r="R607" s="78">
        <f t="shared" si="408"/>
        <v>0</v>
      </c>
      <c r="S607" s="78">
        <f>R607/1.11</f>
        <v>0</v>
      </c>
    </row>
    <row r="608" spans="1:19" s="73" customFormat="1" x14ac:dyDescent="0.2">
      <c r="A608" s="72" t="s">
        <v>719</v>
      </c>
      <c r="B608" s="73" t="s">
        <v>18</v>
      </c>
      <c r="C608" s="71"/>
      <c r="D608" s="74" t="s">
        <v>33</v>
      </c>
      <c r="E608" s="75"/>
      <c r="F608" s="76">
        <v>1</v>
      </c>
      <c r="G608" s="77" t="s">
        <v>20</v>
      </c>
      <c r="H608" s="76">
        <v>32</v>
      </c>
      <c r="I608" s="77" t="s">
        <v>33</v>
      </c>
      <c r="J608" s="78">
        <f>1300*12</f>
        <v>15600</v>
      </c>
      <c r="K608" s="74" t="s">
        <v>33</v>
      </c>
      <c r="L608" s="79">
        <v>0.125</v>
      </c>
      <c r="M608" s="79">
        <v>0.05</v>
      </c>
      <c r="N608" s="76">
        <v>0</v>
      </c>
      <c r="O608" s="77" t="s">
        <v>33</v>
      </c>
      <c r="P608" s="71">
        <f t="shared" si="407"/>
        <v>0</v>
      </c>
      <c r="Q608" s="77" t="s">
        <v>33</v>
      </c>
      <c r="R608" s="78">
        <f t="shared" si="408"/>
        <v>0</v>
      </c>
      <c r="S608" s="78">
        <f>R608/1.11</f>
        <v>0</v>
      </c>
    </row>
    <row r="609" spans="1:19" s="73" customFormat="1" x14ac:dyDescent="0.2">
      <c r="A609" s="185" t="s">
        <v>308</v>
      </c>
      <c r="B609" s="73" t="s">
        <v>18</v>
      </c>
      <c r="C609" s="71"/>
      <c r="D609" s="74" t="s">
        <v>33</v>
      </c>
      <c r="E609" s="75">
        <v>1</v>
      </c>
      <c r="F609" s="76">
        <v>1</v>
      </c>
      <c r="G609" s="77" t="s">
        <v>20</v>
      </c>
      <c r="H609" s="76">
        <v>54</v>
      </c>
      <c r="I609" s="77" t="s">
        <v>33</v>
      </c>
      <c r="J609" s="186">
        <v>39600</v>
      </c>
      <c r="K609" s="74" t="s">
        <v>33</v>
      </c>
      <c r="L609" s="79">
        <v>0.125</v>
      </c>
      <c r="M609" s="79">
        <v>0.05</v>
      </c>
      <c r="N609" s="76">
        <v>54</v>
      </c>
      <c r="O609" s="77" t="s">
        <v>33</v>
      </c>
      <c r="P609" s="71">
        <f t="shared" ref="P609" si="409">(C609+(E609*F609*H609))-N609</f>
        <v>0</v>
      </c>
      <c r="Q609" s="77" t="s">
        <v>33</v>
      </c>
      <c r="R609" s="78">
        <f t="shared" ref="R609" si="410">P609*(J609-(J609*L609)-((J609-(J609*L609))*M609))</f>
        <v>0</v>
      </c>
      <c r="S609" s="78">
        <f t="shared" ref="S609" si="411">R609/1.11</f>
        <v>0</v>
      </c>
    </row>
    <row r="610" spans="1:19" s="73" customFormat="1" x14ac:dyDescent="0.2">
      <c r="A610" s="185" t="s">
        <v>308</v>
      </c>
      <c r="B610" s="73" t="s">
        <v>18</v>
      </c>
      <c r="C610" s="71">
        <v>38</v>
      </c>
      <c r="D610" s="74" t="s">
        <v>33</v>
      </c>
      <c r="E610" s="75"/>
      <c r="F610" s="76">
        <v>1</v>
      </c>
      <c r="G610" s="77" t="s">
        <v>20</v>
      </c>
      <c r="H610" s="76">
        <v>54</v>
      </c>
      <c r="I610" s="77" t="s">
        <v>33</v>
      </c>
      <c r="J610" s="186">
        <f>3400*12</f>
        <v>40800</v>
      </c>
      <c r="K610" s="74" t="s">
        <v>33</v>
      </c>
      <c r="L610" s="79">
        <v>0.125</v>
      </c>
      <c r="M610" s="79">
        <v>0.05</v>
      </c>
      <c r="N610" s="76">
        <v>38</v>
      </c>
      <c r="O610" s="77" t="s">
        <v>33</v>
      </c>
      <c r="P610" s="71">
        <f t="shared" si="407"/>
        <v>0</v>
      </c>
      <c r="Q610" s="77" t="s">
        <v>33</v>
      </c>
      <c r="R610" s="78">
        <f t="shared" si="408"/>
        <v>0</v>
      </c>
      <c r="S610" s="78">
        <f t="shared" si="373"/>
        <v>0</v>
      </c>
    </row>
    <row r="611" spans="1:19" s="73" customFormat="1" x14ac:dyDescent="0.2">
      <c r="A611" s="106" t="s">
        <v>762</v>
      </c>
      <c r="B611" s="73" t="s">
        <v>18</v>
      </c>
      <c r="C611" s="71"/>
      <c r="D611" s="74" t="s">
        <v>33</v>
      </c>
      <c r="E611" s="75">
        <v>3</v>
      </c>
      <c r="F611" s="76">
        <v>1</v>
      </c>
      <c r="G611" s="77" t="s">
        <v>20</v>
      </c>
      <c r="H611" s="76">
        <v>24</v>
      </c>
      <c r="I611" s="77" t="s">
        <v>33</v>
      </c>
      <c r="J611" s="78">
        <f>3300*24</f>
        <v>79200</v>
      </c>
      <c r="K611" s="74" t="s">
        <v>33</v>
      </c>
      <c r="L611" s="79">
        <v>0.125</v>
      </c>
      <c r="M611" s="79">
        <v>0.05</v>
      </c>
      <c r="N611" s="76">
        <v>72</v>
      </c>
      <c r="O611" s="77" t="s">
        <v>33</v>
      </c>
      <c r="P611" s="71">
        <f t="shared" si="407"/>
        <v>0</v>
      </c>
      <c r="Q611" s="77" t="s">
        <v>33</v>
      </c>
      <c r="R611" s="78">
        <f t="shared" si="408"/>
        <v>0</v>
      </c>
      <c r="S611" s="78">
        <f>R611/1.11</f>
        <v>0</v>
      </c>
    </row>
    <row r="612" spans="1:19" s="73" customFormat="1" x14ac:dyDescent="0.2">
      <c r="A612" s="106" t="s">
        <v>310</v>
      </c>
      <c r="B612" s="73" t="s">
        <v>18</v>
      </c>
      <c r="C612" s="71"/>
      <c r="D612" s="74" t="s">
        <v>33</v>
      </c>
      <c r="E612" s="75">
        <v>55</v>
      </c>
      <c r="F612" s="76">
        <v>1</v>
      </c>
      <c r="G612" s="77" t="s">
        <v>20</v>
      </c>
      <c r="H612" s="76">
        <v>36</v>
      </c>
      <c r="I612" s="77" t="s">
        <v>33</v>
      </c>
      <c r="J612" s="78">
        <f>2450*24</f>
        <v>58800</v>
      </c>
      <c r="K612" s="74" t="s">
        <v>33</v>
      </c>
      <c r="L612" s="79">
        <v>0.125</v>
      </c>
      <c r="M612" s="79">
        <v>0.05</v>
      </c>
      <c r="N612" s="76">
        <v>1980</v>
      </c>
      <c r="O612" s="77" t="s">
        <v>33</v>
      </c>
      <c r="P612" s="71">
        <f t="shared" si="407"/>
        <v>0</v>
      </c>
      <c r="Q612" s="77" t="s">
        <v>33</v>
      </c>
      <c r="R612" s="78">
        <f t="shared" si="408"/>
        <v>0</v>
      </c>
      <c r="S612" s="78">
        <f>R612/1.11</f>
        <v>0</v>
      </c>
    </row>
    <row r="613" spans="1:19" s="73" customFormat="1" x14ac:dyDescent="0.2">
      <c r="A613" s="106" t="s">
        <v>919</v>
      </c>
      <c r="B613" s="73" t="s">
        <v>18</v>
      </c>
      <c r="C613" s="71"/>
      <c r="D613" s="74" t="s">
        <v>33</v>
      </c>
      <c r="E613" s="75">
        <v>1</v>
      </c>
      <c r="F613" s="76">
        <v>1</v>
      </c>
      <c r="G613" s="77" t="s">
        <v>20</v>
      </c>
      <c r="H613" s="76">
        <v>36</v>
      </c>
      <c r="I613" s="77" t="s">
        <v>33</v>
      </c>
      <c r="J613" s="78">
        <v>56400</v>
      </c>
      <c r="K613" s="74" t="s">
        <v>33</v>
      </c>
      <c r="L613" s="79">
        <v>0.125</v>
      </c>
      <c r="M613" s="79">
        <v>0.05</v>
      </c>
      <c r="N613" s="76">
        <v>36</v>
      </c>
      <c r="O613" s="77" t="s">
        <v>33</v>
      </c>
      <c r="P613" s="71">
        <f t="shared" ref="P613:P614" si="412">(C613+(E613*F613*H613))-N613</f>
        <v>0</v>
      </c>
      <c r="Q613" s="77" t="s">
        <v>33</v>
      </c>
      <c r="R613" s="78">
        <f t="shared" ref="R613:R614" si="413">P613*(J613-(J613*L613)-((J613-(J613*L613))*M613))</f>
        <v>0</v>
      </c>
      <c r="S613" s="78">
        <f>R613/1.11</f>
        <v>0</v>
      </c>
    </row>
    <row r="614" spans="1:19" s="73" customFormat="1" x14ac:dyDescent="0.2">
      <c r="A614" s="72" t="s">
        <v>716</v>
      </c>
      <c r="B614" s="73" t="s">
        <v>18</v>
      </c>
      <c r="C614" s="71"/>
      <c r="D614" s="74" t="s">
        <v>33</v>
      </c>
      <c r="E614" s="75">
        <v>5</v>
      </c>
      <c r="F614" s="76">
        <v>1</v>
      </c>
      <c r="G614" s="77" t="s">
        <v>20</v>
      </c>
      <c r="H614" s="76">
        <v>36</v>
      </c>
      <c r="I614" s="77" t="s">
        <v>33</v>
      </c>
      <c r="J614" s="78">
        <v>52800</v>
      </c>
      <c r="K614" s="74" t="s">
        <v>33</v>
      </c>
      <c r="L614" s="79">
        <v>0.125</v>
      </c>
      <c r="M614" s="79">
        <v>0.05</v>
      </c>
      <c r="N614" s="76">
        <v>180</v>
      </c>
      <c r="O614" s="77" t="s">
        <v>33</v>
      </c>
      <c r="P614" s="71">
        <f t="shared" si="412"/>
        <v>0</v>
      </c>
      <c r="Q614" s="77" t="s">
        <v>33</v>
      </c>
      <c r="R614" s="78">
        <f t="shared" si="413"/>
        <v>0</v>
      </c>
      <c r="S614" s="78">
        <f t="shared" ref="S614" si="414">R614/1.11</f>
        <v>0</v>
      </c>
    </row>
    <row r="615" spans="1:19" s="73" customFormat="1" x14ac:dyDescent="0.2">
      <c r="A615" s="72"/>
      <c r="C615" s="71"/>
      <c r="D615" s="74"/>
      <c r="E615" s="75"/>
      <c r="F615" s="76"/>
      <c r="G615" s="77"/>
      <c r="H615" s="76"/>
      <c r="I615" s="77"/>
      <c r="J615" s="78"/>
      <c r="K615" s="74"/>
      <c r="L615" s="79"/>
      <c r="M615" s="79"/>
      <c r="N615" s="76"/>
      <c r="O615" s="77"/>
      <c r="P615" s="71"/>
      <c r="Q615" s="77"/>
      <c r="R615" s="78"/>
      <c r="S615" s="78"/>
    </row>
    <row r="616" spans="1:19" s="73" customFormat="1" x14ac:dyDescent="0.2">
      <c r="A616" s="72" t="s">
        <v>311</v>
      </c>
      <c r="B616" s="73" t="s">
        <v>25</v>
      </c>
      <c r="C616" s="71">
        <v>77</v>
      </c>
      <c r="D616" s="74" t="s">
        <v>33</v>
      </c>
      <c r="E616" s="75">
        <v>91</v>
      </c>
      <c r="F616" s="76">
        <v>1</v>
      </c>
      <c r="G616" s="77" t="s">
        <v>20</v>
      </c>
      <c r="H616" s="76">
        <v>36</v>
      </c>
      <c r="I616" s="77" t="s">
        <v>33</v>
      </c>
      <c r="J616" s="78">
        <f>2376000/36</f>
        <v>66000</v>
      </c>
      <c r="K616" s="74" t="s">
        <v>33</v>
      </c>
      <c r="L616" s="79"/>
      <c r="M616" s="79">
        <v>0.17</v>
      </c>
      <c r="N616" s="76">
        <v>3353</v>
      </c>
      <c r="O616" s="77" t="s">
        <v>33</v>
      </c>
      <c r="P616" s="71">
        <f>(C616+(E616*F616*H616))-N616</f>
        <v>0</v>
      </c>
      <c r="Q616" s="77" t="s">
        <v>33</v>
      </c>
      <c r="R616" s="78">
        <f>P616*(J616-(J616*L616)-((J616-(J616*L616))*M616))</f>
        <v>0</v>
      </c>
      <c r="S616" s="78">
        <f t="shared" si="373"/>
        <v>0</v>
      </c>
    </row>
    <row r="617" spans="1:19" s="73" customFormat="1" x14ac:dyDescent="0.2">
      <c r="A617" s="72" t="s">
        <v>312</v>
      </c>
      <c r="B617" s="73" t="s">
        <v>25</v>
      </c>
      <c r="C617" s="71">
        <v>300</v>
      </c>
      <c r="D617" s="74" t="s">
        <v>33</v>
      </c>
      <c r="E617" s="75">
        <v>37</v>
      </c>
      <c r="F617" s="76">
        <v>1</v>
      </c>
      <c r="G617" s="77" t="s">
        <v>20</v>
      </c>
      <c r="H617" s="76">
        <v>36</v>
      </c>
      <c r="I617" s="77" t="s">
        <v>33</v>
      </c>
      <c r="J617" s="78">
        <f>2592000/36</f>
        <v>72000</v>
      </c>
      <c r="K617" s="74" t="s">
        <v>33</v>
      </c>
      <c r="L617" s="79"/>
      <c r="M617" s="79">
        <v>0.17</v>
      </c>
      <c r="N617" s="76">
        <v>1632</v>
      </c>
      <c r="O617" s="77" t="s">
        <v>33</v>
      </c>
      <c r="P617" s="71">
        <f>(C617+(E617*F617*H617))-N617</f>
        <v>0</v>
      </c>
      <c r="Q617" s="77" t="s">
        <v>33</v>
      </c>
      <c r="R617" s="78">
        <f>P617*(J617-(J617*L617)-((J617-(J617*L617))*M617))</f>
        <v>0</v>
      </c>
      <c r="S617" s="78">
        <f t="shared" si="373"/>
        <v>0</v>
      </c>
    </row>
    <row r="618" spans="1:19" s="73" customFormat="1" x14ac:dyDescent="0.2">
      <c r="A618" s="72" t="s">
        <v>313</v>
      </c>
      <c r="B618" s="73" t="s">
        <v>25</v>
      </c>
      <c r="C618" s="71">
        <v>202</v>
      </c>
      <c r="D618" s="74" t="s">
        <v>33</v>
      </c>
      <c r="E618" s="75">
        <v>17</v>
      </c>
      <c r="F618" s="76">
        <v>1</v>
      </c>
      <c r="G618" s="77" t="s">
        <v>20</v>
      </c>
      <c r="H618" s="76">
        <v>36</v>
      </c>
      <c r="I618" s="77" t="s">
        <v>33</v>
      </c>
      <c r="J618" s="78">
        <f>2160000/36</f>
        <v>60000</v>
      </c>
      <c r="K618" s="74" t="s">
        <v>33</v>
      </c>
      <c r="L618" s="79"/>
      <c r="M618" s="79">
        <v>0.17</v>
      </c>
      <c r="N618" s="76">
        <v>814</v>
      </c>
      <c r="O618" s="77" t="s">
        <v>33</v>
      </c>
      <c r="P618" s="71">
        <f>(C618+(E618*F618*H618))-N618</f>
        <v>0</v>
      </c>
      <c r="Q618" s="77" t="s">
        <v>33</v>
      </c>
      <c r="R618" s="78">
        <f>P618*(J618-(J618*L618)-((J618-(J618*L618))*M618))</f>
        <v>0</v>
      </c>
      <c r="S618" s="78">
        <f t="shared" si="373"/>
        <v>0</v>
      </c>
    </row>
    <row r="619" spans="1:19" s="19" customFormat="1" x14ac:dyDescent="0.2">
      <c r="A619" s="18"/>
      <c r="C619" s="20"/>
      <c r="D619" s="21"/>
      <c r="E619" s="26"/>
      <c r="F619" s="22"/>
      <c r="G619" s="23"/>
      <c r="H619" s="22"/>
      <c r="I619" s="23"/>
      <c r="J619" s="24"/>
      <c r="K619" s="21"/>
      <c r="L619" s="25"/>
      <c r="M619" s="25"/>
      <c r="N619" s="22"/>
      <c r="O619" s="23"/>
      <c r="P619" s="20"/>
      <c r="Q619" s="23"/>
      <c r="R619" s="24"/>
      <c r="S619" s="24"/>
    </row>
    <row r="620" spans="1:19" s="19" customFormat="1" x14ac:dyDescent="0.2">
      <c r="A620" s="57" t="s">
        <v>768</v>
      </c>
      <c r="C620" s="20"/>
      <c r="D620" s="21"/>
      <c r="E620" s="26"/>
      <c r="F620" s="22"/>
      <c r="G620" s="23"/>
      <c r="H620" s="22"/>
      <c r="I620" s="23"/>
      <c r="J620" s="24"/>
      <c r="K620" s="21"/>
      <c r="L620" s="25"/>
      <c r="M620" s="25"/>
      <c r="N620" s="22"/>
      <c r="O620" s="23"/>
      <c r="P620" s="20"/>
      <c r="Q620" s="23"/>
      <c r="R620" s="24"/>
      <c r="S620" s="24"/>
    </row>
    <row r="621" spans="1:19" s="73" customFormat="1" x14ac:dyDescent="0.2">
      <c r="A621" s="72" t="s">
        <v>314</v>
      </c>
      <c r="B621" s="73" t="s">
        <v>25</v>
      </c>
      <c r="C621" s="71"/>
      <c r="D621" s="74" t="s">
        <v>102</v>
      </c>
      <c r="E621" s="75"/>
      <c r="F621" s="76">
        <v>1</v>
      </c>
      <c r="G621" s="77" t="s">
        <v>20</v>
      </c>
      <c r="H621" s="76">
        <v>60</v>
      </c>
      <c r="I621" s="77" t="s">
        <v>102</v>
      </c>
      <c r="J621" s="78">
        <v>18600</v>
      </c>
      <c r="K621" s="74" t="s">
        <v>102</v>
      </c>
      <c r="L621" s="79"/>
      <c r="M621" s="79">
        <v>0.17</v>
      </c>
      <c r="N621" s="76">
        <v>0</v>
      </c>
      <c r="O621" s="77" t="s">
        <v>102</v>
      </c>
      <c r="P621" s="71">
        <f>(C621+(E621*F621*H621))-N621</f>
        <v>0</v>
      </c>
      <c r="Q621" s="77" t="s">
        <v>102</v>
      </c>
      <c r="R621" s="78">
        <f>P621*(J621-(J621*L621)-((J621-(J621*L621))*M621))</f>
        <v>0</v>
      </c>
      <c r="S621" s="78">
        <f t="shared" si="373"/>
        <v>0</v>
      </c>
    </row>
    <row r="622" spans="1:19" s="19" customFormat="1" x14ac:dyDescent="0.2">
      <c r="A622" s="18"/>
      <c r="C622" s="20"/>
      <c r="D622" s="21"/>
      <c r="E622" s="26"/>
      <c r="F622" s="22"/>
      <c r="G622" s="23"/>
      <c r="H622" s="22"/>
      <c r="I622" s="23"/>
      <c r="J622" s="24"/>
      <c r="K622" s="21"/>
      <c r="L622" s="25"/>
      <c r="M622" s="25"/>
      <c r="N622" s="22"/>
      <c r="O622" s="23"/>
      <c r="P622" s="20"/>
      <c r="Q622" s="23"/>
      <c r="R622" s="24"/>
      <c r="S622" s="24"/>
    </row>
    <row r="623" spans="1:19" s="73" customFormat="1" x14ac:dyDescent="0.2">
      <c r="A623" s="72" t="s">
        <v>769</v>
      </c>
      <c r="B623" s="72" t="s">
        <v>171</v>
      </c>
      <c r="C623" s="117">
        <v>800</v>
      </c>
      <c r="D623" s="193" t="s">
        <v>40</v>
      </c>
      <c r="E623" s="194"/>
      <c r="F623" s="195">
        <v>1</v>
      </c>
      <c r="G623" s="103" t="s">
        <v>20</v>
      </c>
      <c r="H623" s="195">
        <v>160</v>
      </c>
      <c r="I623" s="103" t="s">
        <v>40</v>
      </c>
      <c r="J623" s="56">
        <v>7750</v>
      </c>
      <c r="K623" s="193" t="s">
        <v>40</v>
      </c>
      <c r="L623" s="196">
        <v>0.05</v>
      </c>
      <c r="M623" s="196"/>
      <c r="N623" s="195">
        <v>800</v>
      </c>
      <c r="O623" s="103" t="s">
        <v>40</v>
      </c>
      <c r="P623" s="117">
        <f>(C623+(E623*F623*H623))-N623</f>
        <v>0</v>
      </c>
      <c r="Q623" s="103" t="s">
        <v>40</v>
      </c>
      <c r="R623" s="56">
        <f>P623*(J623-(J623*L623)-((J623-(J623*L623))*M623))</f>
        <v>0</v>
      </c>
      <c r="S623" s="56">
        <f t="shared" si="373"/>
        <v>0</v>
      </c>
    </row>
    <row r="624" spans="1:19" s="19" customFormat="1" x14ac:dyDescent="0.2">
      <c r="A624" s="18"/>
      <c r="C624" s="20"/>
      <c r="D624" s="21"/>
      <c r="E624" s="26"/>
      <c r="F624" s="22"/>
      <c r="G624" s="23"/>
      <c r="H624" s="22"/>
      <c r="I624" s="23"/>
      <c r="J624" s="24"/>
      <c r="K624" s="21"/>
      <c r="L624" s="25"/>
      <c r="M624" s="25"/>
      <c r="N624" s="22"/>
      <c r="O624" s="23"/>
      <c r="P624" s="20"/>
      <c r="Q624" s="23"/>
      <c r="R624" s="24"/>
      <c r="S624" s="24"/>
    </row>
    <row r="625" spans="1:19" s="19" customFormat="1" x14ac:dyDescent="0.2">
      <c r="A625" s="57" t="s">
        <v>315</v>
      </c>
      <c r="C625" s="20"/>
      <c r="D625" s="21"/>
      <c r="E625" s="26"/>
      <c r="F625" s="22"/>
      <c r="G625" s="23"/>
      <c r="H625" s="22"/>
      <c r="I625" s="23"/>
      <c r="J625" s="24"/>
      <c r="K625" s="21"/>
      <c r="L625" s="25"/>
      <c r="M625" s="25"/>
      <c r="N625" s="22"/>
      <c r="O625" s="23"/>
      <c r="P625" s="20"/>
      <c r="Q625" s="23"/>
      <c r="R625" s="24"/>
      <c r="S625" s="24"/>
    </row>
    <row r="626" spans="1:19" s="73" customFormat="1" x14ac:dyDescent="0.2">
      <c r="A626" s="72" t="s">
        <v>316</v>
      </c>
      <c r="B626" s="73" t="s">
        <v>317</v>
      </c>
      <c r="C626" s="71">
        <v>145</v>
      </c>
      <c r="D626" s="74" t="s">
        <v>318</v>
      </c>
      <c r="E626" s="75"/>
      <c r="F626" s="76">
        <v>1</v>
      </c>
      <c r="G626" s="77" t="s">
        <v>20</v>
      </c>
      <c r="H626" s="76">
        <v>25</v>
      </c>
      <c r="I626" s="77" t="s">
        <v>318</v>
      </c>
      <c r="J626" s="78">
        <v>55000</v>
      </c>
      <c r="K626" s="74" t="s">
        <v>318</v>
      </c>
      <c r="L626" s="79"/>
      <c r="M626" s="79"/>
      <c r="N626" s="76">
        <v>145</v>
      </c>
      <c r="O626" s="77" t="s">
        <v>318</v>
      </c>
      <c r="P626" s="71">
        <f>(C626+(E626*F626*H626))-N626</f>
        <v>0</v>
      </c>
      <c r="Q626" s="77" t="s">
        <v>318</v>
      </c>
      <c r="R626" s="78">
        <f>P626*(J626-(J626*L626)-((J626-(J626*L626))*M626))</f>
        <v>0</v>
      </c>
      <c r="S626" s="78">
        <f t="shared" si="373"/>
        <v>0</v>
      </c>
    </row>
    <row r="627" spans="1:19" s="19" customFormat="1" x14ac:dyDescent="0.2">
      <c r="A627" s="18"/>
      <c r="C627" s="20"/>
      <c r="D627" s="21"/>
      <c r="E627" s="26"/>
      <c r="F627" s="22"/>
      <c r="G627" s="23"/>
      <c r="H627" s="22"/>
      <c r="I627" s="23"/>
      <c r="J627" s="24"/>
      <c r="K627" s="21"/>
      <c r="L627" s="25"/>
      <c r="M627" s="25"/>
      <c r="N627" s="22"/>
      <c r="O627" s="23"/>
      <c r="P627" s="20"/>
      <c r="Q627" s="23"/>
      <c r="R627" s="24"/>
      <c r="S627" s="24"/>
    </row>
    <row r="628" spans="1:19" s="19" customFormat="1" ht="15.75" x14ac:dyDescent="0.25">
      <c r="A628" s="35" t="s">
        <v>319</v>
      </c>
      <c r="C628" s="20"/>
      <c r="D628" s="21"/>
      <c r="E628" s="26"/>
      <c r="F628" s="22"/>
      <c r="G628" s="23"/>
      <c r="H628" s="22"/>
      <c r="I628" s="23"/>
      <c r="J628" s="24"/>
      <c r="K628" s="21"/>
      <c r="L628" s="25"/>
      <c r="M628" s="25"/>
      <c r="N628" s="22"/>
      <c r="O628" s="23"/>
      <c r="P628" s="20"/>
      <c r="Q628" s="23"/>
      <c r="R628" s="24"/>
      <c r="S628" s="24"/>
    </row>
    <row r="629" spans="1:19" s="73" customFormat="1" x14ac:dyDescent="0.2">
      <c r="A629" s="72" t="s">
        <v>320</v>
      </c>
      <c r="B629" s="73" t="s">
        <v>18</v>
      </c>
      <c r="C629" s="71"/>
      <c r="D629" s="74" t="s">
        <v>98</v>
      </c>
      <c r="E629" s="75"/>
      <c r="F629" s="76">
        <v>1</v>
      </c>
      <c r="G629" s="77" t="s">
        <v>20</v>
      </c>
      <c r="H629" s="76">
        <v>192</v>
      </c>
      <c r="I629" s="77" t="s">
        <v>98</v>
      </c>
      <c r="J629" s="78">
        <v>3450</v>
      </c>
      <c r="K629" s="74" t="s">
        <v>98</v>
      </c>
      <c r="L629" s="79">
        <v>0.125</v>
      </c>
      <c r="M629" s="79">
        <v>0.05</v>
      </c>
      <c r="N629" s="76"/>
      <c r="O629" s="77" t="s">
        <v>98</v>
      </c>
      <c r="P629" s="71">
        <f t="shared" ref="P629:P634" si="415">(C629+(E629*F629*H629))-N629</f>
        <v>0</v>
      </c>
      <c r="Q629" s="77" t="s">
        <v>98</v>
      </c>
      <c r="R629" s="78">
        <f t="shared" ref="R629:R634" si="416">P629*(J629-(J629*L629)-((J629-(J629*L629))*M629))</f>
        <v>0</v>
      </c>
      <c r="S629" s="78">
        <f t="shared" ref="S629:S742" si="417">R629/1.11</f>
        <v>0</v>
      </c>
    </row>
    <row r="630" spans="1:19" s="90" customFormat="1" x14ac:dyDescent="0.2">
      <c r="A630" s="82" t="s">
        <v>321</v>
      </c>
      <c r="B630" s="90" t="s">
        <v>18</v>
      </c>
      <c r="C630" s="91">
        <v>19840</v>
      </c>
      <c r="D630" s="92" t="s">
        <v>98</v>
      </c>
      <c r="E630" s="93"/>
      <c r="F630" s="94">
        <v>1</v>
      </c>
      <c r="G630" s="95" t="s">
        <v>20</v>
      </c>
      <c r="H630" s="94">
        <v>160</v>
      </c>
      <c r="I630" s="95" t="s">
        <v>98</v>
      </c>
      <c r="J630" s="96">
        <v>5400</v>
      </c>
      <c r="K630" s="92" t="s">
        <v>98</v>
      </c>
      <c r="L630" s="97">
        <v>0.125</v>
      </c>
      <c r="M630" s="97">
        <v>0.05</v>
      </c>
      <c r="N630" s="94"/>
      <c r="O630" s="95" t="s">
        <v>98</v>
      </c>
      <c r="P630" s="91">
        <f t="shared" si="415"/>
        <v>19840</v>
      </c>
      <c r="Q630" s="95" t="s">
        <v>98</v>
      </c>
      <c r="R630" s="96">
        <f t="shared" si="416"/>
        <v>89056800</v>
      </c>
      <c r="S630" s="96">
        <f t="shared" si="417"/>
        <v>80231351.351351351</v>
      </c>
    </row>
    <row r="631" spans="1:19" s="73" customFormat="1" x14ac:dyDescent="0.2">
      <c r="A631" s="72" t="s">
        <v>322</v>
      </c>
      <c r="B631" s="73" t="s">
        <v>18</v>
      </c>
      <c r="C631" s="71"/>
      <c r="D631" s="74" t="s">
        <v>98</v>
      </c>
      <c r="E631" s="75">
        <v>7</v>
      </c>
      <c r="F631" s="76">
        <v>1</v>
      </c>
      <c r="G631" s="77" t="s">
        <v>20</v>
      </c>
      <c r="H631" s="76">
        <v>192</v>
      </c>
      <c r="I631" s="77" t="s">
        <v>98</v>
      </c>
      <c r="J631" s="78">
        <v>3600</v>
      </c>
      <c r="K631" s="74" t="s">
        <v>98</v>
      </c>
      <c r="L631" s="79">
        <v>0.125</v>
      </c>
      <c r="M631" s="79">
        <v>0.05</v>
      </c>
      <c r="N631" s="76">
        <v>1344</v>
      </c>
      <c r="O631" s="77" t="s">
        <v>98</v>
      </c>
      <c r="P631" s="71">
        <f t="shared" si="415"/>
        <v>0</v>
      </c>
      <c r="Q631" s="77" t="s">
        <v>98</v>
      </c>
      <c r="R631" s="78">
        <f t="shared" si="416"/>
        <v>0</v>
      </c>
      <c r="S631" s="78">
        <f t="shared" si="417"/>
        <v>0</v>
      </c>
    </row>
    <row r="632" spans="1:19" s="73" customFormat="1" x14ac:dyDescent="0.2">
      <c r="A632" s="72" t="s">
        <v>323</v>
      </c>
      <c r="B632" s="73" t="s">
        <v>18</v>
      </c>
      <c r="C632" s="71">
        <v>43</v>
      </c>
      <c r="D632" s="74" t="s">
        <v>98</v>
      </c>
      <c r="E632" s="75">
        <v>17</v>
      </c>
      <c r="F632" s="76">
        <v>1</v>
      </c>
      <c r="G632" s="77" t="s">
        <v>20</v>
      </c>
      <c r="H632" s="76">
        <v>96</v>
      </c>
      <c r="I632" s="77" t="s">
        <v>98</v>
      </c>
      <c r="J632" s="78">
        <v>7000</v>
      </c>
      <c r="K632" s="74" t="s">
        <v>98</v>
      </c>
      <c r="L632" s="79">
        <v>0.125</v>
      </c>
      <c r="M632" s="79">
        <v>0.05</v>
      </c>
      <c r="N632" s="76">
        <v>1675</v>
      </c>
      <c r="O632" s="77" t="s">
        <v>98</v>
      </c>
      <c r="P632" s="71">
        <f t="shared" si="415"/>
        <v>0</v>
      </c>
      <c r="Q632" s="77" t="s">
        <v>98</v>
      </c>
      <c r="R632" s="78">
        <f t="shared" si="416"/>
        <v>0</v>
      </c>
      <c r="S632" s="78">
        <f t="shared" si="417"/>
        <v>0</v>
      </c>
    </row>
    <row r="633" spans="1:19" s="73" customFormat="1" x14ac:dyDescent="0.2">
      <c r="A633" s="72" t="s">
        <v>753</v>
      </c>
      <c r="B633" s="73" t="s">
        <v>18</v>
      </c>
      <c r="C633" s="71"/>
      <c r="D633" s="74" t="s">
        <v>98</v>
      </c>
      <c r="E633" s="75"/>
      <c r="F633" s="76">
        <v>1</v>
      </c>
      <c r="G633" s="77" t="s">
        <v>20</v>
      </c>
      <c r="H633" s="76">
        <v>160</v>
      </c>
      <c r="I633" s="77" t="s">
        <v>98</v>
      </c>
      <c r="J633" s="78">
        <v>5700</v>
      </c>
      <c r="K633" s="74" t="s">
        <v>98</v>
      </c>
      <c r="L633" s="79">
        <v>0.125</v>
      </c>
      <c r="M633" s="79">
        <v>0.05</v>
      </c>
      <c r="N633" s="76">
        <v>0</v>
      </c>
      <c r="O633" s="77" t="s">
        <v>98</v>
      </c>
      <c r="P633" s="71">
        <f t="shared" si="415"/>
        <v>0</v>
      </c>
      <c r="Q633" s="77" t="s">
        <v>98</v>
      </c>
      <c r="R633" s="78">
        <f t="shared" si="416"/>
        <v>0</v>
      </c>
      <c r="S633" s="78">
        <f t="shared" si="417"/>
        <v>0</v>
      </c>
    </row>
    <row r="634" spans="1:19" s="73" customFormat="1" x14ac:dyDescent="0.2">
      <c r="A634" s="72" t="s">
        <v>324</v>
      </c>
      <c r="B634" s="73" t="s">
        <v>18</v>
      </c>
      <c r="C634" s="71"/>
      <c r="D634" s="74" t="s">
        <v>98</v>
      </c>
      <c r="E634" s="75">
        <v>5</v>
      </c>
      <c r="F634" s="76">
        <v>1</v>
      </c>
      <c r="G634" s="77" t="s">
        <v>20</v>
      </c>
      <c r="H634" s="76">
        <v>80</v>
      </c>
      <c r="I634" s="77" t="s">
        <v>98</v>
      </c>
      <c r="J634" s="78">
        <v>10800</v>
      </c>
      <c r="K634" s="74" t="s">
        <v>98</v>
      </c>
      <c r="L634" s="79">
        <v>0.125</v>
      </c>
      <c r="M634" s="79">
        <v>0.05</v>
      </c>
      <c r="N634" s="76">
        <v>400</v>
      </c>
      <c r="O634" s="77" t="s">
        <v>98</v>
      </c>
      <c r="P634" s="71">
        <f t="shared" si="415"/>
        <v>0</v>
      </c>
      <c r="Q634" s="77" t="s">
        <v>98</v>
      </c>
      <c r="R634" s="78">
        <f t="shared" si="416"/>
        <v>0</v>
      </c>
      <c r="S634" s="78">
        <f t="shared" si="417"/>
        <v>0</v>
      </c>
    </row>
    <row r="635" spans="1:19" s="73" customFormat="1" x14ac:dyDescent="0.2">
      <c r="A635" s="72"/>
      <c r="C635" s="71"/>
      <c r="D635" s="74"/>
      <c r="E635" s="75"/>
      <c r="F635" s="76"/>
      <c r="G635" s="77"/>
      <c r="H635" s="76"/>
      <c r="I635" s="77"/>
      <c r="J635" s="78"/>
      <c r="K635" s="74"/>
      <c r="L635" s="79"/>
      <c r="M635" s="79"/>
      <c r="N635" s="76"/>
      <c r="O635" s="77"/>
      <c r="P635" s="71"/>
      <c r="Q635" s="77"/>
      <c r="R635" s="78"/>
      <c r="S635" s="78"/>
    </row>
    <row r="636" spans="1:19" s="73" customFormat="1" x14ac:dyDescent="0.2">
      <c r="A636" s="72" t="s">
        <v>325</v>
      </c>
      <c r="B636" s="73" t="s">
        <v>25</v>
      </c>
      <c r="C636" s="71">
        <v>910</v>
      </c>
      <c r="D636" s="74" t="s">
        <v>98</v>
      </c>
      <c r="E636" s="75">
        <v>24</v>
      </c>
      <c r="F636" s="76">
        <v>1</v>
      </c>
      <c r="G636" s="77" t="s">
        <v>20</v>
      </c>
      <c r="H636" s="76">
        <v>192</v>
      </c>
      <c r="I636" s="77" t="s">
        <v>98</v>
      </c>
      <c r="J636" s="78">
        <f>844800/192</f>
        <v>4400</v>
      </c>
      <c r="K636" s="74" t="s">
        <v>98</v>
      </c>
      <c r="L636" s="79"/>
      <c r="M636" s="79">
        <v>0.17</v>
      </c>
      <c r="N636" s="76">
        <v>5518</v>
      </c>
      <c r="O636" s="77" t="s">
        <v>98</v>
      </c>
      <c r="P636" s="71">
        <f>(C636+(E636*F636*H636))-N636</f>
        <v>0</v>
      </c>
      <c r="Q636" s="77" t="s">
        <v>98</v>
      </c>
      <c r="R636" s="78">
        <f>P636*(J636-(J636*L636)-((J636-(J636*L636))*M636))</f>
        <v>0</v>
      </c>
      <c r="S636" s="78">
        <f t="shared" si="417"/>
        <v>0</v>
      </c>
    </row>
    <row r="637" spans="1:19" s="73" customFormat="1" x14ac:dyDescent="0.2">
      <c r="A637" s="72" t="s">
        <v>326</v>
      </c>
      <c r="B637" s="73" t="s">
        <v>25</v>
      </c>
      <c r="C637" s="71"/>
      <c r="D637" s="74" t="s">
        <v>98</v>
      </c>
      <c r="E637" s="75">
        <v>22</v>
      </c>
      <c r="F637" s="76">
        <v>1</v>
      </c>
      <c r="G637" s="77" t="s">
        <v>20</v>
      </c>
      <c r="H637" s="76">
        <v>96</v>
      </c>
      <c r="I637" s="77" t="s">
        <v>98</v>
      </c>
      <c r="J637" s="78">
        <f>801600/96</f>
        <v>8350</v>
      </c>
      <c r="K637" s="74" t="s">
        <v>98</v>
      </c>
      <c r="L637" s="79"/>
      <c r="M637" s="79">
        <v>0.17</v>
      </c>
      <c r="N637" s="76">
        <v>2112</v>
      </c>
      <c r="O637" s="77" t="s">
        <v>98</v>
      </c>
      <c r="P637" s="71">
        <f>(C637+(E637*F637*H637))-N637</f>
        <v>0</v>
      </c>
      <c r="Q637" s="77" t="s">
        <v>98</v>
      </c>
      <c r="R637" s="78">
        <f>P637*(J637-(J637*L637)-((J637-(J637*L637))*M637))</f>
        <v>0</v>
      </c>
      <c r="S637" s="78">
        <f t="shared" si="417"/>
        <v>0</v>
      </c>
    </row>
    <row r="638" spans="1:19" s="73" customFormat="1" x14ac:dyDescent="0.2">
      <c r="A638" s="72" t="s">
        <v>327</v>
      </c>
      <c r="B638" s="73" t="s">
        <v>25</v>
      </c>
      <c r="C638" s="71">
        <v>160</v>
      </c>
      <c r="D638" s="74" t="s">
        <v>98</v>
      </c>
      <c r="E638" s="75">
        <v>3</v>
      </c>
      <c r="F638" s="76">
        <v>1</v>
      </c>
      <c r="G638" s="77" t="s">
        <v>20</v>
      </c>
      <c r="H638" s="76">
        <v>160</v>
      </c>
      <c r="I638" s="77" t="s">
        <v>98</v>
      </c>
      <c r="J638" s="78">
        <f>1104000/160</f>
        <v>6900</v>
      </c>
      <c r="K638" s="74" t="s">
        <v>98</v>
      </c>
      <c r="L638" s="79"/>
      <c r="M638" s="79">
        <v>0.17</v>
      </c>
      <c r="N638" s="76">
        <v>640</v>
      </c>
      <c r="O638" s="77" t="s">
        <v>98</v>
      </c>
      <c r="P638" s="71">
        <f>(C638+(E638*F638*H638))-N638</f>
        <v>0</v>
      </c>
      <c r="Q638" s="77" t="s">
        <v>98</v>
      </c>
      <c r="R638" s="78">
        <f>P638*(J638-(J638*L638)-((J638-(J638*L638))*M638))</f>
        <v>0</v>
      </c>
      <c r="S638" s="78">
        <f t="shared" si="417"/>
        <v>0</v>
      </c>
    </row>
    <row r="639" spans="1:19" s="73" customFormat="1" x14ac:dyDescent="0.2">
      <c r="A639" s="72" t="s">
        <v>328</v>
      </c>
      <c r="B639" s="73" t="s">
        <v>25</v>
      </c>
      <c r="C639" s="71"/>
      <c r="D639" s="74" t="s">
        <v>98</v>
      </c>
      <c r="E639" s="75">
        <v>15</v>
      </c>
      <c r="F639" s="76">
        <v>1</v>
      </c>
      <c r="G639" s="77" t="s">
        <v>20</v>
      </c>
      <c r="H639" s="76">
        <v>80</v>
      </c>
      <c r="I639" s="77" t="s">
        <v>98</v>
      </c>
      <c r="J639" s="78">
        <f>1040000/80</f>
        <v>13000</v>
      </c>
      <c r="K639" s="74" t="s">
        <v>98</v>
      </c>
      <c r="L639" s="79"/>
      <c r="M639" s="79">
        <v>0.17</v>
      </c>
      <c r="N639" s="76">
        <v>1200</v>
      </c>
      <c r="O639" s="77" t="s">
        <v>98</v>
      </c>
      <c r="P639" s="71">
        <f>(C639+(E639*F639*H639))-N639</f>
        <v>0</v>
      </c>
      <c r="Q639" s="77" t="s">
        <v>98</v>
      </c>
      <c r="R639" s="78">
        <f>P639*(J639-(J639*L639)-((J639-(J639*L639))*M639))</f>
        <v>0</v>
      </c>
      <c r="S639" s="78">
        <f t="shared" si="417"/>
        <v>0</v>
      </c>
    </row>
    <row r="640" spans="1:19" s="19" customFormat="1" x14ac:dyDescent="0.2">
      <c r="A640" s="18"/>
      <c r="C640" s="20"/>
      <c r="D640" s="21"/>
      <c r="E640" s="26"/>
      <c r="F640" s="22"/>
      <c r="G640" s="23"/>
      <c r="H640" s="22"/>
      <c r="I640" s="23"/>
      <c r="J640" s="24"/>
      <c r="K640" s="21"/>
      <c r="L640" s="25"/>
      <c r="M640" s="25"/>
      <c r="N640" s="22"/>
      <c r="O640" s="23"/>
      <c r="P640" s="20"/>
      <c r="Q640" s="23"/>
      <c r="R640" s="24"/>
      <c r="S640" s="24"/>
    </row>
    <row r="641" spans="1:20" s="19" customFormat="1" ht="15.75" x14ac:dyDescent="0.25">
      <c r="A641" s="35" t="s">
        <v>774</v>
      </c>
      <c r="C641" s="20"/>
      <c r="D641" s="21"/>
      <c r="E641" s="26"/>
      <c r="F641" s="22"/>
      <c r="G641" s="23"/>
      <c r="H641" s="22"/>
      <c r="I641" s="23"/>
      <c r="J641" s="24"/>
      <c r="K641" s="21"/>
      <c r="L641" s="59"/>
      <c r="M641" s="59"/>
      <c r="N641" s="22"/>
      <c r="O641" s="23"/>
      <c r="P641" s="20"/>
      <c r="Q641" s="23"/>
      <c r="R641" s="24"/>
      <c r="S641" s="24"/>
    </row>
    <row r="642" spans="1:20" s="73" customFormat="1" x14ac:dyDescent="0.2">
      <c r="A642" s="72" t="s">
        <v>775</v>
      </c>
      <c r="B642" s="72" t="s">
        <v>171</v>
      </c>
      <c r="C642" s="117">
        <v>160</v>
      </c>
      <c r="D642" s="193" t="s">
        <v>19</v>
      </c>
      <c r="E642" s="194"/>
      <c r="F642" s="195">
        <v>1</v>
      </c>
      <c r="G642" s="103" t="s">
        <v>20</v>
      </c>
      <c r="H642" s="195">
        <v>10</v>
      </c>
      <c r="I642" s="103" t="s">
        <v>19</v>
      </c>
      <c r="J642" s="56">
        <v>55000</v>
      </c>
      <c r="K642" s="193" t="s">
        <v>19</v>
      </c>
      <c r="L642" s="196">
        <v>0.05</v>
      </c>
      <c r="M642" s="196"/>
      <c r="N642" s="195">
        <v>160</v>
      </c>
      <c r="O642" s="103" t="s">
        <v>19</v>
      </c>
      <c r="P642" s="117">
        <f>(C642+(E642*F642*H642))-N642</f>
        <v>0</v>
      </c>
      <c r="Q642" s="103" t="s">
        <v>19</v>
      </c>
      <c r="R642" s="56">
        <f>P642*(J642-(J642*L642)-((J642-(J642*L642))*M642))</f>
        <v>0</v>
      </c>
      <c r="S642" s="56">
        <f t="shared" ref="S642" si="418">R642/1.11</f>
        <v>0</v>
      </c>
    </row>
    <row r="643" spans="1:20" s="19" customFormat="1" x14ac:dyDescent="0.2">
      <c r="A643" s="18"/>
      <c r="C643" s="20"/>
      <c r="D643" s="21"/>
      <c r="E643" s="26"/>
      <c r="F643" s="22"/>
      <c r="G643" s="23"/>
      <c r="H643" s="22"/>
      <c r="I643" s="23"/>
      <c r="J643" s="24"/>
      <c r="K643" s="21"/>
      <c r="L643" s="25"/>
      <c r="M643" s="25"/>
      <c r="N643" s="22"/>
      <c r="O643" s="23"/>
      <c r="P643" s="20"/>
      <c r="Q643" s="23"/>
      <c r="R643" s="24"/>
      <c r="S643" s="24"/>
    </row>
    <row r="644" spans="1:20" s="19" customFormat="1" ht="15.75" x14ac:dyDescent="0.25">
      <c r="A644" s="35" t="s">
        <v>329</v>
      </c>
      <c r="C644" s="20"/>
      <c r="D644" s="21"/>
      <c r="E644" s="26"/>
      <c r="F644" s="22"/>
      <c r="G644" s="23"/>
      <c r="H644" s="22"/>
      <c r="I644" s="23"/>
      <c r="J644" s="24"/>
      <c r="K644" s="21"/>
      <c r="L644" s="59"/>
      <c r="M644" s="59"/>
      <c r="N644" s="22"/>
      <c r="O644" s="23"/>
      <c r="P644" s="20"/>
      <c r="Q644" s="23"/>
      <c r="R644" s="24"/>
      <c r="S644" s="24"/>
    </row>
    <row r="645" spans="1:20" s="19" customFormat="1" x14ac:dyDescent="0.2">
      <c r="A645" s="57" t="s">
        <v>330</v>
      </c>
      <c r="C645" s="20"/>
      <c r="D645" s="21"/>
      <c r="E645" s="26"/>
      <c r="F645" s="22"/>
      <c r="G645" s="23"/>
      <c r="H645" s="22"/>
      <c r="I645" s="23"/>
      <c r="J645" s="24"/>
      <c r="K645" s="21"/>
      <c r="L645" s="59"/>
      <c r="M645" s="59"/>
      <c r="N645" s="22"/>
      <c r="O645" s="23"/>
      <c r="P645" s="20"/>
      <c r="Q645" s="23"/>
      <c r="R645" s="24"/>
      <c r="S645" s="24"/>
    </row>
    <row r="646" spans="1:20" s="73" customFormat="1" x14ac:dyDescent="0.2">
      <c r="A646" s="72" t="s">
        <v>331</v>
      </c>
      <c r="B646" s="73" t="s">
        <v>18</v>
      </c>
      <c r="C646" s="71"/>
      <c r="D646" s="74" t="s">
        <v>19</v>
      </c>
      <c r="E646" s="75"/>
      <c r="F646" s="76">
        <v>1</v>
      </c>
      <c r="G646" s="77" t="s">
        <v>20</v>
      </c>
      <c r="H646" s="76">
        <v>24</v>
      </c>
      <c r="I646" s="77" t="s">
        <v>19</v>
      </c>
      <c r="J646" s="78">
        <v>35000</v>
      </c>
      <c r="K646" s="74" t="s">
        <v>19</v>
      </c>
      <c r="L646" s="79">
        <v>0.125</v>
      </c>
      <c r="M646" s="79">
        <v>0.05</v>
      </c>
      <c r="N646" s="76">
        <v>0</v>
      </c>
      <c r="O646" s="77" t="s">
        <v>19</v>
      </c>
      <c r="P646" s="71">
        <f t="shared" ref="P646:P651" si="419">(C646+(E646*F646*H646))-N646</f>
        <v>0</v>
      </c>
      <c r="Q646" s="77" t="s">
        <v>19</v>
      </c>
      <c r="R646" s="78">
        <f t="shared" ref="R646:R651" si="420">P646*(J646-(J646*L646)-((J646-(J646*L646))*M646))</f>
        <v>0</v>
      </c>
      <c r="S646" s="78">
        <f t="shared" si="417"/>
        <v>0</v>
      </c>
    </row>
    <row r="647" spans="1:20" s="73" customFormat="1" x14ac:dyDescent="0.2">
      <c r="A647" s="72" t="s">
        <v>332</v>
      </c>
      <c r="B647" s="73" t="s">
        <v>18</v>
      </c>
      <c r="C647" s="71">
        <v>216</v>
      </c>
      <c r="D647" s="74" t="s">
        <v>19</v>
      </c>
      <c r="E647" s="75">
        <v>114</v>
      </c>
      <c r="F647" s="76">
        <v>1</v>
      </c>
      <c r="G647" s="77" t="s">
        <v>20</v>
      </c>
      <c r="H647" s="76">
        <v>72</v>
      </c>
      <c r="I647" s="77" t="s">
        <v>19</v>
      </c>
      <c r="J647" s="78">
        <v>15800</v>
      </c>
      <c r="K647" s="74" t="s">
        <v>19</v>
      </c>
      <c r="L647" s="79">
        <v>0.125</v>
      </c>
      <c r="M647" s="79">
        <v>0.05</v>
      </c>
      <c r="N647" s="76">
        <v>8424</v>
      </c>
      <c r="O647" s="77" t="s">
        <v>19</v>
      </c>
      <c r="P647" s="71">
        <f t="shared" si="419"/>
        <v>0</v>
      </c>
      <c r="Q647" s="77" t="s">
        <v>19</v>
      </c>
      <c r="R647" s="78">
        <f t="shared" si="420"/>
        <v>0</v>
      </c>
      <c r="S647" s="78">
        <f t="shared" si="417"/>
        <v>0</v>
      </c>
      <c r="T647" s="78"/>
    </row>
    <row r="648" spans="1:20" s="73" customFormat="1" x14ac:dyDescent="0.2">
      <c r="A648" s="72" t="s">
        <v>333</v>
      </c>
      <c r="B648" s="73" t="s">
        <v>18</v>
      </c>
      <c r="C648" s="71">
        <v>216</v>
      </c>
      <c r="D648" s="74" t="s">
        <v>19</v>
      </c>
      <c r="E648" s="75"/>
      <c r="F648" s="76">
        <v>1</v>
      </c>
      <c r="G648" s="77" t="s">
        <v>20</v>
      </c>
      <c r="H648" s="76">
        <v>72</v>
      </c>
      <c r="I648" s="77" t="s">
        <v>19</v>
      </c>
      <c r="J648" s="78">
        <v>15800</v>
      </c>
      <c r="K648" s="74" t="s">
        <v>19</v>
      </c>
      <c r="L648" s="79">
        <v>0.125</v>
      </c>
      <c r="M648" s="79">
        <v>0.05</v>
      </c>
      <c r="N648" s="76">
        <v>216</v>
      </c>
      <c r="O648" s="77" t="s">
        <v>19</v>
      </c>
      <c r="P648" s="71">
        <f t="shared" si="419"/>
        <v>0</v>
      </c>
      <c r="Q648" s="77" t="s">
        <v>19</v>
      </c>
      <c r="R648" s="78">
        <f t="shared" si="420"/>
        <v>0</v>
      </c>
      <c r="S648" s="78">
        <f t="shared" si="417"/>
        <v>0</v>
      </c>
      <c r="T648" s="78"/>
    </row>
    <row r="649" spans="1:20" s="73" customFormat="1" x14ac:dyDescent="0.2">
      <c r="A649" s="72" t="s">
        <v>334</v>
      </c>
      <c r="B649" s="73" t="s">
        <v>18</v>
      </c>
      <c r="C649" s="71"/>
      <c r="D649" s="74" t="s">
        <v>19</v>
      </c>
      <c r="E649" s="75">
        <v>24</v>
      </c>
      <c r="F649" s="76">
        <v>1</v>
      </c>
      <c r="G649" s="77" t="s">
        <v>20</v>
      </c>
      <c r="H649" s="76">
        <v>72</v>
      </c>
      <c r="I649" s="77" t="s">
        <v>19</v>
      </c>
      <c r="J649" s="78">
        <v>20700</v>
      </c>
      <c r="K649" s="74" t="s">
        <v>19</v>
      </c>
      <c r="L649" s="79">
        <v>0.125</v>
      </c>
      <c r="M649" s="79">
        <v>0.05</v>
      </c>
      <c r="N649" s="76">
        <v>1728</v>
      </c>
      <c r="O649" s="77" t="s">
        <v>19</v>
      </c>
      <c r="P649" s="71">
        <f t="shared" si="419"/>
        <v>0</v>
      </c>
      <c r="Q649" s="77" t="s">
        <v>19</v>
      </c>
      <c r="R649" s="78">
        <f t="shared" si="420"/>
        <v>0</v>
      </c>
      <c r="S649" s="78">
        <f t="shared" si="417"/>
        <v>0</v>
      </c>
    </row>
    <row r="650" spans="1:20" s="73" customFormat="1" x14ac:dyDescent="0.2">
      <c r="A650" s="72" t="s">
        <v>335</v>
      </c>
      <c r="B650" s="73" t="s">
        <v>18</v>
      </c>
      <c r="C650" s="71">
        <v>36</v>
      </c>
      <c r="D650" s="74" t="s">
        <v>19</v>
      </c>
      <c r="E650" s="75"/>
      <c r="F650" s="76">
        <v>1</v>
      </c>
      <c r="G650" s="77" t="s">
        <v>20</v>
      </c>
      <c r="H650" s="76">
        <v>72</v>
      </c>
      <c r="I650" s="77" t="s">
        <v>19</v>
      </c>
      <c r="J650" s="78">
        <v>20700</v>
      </c>
      <c r="K650" s="74" t="s">
        <v>19</v>
      </c>
      <c r="L650" s="79">
        <v>0.125</v>
      </c>
      <c r="M650" s="79">
        <v>0.05</v>
      </c>
      <c r="N650" s="76">
        <v>36</v>
      </c>
      <c r="O650" s="77" t="s">
        <v>19</v>
      </c>
      <c r="P650" s="71">
        <f t="shared" si="419"/>
        <v>0</v>
      </c>
      <c r="Q650" s="77" t="s">
        <v>19</v>
      </c>
      <c r="R650" s="78">
        <f t="shared" si="420"/>
        <v>0</v>
      </c>
      <c r="S650" s="78">
        <f t="shared" si="417"/>
        <v>0</v>
      </c>
    </row>
    <row r="651" spans="1:20" s="73" customFormat="1" x14ac:dyDescent="0.2">
      <c r="A651" s="72" t="s">
        <v>942</v>
      </c>
      <c r="B651" s="73" t="s">
        <v>18</v>
      </c>
      <c r="C651" s="71"/>
      <c r="D651" s="74" t="s">
        <v>19</v>
      </c>
      <c r="E651" s="75">
        <v>2</v>
      </c>
      <c r="F651" s="76">
        <v>1</v>
      </c>
      <c r="G651" s="77" t="s">
        <v>20</v>
      </c>
      <c r="H651" s="76">
        <v>96</v>
      </c>
      <c r="I651" s="77" t="s">
        <v>19</v>
      </c>
      <c r="J651" s="78">
        <v>19500</v>
      </c>
      <c r="K651" s="74" t="s">
        <v>19</v>
      </c>
      <c r="L651" s="79">
        <v>0.125</v>
      </c>
      <c r="M651" s="79">
        <v>0.05</v>
      </c>
      <c r="N651" s="76">
        <v>192</v>
      </c>
      <c r="O651" s="77" t="s">
        <v>19</v>
      </c>
      <c r="P651" s="71">
        <f t="shared" si="419"/>
        <v>0</v>
      </c>
      <c r="Q651" s="77" t="s">
        <v>19</v>
      </c>
      <c r="R651" s="78">
        <f t="shared" si="420"/>
        <v>0</v>
      </c>
      <c r="S651" s="78">
        <f t="shared" ref="S651" si="421">R651/1.11</f>
        <v>0</v>
      </c>
    </row>
    <row r="652" spans="1:20" s="19" customFormat="1" x14ac:dyDescent="0.2">
      <c r="A652" s="18"/>
      <c r="C652" s="20"/>
      <c r="D652" s="21"/>
      <c r="E652" s="26"/>
      <c r="F652" s="22"/>
      <c r="G652" s="23"/>
      <c r="H652" s="22"/>
      <c r="I652" s="23"/>
      <c r="J652" s="24"/>
      <c r="K652" s="21"/>
      <c r="L652" s="25"/>
      <c r="M652" s="25"/>
      <c r="N652" s="22"/>
      <c r="O652" s="23"/>
      <c r="P652" s="20"/>
      <c r="Q652" s="23"/>
      <c r="R652" s="24"/>
      <c r="S652" s="24"/>
    </row>
    <row r="653" spans="1:20" s="73" customFormat="1" x14ac:dyDescent="0.2">
      <c r="A653" s="72" t="s">
        <v>336</v>
      </c>
      <c r="B653" s="73" t="s">
        <v>25</v>
      </c>
      <c r="C653" s="71"/>
      <c r="D653" s="74" t="s">
        <v>19</v>
      </c>
      <c r="E653" s="75">
        <v>11</v>
      </c>
      <c r="F653" s="76">
        <v>1</v>
      </c>
      <c r="G653" s="77" t="s">
        <v>20</v>
      </c>
      <c r="H653" s="76">
        <v>72</v>
      </c>
      <c r="I653" s="77" t="s">
        <v>19</v>
      </c>
      <c r="J653" s="78">
        <f>1310400/72</f>
        <v>18200</v>
      </c>
      <c r="K653" s="74" t="s">
        <v>19</v>
      </c>
      <c r="L653" s="79"/>
      <c r="M653" s="79">
        <v>0.17</v>
      </c>
      <c r="N653" s="76">
        <v>792</v>
      </c>
      <c r="O653" s="77" t="s">
        <v>19</v>
      </c>
      <c r="P653" s="71">
        <f>(C653+(E653*F653*H653))-N653</f>
        <v>0</v>
      </c>
      <c r="Q653" s="77" t="s">
        <v>19</v>
      </c>
      <c r="R653" s="78">
        <f>P653*(J653-(J653*L653)-((J653-(J653*L653))*M653))</f>
        <v>0</v>
      </c>
      <c r="S653" s="78">
        <f t="shared" si="417"/>
        <v>0</v>
      </c>
    </row>
    <row r="654" spans="1:20" s="73" customFormat="1" x14ac:dyDescent="0.2">
      <c r="A654" s="72" t="s">
        <v>337</v>
      </c>
      <c r="B654" s="73" t="s">
        <v>25</v>
      </c>
      <c r="C654" s="71">
        <v>36</v>
      </c>
      <c r="D654" s="74" t="s">
        <v>19</v>
      </c>
      <c r="E654" s="75"/>
      <c r="F654" s="76">
        <v>1</v>
      </c>
      <c r="G654" s="77" t="s">
        <v>20</v>
      </c>
      <c r="H654" s="76">
        <v>72</v>
      </c>
      <c r="I654" s="77" t="s">
        <v>19</v>
      </c>
      <c r="J654" s="78">
        <f>1512000/72</f>
        <v>21000</v>
      </c>
      <c r="K654" s="74" t="s">
        <v>19</v>
      </c>
      <c r="L654" s="79">
        <v>0.125</v>
      </c>
      <c r="M654" s="79">
        <v>0.05</v>
      </c>
      <c r="N654" s="76">
        <v>36</v>
      </c>
      <c r="O654" s="77" t="s">
        <v>19</v>
      </c>
      <c r="P654" s="71">
        <f>(C654+(E654*F654*H654))-N654</f>
        <v>0</v>
      </c>
      <c r="Q654" s="77" t="s">
        <v>19</v>
      </c>
      <c r="R654" s="78">
        <f>P654*(J654-(J654*L654)-((J654-(J654*L654))*M654))</f>
        <v>0</v>
      </c>
      <c r="S654" s="78">
        <f t="shared" si="417"/>
        <v>0</v>
      </c>
    </row>
    <row r="655" spans="1:20" s="73" customFormat="1" x14ac:dyDescent="0.2">
      <c r="A655" s="72" t="s">
        <v>780</v>
      </c>
      <c r="B655" s="73" t="s">
        <v>25</v>
      </c>
      <c r="C655" s="71"/>
      <c r="D655" s="74" t="s">
        <v>19</v>
      </c>
      <c r="E655" s="75"/>
      <c r="F655" s="76">
        <v>1</v>
      </c>
      <c r="G655" s="77" t="s">
        <v>20</v>
      </c>
      <c r="H655" s="76">
        <v>72</v>
      </c>
      <c r="I655" s="77" t="s">
        <v>19</v>
      </c>
      <c r="J655" s="78">
        <f>1224000/72</f>
        <v>17000</v>
      </c>
      <c r="K655" s="74" t="s">
        <v>19</v>
      </c>
      <c r="L655" s="79"/>
      <c r="M655" s="79">
        <v>0.17</v>
      </c>
      <c r="N655" s="76">
        <v>0</v>
      </c>
      <c r="O655" s="77" t="s">
        <v>19</v>
      </c>
      <c r="P655" s="71">
        <f>(C655+(E655*F655*H655))-N655</f>
        <v>0</v>
      </c>
      <c r="Q655" s="77" t="s">
        <v>19</v>
      </c>
      <c r="R655" s="78">
        <f>P655*(J655-(J655*L655)-((J655-(J655*L655))*M655))</f>
        <v>0</v>
      </c>
      <c r="S655" s="78">
        <f t="shared" si="417"/>
        <v>0</v>
      </c>
    </row>
    <row r="656" spans="1:20" s="73" customFormat="1" x14ac:dyDescent="0.2">
      <c r="A656" s="72" t="s">
        <v>338</v>
      </c>
      <c r="B656" s="73" t="s">
        <v>25</v>
      </c>
      <c r="C656" s="71"/>
      <c r="D656" s="74" t="s">
        <v>19</v>
      </c>
      <c r="E656" s="75"/>
      <c r="F656" s="76">
        <v>1</v>
      </c>
      <c r="G656" s="77" t="s">
        <v>20</v>
      </c>
      <c r="H656" s="76">
        <v>120</v>
      </c>
      <c r="I656" s="77" t="s">
        <v>19</v>
      </c>
      <c r="J656" s="78">
        <v>9000</v>
      </c>
      <c r="K656" s="74" t="s">
        <v>19</v>
      </c>
      <c r="L656" s="79"/>
      <c r="M656" s="79">
        <v>0.17</v>
      </c>
      <c r="N656" s="76">
        <v>0</v>
      </c>
      <c r="O656" s="77" t="s">
        <v>19</v>
      </c>
      <c r="P656" s="71">
        <f>(C656+(E656*F656*H656))-N656</f>
        <v>0</v>
      </c>
      <c r="Q656" s="77" t="s">
        <v>19</v>
      </c>
      <c r="R656" s="78">
        <f>P656*(J656-(J656*L656)-((J656-(J656*L656))*M656))</f>
        <v>0</v>
      </c>
      <c r="S656" s="78">
        <f t="shared" si="417"/>
        <v>0</v>
      </c>
    </row>
    <row r="657" spans="1:19" s="19" customFormat="1" x14ac:dyDescent="0.2">
      <c r="A657" s="18"/>
      <c r="C657" s="20"/>
      <c r="D657" s="21"/>
      <c r="E657" s="26"/>
      <c r="F657" s="22"/>
      <c r="G657" s="23"/>
      <c r="H657" s="22"/>
      <c r="I657" s="23"/>
      <c r="J657" s="24"/>
      <c r="K657" s="21"/>
      <c r="L657" s="25"/>
      <c r="M657" s="25"/>
      <c r="N657" s="22"/>
      <c r="O657" s="23"/>
      <c r="P657" s="20"/>
      <c r="Q657" s="23"/>
      <c r="R657" s="24"/>
      <c r="S657" s="24"/>
    </row>
    <row r="658" spans="1:19" s="19" customFormat="1" x14ac:dyDescent="0.2">
      <c r="A658" s="57" t="s">
        <v>339</v>
      </c>
      <c r="C658" s="20"/>
      <c r="D658" s="21"/>
      <c r="E658" s="26"/>
      <c r="F658" s="22"/>
      <c r="G658" s="23"/>
      <c r="H658" s="22"/>
      <c r="I658" s="23"/>
      <c r="J658" s="24"/>
      <c r="K658" s="21"/>
      <c r="L658" s="25"/>
      <c r="M658" s="25"/>
      <c r="N658" s="22"/>
      <c r="O658" s="23"/>
      <c r="P658" s="20"/>
      <c r="Q658" s="23"/>
      <c r="R658" s="24"/>
      <c r="S658" s="24"/>
    </row>
    <row r="659" spans="1:19" s="73" customFormat="1" x14ac:dyDescent="0.2">
      <c r="A659" s="72" t="s">
        <v>340</v>
      </c>
      <c r="B659" s="73" t="s">
        <v>18</v>
      </c>
      <c r="C659" s="71"/>
      <c r="D659" s="74" t="s">
        <v>19</v>
      </c>
      <c r="E659" s="75"/>
      <c r="F659" s="76">
        <v>2</v>
      </c>
      <c r="G659" s="77" t="s">
        <v>33</v>
      </c>
      <c r="H659" s="76">
        <v>24</v>
      </c>
      <c r="I659" s="77" t="s">
        <v>19</v>
      </c>
      <c r="J659" s="78">
        <v>9200</v>
      </c>
      <c r="K659" s="74" t="s">
        <v>19</v>
      </c>
      <c r="L659" s="79">
        <v>0.125</v>
      </c>
      <c r="M659" s="79">
        <v>0.05</v>
      </c>
      <c r="N659" s="76">
        <v>0</v>
      </c>
      <c r="O659" s="77" t="s">
        <v>19</v>
      </c>
      <c r="P659" s="71">
        <f>(C659+(E659*F659*H659))-N659</f>
        <v>0</v>
      </c>
      <c r="Q659" s="77" t="s">
        <v>19</v>
      </c>
      <c r="R659" s="78">
        <f>P659*(J659-(J659*L659)-((J659-(J659*L659))*M659))</f>
        <v>0</v>
      </c>
      <c r="S659" s="78">
        <f t="shared" si="417"/>
        <v>0</v>
      </c>
    </row>
    <row r="660" spans="1:19" s="73" customFormat="1" x14ac:dyDescent="0.2">
      <c r="A660" s="72" t="s">
        <v>730</v>
      </c>
      <c r="B660" s="73" t="s">
        <v>18</v>
      </c>
      <c r="C660" s="71"/>
      <c r="D660" s="74" t="s">
        <v>19</v>
      </c>
      <c r="E660" s="75">
        <v>1</v>
      </c>
      <c r="F660" s="76">
        <v>4</v>
      </c>
      <c r="G660" s="77" t="s">
        <v>33</v>
      </c>
      <c r="H660" s="76">
        <v>24</v>
      </c>
      <c r="I660" s="77" t="s">
        <v>19</v>
      </c>
      <c r="J660" s="78">
        <v>6300</v>
      </c>
      <c r="K660" s="74" t="s">
        <v>19</v>
      </c>
      <c r="L660" s="79">
        <v>0.125</v>
      </c>
      <c r="M660" s="79">
        <v>0.05</v>
      </c>
      <c r="N660" s="76">
        <v>96</v>
      </c>
      <c r="O660" s="77" t="s">
        <v>19</v>
      </c>
      <c r="P660" s="71">
        <f>(C660+(E660*F660*H660))-N660</f>
        <v>0</v>
      </c>
      <c r="Q660" s="77" t="s">
        <v>19</v>
      </c>
      <c r="R660" s="78">
        <f>P660*(J660-(J660*L660)-((J660-(J660*L660))*M660))</f>
        <v>0</v>
      </c>
      <c r="S660" s="78">
        <f t="shared" si="417"/>
        <v>0</v>
      </c>
    </row>
    <row r="661" spans="1:19" s="19" customFormat="1" x14ac:dyDescent="0.2">
      <c r="A661" s="18"/>
      <c r="C661" s="20"/>
      <c r="D661" s="21"/>
      <c r="E661" s="26"/>
      <c r="F661" s="22"/>
      <c r="G661" s="23"/>
      <c r="H661" s="22"/>
      <c r="I661" s="23"/>
      <c r="J661" s="24"/>
      <c r="K661" s="21"/>
      <c r="L661" s="25"/>
      <c r="M661" s="25"/>
      <c r="N661" s="22"/>
      <c r="O661" s="23"/>
      <c r="P661" s="20"/>
      <c r="Q661" s="23"/>
      <c r="R661" s="24"/>
      <c r="S661" s="24"/>
    </row>
    <row r="662" spans="1:19" s="73" customFormat="1" x14ac:dyDescent="0.2">
      <c r="A662" s="72" t="s">
        <v>341</v>
      </c>
      <c r="B662" s="73" t="s">
        <v>25</v>
      </c>
      <c r="C662" s="71"/>
      <c r="D662" s="74" t="s">
        <v>40</v>
      </c>
      <c r="E662" s="75">
        <v>15</v>
      </c>
      <c r="F662" s="76">
        <v>1</v>
      </c>
      <c r="G662" s="77" t="s">
        <v>20</v>
      </c>
      <c r="H662" s="76">
        <v>12</v>
      </c>
      <c r="I662" s="77" t="s">
        <v>40</v>
      </c>
      <c r="J662" s="78">
        <f>741600/12</f>
        <v>61800</v>
      </c>
      <c r="K662" s="74" t="s">
        <v>40</v>
      </c>
      <c r="L662" s="79"/>
      <c r="M662" s="79">
        <v>0.17</v>
      </c>
      <c r="N662" s="76">
        <v>180</v>
      </c>
      <c r="O662" s="77" t="s">
        <v>40</v>
      </c>
      <c r="P662" s="71">
        <f>(C662+(E662*F662*H662))-N662</f>
        <v>0</v>
      </c>
      <c r="Q662" s="77" t="s">
        <v>40</v>
      </c>
      <c r="R662" s="78">
        <f>P662*(J662-(J662*L662)-((J662-(J662*L662))*M662))</f>
        <v>0</v>
      </c>
      <c r="S662" s="78">
        <f t="shared" si="417"/>
        <v>0</v>
      </c>
    </row>
    <row r="663" spans="1:19" s="73" customFormat="1" x14ac:dyDescent="0.2">
      <c r="A663" s="72" t="s">
        <v>342</v>
      </c>
      <c r="B663" s="73" t="s">
        <v>25</v>
      </c>
      <c r="C663" s="71">
        <v>23</v>
      </c>
      <c r="D663" s="74" t="s">
        <v>40</v>
      </c>
      <c r="E663" s="75">
        <v>14</v>
      </c>
      <c r="F663" s="76">
        <v>1</v>
      </c>
      <c r="G663" s="77" t="s">
        <v>20</v>
      </c>
      <c r="H663" s="76">
        <v>20</v>
      </c>
      <c r="I663" s="77" t="s">
        <v>40</v>
      </c>
      <c r="J663" s="78">
        <f>804000/20</f>
        <v>40200</v>
      </c>
      <c r="K663" s="74" t="s">
        <v>40</v>
      </c>
      <c r="L663" s="79"/>
      <c r="M663" s="79">
        <v>0.17</v>
      </c>
      <c r="N663" s="76">
        <v>303</v>
      </c>
      <c r="O663" s="77" t="s">
        <v>40</v>
      </c>
      <c r="P663" s="71">
        <f>(C663+(E663*F663*H663))-N663</f>
        <v>0</v>
      </c>
      <c r="Q663" s="77" t="s">
        <v>40</v>
      </c>
      <c r="R663" s="78">
        <f>P663*(J663-(J663*L663)-((J663-(J663*L663))*M663))</f>
        <v>0</v>
      </c>
      <c r="S663" s="78">
        <f t="shared" si="417"/>
        <v>0</v>
      </c>
    </row>
    <row r="664" spans="1:19" s="73" customFormat="1" x14ac:dyDescent="0.2">
      <c r="A664" s="72" t="s">
        <v>343</v>
      </c>
      <c r="B664" s="73" t="s">
        <v>25</v>
      </c>
      <c r="C664" s="71"/>
      <c r="D664" s="74" t="s">
        <v>40</v>
      </c>
      <c r="E664" s="75">
        <v>8</v>
      </c>
      <c r="F664" s="76">
        <v>1</v>
      </c>
      <c r="G664" s="77" t="s">
        <v>20</v>
      </c>
      <c r="H664" s="76">
        <v>6</v>
      </c>
      <c r="I664" s="77" t="s">
        <v>40</v>
      </c>
      <c r="J664" s="78">
        <f>810000/6</f>
        <v>135000</v>
      </c>
      <c r="K664" s="74" t="s">
        <v>40</v>
      </c>
      <c r="L664" s="79"/>
      <c r="M664" s="79">
        <v>0.17</v>
      </c>
      <c r="N664" s="76">
        <v>48</v>
      </c>
      <c r="O664" s="77" t="s">
        <v>40</v>
      </c>
      <c r="P664" s="71">
        <f>(C664+(E664*F664*H664))-N664</f>
        <v>0</v>
      </c>
      <c r="Q664" s="77" t="s">
        <v>40</v>
      </c>
      <c r="R664" s="78">
        <f>P664*(J664-(J664*L664)-((J664-(J664*L664))*M664))</f>
        <v>0</v>
      </c>
      <c r="S664" s="78">
        <f t="shared" si="417"/>
        <v>0</v>
      </c>
    </row>
    <row r="665" spans="1:19" s="73" customFormat="1" x14ac:dyDescent="0.2">
      <c r="A665" s="72"/>
      <c r="C665" s="71"/>
      <c r="D665" s="74"/>
      <c r="E665" s="75"/>
      <c r="F665" s="76"/>
      <c r="G665" s="77"/>
      <c r="H665" s="76"/>
      <c r="I665" s="77"/>
      <c r="J665" s="78"/>
      <c r="K665" s="74"/>
      <c r="L665" s="79"/>
      <c r="M665" s="79"/>
      <c r="N665" s="76"/>
      <c r="O665" s="77"/>
      <c r="P665" s="71"/>
      <c r="Q665" s="77"/>
      <c r="R665" s="78"/>
      <c r="S665" s="78"/>
    </row>
    <row r="666" spans="1:19" s="64" customFormat="1" x14ac:dyDescent="0.2">
      <c r="A666" s="72" t="s">
        <v>1010</v>
      </c>
      <c r="B666" s="64" t="s">
        <v>171</v>
      </c>
      <c r="C666" s="65"/>
      <c r="D666" s="66"/>
      <c r="E666" s="67">
        <v>3</v>
      </c>
      <c r="F666" s="68">
        <v>1</v>
      </c>
      <c r="G666" s="69" t="s">
        <v>20</v>
      </c>
      <c r="H666" s="68">
        <v>96</v>
      </c>
      <c r="I666" s="69" t="s">
        <v>830</v>
      </c>
      <c r="J666" s="16">
        <v>16500</v>
      </c>
      <c r="K666" s="66" t="s">
        <v>830</v>
      </c>
      <c r="L666" s="70">
        <v>7.0000000000000007E-2</v>
      </c>
      <c r="M666" s="70"/>
      <c r="N666" s="68">
        <v>288</v>
      </c>
      <c r="O666" s="69" t="s">
        <v>830</v>
      </c>
      <c r="P666" s="65">
        <f>(C666+(E666*F666*H666))-N666</f>
        <v>0</v>
      </c>
      <c r="Q666" s="69" t="s">
        <v>98</v>
      </c>
      <c r="R666" s="16">
        <f>P666*(J666-(J666*L666)-((J666-(J666*L666))*M666))</f>
        <v>0</v>
      </c>
      <c r="S666" s="16">
        <f t="shared" ref="S666" si="422">R666/1.11</f>
        <v>0</v>
      </c>
    </row>
    <row r="667" spans="1:19" s="64" customFormat="1" x14ac:dyDescent="0.2">
      <c r="A667" s="72" t="s">
        <v>1011</v>
      </c>
      <c r="B667" s="64" t="s">
        <v>171</v>
      </c>
      <c r="C667" s="65"/>
      <c r="D667" s="66"/>
      <c r="E667" s="67">
        <v>3</v>
      </c>
      <c r="F667" s="68">
        <v>1</v>
      </c>
      <c r="G667" s="69" t="s">
        <v>20</v>
      </c>
      <c r="H667" s="68">
        <v>96</v>
      </c>
      <c r="I667" s="69" t="s">
        <v>830</v>
      </c>
      <c r="J667" s="16">
        <v>16500</v>
      </c>
      <c r="K667" s="66" t="s">
        <v>830</v>
      </c>
      <c r="L667" s="70">
        <v>7.0000000000000007E-2</v>
      </c>
      <c r="M667" s="70"/>
      <c r="N667" s="68">
        <v>288</v>
      </c>
      <c r="O667" s="69" t="s">
        <v>830</v>
      </c>
      <c r="P667" s="65">
        <f>(C667+(E667*F667*H667))-N667</f>
        <v>0</v>
      </c>
      <c r="Q667" s="69" t="s">
        <v>98</v>
      </c>
      <c r="R667" s="16">
        <f>P667*(J667-(J667*L667)-((J667-(J667*L667))*M667))</f>
        <v>0</v>
      </c>
      <c r="S667" s="16">
        <f t="shared" ref="S667:S668" si="423">R667/1.11</f>
        <v>0</v>
      </c>
    </row>
    <row r="668" spans="1:19" s="64" customFormat="1" x14ac:dyDescent="0.2">
      <c r="A668" s="184" t="s">
        <v>1010</v>
      </c>
      <c r="B668" s="64" t="s">
        <v>171</v>
      </c>
      <c r="C668" s="65"/>
      <c r="D668" s="66"/>
      <c r="E668" s="67">
        <v>3</v>
      </c>
      <c r="F668" s="68">
        <v>1</v>
      </c>
      <c r="G668" s="69" t="s">
        <v>20</v>
      </c>
      <c r="H668" s="68">
        <v>96</v>
      </c>
      <c r="I668" s="69" t="s">
        <v>830</v>
      </c>
      <c r="J668" s="16">
        <v>15000</v>
      </c>
      <c r="K668" s="66" t="s">
        <v>830</v>
      </c>
      <c r="L668" s="70">
        <v>7.0000000000000007E-2</v>
      </c>
      <c r="M668" s="70"/>
      <c r="N668" s="68">
        <v>288</v>
      </c>
      <c r="O668" s="69" t="s">
        <v>830</v>
      </c>
      <c r="P668" s="65">
        <f t="shared" ref="P668:P671" si="424">(C668+(E668*F668*H668))-N668</f>
        <v>0</v>
      </c>
      <c r="Q668" s="69" t="s">
        <v>98</v>
      </c>
      <c r="R668" s="16">
        <f t="shared" ref="R668:R671" si="425">P668*(J668-(J668*L668)-((J668-(J668*L668))*M668))</f>
        <v>0</v>
      </c>
      <c r="S668" s="16">
        <f t="shared" si="423"/>
        <v>0</v>
      </c>
    </row>
    <row r="669" spans="1:19" s="64" customFormat="1" x14ac:dyDescent="0.2">
      <c r="A669" s="184" t="s">
        <v>1011</v>
      </c>
      <c r="B669" s="64" t="s">
        <v>171</v>
      </c>
      <c r="C669" s="65"/>
      <c r="D669" s="66"/>
      <c r="E669" s="67">
        <v>3</v>
      </c>
      <c r="F669" s="68">
        <v>1</v>
      </c>
      <c r="G669" s="69" t="s">
        <v>20</v>
      </c>
      <c r="H669" s="68">
        <v>96</v>
      </c>
      <c r="I669" s="69" t="s">
        <v>830</v>
      </c>
      <c r="J669" s="16">
        <v>15000</v>
      </c>
      <c r="K669" s="66" t="s">
        <v>830</v>
      </c>
      <c r="L669" s="70">
        <v>7.0000000000000007E-2</v>
      </c>
      <c r="M669" s="70"/>
      <c r="N669" s="68">
        <v>288</v>
      </c>
      <c r="O669" s="69" t="s">
        <v>830</v>
      </c>
      <c r="P669" s="65">
        <f t="shared" si="424"/>
        <v>0</v>
      </c>
      <c r="Q669" s="69" t="s">
        <v>98</v>
      </c>
      <c r="R669" s="16">
        <f t="shared" si="425"/>
        <v>0</v>
      </c>
      <c r="S669" s="16">
        <f t="shared" ref="S669:S671" si="426">R669/1.11</f>
        <v>0</v>
      </c>
    </row>
    <row r="670" spans="1:19" s="64" customFormat="1" x14ac:dyDescent="0.2">
      <c r="A670" s="184" t="s">
        <v>1079</v>
      </c>
      <c r="B670" s="64" t="s">
        <v>171</v>
      </c>
      <c r="C670" s="65"/>
      <c r="D670" s="66"/>
      <c r="E670" s="67">
        <v>3</v>
      </c>
      <c r="F670" s="68">
        <v>1</v>
      </c>
      <c r="G670" s="69" t="s">
        <v>20</v>
      </c>
      <c r="H670" s="68">
        <v>96</v>
      </c>
      <c r="I670" s="69" t="s">
        <v>830</v>
      </c>
      <c r="J670" s="16">
        <v>15000</v>
      </c>
      <c r="K670" s="66" t="s">
        <v>830</v>
      </c>
      <c r="L670" s="70">
        <v>7.0000000000000007E-2</v>
      </c>
      <c r="M670" s="70"/>
      <c r="N670" s="68">
        <v>288</v>
      </c>
      <c r="O670" s="69" t="s">
        <v>830</v>
      </c>
      <c r="P670" s="65">
        <f t="shared" si="424"/>
        <v>0</v>
      </c>
      <c r="Q670" s="69" t="s">
        <v>98</v>
      </c>
      <c r="R670" s="16">
        <f t="shared" si="425"/>
        <v>0</v>
      </c>
      <c r="S670" s="16">
        <f t="shared" si="426"/>
        <v>0</v>
      </c>
    </row>
    <row r="671" spans="1:19" s="64" customFormat="1" x14ac:dyDescent="0.2">
      <c r="A671" s="184" t="s">
        <v>1080</v>
      </c>
      <c r="B671" s="64" t="s">
        <v>171</v>
      </c>
      <c r="C671" s="65"/>
      <c r="D671" s="66"/>
      <c r="E671" s="67">
        <v>3</v>
      </c>
      <c r="F671" s="68">
        <v>1</v>
      </c>
      <c r="G671" s="69" t="s">
        <v>20</v>
      </c>
      <c r="H671" s="68">
        <v>96</v>
      </c>
      <c r="I671" s="69" t="s">
        <v>830</v>
      </c>
      <c r="J671" s="16">
        <v>15000</v>
      </c>
      <c r="K671" s="66" t="s">
        <v>830</v>
      </c>
      <c r="L671" s="70">
        <v>7.0000000000000007E-2</v>
      </c>
      <c r="M671" s="70"/>
      <c r="N671" s="68">
        <v>288</v>
      </c>
      <c r="O671" s="69" t="s">
        <v>830</v>
      </c>
      <c r="P671" s="65">
        <f t="shared" si="424"/>
        <v>0</v>
      </c>
      <c r="Q671" s="69" t="s">
        <v>98</v>
      </c>
      <c r="R671" s="16">
        <f t="shared" si="425"/>
        <v>0</v>
      </c>
      <c r="S671" s="16">
        <f t="shared" si="426"/>
        <v>0</v>
      </c>
    </row>
    <row r="672" spans="1:19" s="64" customFormat="1" x14ac:dyDescent="0.2">
      <c r="A672" s="72" t="s">
        <v>1014</v>
      </c>
      <c r="B672" s="64" t="s">
        <v>171</v>
      </c>
      <c r="C672" s="65"/>
      <c r="D672" s="66"/>
      <c r="E672" s="67">
        <v>3</v>
      </c>
      <c r="F672" s="68">
        <v>1</v>
      </c>
      <c r="G672" s="69" t="s">
        <v>20</v>
      </c>
      <c r="H672" s="68">
        <v>160</v>
      </c>
      <c r="I672" s="69" t="s">
        <v>830</v>
      </c>
      <c r="J672" s="16">
        <v>10000</v>
      </c>
      <c r="K672" s="66" t="s">
        <v>830</v>
      </c>
      <c r="L672" s="70">
        <v>7.0000000000000007E-2</v>
      </c>
      <c r="M672" s="70"/>
      <c r="N672" s="68">
        <v>480</v>
      </c>
      <c r="O672" s="69" t="s">
        <v>830</v>
      </c>
      <c r="P672" s="65">
        <f>(C672+(E672*F672*H672))-N672</f>
        <v>0</v>
      </c>
      <c r="Q672" s="69" t="s">
        <v>98</v>
      </c>
      <c r="R672" s="16">
        <f>P672*(J672-(J672*L672)-((J672-(J672*L672))*M672))</f>
        <v>0</v>
      </c>
      <c r="S672" s="16">
        <f t="shared" ref="S672" si="427">R672/1.11</f>
        <v>0</v>
      </c>
    </row>
    <row r="673" spans="1:20" s="64" customFormat="1" x14ac:dyDescent="0.2">
      <c r="A673" s="72" t="s">
        <v>1015</v>
      </c>
      <c r="B673" s="64" t="s">
        <v>171</v>
      </c>
      <c r="C673" s="65"/>
      <c r="D673" s="66"/>
      <c r="E673" s="67">
        <v>3</v>
      </c>
      <c r="F673" s="68">
        <v>1</v>
      </c>
      <c r="G673" s="69" t="s">
        <v>20</v>
      </c>
      <c r="H673" s="68">
        <v>160</v>
      </c>
      <c r="I673" s="69" t="s">
        <v>830</v>
      </c>
      <c r="J673" s="16">
        <v>10000</v>
      </c>
      <c r="K673" s="66" t="s">
        <v>830</v>
      </c>
      <c r="L673" s="70">
        <v>7.0000000000000007E-2</v>
      </c>
      <c r="M673" s="70"/>
      <c r="N673" s="68">
        <v>480</v>
      </c>
      <c r="O673" s="69" t="s">
        <v>830</v>
      </c>
      <c r="P673" s="65">
        <f t="shared" ref="P673:P674" si="428">(C673+(E673*F673*H673))-N673</f>
        <v>0</v>
      </c>
      <c r="Q673" s="69" t="s">
        <v>98</v>
      </c>
      <c r="R673" s="16">
        <f t="shared" ref="R673:R674" si="429">P673*(J673-(J673*L673)-((J673-(J673*L673))*M673))</f>
        <v>0</v>
      </c>
      <c r="S673" s="16">
        <f t="shared" ref="S673:S674" si="430">R673/1.11</f>
        <v>0</v>
      </c>
    </row>
    <row r="674" spans="1:20" s="64" customFormat="1" x14ac:dyDescent="0.2">
      <c r="A674" s="72" t="s">
        <v>1016</v>
      </c>
      <c r="B674" s="64" t="s">
        <v>171</v>
      </c>
      <c r="C674" s="65"/>
      <c r="D674" s="66"/>
      <c r="E674" s="67">
        <v>3</v>
      </c>
      <c r="F674" s="68">
        <v>1</v>
      </c>
      <c r="G674" s="69" t="s">
        <v>20</v>
      </c>
      <c r="H674" s="68">
        <v>160</v>
      </c>
      <c r="I674" s="69" t="s">
        <v>830</v>
      </c>
      <c r="J674" s="16">
        <v>10000</v>
      </c>
      <c r="K674" s="66" t="s">
        <v>830</v>
      </c>
      <c r="L674" s="70">
        <v>7.0000000000000007E-2</v>
      </c>
      <c r="M674" s="70"/>
      <c r="N674" s="68">
        <v>480</v>
      </c>
      <c r="O674" s="69" t="s">
        <v>830</v>
      </c>
      <c r="P674" s="65">
        <f t="shared" si="428"/>
        <v>0</v>
      </c>
      <c r="Q674" s="69" t="s">
        <v>98</v>
      </c>
      <c r="R674" s="16">
        <f t="shared" si="429"/>
        <v>0</v>
      </c>
      <c r="S674" s="16">
        <f t="shared" si="430"/>
        <v>0</v>
      </c>
    </row>
    <row r="675" spans="1:20" s="19" customFormat="1" x14ac:dyDescent="0.2">
      <c r="A675" s="18"/>
      <c r="C675" s="20"/>
      <c r="D675" s="21"/>
      <c r="E675" s="26"/>
      <c r="F675" s="22"/>
      <c r="G675" s="23"/>
      <c r="H675" s="22"/>
      <c r="I675" s="23"/>
      <c r="J675" s="24"/>
      <c r="K675" s="21"/>
      <c r="L675" s="25"/>
      <c r="M675" s="25"/>
      <c r="N675" s="22"/>
      <c r="O675" s="23"/>
      <c r="P675" s="20"/>
      <c r="Q675" s="23"/>
      <c r="R675" s="24"/>
      <c r="S675" s="24"/>
    </row>
    <row r="676" spans="1:20" s="19" customFormat="1" x14ac:dyDescent="0.2">
      <c r="A676" s="57" t="s">
        <v>344</v>
      </c>
      <c r="C676" s="20"/>
      <c r="D676" s="21"/>
      <c r="E676" s="26"/>
      <c r="F676" s="22"/>
      <c r="G676" s="23"/>
      <c r="H676" s="22"/>
      <c r="I676" s="23"/>
      <c r="J676" s="24"/>
      <c r="K676" s="21"/>
      <c r="L676" s="59"/>
      <c r="M676" s="59"/>
      <c r="N676" s="22"/>
      <c r="O676" s="23"/>
      <c r="P676" s="20"/>
      <c r="Q676" s="23"/>
      <c r="R676" s="24"/>
      <c r="S676" s="24"/>
    </row>
    <row r="677" spans="1:20" s="73" customFormat="1" x14ac:dyDescent="0.2">
      <c r="A677" s="72" t="s">
        <v>345</v>
      </c>
      <c r="B677" s="73" t="s">
        <v>18</v>
      </c>
      <c r="C677" s="71"/>
      <c r="D677" s="74" t="s">
        <v>151</v>
      </c>
      <c r="E677" s="75"/>
      <c r="F677" s="76">
        <v>36</v>
      </c>
      <c r="G677" s="77" t="s">
        <v>33</v>
      </c>
      <c r="H677" s="76">
        <v>30</v>
      </c>
      <c r="I677" s="77" t="s">
        <v>151</v>
      </c>
      <c r="J677" s="78">
        <v>3200</v>
      </c>
      <c r="K677" s="74" t="s">
        <v>151</v>
      </c>
      <c r="L677" s="79">
        <v>0.125</v>
      </c>
      <c r="M677" s="79">
        <v>0.05</v>
      </c>
      <c r="N677" s="76">
        <v>0</v>
      </c>
      <c r="O677" s="77" t="s">
        <v>151</v>
      </c>
      <c r="P677" s="71">
        <f>(C677+(E677*F677*H677))-N677</f>
        <v>0</v>
      </c>
      <c r="Q677" s="77" t="s">
        <v>151</v>
      </c>
      <c r="R677" s="78">
        <f>P677*(J677-(J677*L677)-((J677-(J677*L677))*M677))</f>
        <v>0</v>
      </c>
      <c r="S677" s="78">
        <f t="shared" si="417"/>
        <v>0</v>
      </c>
      <c r="T677" s="78"/>
    </row>
    <row r="678" spans="1:20" s="73" customFormat="1" x14ac:dyDescent="0.2">
      <c r="A678" s="72" t="s">
        <v>346</v>
      </c>
      <c r="B678" s="73" t="s">
        <v>18</v>
      </c>
      <c r="C678" s="71"/>
      <c r="D678" s="74" t="s">
        <v>151</v>
      </c>
      <c r="E678" s="75"/>
      <c r="F678" s="76">
        <v>36</v>
      </c>
      <c r="G678" s="77" t="s">
        <v>33</v>
      </c>
      <c r="H678" s="76">
        <v>30</v>
      </c>
      <c r="I678" s="77" t="s">
        <v>151</v>
      </c>
      <c r="J678" s="78">
        <v>2900</v>
      </c>
      <c r="K678" s="74" t="s">
        <v>151</v>
      </c>
      <c r="L678" s="79">
        <v>0.125</v>
      </c>
      <c r="M678" s="79">
        <v>0.05</v>
      </c>
      <c r="N678" s="76">
        <v>0</v>
      </c>
      <c r="O678" s="77" t="s">
        <v>151</v>
      </c>
      <c r="P678" s="71">
        <f>(C678+(E678*F678*H678))-N678</f>
        <v>0</v>
      </c>
      <c r="Q678" s="77" t="s">
        <v>151</v>
      </c>
      <c r="R678" s="78">
        <f>P678*(J678-(J678*L678)-((J678-(J678*L678))*M678))</f>
        <v>0</v>
      </c>
      <c r="S678" s="78">
        <f t="shared" si="417"/>
        <v>0</v>
      </c>
      <c r="T678" s="78"/>
    </row>
    <row r="679" spans="1:20" s="19" customFormat="1" x14ac:dyDescent="0.2">
      <c r="A679" s="18"/>
      <c r="C679" s="20"/>
      <c r="D679" s="21"/>
      <c r="E679" s="26"/>
      <c r="F679" s="22"/>
      <c r="G679" s="23"/>
      <c r="H679" s="22"/>
      <c r="I679" s="23"/>
      <c r="J679" s="24"/>
      <c r="K679" s="21"/>
      <c r="L679" s="25"/>
      <c r="M679" s="25"/>
      <c r="N679" s="22"/>
      <c r="O679" s="23"/>
      <c r="P679" s="20"/>
      <c r="Q679" s="23"/>
      <c r="R679" s="24"/>
      <c r="S679" s="24"/>
    </row>
    <row r="680" spans="1:20" s="19" customFormat="1" ht="15.75" x14ac:dyDescent="0.25">
      <c r="A680" s="35" t="s">
        <v>347</v>
      </c>
      <c r="C680" s="20"/>
      <c r="D680" s="21"/>
      <c r="E680" s="26"/>
      <c r="F680" s="22"/>
      <c r="G680" s="23"/>
      <c r="H680" s="22"/>
      <c r="I680" s="23"/>
      <c r="J680" s="24"/>
      <c r="K680" s="21"/>
      <c r="L680" s="25"/>
      <c r="M680" s="25"/>
      <c r="N680" s="22"/>
      <c r="O680" s="23"/>
      <c r="P680" s="20"/>
      <c r="Q680" s="23"/>
      <c r="R680" s="24"/>
      <c r="S680" s="24"/>
    </row>
    <row r="681" spans="1:20" s="73" customFormat="1" x14ac:dyDescent="0.2">
      <c r="A681" s="104" t="s">
        <v>350</v>
      </c>
      <c r="B681" s="73" t="s">
        <v>18</v>
      </c>
      <c r="C681" s="71"/>
      <c r="D681" s="74" t="s">
        <v>98</v>
      </c>
      <c r="E681" s="75">
        <v>3</v>
      </c>
      <c r="F681" s="76">
        <v>1</v>
      </c>
      <c r="G681" s="77" t="s">
        <v>20</v>
      </c>
      <c r="H681" s="76">
        <v>100</v>
      </c>
      <c r="I681" s="77" t="s">
        <v>98</v>
      </c>
      <c r="J681" s="78">
        <v>8400</v>
      </c>
      <c r="K681" s="74" t="s">
        <v>98</v>
      </c>
      <c r="L681" s="79">
        <v>0.125</v>
      </c>
      <c r="M681" s="79">
        <v>0.05</v>
      </c>
      <c r="N681" s="76">
        <v>300</v>
      </c>
      <c r="O681" s="77" t="s">
        <v>98</v>
      </c>
      <c r="P681" s="71">
        <f>(C681+(E681*F681*H681))-N681</f>
        <v>0</v>
      </c>
      <c r="Q681" s="77" t="s">
        <v>98</v>
      </c>
      <c r="R681" s="78">
        <f>P681*(J681-(J681*L681)-((J681-(J681*L681))*M681))</f>
        <v>0</v>
      </c>
      <c r="S681" s="78">
        <f>R681/1.11</f>
        <v>0</v>
      </c>
      <c r="T681" s="78"/>
    </row>
    <row r="682" spans="1:20" s="73" customFormat="1" x14ac:dyDescent="0.2">
      <c r="A682" s="204" t="s">
        <v>350</v>
      </c>
      <c r="B682" s="73" t="s">
        <v>18</v>
      </c>
      <c r="C682" s="71"/>
      <c r="D682" s="74" t="s">
        <v>98</v>
      </c>
      <c r="E682" s="75">
        <v>1</v>
      </c>
      <c r="F682" s="76">
        <v>1</v>
      </c>
      <c r="G682" s="77" t="s">
        <v>20</v>
      </c>
      <c r="H682" s="76">
        <v>100</v>
      </c>
      <c r="I682" s="77" t="s">
        <v>98</v>
      </c>
      <c r="J682" s="78">
        <v>7600</v>
      </c>
      <c r="K682" s="74" t="s">
        <v>98</v>
      </c>
      <c r="L682" s="79">
        <v>0.125</v>
      </c>
      <c r="M682" s="79">
        <v>0.05</v>
      </c>
      <c r="N682" s="76">
        <v>100</v>
      </c>
      <c r="O682" s="77" t="s">
        <v>98</v>
      </c>
      <c r="P682" s="71">
        <f>(C682+(E682*F682*H682))-N682</f>
        <v>0</v>
      </c>
      <c r="Q682" s="77" t="s">
        <v>98</v>
      </c>
      <c r="R682" s="78">
        <f>P682*(J682-(J682*L682)-((J682-(J682*L682))*M682))</f>
        <v>0</v>
      </c>
      <c r="S682" s="78">
        <f>R682/1.11</f>
        <v>0</v>
      </c>
      <c r="T682" s="78"/>
    </row>
    <row r="683" spans="1:20" s="73" customFormat="1" x14ac:dyDescent="0.2">
      <c r="A683" s="204" t="s">
        <v>350</v>
      </c>
      <c r="B683" s="73" t="s">
        <v>18</v>
      </c>
      <c r="C683" s="71"/>
      <c r="D683" s="74" t="s">
        <v>98</v>
      </c>
      <c r="E683" s="75">
        <v>2</v>
      </c>
      <c r="F683" s="76">
        <v>1</v>
      </c>
      <c r="G683" s="77" t="s">
        <v>20</v>
      </c>
      <c r="H683" s="76">
        <v>100</v>
      </c>
      <c r="I683" s="77" t="s">
        <v>98</v>
      </c>
      <c r="J683" s="78">
        <v>7600</v>
      </c>
      <c r="K683" s="74" t="s">
        <v>98</v>
      </c>
      <c r="L683" s="79">
        <v>0.125</v>
      </c>
      <c r="M683" s="79">
        <v>0.1</v>
      </c>
      <c r="N683" s="76">
        <v>200</v>
      </c>
      <c r="O683" s="77" t="s">
        <v>98</v>
      </c>
      <c r="P683" s="71">
        <f>(C683+(E683*F683*H683))-N683</f>
        <v>0</v>
      </c>
      <c r="Q683" s="77" t="s">
        <v>98</v>
      </c>
      <c r="R683" s="78">
        <f>P683*(J683-(J683*L683)-((J683-(J683*L683))*M683))</f>
        <v>0</v>
      </c>
      <c r="S683" s="78">
        <f>R683/1.11</f>
        <v>0</v>
      </c>
      <c r="T683" s="78"/>
    </row>
    <row r="684" spans="1:20" s="73" customFormat="1" x14ac:dyDescent="0.2">
      <c r="A684" s="104" t="s">
        <v>351</v>
      </c>
      <c r="B684" s="73" t="s">
        <v>18</v>
      </c>
      <c r="C684" s="71"/>
      <c r="D684" s="74" t="s">
        <v>98</v>
      </c>
      <c r="E684" s="75">
        <v>2</v>
      </c>
      <c r="F684" s="76">
        <v>1</v>
      </c>
      <c r="G684" s="77" t="s">
        <v>20</v>
      </c>
      <c r="H684" s="76">
        <v>100</v>
      </c>
      <c r="I684" s="77" t="s">
        <v>98</v>
      </c>
      <c r="J684" s="78">
        <v>8400</v>
      </c>
      <c r="K684" s="74" t="s">
        <v>98</v>
      </c>
      <c r="L684" s="79">
        <v>0.125</v>
      </c>
      <c r="M684" s="79">
        <v>0.05</v>
      </c>
      <c r="N684" s="76">
        <v>200</v>
      </c>
      <c r="O684" s="77" t="s">
        <v>98</v>
      </c>
      <c r="P684" s="71">
        <f>(C684+(E684*F684*H684))-N684</f>
        <v>0</v>
      </c>
      <c r="Q684" s="77" t="s">
        <v>98</v>
      </c>
      <c r="R684" s="78">
        <f>P684*(J684-(J684*L684)-((J684-(J684*L684))*M684))</f>
        <v>0</v>
      </c>
      <c r="S684" s="78">
        <f>R684/1.11</f>
        <v>0</v>
      </c>
      <c r="T684" s="78"/>
    </row>
    <row r="685" spans="1:20" s="73" customFormat="1" x14ac:dyDescent="0.2">
      <c r="A685" s="104"/>
      <c r="C685" s="71"/>
      <c r="D685" s="74"/>
      <c r="E685" s="75"/>
      <c r="F685" s="76"/>
      <c r="G685" s="77"/>
      <c r="H685" s="76"/>
      <c r="I685" s="77"/>
      <c r="J685" s="78"/>
      <c r="K685" s="74"/>
      <c r="L685" s="79"/>
      <c r="M685" s="79"/>
      <c r="N685" s="76"/>
      <c r="O685" s="77"/>
      <c r="P685" s="71"/>
      <c r="Q685" s="77"/>
      <c r="R685" s="78"/>
      <c r="S685" s="78"/>
      <c r="T685" s="78"/>
    </row>
    <row r="686" spans="1:20" s="73" customFormat="1" x14ac:dyDescent="0.2">
      <c r="A686" s="104" t="s">
        <v>348</v>
      </c>
      <c r="B686" s="73" t="s">
        <v>25</v>
      </c>
      <c r="C686" s="71">
        <v>60</v>
      </c>
      <c r="D686" s="74" t="s">
        <v>33</v>
      </c>
      <c r="E686" s="75">
        <v>2</v>
      </c>
      <c r="F686" s="76">
        <v>10</v>
      </c>
      <c r="G686" s="77" t="s">
        <v>98</v>
      </c>
      <c r="H686" s="76">
        <v>10</v>
      </c>
      <c r="I686" s="77" t="s">
        <v>33</v>
      </c>
      <c r="J686" s="78">
        <f>980000/100</f>
        <v>9800</v>
      </c>
      <c r="K686" s="74" t="s">
        <v>33</v>
      </c>
      <c r="L686" s="79"/>
      <c r="M686" s="79">
        <v>0.17</v>
      </c>
      <c r="N686" s="76">
        <v>260</v>
      </c>
      <c r="O686" s="77" t="s">
        <v>33</v>
      </c>
      <c r="P686" s="71">
        <f>(C686+(E686*F686*H686))-N686</f>
        <v>0</v>
      </c>
      <c r="Q686" s="77" t="s">
        <v>33</v>
      </c>
      <c r="R686" s="78">
        <f>P686*(J686-(J686*L686)-((J686-(J686*L686))*M686))</f>
        <v>0</v>
      </c>
      <c r="S686" s="78">
        <f t="shared" si="417"/>
        <v>0</v>
      </c>
    </row>
    <row r="687" spans="1:20" s="73" customFormat="1" x14ac:dyDescent="0.2">
      <c r="A687" s="104" t="s">
        <v>349</v>
      </c>
      <c r="B687" s="73" t="s">
        <v>25</v>
      </c>
      <c r="C687" s="71"/>
      <c r="D687" s="74" t="s">
        <v>33</v>
      </c>
      <c r="E687" s="75">
        <v>3</v>
      </c>
      <c r="F687" s="76">
        <v>10</v>
      </c>
      <c r="G687" s="77" t="s">
        <v>98</v>
      </c>
      <c r="H687" s="76">
        <v>10</v>
      </c>
      <c r="I687" s="77" t="s">
        <v>33</v>
      </c>
      <c r="J687" s="78">
        <f>980000/100</f>
        <v>9800</v>
      </c>
      <c r="K687" s="74" t="s">
        <v>33</v>
      </c>
      <c r="L687" s="79"/>
      <c r="M687" s="79">
        <v>0.17</v>
      </c>
      <c r="N687" s="76">
        <v>300</v>
      </c>
      <c r="O687" s="77" t="s">
        <v>33</v>
      </c>
      <c r="P687" s="71">
        <f>(C687+(E687*F687*H687))-N687</f>
        <v>0</v>
      </c>
      <c r="Q687" s="77" t="s">
        <v>33</v>
      </c>
      <c r="R687" s="78">
        <f>P687*(J687-(J687*L687)-((J687-(J687*L687))*M687))</f>
        <v>0</v>
      </c>
      <c r="S687" s="78">
        <f t="shared" si="417"/>
        <v>0</v>
      </c>
    </row>
    <row r="688" spans="1:20" s="19" customFormat="1" x14ac:dyDescent="0.2">
      <c r="A688" s="18"/>
      <c r="C688" s="20"/>
      <c r="D688" s="21"/>
      <c r="E688" s="26"/>
      <c r="F688" s="22"/>
      <c r="G688" s="23"/>
      <c r="H688" s="22"/>
      <c r="I688" s="23"/>
      <c r="J688" s="24"/>
      <c r="K688" s="21"/>
      <c r="L688" s="25"/>
      <c r="M688" s="25"/>
      <c r="N688" s="22"/>
      <c r="O688" s="23"/>
      <c r="P688" s="20"/>
      <c r="Q688" s="23"/>
      <c r="R688" s="24"/>
      <c r="S688" s="24"/>
    </row>
    <row r="689" spans="1:19" s="19" customFormat="1" ht="15.75" x14ac:dyDescent="0.25">
      <c r="A689" s="35" t="s">
        <v>352</v>
      </c>
      <c r="C689" s="20"/>
      <c r="D689" s="21"/>
      <c r="E689" s="26"/>
      <c r="F689" s="22"/>
      <c r="G689" s="23"/>
      <c r="H689" s="22"/>
      <c r="I689" s="23"/>
      <c r="J689" s="24"/>
      <c r="K689" s="21"/>
      <c r="L689" s="25"/>
      <c r="M689" s="25"/>
      <c r="N689" s="22"/>
      <c r="O689" s="23"/>
      <c r="P689" s="20"/>
      <c r="Q689" s="23"/>
      <c r="R689" s="24"/>
      <c r="S689" s="24"/>
    </row>
    <row r="690" spans="1:19" s="19" customFormat="1" x14ac:dyDescent="0.2">
      <c r="A690" s="57" t="s">
        <v>353</v>
      </c>
      <c r="C690" s="20"/>
      <c r="D690" s="21"/>
      <c r="E690" s="26"/>
      <c r="F690" s="22"/>
      <c r="G690" s="23"/>
      <c r="H690" s="22"/>
      <c r="I690" s="23"/>
      <c r="J690" s="24"/>
      <c r="K690" s="21"/>
      <c r="L690" s="25"/>
      <c r="M690" s="25"/>
      <c r="N690" s="22"/>
      <c r="O690" s="23"/>
      <c r="P690" s="20"/>
      <c r="Q690" s="23"/>
      <c r="R690" s="24"/>
      <c r="S690" s="24"/>
    </row>
    <row r="691" spans="1:19" s="73" customFormat="1" x14ac:dyDescent="0.2">
      <c r="A691" s="72" t="s">
        <v>354</v>
      </c>
      <c r="B691" s="73" t="s">
        <v>18</v>
      </c>
      <c r="C691" s="71"/>
      <c r="D691" s="74" t="s">
        <v>40</v>
      </c>
      <c r="E691" s="75"/>
      <c r="F691" s="76">
        <v>1</v>
      </c>
      <c r="G691" s="77" t="s">
        <v>20</v>
      </c>
      <c r="H691" s="76">
        <v>144</v>
      </c>
      <c r="I691" s="77" t="s">
        <v>40</v>
      </c>
      <c r="J691" s="78">
        <v>28200</v>
      </c>
      <c r="K691" s="74" t="s">
        <v>40</v>
      </c>
      <c r="L691" s="79">
        <v>0.125</v>
      </c>
      <c r="M691" s="79">
        <v>0.05</v>
      </c>
      <c r="N691" s="76"/>
      <c r="O691" s="77" t="s">
        <v>40</v>
      </c>
      <c r="P691" s="71">
        <f t="shared" ref="P691:P705" si="431">(C691+(E691*F691*H691))-N691</f>
        <v>0</v>
      </c>
      <c r="Q691" s="77" t="s">
        <v>40</v>
      </c>
      <c r="R691" s="78">
        <f t="shared" ref="R691:R704" si="432">P691*(J691-(J691*L691)-((J691-(J691*L691))*M691))</f>
        <v>0</v>
      </c>
      <c r="S691" s="78">
        <f t="shared" si="417"/>
        <v>0</v>
      </c>
    </row>
    <row r="692" spans="1:19" s="73" customFormat="1" x14ac:dyDescent="0.2">
      <c r="A692" s="184" t="s">
        <v>1032</v>
      </c>
      <c r="B692" s="73" t="s">
        <v>18</v>
      </c>
      <c r="C692" s="107"/>
      <c r="D692" s="74" t="s">
        <v>40</v>
      </c>
      <c r="E692" s="75">
        <v>1</v>
      </c>
      <c r="F692" s="76">
        <v>1</v>
      </c>
      <c r="G692" s="77" t="s">
        <v>20</v>
      </c>
      <c r="H692" s="76">
        <v>144</v>
      </c>
      <c r="I692" s="77" t="s">
        <v>40</v>
      </c>
      <c r="J692" s="78">
        <v>45600</v>
      </c>
      <c r="K692" s="74" t="s">
        <v>40</v>
      </c>
      <c r="L692" s="79">
        <v>0.125</v>
      </c>
      <c r="M692" s="79">
        <v>0.05</v>
      </c>
      <c r="N692" s="76">
        <v>144</v>
      </c>
      <c r="O692" s="77" t="s">
        <v>40</v>
      </c>
      <c r="P692" s="71">
        <f>(C692+(E692*F692*H692))-N692</f>
        <v>0</v>
      </c>
      <c r="Q692" s="77" t="s">
        <v>40</v>
      </c>
      <c r="R692" s="78">
        <f>P692*(J692-(J692*L692)-((J692-(J692*L692))*M692))</f>
        <v>0</v>
      </c>
      <c r="S692" s="78">
        <f>R692/1.11</f>
        <v>0</v>
      </c>
    </row>
    <row r="693" spans="1:19" s="73" customFormat="1" x14ac:dyDescent="0.2">
      <c r="A693" s="72" t="s">
        <v>355</v>
      </c>
      <c r="B693" s="73" t="s">
        <v>18</v>
      </c>
      <c r="C693" s="107"/>
      <c r="D693" s="74" t="s">
        <v>40</v>
      </c>
      <c r="E693" s="75">
        <v>2</v>
      </c>
      <c r="F693" s="76">
        <v>1</v>
      </c>
      <c r="G693" s="77" t="s">
        <v>20</v>
      </c>
      <c r="H693" s="76">
        <v>144</v>
      </c>
      <c r="I693" s="77" t="s">
        <v>40</v>
      </c>
      <c r="J693" s="78">
        <v>7800</v>
      </c>
      <c r="K693" s="74" t="s">
        <v>40</v>
      </c>
      <c r="L693" s="79">
        <v>0.125</v>
      </c>
      <c r="M693" s="79">
        <v>0.05</v>
      </c>
      <c r="N693" s="76">
        <v>288</v>
      </c>
      <c r="O693" s="77" t="s">
        <v>40</v>
      </c>
      <c r="P693" s="71">
        <f>(C693+(E693*F693*H693))-N693</f>
        <v>0</v>
      </c>
      <c r="Q693" s="77" t="s">
        <v>40</v>
      </c>
      <c r="R693" s="78">
        <f>P693*(J693-(J693*L693)-((J693-(J693*L693))*M693))</f>
        <v>0</v>
      </c>
      <c r="S693" s="78">
        <f>R693/1.11</f>
        <v>0</v>
      </c>
    </row>
    <row r="694" spans="1:19" s="19" customFormat="1" x14ac:dyDescent="0.2">
      <c r="A694" s="18" t="s">
        <v>356</v>
      </c>
      <c r="B694" s="19" t="s">
        <v>18</v>
      </c>
      <c r="C694" s="20">
        <v>300</v>
      </c>
      <c r="D694" s="21" t="s">
        <v>40</v>
      </c>
      <c r="E694" s="26">
        <v>1</v>
      </c>
      <c r="F694" s="22">
        <v>1</v>
      </c>
      <c r="G694" s="23" t="s">
        <v>20</v>
      </c>
      <c r="H694" s="22">
        <v>144</v>
      </c>
      <c r="I694" s="23" t="s">
        <v>40</v>
      </c>
      <c r="J694" s="24">
        <v>6900</v>
      </c>
      <c r="K694" s="21" t="s">
        <v>40</v>
      </c>
      <c r="L694" s="25">
        <v>0.125</v>
      </c>
      <c r="M694" s="25">
        <v>0.05</v>
      </c>
      <c r="N694" s="22">
        <f>444-144</f>
        <v>300</v>
      </c>
      <c r="O694" s="23" t="s">
        <v>40</v>
      </c>
      <c r="P694" s="20">
        <f t="shared" si="431"/>
        <v>144</v>
      </c>
      <c r="Q694" s="23" t="s">
        <v>40</v>
      </c>
      <c r="R694" s="24">
        <f t="shared" si="432"/>
        <v>825930</v>
      </c>
      <c r="S694" s="24">
        <f t="shared" si="417"/>
        <v>744081.08108108107</v>
      </c>
    </row>
    <row r="695" spans="1:19" s="90" customFormat="1" x14ac:dyDescent="0.2">
      <c r="A695" s="82" t="s">
        <v>752</v>
      </c>
      <c r="B695" s="90" t="s">
        <v>18</v>
      </c>
      <c r="C695" s="91"/>
      <c r="D695" s="92" t="s">
        <v>40</v>
      </c>
      <c r="E695" s="93">
        <v>2</v>
      </c>
      <c r="F695" s="94">
        <v>1</v>
      </c>
      <c r="G695" s="95" t="s">
        <v>20</v>
      </c>
      <c r="H695" s="94">
        <v>144</v>
      </c>
      <c r="I695" s="95" t="s">
        <v>40</v>
      </c>
      <c r="J695" s="96">
        <v>7020</v>
      </c>
      <c r="K695" s="92" t="s">
        <v>40</v>
      </c>
      <c r="L695" s="97">
        <v>0.125</v>
      </c>
      <c r="M695" s="97">
        <v>0.05</v>
      </c>
      <c r="N695" s="94">
        <v>144</v>
      </c>
      <c r="O695" s="95" t="s">
        <v>40</v>
      </c>
      <c r="P695" s="91">
        <f t="shared" si="431"/>
        <v>144</v>
      </c>
      <c r="Q695" s="95" t="s">
        <v>40</v>
      </c>
      <c r="R695" s="96">
        <f t="shared" si="432"/>
        <v>840294</v>
      </c>
      <c r="S695" s="96">
        <f t="shared" si="417"/>
        <v>757021.62162162154</v>
      </c>
    </row>
    <row r="696" spans="1:19" s="73" customFormat="1" x14ac:dyDescent="0.2">
      <c r="A696" s="184" t="s">
        <v>356</v>
      </c>
      <c r="B696" s="73" t="s">
        <v>18</v>
      </c>
      <c r="C696" s="71"/>
      <c r="D696" s="74" t="s">
        <v>40</v>
      </c>
      <c r="E696" s="75">
        <v>2</v>
      </c>
      <c r="F696" s="76">
        <v>1</v>
      </c>
      <c r="G696" s="77" t="s">
        <v>20</v>
      </c>
      <c r="H696" s="76">
        <v>144</v>
      </c>
      <c r="I696" s="77" t="s">
        <v>40</v>
      </c>
      <c r="J696" s="78">
        <v>6900</v>
      </c>
      <c r="K696" s="74" t="s">
        <v>40</v>
      </c>
      <c r="L696" s="79">
        <v>0.125</v>
      </c>
      <c r="M696" s="79">
        <v>0.1</v>
      </c>
      <c r="N696" s="76">
        <v>288</v>
      </c>
      <c r="O696" s="77" t="s">
        <v>40</v>
      </c>
      <c r="P696" s="71">
        <f t="shared" ref="P696:P697" si="433">(C696+(E696*F696*H696))-N696</f>
        <v>0</v>
      </c>
      <c r="Q696" s="77" t="s">
        <v>40</v>
      </c>
      <c r="R696" s="78">
        <f t="shared" ref="R696:R697" si="434">P696*(J696-(J696*L696)-((J696-(J696*L696))*M696))</f>
        <v>0</v>
      </c>
      <c r="S696" s="78">
        <f t="shared" ref="S696:S697" si="435">R696/1.11</f>
        <v>0</v>
      </c>
    </row>
    <row r="697" spans="1:19" s="73" customFormat="1" x14ac:dyDescent="0.2">
      <c r="A697" s="184" t="s">
        <v>752</v>
      </c>
      <c r="B697" s="73" t="s">
        <v>18</v>
      </c>
      <c r="C697" s="71"/>
      <c r="D697" s="74" t="s">
        <v>40</v>
      </c>
      <c r="E697" s="75">
        <v>2</v>
      </c>
      <c r="F697" s="76">
        <v>1</v>
      </c>
      <c r="G697" s="77" t="s">
        <v>20</v>
      </c>
      <c r="H697" s="76">
        <v>144</v>
      </c>
      <c r="I697" s="77" t="s">
        <v>40</v>
      </c>
      <c r="J697" s="78">
        <v>7020</v>
      </c>
      <c r="K697" s="74" t="s">
        <v>40</v>
      </c>
      <c r="L697" s="79">
        <v>0.125</v>
      </c>
      <c r="M697" s="79">
        <v>0.1</v>
      </c>
      <c r="N697" s="76">
        <v>288</v>
      </c>
      <c r="O697" s="77" t="s">
        <v>40</v>
      </c>
      <c r="P697" s="71">
        <f t="shared" si="433"/>
        <v>0</v>
      </c>
      <c r="Q697" s="77" t="s">
        <v>40</v>
      </c>
      <c r="R697" s="78">
        <f t="shared" si="434"/>
        <v>0</v>
      </c>
      <c r="S697" s="78">
        <f t="shared" si="435"/>
        <v>0</v>
      </c>
    </row>
    <row r="698" spans="1:19" s="73" customFormat="1" x14ac:dyDescent="0.2">
      <c r="A698" s="72" t="s">
        <v>357</v>
      </c>
      <c r="B698" s="73" t="s">
        <v>18</v>
      </c>
      <c r="C698" s="71"/>
      <c r="D698" s="74" t="s">
        <v>40</v>
      </c>
      <c r="E698" s="75">
        <v>3</v>
      </c>
      <c r="F698" s="76">
        <v>1</v>
      </c>
      <c r="G698" s="77" t="s">
        <v>20</v>
      </c>
      <c r="H698" s="76">
        <v>144</v>
      </c>
      <c r="I698" s="77" t="s">
        <v>40</v>
      </c>
      <c r="J698" s="78">
        <v>7200</v>
      </c>
      <c r="K698" s="74" t="s">
        <v>40</v>
      </c>
      <c r="L698" s="79">
        <v>0.125</v>
      </c>
      <c r="M698" s="79">
        <v>0.05</v>
      </c>
      <c r="N698" s="76">
        <v>432</v>
      </c>
      <c r="O698" s="77" t="s">
        <v>40</v>
      </c>
      <c r="P698" s="71">
        <f t="shared" ref="P698" si="436">(C698+(E698*F698*H698))-N698</f>
        <v>0</v>
      </c>
      <c r="Q698" s="77" t="s">
        <v>40</v>
      </c>
      <c r="R698" s="78">
        <f t="shared" ref="R698" si="437">P698*(J698-(J698*L698)-((J698-(J698*L698))*M698))</f>
        <v>0</v>
      </c>
      <c r="S698" s="78">
        <f t="shared" ref="S698" si="438">R698/1.11</f>
        <v>0</v>
      </c>
    </row>
    <row r="699" spans="1:19" s="73" customFormat="1" x14ac:dyDescent="0.2">
      <c r="A699" s="72" t="s">
        <v>718</v>
      </c>
      <c r="B699" s="73" t="s">
        <v>18</v>
      </c>
      <c r="C699" s="71"/>
      <c r="D699" s="74" t="s">
        <v>40</v>
      </c>
      <c r="E699" s="75"/>
      <c r="F699" s="76">
        <v>1</v>
      </c>
      <c r="G699" s="77" t="s">
        <v>20</v>
      </c>
      <c r="H699" s="76">
        <v>144</v>
      </c>
      <c r="I699" s="77" t="s">
        <v>40</v>
      </c>
      <c r="J699" s="78">
        <v>6600</v>
      </c>
      <c r="K699" s="74" t="s">
        <v>40</v>
      </c>
      <c r="L699" s="79">
        <v>0.125</v>
      </c>
      <c r="M699" s="79">
        <v>0.05</v>
      </c>
      <c r="N699" s="76">
        <v>0</v>
      </c>
      <c r="O699" s="77" t="s">
        <v>40</v>
      </c>
      <c r="P699" s="71">
        <f t="shared" si="431"/>
        <v>0</v>
      </c>
      <c r="Q699" s="77" t="s">
        <v>40</v>
      </c>
      <c r="R699" s="78">
        <f t="shared" si="432"/>
        <v>0</v>
      </c>
      <c r="S699" s="78">
        <f t="shared" si="417"/>
        <v>0</v>
      </c>
    </row>
    <row r="700" spans="1:19" s="73" customFormat="1" x14ac:dyDescent="0.2">
      <c r="A700" s="72" t="s">
        <v>648</v>
      </c>
      <c r="B700" s="73" t="s">
        <v>18</v>
      </c>
      <c r="C700" s="71"/>
      <c r="D700" s="74" t="s">
        <v>40</v>
      </c>
      <c r="E700" s="75">
        <v>4</v>
      </c>
      <c r="F700" s="76">
        <v>1</v>
      </c>
      <c r="G700" s="77" t="s">
        <v>20</v>
      </c>
      <c r="H700" s="76">
        <v>144</v>
      </c>
      <c r="I700" s="77" t="s">
        <v>40</v>
      </c>
      <c r="J700" s="78">
        <v>6120</v>
      </c>
      <c r="K700" s="74" t="s">
        <v>40</v>
      </c>
      <c r="L700" s="79">
        <v>0.125</v>
      </c>
      <c r="M700" s="79">
        <v>0.05</v>
      </c>
      <c r="N700" s="76">
        <v>576</v>
      </c>
      <c r="O700" s="77" t="s">
        <v>40</v>
      </c>
      <c r="P700" s="71">
        <f t="shared" ref="P700" si="439">(C700+(E700*F700*H700))-N700</f>
        <v>0</v>
      </c>
      <c r="Q700" s="77" t="s">
        <v>40</v>
      </c>
      <c r="R700" s="78">
        <f t="shared" ref="R700" si="440">P700*(J700-(J700*L700)-((J700-(J700*L700))*M700))</f>
        <v>0</v>
      </c>
      <c r="S700" s="78">
        <f t="shared" ref="S700" si="441">R700/1.11</f>
        <v>0</v>
      </c>
    </row>
    <row r="701" spans="1:19" s="73" customFormat="1" x14ac:dyDescent="0.2">
      <c r="A701" s="72" t="s">
        <v>694</v>
      </c>
      <c r="B701" s="73" t="s">
        <v>18</v>
      </c>
      <c r="C701" s="71"/>
      <c r="D701" s="74" t="s">
        <v>40</v>
      </c>
      <c r="E701" s="75"/>
      <c r="F701" s="76">
        <v>1</v>
      </c>
      <c r="G701" s="77" t="s">
        <v>20</v>
      </c>
      <c r="H701" s="76">
        <v>144</v>
      </c>
      <c r="I701" s="77" t="s">
        <v>40</v>
      </c>
      <c r="J701" s="78">
        <v>6000</v>
      </c>
      <c r="K701" s="74" t="s">
        <v>40</v>
      </c>
      <c r="L701" s="79">
        <v>0.125</v>
      </c>
      <c r="M701" s="79">
        <v>0.05</v>
      </c>
      <c r="N701" s="76">
        <v>0</v>
      </c>
      <c r="O701" s="77" t="s">
        <v>40</v>
      </c>
      <c r="P701" s="71">
        <f t="shared" si="431"/>
        <v>0</v>
      </c>
      <c r="Q701" s="77" t="s">
        <v>40</v>
      </c>
      <c r="R701" s="78">
        <f t="shared" si="432"/>
        <v>0</v>
      </c>
      <c r="S701" s="78">
        <f t="shared" si="417"/>
        <v>0</v>
      </c>
    </row>
    <row r="702" spans="1:19" s="73" customFormat="1" x14ac:dyDescent="0.2">
      <c r="A702" s="72" t="s">
        <v>941</v>
      </c>
      <c r="B702" s="73" t="s">
        <v>18</v>
      </c>
      <c r="C702" s="71"/>
      <c r="D702" s="74" t="s">
        <v>40</v>
      </c>
      <c r="E702" s="75">
        <v>1</v>
      </c>
      <c r="F702" s="76">
        <v>1</v>
      </c>
      <c r="G702" s="77" t="s">
        <v>20</v>
      </c>
      <c r="H702" s="76">
        <v>144</v>
      </c>
      <c r="I702" s="77" t="s">
        <v>40</v>
      </c>
      <c r="J702" s="78">
        <v>42600</v>
      </c>
      <c r="K702" s="74" t="s">
        <v>40</v>
      </c>
      <c r="L702" s="79">
        <v>0.125</v>
      </c>
      <c r="M702" s="79">
        <v>0.05</v>
      </c>
      <c r="N702" s="76">
        <v>144</v>
      </c>
      <c r="O702" s="77" t="s">
        <v>40</v>
      </c>
      <c r="P702" s="71">
        <f t="shared" ref="P702" si="442">(C702+(E702*F702*H702))-N702</f>
        <v>0</v>
      </c>
      <c r="Q702" s="77" t="s">
        <v>40</v>
      </c>
      <c r="R702" s="78">
        <f t="shared" ref="R702" si="443">P702*(J702-(J702*L702)-((J702-(J702*L702))*M702))</f>
        <v>0</v>
      </c>
      <c r="S702" s="78">
        <f t="shared" ref="S702" si="444">R702/1.11</f>
        <v>0</v>
      </c>
    </row>
    <row r="703" spans="1:19" s="73" customFormat="1" x14ac:dyDescent="0.2">
      <c r="A703" s="72" t="s">
        <v>981</v>
      </c>
      <c r="B703" s="73" t="s">
        <v>18</v>
      </c>
      <c r="C703" s="107"/>
      <c r="D703" s="74" t="s">
        <v>40</v>
      </c>
      <c r="E703" s="75">
        <v>1</v>
      </c>
      <c r="F703" s="76">
        <v>1</v>
      </c>
      <c r="G703" s="77" t="s">
        <v>20</v>
      </c>
      <c r="H703" s="76">
        <v>144</v>
      </c>
      <c r="I703" s="77" t="s">
        <v>40</v>
      </c>
      <c r="J703" s="78">
        <v>7200</v>
      </c>
      <c r="K703" s="74" t="s">
        <v>40</v>
      </c>
      <c r="L703" s="79">
        <v>0.125</v>
      </c>
      <c r="M703" s="79">
        <v>0.05</v>
      </c>
      <c r="N703" s="76">
        <v>144</v>
      </c>
      <c r="O703" s="77" t="s">
        <v>40</v>
      </c>
      <c r="P703" s="71">
        <f>(C703+(E703*F703*H703))-N703</f>
        <v>0</v>
      </c>
      <c r="Q703" s="77" t="s">
        <v>40</v>
      </c>
      <c r="R703" s="78">
        <f>P703*(J703-(J703*L703)-((J703-(J703*L703))*M703))</f>
        <v>0</v>
      </c>
      <c r="S703" s="78">
        <f>R703/1.11</f>
        <v>0</v>
      </c>
    </row>
    <row r="704" spans="1:19" s="73" customFormat="1" x14ac:dyDescent="0.2">
      <c r="A704" s="72" t="s">
        <v>358</v>
      </c>
      <c r="B704" s="73" t="s">
        <v>18</v>
      </c>
      <c r="C704" s="71">
        <v>864</v>
      </c>
      <c r="D704" s="74" t="s">
        <v>40</v>
      </c>
      <c r="E704" s="75"/>
      <c r="F704" s="76">
        <v>1</v>
      </c>
      <c r="G704" s="77" t="s">
        <v>20</v>
      </c>
      <c r="H704" s="76">
        <v>144</v>
      </c>
      <c r="I704" s="77" t="s">
        <v>40</v>
      </c>
      <c r="J704" s="78">
        <v>5100</v>
      </c>
      <c r="K704" s="74" t="s">
        <v>40</v>
      </c>
      <c r="L704" s="79">
        <v>0.125</v>
      </c>
      <c r="M704" s="79">
        <v>0.05</v>
      </c>
      <c r="N704" s="76">
        <v>864</v>
      </c>
      <c r="O704" s="77" t="s">
        <v>40</v>
      </c>
      <c r="P704" s="71">
        <f t="shared" si="431"/>
        <v>0</v>
      </c>
      <c r="Q704" s="77" t="s">
        <v>40</v>
      </c>
      <c r="R704" s="78">
        <f t="shared" si="432"/>
        <v>0</v>
      </c>
      <c r="S704" s="78">
        <f t="shared" si="417"/>
        <v>0</v>
      </c>
    </row>
    <row r="705" spans="1:19" s="73" customFormat="1" x14ac:dyDescent="0.2">
      <c r="A705" s="187" t="s">
        <v>1091</v>
      </c>
      <c r="B705" s="73" t="s">
        <v>18</v>
      </c>
      <c r="C705" s="107">
        <v>36</v>
      </c>
      <c r="D705" s="74" t="s">
        <v>40</v>
      </c>
      <c r="E705" s="75"/>
      <c r="F705" s="76">
        <v>1</v>
      </c>
      <c r="G705" s="77" t="s">
        <v>20</v>
      </c>
      <c r="H705" s="76">
        <v>144</v>
      </c>
      <c r="I705" s="77" t="s">
        <v>40</v>
      </c>
      <c r="J705" s="190"/>
      <c r="K705" s="74" t="s">
        <v>40</v>
      </c>
      <c r="L705" s="188">
        <v>0.1</v>
      </c>
      <c r="M705" s="79">
        <v>0.05</v>
      </c>
      <c r="N705" s="76">
        <v>36</v>
      </c>
      <c r="O705" s="77" t="s">
        <v>40</v>
      </c>
      <c r="P705" s="71">
        <f t="shared" si="431"/>
        <v>0</v>
      </c>
      <c r="Q705" s="77" t="s">
        <v>40</v>
      </c>
      <c r="R705" s="78">
        <f t="shared" ref="R705:R711" si="445">P705*(J705-(J705*L705)-((J705-(J705*L705))*M705))</f>
        <v>0</v>
      </c>
      <c r="S705" s="78">
        <f t="shared" ref="S705" si="446">R705/1.11</f>
        <v>0</v>
      </c>
    </row>
    <row r="706" spans="1:19" s="73" customFormat="1" x14ac:dyDescent="0.2">
      <c r="A706" s="187" t="s">
        <v>359</v>
      </c>
      <c r="B706" s="73" t="s">
        <v>18</v>
      </c>
      <c r="C706" s="107"/>
      <c r="D706" s="74" t="s">
        <v>40</v>
      </c>
      <c r="E706" s="75">
        <v>32</v>
      </c>
      <c r="F706" s="76">
        <v>1</v>
      </c>
      <c r="G706" s="77" t="s">
        <v>20</v>
      </c>
      <c r="H706" s="76">
        <v>144</v>
      </c>
      <c r="I706" s="77" t="s">
        <v>40</v>
      </c>
      <c r="J706" s="190">
        <v>12600</v>
      </c>
      <c r="K706" s="74" t="s">
        <v>40</v>
      </c>
      <c r="L706" s="188">
        <v>0.125</v>
      </c>
      <c r="M706" s="79">
        <v>0.05</v>
      </c>
      <c r="N706" s="76">
        <v>4608</v>
      </c>
      <c r="O706" s="77" t="s">
        <v>40</v>
      </c>
      <c r="P706" s="71">
        <f t="shared" ref="P706:P711" si="447">(C706+(E706*F706*H706))-N706</f>
        <v>0</v>
      </c>
      <c r="Q706" s="77" t="s">
        <v>40</v>
      </c>
      <c r="R706" s="78">
        <f t="shared" si="445"/>
        <v>0</v>
      </c>
      <c r="S706" s="78">
        <f t="shared" ref="S706:S711" si="448">R706/1.11</f>
        <v>0</v>
      </c>
    </row>
    <row r="707" spans="1:19" s="73" customFormat="1" x14ac:dyDescent="0.2">
      <c r="A707" s="72" t="s">
        <v>982</v>
      </c>
      <c r="B707" s="73" t="s">
        <v>18</v>
      </c>
      <c r="C707" s="107"/>
      <c r="D707" s="74" t="s">
        <v>40</v>
      </c>
      <c r="E707" s="75">
        <v>1</v>
      </c>
      <c r="F707" s="76">
        <v>1</v>
      </c>
      <c r="G707" s="77" t="s">
        <v>20</v>
      </c>
      <c r="H707" s="76">
        <v>144</v>
      </c>
      <c r="I707" s="77" t="s">
        <v>40</v>
      </c>
      <c r="J707" s="78">
        <v>13200</v>
      </c>
      <c r="K707" s="74" t="s">
        <v>40</v>
      </c>
      <c r="L707" s="79">
        <v>0.125</v>
      </c>
      <c r="M707" s="79">
        <v>0.05</v>
      </c>
      <c r="N707" s="76">
        <v>144</v>
      </c>
      <c r="O707" s="77" t="s">
        <v>40</v>
      </c>
      <c r="P707" s="71">
        <f t="shared" si="447"/>
        <v>0</v>
      </c>
      <c r="Q707" s="77" t="s">
        <v>40</v>
      </c>
      <c r="R707" s="78">
        <f t="shared" si="445"/>
        <v>0</v>
      </c>
      <c r="S707" s="78">
        <f t="shared" si="448"/>
        <v>0</v>
      </c>
    </row>
    <row r="708" spans="1:19" s="73" customFormat="1" x14ac:dyDescent="0.2">
      <c r="A708" s="185" t="s">
        <v>891</v>
      </c>
      <c r="B708" s="73" t="s">
        <v>18</v>
      </c>
      <c r="C708" s="107">
        <f>((3*12*12))</f>
        <v>432</v>
      </c>
      <c r="D708" s="74" t="s">
        <v>40</v>
      </c>
      <c r="E708" s="75"/>
      <c r="F708" s="76">
        <v>1</v>
      </c>
      <c r="G708" s="77" t="s">
        <v>20</v>
      </c>
      <c r="H708" s="76">
        <v>144</v>
      </c>
      <c r="I708" s="77" t="s">
        <v>40</v>
      </c>
      <c r="J708" s="78">
        <v>13200</v>
      </c>
      <c r="K708" s="74" t="s">
        <v>40</v>
      </c>
      <c r="L708" s="189">
        <v>0.1</v>
      </c>
      <c r="M708" s="79">
        <v>0.05</v>
      </c>
      <c r="N708" s="76">
        <v>432</v>
      </c>
      <c r="O708" s="77" t="s">
        <v>40</v>
      </c>
      <c r="P708" s="71">
        <f t="shared" si="447"/>
        <v>0</v>
      </c>
      <c r="Q708" s="77" t="s">
        <v>40</v>
      </c>
      <c r="R708" s="78">
        <f t="shared" si="445"/>
        <v>0</v>
      </c>
      <c r="S708" s="78">
        <f t="shared" si="448"/>
        <v>0</v>
      </c>
    </row>
    <row r="709" spans="1:19" s="73" customFormat="1" x14ac:dyDescent="0.2">
      <c r="A709" s="185" t="s">
        <v>891</v>
      </c>
      <c r="B709" s="73" t="s">
        <v>18</v>
      </c>
      <c r="C709" s="107">
        <f>5*144+(144/12)</f>
        <v>732</v>
      </c>
      <c r="D709" s="74" t="s">
        <v>40</v>
      </c>
      <c r="E709" s="75"/>
      <c r="F709" s="76">
        <v>1</v>
      </c>
      <c r="G709" s="77" t="s">
        <v>20</v>
      </c>
      <c r="H709" s="76">
        <v>144</v>
      </c>
      <c r="I709" s="77" t="s">
        <v>40</v>
      </c>
      <c r="J709" s="78">
        <v>13200</v>
      </c>
      <c r="K709" s="74" t="s">
        <v>40</v>
      </c>
      <c r="L709" s="189">
        <v>0.125</v>
      </c>
      <c r="M709" s="79">
        <v>0.05</v>
      </c>
      <c r="N709" s="76">
        <v>732</v>
      </c>
      <c r="O709" s="77" t="s">
        <v>40</v>
      </c>
      <c r="P709" s="71">
        <f t="shared" si="447"/>
        <v>0</v>
      </c>
      <c r="Q709" s="77" t="s">
        <v>40</v>
      </c>
      <c r="R709" s="78">
        <f t="shared" si="445"/>
        <v>0</v>
      </c>
      <c r="S709" s="78">
        <f t="shared" si="448"/>
        <v>0</v>
      </c>
    </row>
    <row r="710" spans="1:19" s="73" customFormat="1" x14ac:dyDescent="0.2">
      <c r="A710" s="184" t="s">
        <v>891</v>
      </c>
      <c r="B710" s="73" t="s">
        <v>18</v>
      </c>
      <c r="C710" s="107">
        <f>144*2</f>
        <v>288</v>
      </c>
      <c r="D710" s="74" t="s">
        <v>40</v>
      </c>
      <c r="E710" s="75"/>
      <c r="F710" s="76">
        <v>1</v>
      </c>
      <c r="G710" s="77" t="s">
        <v>20</v>
      </c>
      <c r="H710" s="76">
        <v>144</v>
      </c>
      <c r="I710" s="77" t="s">
        <v>40</v>
      </c>
      <c r="J710" s="78">
        <v>13200</v>
      </c>
      <c r="K710" s="74" t="s">
        <v>40</v>
      </c>
      <c r="L710" s="79">
        <v>0.125</v>
      </c>
      <c r="M710" s="79">
        <v>0.1</v>
      </c>
      <c r="N710" s="76">
        <v>288</v>
      </c>
      <c r="O710" s="77" t="s">
        <v>40</v>
      </c>
      <c r="P710" s="71">
        <f t="shared" si="447"/>
        <v>0</v>
      </c>
      <c r="Q710" s="77" t="s">
        <v>40</v>
      </c>
      <c r="R710" s="78">
        <f t="shared" si="445"/>
        <v>0</v>
      </c>
      <c r="S710" s="78">
        <f t="shared" si="448"/>
        <v>0</v>
      </c>
    </row>
    <row r="711" spans="1:19" s="19" customFormat="1" x14ac:dyDescent="0.2">
      <c r="A711" s="134" t="s">
        <v>1069</v>
      </c>
      <c r="B711" s="19" t="s">
        <v>18</v>
      </c>
      <c r="C711" s="46"/>
      <c r="D711" s="21" t="s">
        <v>40</v>
      </c>
      <c r="E711" s="26">
        <v>2</v>
      </c>
      <c r="F711" s="22">
        <v>1</v>
      </c>
      <c r="G711" s="23" t="s">
        <v>20</v>
      </c>
      <c r="H711" s="22">
        <v>144</v>
      </c>
      <c r="I711" s="23" t="s">
        <v>40</v>
      </c>
      <c r="J711" s="24">
        <v>13200</v>
      </c>
      <c r="K711" s="21" t="s">
        <v>40</v>
      </c>
      <c r="L711" s="25">
        <v>0.125</v>
      </c>
      <c r="M711" s="25">
        <v>0.1</v>
      </c>
      <c r="N711" s="22">
        <v>144</v>
      </c>
      <c r="O711" s="23" t="s">
        <v>40</v>
      </c>
      <c r="P711" s="20">
        <f t="shared" si="447"/>
        <v>144</v>
      </c>
      <c r="Q711" s="23" t="s">
        <v>40</v>
      </c>
      <c r="R711" s="24">
        <f t="shared" si="445"/>
        <v>1496880</v>
      </c>
      <c r="S711" s="24">
        <f t="shared" si="448"/>
        <v>1348540.5405405404</v>
      </c>
    </row>
    <row r="712" spans="1:19" s="73" customFormat="1" x14ac:dyDescent="0.2">
      <c r="A712" s="72" t="s">
        <v>983</v>
      </c>
      <c r="B712" s="73" t="s">
        <v>18</v>
      </c>
      <c r="C712" s="107"/>
      <c r="D712" s="74" t="s">
        <v>40</v>
      </c>
      <c r="E712" s="75">
        <v>1</v>
      </c>
      <c r="F712" s="76">
        <v>1</v>
      </c>
      <c r="G712" s="77" t="s">
        <v>20</v>
      </c>
      <c r="H712" s="76">
        <v>144</v>
      </c>
      <c r="I712" s="77" t="s">
        <v>40</v>
      </c>
      <c r="J712" s="78">
        <v>13200</v>
      </c>
      <c r="K712" s="74" t="s">
        <v>40</v>
      </c>
      <c r="L712" s="79">
        <v>0.125</v>
      </c>
      <c r="M712" s="79">
        <v>0.05</v>
      </c>
      <c r="N712" s="76">
        <v>144</v>
      </c>
      <c r="O712" s="77" t="s">
        <v>40</v>
      </c>
      <c r="P712" s="71">
        <f t="shared" ref="P712" si="449">(C712+(E712*F712*H712))-N712</f>
        <v>0</v>
      </c>
      <c r="Q712" s="77" t="s">
        <v>40</v>
      </c>
      <c r="R712" s="78">
        <f t="shared" ref="R712" si="450">P712*(J712-(J712*L712)-((J712-(J712*L712))*M712))</f>
        <v>0</v>
      </c>
      <c r="S712" s="78">
        <f t="shared" ref="S712" si="451">R712/1.11</f>
        <v>0</v>
      </c>
    </row>
    <row r="713" spans="1:19" s="19" customFormat="1" x14ac:dyDescent="0.2">
      <c r="A713" s="18"/>
      <c r="C713" s="46"/>
      <c r="D713" s="21"/>
      <c r="E713" s="26"/>
      <c r="F713" s="22"/>
      <c r="G713" s="23"/>
      <c r="H713" s="22"/>
      <c r="I713" s="23"/>
      <c r="J713" s="24"/>
      <c r="K713" s="21"/>
      <c r="L713" s="25"/>
      <c r="M713" s="25"/>
      <c r="N713" s="22"/>
      <c r="O713" s="23"/>
      <c r="P713" s="20"/>
      <c r="Q713" s="23"/>
      <c r="R713" s="24"/>
      <c r="S713" s="24"/>
    </row>
    <row r="714" spans="1:19" s="73" customFormat="1" x14ac:dyDescent="0.2">
      <c r="A714" s="104" t="s">
        <v>360</v>
      </c>
      <c r="B714" s="73" t="s">
        <v>25</v>
      </c>
      <c r="C714" s="71"/>
      <c r="D714" s="74" t="s">
        <v>40</v>
      </c>
      <c r="E714" s="75">
        <v>1</v>
      </c>
      <c r="F714" s="76">
        <v>1</v>
      </c>
      <c r="G714" s="77" t="s">
        <v>20</v>
      </c>
      <c r="H714" s="76">
        <v>144</v>
      </c>
      <c r="I714" s="77" t="s">
        <v>40</v>
      </c>
      <c r="J714" s="78">
        <v>22200</v>
      </c>
      <c r="K714" s="74" t="s">
        <v>40</v>
      </c>
      <c r="L714" s="79"/>
      <c r="M714" s="79">
        <v>0.17</v>
      </c>
      <c r="N714" s="76">
        <v>144</v>
      </c>
      <c r="O714" s="77" t="s">
        <v>40</v>
      </c>
      <c r="P714" s="71">
        <f t="shared" ref="P714:P720" si="452">(C714+(E714*F714*H714))-N714</f>
        <v>0</v>
      </c>
      <c r="Q714" s="77" t="s">
        <v>40</v>
      </c>
      <c r="R714" s="78">
        <f t="shared" ref="R714:R720" si="453">P714*(J714-(J714*L714)-((J714-(J714*L714))*M714))</f>
        <v>0</v>
      </c>
      <c r="S714" s="78">
        <f t="shared" si="417"/>
        <v>0</v>
      </c>
    </row>
    <row r="715" spans="1:19" s="73" customFormat="1" x14ac:dyDescent="0.2">
      <c r="A715" s="104" t="s">
        <v>361</v>
      </c>
      <c r="B715" s="73" t="s">
        <v>25</v>
      </c>
      <c r="C715" s="71"/>
      <c r="D715" s="74" t="s">
        <v>40</v>
      </c>
      <c r="E715" s="75">
        <v>2</v>
      </c>
      <c r="F715" s="76">
        <v>1</v>
      </c>
      <c r="G715" s="77" t="s">
        <v>20</v>
      </c>
      <c r="H715" s="76">
        <v>144</v>
      </c>
      <c r="I715" s="77" t="s">
        <v>40</v>
      </c>
      <c r="J715" s="78">
        <f>1728000/144</f>
        <v>12000</v>
      </c>
      <c r="K715" s="74" t="s">
        <v>40</v>
      </c>
      <c r="L715" s="79"/>
      <c r="M715" s="79">
        <v>0.17</v>
      </c>
      <c r="N715" s="76">
        <v>288</v>
      </c>
      <c r="O715" s="77" t="s">
        <v>40</v>
      </c>
      <c r="P715" s="71">
        <f t="shared" si="452"/>
        <v>0</v>
      </c>
      <c r="Q715" s="77" t="s">
        <v>40</v>
      </c>
      <c r="R715" s="78">
        <f t="shared" si="453"/>
        <v>0</v>
      </c>
      <c r="S715" s="78">
        <f t="shared" si="417"/>
        <v>0</v>
      </c>
    </row>
    <row r="716" spans="1:19" s="73" customFormat="1" x14ac:dyDescent="0.2">
      <c r="A716" s="104" t="s">
        <v>362</v>
      </c>
      <c r="B716" s="73" t="s">
        <v>25</v>
      </c>
      <c r="C716" s="71"/>
      <c r="D716" s="74" t="s">
        <v>40</v>
      </c>
      <c r="E716" s="75"/>
      <c r="F716" s="76">
        <v>1</v>
      </c>
      <c r="G716" s="77" t="s">
        <v>20</v>
      </c>
      <c r="H716" s="76">
        <v>144</v>
      </c>
      <c r="I716" s="77" t="s">
        <v>40</v>
      </c>
      <c r="J716" s="78">
        <v>13800</v>
      </c>
      <c r="K716" s="74" t="s">
        <v>40</v>
      </c>
      <c r="L716" s="79"/>
      <c r="M716" s="79">
        <v>0.17</v>
      </c>
      <c r="N716" s="76">
        <v>0</v>
      </c>
      <c r="O716" s="77" t="s">
        <v>40</v>
      </c>
      <c r="P716" s="71">
        <f t="shared" si="452"/>
        <v>0</v>
      </c>
      <c r="Q716" s="77" t="s">
        <v>40</v>
      </c>
      <c r="R716" s="78">
        <f t="shared" si="453"/>
        <v>0</v>
      </c>
      <c r="S716" s="78">
        <f t="shared" si="417"/>
        <v>0</v>
      </c>
    </row>
    <row r="717" spans="1:19" s="73" customFormat="1" x14ac:dyDescent="0.2">
      <c r="A717" s="104" t="s">
        <v>363</v>
      </c>
      <c r="B717" s="73" t="s">
        <v>25</v>
      </c>
      <c r="C717" s="71"/>
      <c r="D717" s="74" t="s">
        <v>40</v>
      </c>
      <c r="E717" s="75"/>
      <c r="F717" s="76">
        <v>1</v>
      </c>
      <c r="G717" s="77" t="s">
        <v>20</v>
      </c>
      <c r="H717" s="76">
        <v>144</v>
      </c>
      <c r="I717" s="77" t="s">
        <v>40</v>
      </c>
      <c r="J717" s="78">
        <v>13800</v>
      </c>
      <c r="K717" s="74" t="s">
        <v>40</v>
      </c>
      <c r="L717" s="79"/>
      <c r="M717" s="79">
        <v>0.17</v>
      </c>
      <c r="N717" s="76">
        <v>0</v>
      </c>
      <c r="O717" s="77" t="s">
        <v>40</v>
      </c>
      <c r="P717" s="71">
        <f t="shared" si="452"/>
        <v>0</v>
      </c>
      <c r="Q717" s="77" t="s">
        <v>40</v>
      </c>
      <c r="R717" s="78">
        <f t="shared" si="453"/>
        <v>0</v>
      </c>
      <c r="S717" s="78">
        <f t="shared" si="417"/>
        <v>0</v>
      </c>
    </row>
    <row r="718" spans="1:19" s="73" customFormat="1" x14ac:dyDescent="0.2">
      <c r="A718" s="104" t="s">
        <v>364</v>
      </c>
      <c r="B718" s="73" t="s">
        <v>25</v>
      </c>
      <c r="C718" s="71"/>
      <c r="D718" s="74" t="s">
        <v>40</v>
      </c>
      <c r="E718" s="75"/>
      <c r="F718" s="76">
        <v>1</v>
      </c>
      <c r="G718" s="77" t="s">
        <v>20</v>
      </c>
      <c r="H718" s="76">
        <v>144</v>
      </c>
      <c r="I718" s="77" t="s">
        <v>40</v>
      </c>
      <c r="J718" s="78">
        <v>13800</v>
      </c>
      <c r="K718" s="74" t="s">
        <v>40</v>
      </c>
      <c r="L718" s="79"/>
      <c r="M718" s="79">
        <v>0.17</v>
      </c>
      <c r="N718" s="76">
        <v>0</v>
      </c>
      <c r="O718" s="77" t="s">
        <v>40</v>
      </c>
      <c r="P718" s="71">
        <f t="shared" si="452"/>
        <v>0</v>
      </c>
      <c r="Q718" s="77" t="s">
        <v>40</v>
      </c>
      <c r="R718" s="78">
        <f t="shared" si="453"/>
        <v>0</v>
      </c>
      <c r="S718" s="78">
        <f t="shared" si="417"/>
        <v>0</v>
      </c>
    </row>
    <row r="719" spans="1:19" s="73" customFormat="1" x14ac:dyDescent="0.2">
      <c r="A719" s="104" t="s">
        <v>365</v>
      </c>
      <c r="B719" s="73" t="s">
        <v>25</v>
      </c>
      <c r="C719" s="71"/>
      <c r="D719" s="74" t="s">
        <v>40</v>
      </c>
      <c r="E719" s="75"/>
      <c r="F719" s="76">
        <v>1</v>
      </c>
      <c r="G719" s="77" t="s">
        <v>20</v>
      </c>
      <c r="H719" s="76">
        <v>144</v>
      </c>
      <c r="I719" s="77" t="s">
        <v>40</v>
      </c>
      <c r="J719" s="78">
        <f>1987200/144</f>
        <v>13800</v>
      </c>
      <c r="K719" s="74" t="s">
        <v>40</v>
      </c>
      <c r="L719" s="79"/>
      <c r="M719" s="79">
        <v>0.17</v>
      </c>
      <c r="N719" s="76">
        <v>0</v>
      </c>
      <c r="O719" s="77" t="s">
        <v>40</v>
      </c>
      <c r="P719" s="71">
        <f t="shared" si="452"/>
        <v>0</v>
      </c>
      <c r="Q719" s="77" t="s">
        <v>40</v>
      </c>
      <c r="R719" s="78">
        <f t="shared" si="453"/>
        <v>0</v>
      </c>
      <c r="S719" s="78">
        <f t="shared" si="417"/>
        <v>0</v>
      </c>
    </row>
    <row r="720" spans="1:19" s="73" customFormat="1" x14ac:dyDescent="0.2">
      <c r="A720" s="104" t="s">
        <v>366</v>
      </c>
      <c r="B720" s="73" t="s">
        <v>25</v>
      </c>
      <c r="C720" s="71">
        <v>108</v>
      </c>
      <c r="D720" s="74" t="s">
        <v>40</v>
      </c>
      <c r="E720" s="75"/>
      <c r="F720" s="76">
        <v>1</v>
      </c>
      <c r="G720" s="77" t="s">
        <v>20</v>
      </c>
      <c r="H720" s="76">
        <v>144</v>
      </c>
      <c r="I720" s="77" t="s">
        <v>40</v>
      </c>
      <c r="J720" s="78">
        <f>2073600/12/12</f>
        <v>14400</v>
      </c>
      <c r="K720" s="74" t="s">
        <v>40</v>
      </c>
      <c r="L720" s="79"/>
      <c r="M720" s="79">
        <v>0.17</v>
      </c>
      <c r="N720" s="76">
        <v>108</v>
      </c>
      <c r="O720" s="77" t="s">
        <v>40</v>
      </c>
      <c r="P720" s="71">
        <f t="shared" si="452"/>
        <v>0</v>
      </c>
      <c r="Q720" s="77" t="s">
        <v>40</v>
      </c>
      <c r="R720" s="78">
        <f t="shared" si="453"/>
        <v>0</v>
      </c>
      <c r="S720" s="78">
        <f t="shared" si="417"/>
        <v>0</v>
      </c>
    </row>
    <row r="721" spans="1:19" s="73" customFormat="1" x14ac:dyDescent="0.2">
      <c r="A721" s="104" t="s">
        <v>984</v>
      </c>
      <c r="B721" s="73" t="s">
        <v>25</v>
      </c>
      <c r="C721" s="71"/>
      <c r="D721" s="74" t="s">
        <v>40</v>
      </c>
      <c r="E721" s="75">
        <v>3</v>
      </c>
      <c r="F721" s="76">
        <v>1</v>
      </c>
      <c r="G721" s="77" t="s">
        <v>20</v>
      </c>
      <c r="H721" s="76">
        <v>144</v>
      </c>
      <c r="I721" s="77" t="s">
        <v>40</v>
      </c>
      <c r="J721" s="78">
        <v>10200</v>
      </c>
      <c r="K721" s="74" t="s">
        <v>40</v>
      </c>
      <c r="L721" s="79"/>
      <c r="M721" s="79">
        <v>0.17</v>
      </c>
      <c r="N721" s="76">
        <v>432</v>
      </c>
      <c r="O721" s="77" t="s">
        <v>40</v>
      </c>
      <c r="P721" s="71">
        <f t="shared" ref="P721" si="454">(C721+(E721*F721*H721))-N721</f>
        <v>0</v>
      </c>
      <c r="Q721" s="77" t="s">
        <v>40</v>
      </c>
      <c r="R721" s="78">
        <f t="shared" ref="R721" si="455">P721*(J721-(J721*L721)-((J721-(J721*L721))*M721))</f>
        <v>0</v>
      </c>
      <c r="S721" s="78">
        <f t="shared" ref="S721" si="456">R721/1.11</f>
        <v>0</v>
      </c>
    </row>
    <row r="722" spans="1:19" s="73" customFormat="1" x14ac:dyDescent="0.2">
      <c r="A722" s="104" t="s">
        <v>1008</v>
      </c>
      <c r="B722" s="73" t="s">
        <v>25</v>
      </c>
      <c r="C722" s="71">
        <f>1152/12</f>
        <v>96</v>
      </c>
      <c r="D722" s="74" t="s">
        <v>40</v>
      </c>
      <c r="E722" s="75">
        <v>1</v>
      </c>
      <c r="F722" s="76">
        <v>1</v>
      </c>
      <c r="G722" s="77" t="s">
        <v>20</v>
      </c>
      <c r="H722" s="76">
        <v>144</v>
      </c>
      <c r="I722" s="77" t="s">
        <v>40</v>
      </c>
      <c r="J722" s="78">
        <v>19200</v>
      </c>
      <c r="K722" s="74" t="s">
        <v>40</v>
      </c>
      <c r="L722" s="79">
        <v>2.5000000000000001E-2</v>
      </c>
      <c r="M722" s="79">
        <v>0.17</v>
      </c>
      <c r="N722" s="76">
        <v>240</v>
      </c>
      <c r="O722" s="77" t="s">
        <v>40</v>
      </c>
      <c r="P722" s="71">
        <f t="shared" ref="P722" si="457">(C722+(E722*F722*H722))-N722</f>
        <v>0</v>
      </c>
      <c r="Q722" s="77" t="s">
        <v>40</v>
      </c>
      <c r="R722" s="78">
        <f t="shared" ref="R722" si="458">P722*(J722-(J722*L722)-((J722-(J722*L722))*M722))</f>
        <v>0</v>
      </c>
      <c r="S722" s="78">
        <f t="shared" ref="S722" si="459">R722/1.11</f>
        <v>0</v>
      </c>
    </row>
    <row r="723" spans="1:19" s="19" customFormat="1" x14ac:dyDescent="0.2">
      <c r="A723" s="38"/>
      <c r="C723" s="20"/>
      <c r="D723" s="21"/>
      <c r="E723" s="26"/>
      <c r="F723" s="22"/>
      <c r="G723" s="23"/>
      <c r="H723" s="22"/>
      <c r="I723" s="23"/>
      <c r="J723" s="24"/>
      <c r="K723" s="21"/>
      <c r="L723" s="25"/>
      <c r="M723" s="25"/>
      <c r="N723" s="22"/>
      <c r="O723" s="23"/>
      <c r="P723" s="20"/>
      <c r="Q723" s="23"/>
      <c r="R723" s="24"/>
      <c r="S723" s="24"/>
    </row>
    <row r="724" spans="1:19" x14ac:dyDescent="0.2">
      <c r="A724" s="134" t="s">
        <v>1036</v>
      </c>
      <c r="B724" s="19" t="s">
        <v>171</v>
      </c>
      <c r="C724" s="20"/>
      <c r="D724" s="21" t="s">
        <v>40</v>
      </c>
      <c r="E724" s="26">
        <v>5</v>
      </c>
      <c r="F724" s="22">
        <v>1</v>
      </c>
      <c r="G724" s="23" t="s">
        <v>20</v>
      </c>
      <c r="H724" s="22">
        <v>144</v>
      </c>
      <c r="I724" s="23" t="s">
        <v>40</v>
      </c>
      <c r="J724" s="24">
        <v>21000</v>
      </c>
      <c r="K724" s="21" t="s">
        <v>40</v>
      </c>
      <c r="L724" s="25">
        <v>7.0000000000000007E-2</v>
      </c>
      <c r="M724" s="25"/>
      <c r="N724" s="22">
        <f>720-432</f>
        <v>288</v>
      </c>
      <c r="O724" s="23" t="s">
        <v>40</v>
      </c>
      <c r="P724" s="20">
        <f>(C724+(E724*F724*H724))-N724</f>
        <v>432</v>
      </c>
      <c r="Q724" s="23" t="s">
        <v>40</v>
      </c>
      <c r="R724" s="24">
        <f>P724*(J724-(J724*L724)-((J724-(J724*L724))*M724))</f>
        <v>8436960</v>
      </c>
      <c r="S724" s="24">
        <f>R724/1.11</f>
        <v>7600864.8648648644</v>
      </c>
    </row>
    <row r="725" spans="1:19" s="19" customFormat="1" x14ac:dyDescent="0.2">
      <c r="A725" s="38"/>
      <c r="C725" s="20"/>
      <c r="D725" s="21"/>
      <c r="E725" s="26"/>
      <c r="F725" s="22"/>
      <c r="G725" s="23"/>
      <c r="H725" s="22"/>
      <c r="I725" s="23"/>
      <c r="J725" s="24"/>
      <c r="K725" s="21"/>
      <c r="L725" s="25"/>
      <c r="M725" s="25"/>
      <c r="N725" s="22"/>
      <c r="O725" s="23"/>
      <c r="P725" s="20"/>
      <c r="Q725" s="23"/>
      <c r="R725" s="24"/>
      <c r="S725" s="24"/>
    </row>
    <row r="726" spans="1:19" s="19" customFormat="1" x14ac:dyDescent="0.2">
      <c r="A726" s="57" t="s">
        <v>367</v>
      </c>
      <c r="C726" s="20"/>
      <c r="D726" s="21"/>
      <c r="E726" s="26"/>
      <c r="F726" s="22"/>
      <c r="G726" s="23"/>
      <c r="H726" s="22"/>
      <c r="I726" s="23"/>
      <c r="J726" s="24"/>
      <c r="K726" s="21"/>
      <c r="L726" s="25"/>
      <c r="M726" s="25"/>
      <c r="N726" s="22"/>
      <c r="O726" s="23"/>
      <c r="P726" s="20"/>
      <c r="Q726" s="23"/>
      <c r="R726" s="24"/>
      <c r="S726" s="24"/>
    </row>
    <row r="727" spans="1:19" s="19" customFormat="1" x14ac:dyDescent="0.2">
      <c r="A727" s="18" t="s">
        <v>368</v>
      </c>
      <c r="B727" s="19" t="s">
        <v>181</v>
      </c>
      <c r="C727" s="20">
        <v>2109</v>
      </c>
      <c r="D727" s="21" t="s">
        <v>40</v>
      </c>
      <c r="E727" s="26"/>
      <c r="F727" s="22">
        <v>1</v>
      </c>
      <c r="G727" s="23" t="s">
        <v>20</v>
      </c>
      <c r="H727" s="22">
        <v>240</v>
      </c>
      <c r="I727" s="23" t="s">
        <v>40</v>
      </c>
      <c r="J727" s="24">
        <v>10000</v>
      </c>
      <c r="K727" s="21" t="s">
        <v>40</v>
      </c>
      <c r="L727" s="25"/>
      <c r="M727" s="25"/>
      <c r="N727" s="22">
        <f>2109-1680</f>
        <v>429</v>
      </c>
      <c r="O727" s="23" t="s">
        <v>40</v>
      </c>
      <c r="P727" s="20">
        <f>(C727+(E727*F727*H727))-N727</f>
        <v>1680</v>
      </c>
      <c r="Q727" s="23" t="s">
        <v>40</v>
      </c>
      <c r="R727" s="24">
        <f>P727*(J727-(J727*L727)-((J727-(J727*L727))*M727))</f>
        <v>16800000</v>
      </c>
      <c r="S727" s="24">
        <f t="shared" si="417"/>
        <v>15135135.135135135</v>
      </c>
    </row>
    <row r="728" spans="1:19" s="19" customFormat="1" x14ac:dyDescent="0.2">
      <c r="A728" s="18" t="s">
        <v>369</v>
      </c>
      <c r="B728" s="19" t="s">
        <v>181</v>
      </c>
      <c r="C728" s="20">
        <v>1472</v>
      </c>
      <c r="D728" s="21" t="s">
        <v>40</v>
      </c>
      <c r="E728" s="26"/>
      <c r="F728" s="22">
        <v>1</v>
      </c>
      <c r="G728" s="23" t="s">
        <v>20</v>
      </c>
      <c r="H728" s="22">
        <v>240</v>
      </c>
      <c r="I728" s="23" t="s">
        <v>40</v>
      </c>
      <c r="J728" s="24">
        <v>10000</v>
      </c>
      <c r="K728" s="21" t="s">
        <v>40</v>
      </c>
      <c r="L728" s="25"/>
      <c r="M728" s="25"/>
      <c r="N728" s="22">
        <v>272</v>
      </c>
      <c r="O728" s="23" t="s">
        <v>40</v>
      </c>
      <c r="P728" s="20">
        <f>(C728+(E728*F728*H728))-N728</f>
        <v>1200</v>
      </c>
      <c r="Q728" s="23" t="s">
        <v>40</v>
      </c>
      <c r="R728" s="24">
        <f>P728*(J728-(J728*L728)-((J728-(J728*L728))*M728))</f>
        <v>12000000</v>
      </c>
      <c r="S728" s="24">
        <f t="shared" si="417"/>
        <v>10810810.81081081</v>
      </c>
    </row>
    <row r="729" spans="1:19" s="19" customFormat="1" x14ac:dyDescent="0.2">
      <c r="A729" s="18" t="s">
        <v>370</v>
      </c>
      <c r="B729" s="19" t="s">
        <v>181</v>
      </c>
      <c r="C729" s="20">
        <f>1145+19</f>
        <v>1164</v>
      </c>
      <c r="D729" s="21" t="s">
        <v>40</v>
      </c>
      <c r="E729" s="26"/>
      <c r="F729" s="22">
        <v>1</v>
      </c>
      <c r="G729" s="23" t="s">
        <v>20</v>
      </c>
      <c r="H729" s="22">
        <v>240</v>
      </c>
      <c r="I729" s="23" t="s">
        <v>40</v>
      </c>
      <c r="J729" s="24">
        <v>10000</v>
      </c>
      <c r="K729" s="21" t="s">
        <v>40</v>
      </c>
      <c r="L729" s="25"/>
      <c r="M729" s="25"/>
      <c r="N729" s="22"/>
      <c r="O729" s="23" t="s">
        <v>40</v>
      </c>
      <c r="P729" s="20">
        <f>(C729+(E729*F729*H729))-N729</f>
        <v>1164</v>
      </c>
      <c r="Q729" s="23" t="s">
        <v>40</v>
      </c>
      <c r="R729" s="24">
        <f>P729*(J729-(J729*L729)-((J729-(J729*L729))*M729))</f>
        <v>11640000</v>
      </c>
      <c r="S729" s="24">
        <f t="shared" si="417"/>
        <v>10486486.486486485</v>
      </c>
    </row>
    <row r="730" spans="1:19" s="73" customFormat="1" x14ac:dyDescent="0.2">
      <c r="A730" s="72" t="s">
        <v>371</v>
      </c>
      <c r="B730" s="73" t="s">
        <v>181</v>
      </c>
      <c r="C730" s="71"/>
      <c r="D730" s="74" t="s">
        <v>40</v>
      </c>
      <c r="E730" s="75"/>
      <c r="F730" s="76">
        <v>1</v>
      </c>
      <c r="G730" s="77" t="s">
        <v>20</v>
      </c>
      <c r="H730" s="76">
        <v>240</v>
      </c>
      <c r="I730" s="77" t="s">
        <v>40</v>
      </c>
      <c r="J730" s="78">
        <v>10000</v>
      </c>
      <c r="K730" s="74" t="s">
        <v>40</v>
      </c>
      <c r="L730" s="79"/>
      <c r="M730" s="79"/>
      <c r="N730" s="76"/>
      <c r="O730" s="77" t="s">
        <v>40</v>
      </c>
      <c r="P730" s="71">
        <f>(C730+(E730*F730*H730))-N730</f>
        <v>0</v>
      </c>
      <c r="Q730" s="77" t="s">
        <v>40</v>
      </c>
      <c r="R730" s="78">
        <f>P730*(J730-(J730*L730)-((J730-(J730*L730))*M730))</f>
        <v>0</v>
      </c>
      <c r="S730" s="78">
        <f t="shared" si="417"/>
        <v>0</v>
      </c>
    </row>
    <row r="731" spans="1:19" s="19" customFormat="1" x14ac:dyDescent="0.2">
      <c r="A731" s="18"/>
      <c r="C731" s="20"/>
      <c r="D731" s="21"/>
      <c r="E731" s="26"/>
      <c r="F731" s="22"/>
      <c r="G731" s="23"/>
      <c r="H731" s="22"/>
      <c r="I731" s="23"/>
      <c r="J731" s="24"/>
      <c r="K731" s="21"/>
      <c r="L731" s="25"/>
      <c r="M731" s="25"/>
      <c r="N731" s="22"/>
      <c r="O731" s="23"/>
      <c r="P731" s="20"/>
      <c r="Q731" s="23"/>
      <c r="R731" s="24"/>
      <c r="S731" s="24"/>
    </row>
    <row r="732" spans="1:19" s="73" customFormat="1" x14ac:dyDescent="0.2">
      <c r="A732" s="72" t="s">
        <v>401</v>
      </c>
      <c r="B732" s="73" t="s">
        <v>260</v>
      </c>
      <c r="C732" s="71"/>
      <c r="D732" s="74" t="s">
        <v>40</v>
      </c>
      <c r="E732" s="75"/>
      <c r="F732" s="76">
        <v>1</v>
      </c>
      <c r="G732" s="77" t="s">
        <v>20</v>
      </c>
      <c r="H732" s="76">
        <v>120</v>
      </c>
      <c r="I732" s="77" t="s">
        <v>40</v>
      </c>
      <c r="J732" s="78">
        <v>25500</v>
      </c>
      <c r="K732" s="74" t="s">
        <v>40</v>
      </c>
      <c r="L732" s="79"/>
      <c r="M732" s="79"/>
      <c r="N732" s="76"/>
      <c r="O732" s="77" t="s">
        <v>40</v>
      </c>
      <c r="P732" s="71">
        <f>(C732+(E732*F732*H732))-N732</f>
        <v>0</v>
      </c>
      <c r="Q732" s="77" t="s">
        <v>40</v>
      </c>
      <c r="R732" s="78">
        <f>P732*(J732-(J732*L732)-((J732-(J732*L732))*M732))</f>
        <v>0</v>
      </c>
      <c r="S732" s="78">
        <f>R732/1.11</f>
        <v>0</v>
      </c>
    </row>
    <row r="733" spans="1:19" s="73" customFormat="1" x14ac:dyDescent="0.2">
      <c r="A733" s="72" t="s">
        <v>741</v>
      </c>
      <c r="B733" s="73" t="s">
        <v>260</v>
      </c>
      <c r="C733" s="71"/>
      <c r="D733" s="74" t="s">
        <v>40</v>
      </c>
      <c r="E733" s="75"/>
      <c r="F733" s="76">
        <v>1</v>
      </c>
      <c r="G733" s="77" t="s">
        <v>20</v>
      </c>
      <c r="H733" s="76">
        <v>120</v>
      </c>
      <c r="I733" s="77" t="s">
        <v>40</v>
      </c>
      <c r="J733" s="78">
        <v>19000</v>
      </c>
      <c r="K733" s="74" t="s">
        <v>40</v>
      </c>
      <c r="L733" s="79"/>
      <c r="M733" s="79"/>
      <c r="N733" s="76"/>
      <c r="O733" s="77" t="s">
        <v>40</v>
      </c>
      <c r="P733" s="71">
        <f>(C733+(E733*F733*H733))-N733</f>
        <v>0</v>
      </c>
      <c r="Q733" s="77" t="s">
        <v>40</v>
      </c>
      <c r="R733" s="78">
        <f>P733*(J733-(J733*L733)-((J733-(J733*L733))*M733))</f>
        <v>0</v>
      </c>
      <c r="S733" s="78">
        <f t="shared" ref="S733" si="460">R733/1.11</f>
        <v>0</v>
      </c>
    </row>
    <row r="734" spans="1:19" s="73" customFormat="1" x14ac:dyDescent="0.2">
      <c r="A734" s="72" t="s">
        <v>950</v>
      </c>
      <c r="B734" s="73" t="s">
        <v>260</v>
      </c>
      <c r="C734" s="71"/>
      <c r="D734" s="74" t="s">
        <v>40</v>
      </c>
      <c r="E734" s="75">
        <v>1</v>
      </c>
      <c r="F734" s="76">
        <v>1</v>
      </c>
      <c r="G734" s="77" t="s">
        <v>20</v>
      </c>
      <c r="H734" s="76">
        <v>120</v>
      </c>
      <c r="I734" s="77" t="s">
        <v>40</v>
      </c>
      <c r="J734" s="78">
        <v>25500</v>
      </c>
      <c r="K734" s="74" t="s">
        <v>40</v>
      </c>
      <c r="L734" s="79"/>
      <c r="M734" s="79"/>
      <c r="N734" s="76">
        <v>120</v>
      </c>
      <c r="O734" s="77" t="s">
        <v>40</v>
      </c>
      <c r="P734" s="71">
        <f>(C734+(E734*F734*H734))-N734</f>
        <v>0</v>
      </c>
      <c r="Q734" s="77" t="s">
        <v>40</v>
      </c>
      <c r="R734" s="78">
        <f>P734*(J734-(J734*L734)-((J734-(J734*L734))*M734))</f>
        <v>0</v>
      </c>
      <c r="S734" s="78">
        <f t="shared" ref="S734" si="461">R734/1.11</f>
        <v>0</v>
      </c>
    </row>
    <row r="735" spans="1:19" s="73" customFormat="1" x14ac:dyDescent="0.2">
      <c r="A735" s="184" t="s">
        <v>1040</v>
      </c>
      <c r="B735" s="73" t="s">
        <v>260</v>
      </c>
      <c r="C735" s="71"/>
      <c r="D735" s="74" t="s">
        <v>40</v>
      </c>
      <c r="E735" s="75">
        <v>1</v>
      </c>
      <c r="F735" s="76">
        <v>1</v>
      </c>
      <c r="G735" s="77" t="s">
        <v>20</v>
      </c>
      <c r="H735" s="76">
        <v>120</v>
      </c>
      <c r="I735" s="77" t="s">
        <v>40</v>
      </c>
      <c r="J735" s="78">
        <v>30500</v>
      </c>
      <c r="K735" s="74" t="s">
        <v>40</v>
      </c>
      <c r="L735" s="79"/>
      <c r="M735" s="79"/>
      <c r="N735" s="76">
        <v>120</v>
      </c>
      <c r="O735" s="77" t="s">
        <v>40</v>
      </c>
      <c r="P735" s="71">
        <f>(C735+(E735*F735*H735))-N735</f>
        <v>0</v>
      </c>
      <c r="Q735" s="77" t="s">
        <v>40</v>
      </c>
      <c r="R735" s="78">
        <f>P735*(J735-(J735*L735)-((J735-(J735*L735))*M735))</f>
        <v>0</v>
      </c>
      <c r="S735" s="78">
        <f t="shared" ref="S735" si="462">R735/1.11</f>
        <v>0</v>
      </c>
    </row>
    <row r="736" spans="1:19" s="73" customFormat="1" x14ac:dyDescent="0.2">
      <c r="A736" s="72"/>
      <c r="C736" s="71"/>
      <c r="D736" s="74"/>
      <c r="E736" s="75"/>
      <c r="F736" s="76"/>
      <c r="G736" s="77"/>
      <c r="H736" s="76"/>
      <c r="I736" s="77"/>
      <c r="J736" s="78"/>
      <c r="K736" s="74"/>
      <c r="L736" s="79"/>
      <c r="M736" s="79"/>
      <c r="N736" s="76"/>
      <c r="O736" s="77"/>
      <c r="P736" s="71"/>
      <c r="Q736" s="77"/>
      <c r="R736" s="78"/>
      <c r="S736" s="78"/>
    </row>
    <row r="737" spans="1:19" s="73" customFormat="1" x14ac:dyDescent="0.2">
      <c r="A737" s="72" t="s">
        <v>372</v>
      </c>
      <c r="B737" s="73" t="s">
        <v>18</v>
      </c>
      <c r="C737" s="71"/>
      <c r="D737" s="74" t="s">
        <v>40</v>
      </c>
      <c r="E737" s="75"/>
      <c r="F737" s="76">
        <v>1</v>
      </c>
      <c r="G737" s="77" t="s">
        <v>20</v>
      </c>
      <c r="H737" s="76">
        <v>144</v>
      </c>
      <c r="I737" s="77" t="s">
        <v>40</v>
      </c>
      <c r="J737" s="78">
        <v>19800</v>
      </c>
      <c r="K737" s="74" t="s">
        <v>40</v>
      </c>
      <c r="L737" s="79">
        <v>0.125</v>
      </c>
      <c r="M737" s="79">
        <v>0.05</v>
      </c>
      <c r="N737" s="76">
        <v>0</v>
      </c>
      <c r="O737" s="77" t="s">
        <v>40</v>
      </c>
      <c r="P737" s="71">
        <f t="shared" ref="P737:P759" si="463">(C737+(E737*F737*H737))-N737</f>
        <v>0</v>
      </c>
      <c r="Q737" s="77" t="s">
        <v>40</v>
      </c>
      <c r="R737" s="78">
        <f t="shared" ref="R737:R759" si="464">P737*(J737-(J737*L737)-((J737-(J737*L737))*M737))</f>
        <v>0</v>
      </c>
      <c r="S737" s="78">
        <f t="shared" si="417"/>
        <v>0</v>
      </c>
    </row>
    <row r="738" spans="1:19" s="73" customFormat="1" x14ac:dyDescent="0.2">
      <c r="A738" s="72" t="s">
        <v>373</v>
      </c>
      <c r="B738" s="73" t="s">
        <v>18</v>
      </c>
      <c r="C738" s="71"/>
      <c r="D738" s="74" t="s">
        <v>40</v>
      </c>
      <c r="E738" s="75"/>
      <c r="F738" s="76">
        <v>1</v>
      </c>
      <c r="G738" s="77" t="s">
        <v>20</v>
      </c>
      <c r="H738" s="76">
        <v>144</v>
      </c>
      <c r="I738" s="77" t="s">
        <v>40</v>
      </c>
      <c r="J738" s="78">
        <v>20400</v>
      </c>
      <c r="K738" s="74" t="s">
        <v>40</v>
      </c>
      <c r="L738" s="79">
        <v>0.125</v>
      </c>
      <c r="M738" s="79">
        <v>0.05</v>
      </c>
      <c r="N738" s="76">
        <v>0</v>
      </c>
      <c r="O738" s="77" t="s">
        <v>40</v>
      </c>
      <c r="P738" s="71">
        <f t="shared" si="463"/>
        <v>0</v>
      </c>
      <c r="Q738" s="77" t="s">
        <v>40</v>
      </c>
      <c r="R738" s="78">
        <f t="shared" si="464"/>
        <v>0</v>
      </c>
      <c r="S738" s="78">
        <f t="shared" si="417"/>
        <v>0</v>
      </c>
    </row>
    <row r="739" spans="1:19" s="73" customFormat="1" x14ac:dyDescent="0.2">
      <c r="A739" s="104" t="s">
        <v>657</v>
      </c>
      <c r="B739" s="73" t="s">
        <v>18</v>
      </c>
      <c r="C739" s="71"/>
      <c r="D739" s="74" t="s">
        <v>40</v>
      </c>
      <c r="E739" s="75"/>
      <c r="F739" s="76">
        <v>1</v>
      </c>
      <c r="G739" s="77" t="s">
        <v>20</v>
      </c>
      <c r="H739" s="76">
        <v>144</v>
      </c>
      <c r="I739" s="77" t="s">
        <v>40</v>
      </c>
      <c r="J739" s="78">
        <v>69600</v>
      </c>
      <c r="K739" s="74" t="s">
        <v>40</v>
      </c>
      <c r="L739" s="79">
        <v>0.125</v>
      </c>
      <c r="M739" s="79">
        <v>0.05</v>
      </c>
      <c r="N739" s="76">
        <v>0</v>
      </c>
      <c r="O739" s="77" t="s">
        <v>40</v>
      </c>
      <c r="P739" s="71">
        <f t="shared" si="463"/>
        <v>0</v>
      </c>
      <c r="Q739" s="77" t="s">
        <v>40</v>
      </c>
      <c r="R739" s="78">
        <f t="shared" si="464"/>
        <v>0</v>
      </c>
      <c r="S739" s="78">
        <f t="shared" si="417"/>
        <v>0</v>
      </c>
    </row>
    <row r="740" spans="1:19" s="73" customFormat="1" x14ac:dyDescent="0.2">
      <c r="A740" s="104" t="s">
        <v>788</v>
      </c>
      <c r="B740" s="73" t="s">
        <v>18</v>
      </c>
      <c r="C740" s="71"/>
      <c r="D740" s="74" t="s">
        <v>40</v>
      </c>
      <c r="E740" s="75"/>
      <c r="F740" s="76">
        <v>1</v>
      </c>
      <c r="G740" s="77" t="s">
        <v>20</v>
      </c>
      <c r="H740" s="76">
        <v>144</v>
      </c>
      <c r="I740" s="77" t="s">
        <v>40</v>
      </c>
      <c r="J740" s="78">
        <v>32400</v>
      </c>
      <c r="K740" s="74" t="s">
        <v>40</v>
      </c>
      <c r="L740" s="79">
        <v>0.125</v>
      </c>
      <c r="M740" s="79">
        <v>0.05</v>
      </c>
      <c r="N740" s="76">
        <v>0</v>
      </c>
      <c r="O740" s="77" t="s">
        <v>40</v>
      </c>
      <c r="P740" s="71">
        <f t="shared" si="463"/>
        <v>0</v>
      </c>
      <c r="Q740" s="77" t="s">
        <v>40</v>
      </c>
      <c r="R740" s="78">
        <f t="shared" si="464"/>
        <v>0</v>
      </c>
      <c r="S740" s="78">
        <f t="shared" si="417"/>
        <v>0</v>
      </c>
    </row>
    <row r="741" spans="1:19" s="73" customFormat="1" x14ac:dyDescent="0.2">
      <c r="A741" s="104" t="s">
        <v>910</v>
      </c>
      <c r="B741" s="73" t="s">
        <v>18</v>
      </c>
      <c r="C741" s="71"/>
      <c r="D741" s="74" t="s">
        <v>40</v>
      </c>
      <c r="E741" s="75">
        <v>1</v>
      </c>
      <c r="F741" s="76">
        <v>1</v>
      </c>
      <c r="G741" s="77" t="s">
        <v>20</v>
      </c>
      <c r="H741" s="76">
        <v>144</v>
      </c>
      <c r="I741" s="77" t="s">
        <v>40</v>
      </c>
      <c r="J741" s="78">
        <v>34200</v>
      </c>
      <c r="K741" s="74" t="s">
        <v>40</v>
      </c>
      <c r="L741" s="79">
        <v>0.125</v>
      </c>
      <c r="M741" s="79">
        <v>0.05</v>
      </c>
      <c r="N741" s="76">
        <v>144</v>
      </c>
      <c r="O741" s="77" t="s">
        <v>40</v>
      </c>
      <c r="P741" s="71">
        <f t="shared" ref="P741" si="465">(C741+(E741*F741*H741))-N741</f>
        <v>0</v>
      </c>
      <c r="Q741" s="77" t="s">
        <v>40</v>
      </c>
      <c r="R741" s="78">
        <f t="shared" ref="R741" si="466">P741*(J741-(J741*L741)-((J741-(J741*L741))*M741))</f>
        <v>0</v>
      </c>
      <c r="S741" s="78">
        <f t="shared" si="417"/>
        <v>0</v>
      </c>
    </row>
    <row r="742" spans="1:19" s="73" customFormat="1" x14ac:dyDescent="0.2">
      <c r="A742" s="104" t="s">
        <v>374</v>
      </c>
      <c r="B742" s="73" t="s">
        <v>18</v>
      </c>
      <c r="C742" s="71"/>
      <c r="D742" s="74" t="s">
        <v>40</v>
      </c>
      <c r="E742" s="75"/>
      <c r="F742" s="76">
        <v>1</v>
      </c>
      <c r="G742" s="77" t="s">
        <v>20</v>
      </c>
      <c r="H742" s="76">
        <v>144</v>
      </c>
      <c r="I742" s="77" t="s">
        <v>40</v>
      </c>
      <c r="J742" s="78">
        <v>27000</v>
      </c>
      <c r="K742" s="74" t="s">
        <v>40</v>
      </c>
      <c r="L742" s="79">
        <v>0.125</v>
      </c>
      <c r="M742" s="79">
        <v>0.05</v>
      </c>
      <c r="N742" s="76">
        <v>0</v>
      </c>
      <c r="O742" s="77" t="s">
        <v>40</v>
      </c>
      <c r="P742" s="71">
        <f t="shared" si="463"/>
        <v>0</v>
      </c>
      <c r="Q742" s="77" t="s">
        <v>40</v>
      </c>
      <c r="R742" s="78">
        <f t="shared" si="464"/>
        <v>0</v>
      </c>
      <c r="S742" s="78">
        <f t="shared" si="417"/>
        <v>0</v>
      </c>
    </row>
    <row r="743" spans="1:19" s="73" customFormat="1" x14ac:dyDescent="0.2">
      <c r="A743" s="104" t="s">
        <v>713</v>
      </c>
      <c r="B743" s="73" t="s">
        <v>18</v>
      </c>
      <c r="C743" s="71"/>
      <c r="D743" s="74" t="s">
        <v>40</v>
      </c>
      <c r="E743" s="75">
        <v>2</v>
      </c>
      <c r="F743" s="76">
        <v>1</v>
      </c>
      <c r="G743" s="77" t="s">
        <v>20</v>
      </c>
      <c r="H743" s="76">
        <v>144</v>
      </c>
      <c r="I743" s="77" t="s">
        <v>40</v>
      </c>
      <c r="J743" s="78">
        <v>21600</v>
      </c>
      <c r="K743" s="74" t="s">
        <v>40</v>
      </c>
      <c r="L743" s="79">
        <v>0.125</v>
      </c>
      <c r="M743" s="79">
        <v>0.05</v>
      </c>
      <c r="N743" s="76">
        <v>288</v>
      </c>
      <c r="O743" s="77" t="s">
        <v>40</v>
      </c>
      <c r="P743" s="71">
        <f t="shared" si="463"/>
        <v>0</v>
      </c>
      <c r="Q743" s="77" t="s">
        <v>40</v>
      </c>
      <c r="R743" s="78">
        <f t="shared" si="464"/>
        <v>0</v>
      </c>
      <c r="S743" s="78">
        <f t="shared" ref="S743:S837" si="467">R743/1.11</f>
        <v>0</v>
      </c>
    </row>
    <row r="744" spans="1:19" s="73" customFormat="1" x14ac:dyDescent="0.2">
      <c r="A744" s="104" t="s">
        <v>375</v>
      </c>
      <c r="B744" s="73" t="s">
        <v>18</v>
      </c>
      <c r="C744" s="71"/>
      <c r="D744" s="74" t="s">
        <v>40</v>
      </c>
      <c r="E744" s="75">
        <v>6</v>
      </c>
      <c r="F744" s="76">
        <v>1</v>
      </c>
      <c r="G744" s="77" t="s">
        <v>20</v>
      </c>
      <c r="H744" s="76">
        <v>144</v>
      </c>
      <c r="I744" s="77" t="s">
        <v>40</v>
      </c>
      <c r="J744" s="78">
        <v>43200</v>
      </c>
      <c r="K744" s="74" t="s">
        <v>40</v>
      </c>
      <c r="L744" s="79">
        <v>0.125</v>
      </c>
      <c r="M744" s="79">
        <v>0.05</v>
      </c>
      <c r="N744" s="76">
        <v>864</v>
      </c>
      <c r="O744" s="77" t="s">
        <v>40</v>
      </c>
      <c r="P744" s="71">
        <f t="shared" si="463"/>
        <v>0</v>
      </c>
      <c r="Q744" s="77" t="s">
        <v>40</v>
      </c>
      <c r="R744" s="78">
        <f t="shared" si="464"/>
        <v>0</v>
      </c>
      <c r="S744" s="78">
        <f t="shared" si="467"/>
        <v>0</v>
      </c>
    </row>
    <row r="745" spans="1:19" s="73" customFormat="1" x14ac:dyDescent="0.2">
      <c r="A745" s="104" t="s">
        <v>376</v>
      </c>
      <c r="B745" s="73" t="s">
        <v>18</v>
      </c>
      <c r="C745" s="71"/>
      <c r="D745" s="74" t="s">
        <v>40</v>
      </c>
      <c r="E745" s="75">
        <v>1</v>
      </c>
      <c r="F745" s="76">
        <v>1</v>
      </c>
      <c r="G745" s="77" t="s">
        <v>20</v>
      </c>
      <c r="H745" s="76">
        <v>144</v>
      </c>
      <c r="I745" s="77" t="s">
        <v>40</v>
      </c>
      <c r="J745" s="78">
        <v>24600</v>
      </c>
      <c r="K745" s="74" t="s">
        <v>40</v>
      </c>
      <c r="L745" s="79">
        <v>0.125</v>
      </c>
      <c r="M745" s="79">
        <v>0.05</v>
      </c>
      <c r="N745" s="76">
        <v>144</v>
      </c>
      <c r="O745" s="77" t="s">
        <v>40</v>
      </c>
      <c r="P745" s="71">
        <f t="shared" ref="P745" si="468">(C745+(E745*F745*H745))-N745</f>
        <v>0</v>
      </c>
      <c r="Q745" s="77" t="s">
        <v>40</v>
      </c>
      <c r="R745" s="78">
        <f t="shared" ref="R745" si="469">P745*(J745-(J745*L745)-((J745-(J745*L745))*M745))</f>
        <v>0</v>
      </c>
      <c r="S745" s="78">
        <f t="shared" ref="S745" si="470">R745/1.11</f>
        <v>0</v>
      </c>
    </row>
    <row r="746" spans="1:19" s="73" customFormat="1" x14ac:dyDescent="0.2">
      <c r="A746" s="191" t="s">
        <v>377</v>
      </c>
      <c r="B746" s="73" t="s">
        <v>18</v>
      </c>
      <c r="C746" s="71">
        <v>312</v>
      </c>
      <c r="D746" s="74" t="s">
        <v>40</v>
      </c>
      <c r="E746" s="75"/>
      <c r="F746" s="76">
        <v>1</v>
      </c>
      <c r="G746" s="77" t="s">
        <v>20</v>
      </c>
      <c r="H746" s="76">
        <v>144</v>
      </c>
      <c r="I746" s="77" t="s">
        <v>40</v>
      </c>
      <c r="J746" s="190">
        <v>26400</v>
      </c>
      <c r="K746" s="74" t="s">
        <v>40</v>
      </c>
      <c r="L746" s="79">
        <v>0.125</v>
      </c>
      <c r="M746" s="79">
        <v>0.05</v>
      </c>
      <c r="N746" s="76">
        <v>312</v>
      </c>
      <c r="O746" s="205" t="s">
        <v>40</v>
      </c>
      <c r="P746" s="71">
        <f>(C746+(E746*F746*H746))-N746</f>
        <v>0</v>
      </c>
      <c r="Q746" s="77" t="s">
        <v>40</v>
      </c>
      <c r="R746" s="78">
        <f>P746*(J746-(J746*L746)-((J746-(J746*L746))*M746))</f>
        <v>0</v>
      </c>
      <c r="S746" s="78">
        <f>R746/1.11</f>
        <v>0</v>
      </c>
    </row>
    <row r="747" spans="1:19" s="19" customFormat="1" x14ac:dyDescent="0.2">
      <c r="A747" s="123" t="s">
        <v>377</v>
      </c>
      <c r="B747" s="19" t="s">
        <v>18</v>
      </c>
      <c r="C747" s="20"/>
      <c r="D747" s="21" t="s">
        <v>40</v>
      </c>
      <c r="E747" s="26">
        <v>15</v>
      </c>
      <c r="F747" s="22">
        <v>1</v>
      </c>
      <c r="G747" s="23" t="s">
        <v>20</v>
      </c>
      <c r="H747" s="22">
        <v>144</v>
      </c>
      <c r="I747" s="23" t="s">
        <v>40</v>
      </c>
      <c r="J747" s="122">
        <v>28200</v>
      </c>
      <c r="K747" s="21" t="s">
        <v>40</v>
      </c>
      <c r="L747" s="25">
        <v>0.125</v>
      </c>
      <c r="M747" s="25">
        <v>0.05</v>
      </c>
      <c r="N747" s="22">
        <v>1584</v>
      </c>
      <c r="O747" s="60" t="s">
        <v>40</v>
      </c>
      <c r="P747" s="20">
        <f t="shared" ref="P747" si="471">(C747+(E747*F747*H747))-N747</f>
        <v>576</v>
      </c>
      <c r="Q747" s="23" t="s">
        <v>40</v>
      </c>
      <c r="R747" s="24">
        <f t="shared" ref="R747" si="472">P747*(J747-(J747*L747)-((J747-(J747*L747))*M747))</f>
        <v>13502160</v>
      </c>
      <c r="S747" s="24">
        <f t="shared" ref="S747" si="473">R747/1.11</f>
        <v>12164108.108108107</v>
      </c>
    </row>
    <row r="748" spans="1:19" s="73" customFormat="1" x14ac:dyDescent="0.2">
      <c r="A748" s="204" t="s">
        <v>377</v>
      </c>
      <c r="B748" s="73" t="s">
        <v>18</v>
      </c>
      <c r="C748" s="71"/>
      <c r="D748" s="74" t="s">
        <v>40</v>
      </c>
      <c r="E748" s="75">
        <v>3</v>
      </c>
      <c r="F748" s="76">
        <v>1</v>
      </c>
      <c r="G748" s="77" t="s">
        <v>20</v>
      </c>
      <c r="H748" s="76">
        <v>144</v>
      </c>
      <c r="I748" s="77" t="s">
        <v>40</v>
      </c>
      <c r="J748" s="78">
        <v>28200</v>
      </c>
      <c r="K748" s="74" t="s">
        <v>40</v>
      </c>
      <c r="L748" s="79">
        <v>0.125</v>
      </c>
      <c r="M748" s="79">
        <v>0.1</v>
      </c>
      <c r="N748" s="76">
        <v>432</v>
      </c>
      <c r="O748" s="205" t="s">
        <v>40</v>
      </c>
      <c r="P748" s="71">
        <f t="shared" ref="P748" si="474">(C748+(E748*F748*H748))-N748</f>
        <v>0</v>
      </c>
      <c r="Q748" s="77" t="s">
        <v>40</v>
      </c>
      <c r="R748" s="78">
        <f t="shared" ref="R748" si="475">P748*(J748-(J748*L748)-((J748-(J748*L748))*M748))</f>
        <v>0</v>
      </c>
      <c r="S748" s="78">
        <f t="shared" ref="S748" si="476">R748/1.11</f>
        <v>0</v>
      </c>
    </row>
    <row r="749" spans="1:19" s="73" customFormat="1" x14ac:dyDescent="0.2">
      <c r="A749" s="191" t="s">
        <v>1092</v>
      </c>
      <c r="B749" s="73" t="s">
        <v>18</v>
      </c>
      <c r="C749" s="71">
        <v>351</v>
      </c>
      <c r="D749" s="74" t="s">
        <v>40</v>
      </c>
      <c r="E749" s="75"/>
      <c r="F749" s="76">
        <v>1</v>
      </c>
      <c r="G749" s="77" t="s">
        <v>20</v>
      </c>
      <c r="H749" s="76">
        <v>144</v>
      </c>
      <c r="I749" s="77" t="s">
        <v>40</v>
      </c>
      <c r="J749" s="190"/>
      <c r="K749" s="74" t="s">
        <v>40</v>
      </c>
      <c r="L749" s="79">
        <v>0.125</v>
      </c>
      <c r="M749" s="79">
        <v>0.05</v>
      </c>
      <c r="N749" s="76">
        <v>351</v>
      </c>
      <c r="O749" s="205" t="s">
        <v>40</v>
      </c>
      <c r="P749" s="71">
        <f t="shared" si="463"/>
        <v>0</v>
      </c>
      <c r="Q749" s="77" t="s">
        <v>40</v>
      </c>
      <c r="R749" s="78">
        <f t="shared" si="464"/>
        <v>0</v>
      </c>
      <c r="S749" s="78">
        <f t="shared" si="467"/>
        <v>0</v>
      </c>
    </row>
    <row r="750" spans="1:19" s="73" customFormat="1" x14ac:dyDescent="0.2">
      <c r="A750" s="104" t="s">
        <v>378</v>
      </c>
      <c r="B750" s="73" t="s">
        <v>18</v>
      </c>
      <c r="C750" s="71">
        <v>233</v>
      </c>
      <c r="D750" s="74" t="s">
        <v>40</v>
      </c>
      <c r="E750" s="75">
        <v>17</v>
      </c>
      <c r="F750" s="76">
        <v>1</v>
      </c>
      <c r="G750" s="77" t="s">
        <v>20</v>
      </c>
      <c r="H750" s="76">
        <v>144</v>
      </c>
      <c r="I750" s="77" t="s">
        <v>40</v>
      </c>
      <c r="J750" s="78">
        <v>27600</v>
      </c>
      <c r="K750" s="74" t="s">
        <v>40</v>
      </c>
      <c r="L750" s="79">
        <v>0.125</v>
      </c>
      <c r="M750" s="79">
        <v>0.05</v>
      </c>
      <c r="N750" s="76">
        <v>2681</v>
      </c>
      <c r="O750" s="77" t="s">
        <v>40</v>
      </c>
      <c r="P750" s="71">
        <f t="shared" si="463"/>
        <v>0</v>
      </c>
      <c r="Q750" s="77" t="s">
        <v>40</v>
      </c>
      <c r="R750" s="78">
        <f t="shared" si="464"/>
        <v>0</v>
      </c>
      <c r="S750" s="78">
        <f t="shared" si="467"/>
        <v>0</v>
      </c>
    </row>
    <row r="751" spans="1:19" s="73" customFormat="1" x14ac:dyDescent="0.2">
      <c r="A751" s="204" t="s">
        <v>378</v>
      </c>
      <c r="B751" s="73" t="s">
        <v>18</v>
      </c>
      <c r="C751" s="71"/>
      <c r="D751" s="74" t="s">
        <v>40</v>
      </c>
      <c r="E751" s="75">
        <v>3</v>
      </c>
      <c r="F751" s="76">
        <v>1</v>
      </c>
      <c r="G751" s="77" t="s">
        <v>20</v>
      </c>
      <c r="H751" s="76">
        <v>144</v>
      </c>
      <c r="I751" s="77" t="s">
        <v>40</v>
      </c>
      <c r="J751" s="78">
        <v>27600</v>
      </c>
      <c r="K751" s="74" t="s">
        <v>40</v>
      </c>
      <c r="L751" s="79">
        <v>0.125</v>
      </c>
      <c r="M751" s="79">
        <v>0.1</v>
      </c>
      <c r="N751" s="76">
        <v>432</v>
      </c>
      <c r="O751" s="77" t="s">
        <v>40</v>
      </c>
      <c r="P751" s="71">
        <f t="shared" ref="P751" si="477">(C751+(E751*F751*H751))-N751</f>
        <v>0</v>
      </c>
      <c r="Q751" s="77" t="s">
        <v>40</v>
      </c>
      <c r="R751" s="78">
        <f t="shared" ref="R751" si="478">P751*(J751-(J751*L751)-((J751-(J751*L751))*M751))</f>
        <v>0</v>
      </c>
      <c r="S751" s="78">
        <f t="shared" ref="S751" si="479">R751/1.11</f>
        <v>0</v>
      </c>
    </row>
    <row r="752" spans="1:19" s="64" customFormat="1" x14ac:dyDescent="0.2">
      <c r="A752" s="104" t="s">
        <v>379</v>
      </c>
      <c r="B752" s="64" t="s">
        <v>18</v>
      </c>
      <c r="C752" s="65"/>
      <c r="D752" s="66" t="s">
        <v>40</v>
      </c>
      <c r="E752" s="67"/>
      <c r="F752" s="68">
        <v>1</v>
      </c>
      <c r="G752" s="69" t="s">
        <v>20</v>
      </c>
      <c r="H752" s="68">
        <v>144</v>
      </c>
      <c r="I752" s="69" t="s">
        <v>40</v>
      </c>
      <c r="J752" s="16">
        <v>25800</v>
      </c>
      <c r="K752" s="66" t="s">
        <v>40</v>
      </c>
      <c r="L752" s="70">
        <v>0.125</v>
      </c>
      <c r="M752" s="70">
        <v>0.05</v>
      </c>
      <c r="N752" s="68">
        <v>0</v>
      </c>
      <c r="O752" s="69" t="s">
        <v>40</v>
      </c>
      <c r="P752" s="65">
        <f t="shared" si="463"/>
        <v>0</v>
      </c>
      <c r="Q752" s="69" t="s">
        <v>40</v>
      </c>
      <c r="R752" s="16">
        <f t="shared" si="464"/>
        <v>0</v>
      </c>
      <c r="S752" s="16">
        <f t="shared" si="467"/>
        <v>0</v>
      </c>
    </row>
    <row r="753" spans="1:19" s="73" customFormat="1" x14ac:dyDescent="0.2">
      <c r="A753" s="72" t="s">
        <v>912</v>
      </c>
      <c r="B753" s="73" t="s">
        <v>18</v>
      </c>
      <c r="C753" s="71"/>
      <c r="D753" s="74" t="s">
        <v>40</v>
      </c>
      <c r="E753" s="75">
        <v>1</v>
      </c>
      <c r="F753" s="76">
        <v>1</v>
      </c>
      <c r="G753" s="77" t="s">
        <v>20</v>
      </c>
      <c r="H753" s="76">
        <v>144</v>
      </c>
      <c r="I753" s="77" t="s">
        <v>40</v>
      </c>
      <c r="J753" s="78">
        <v>22200</v>
      </c>
      <c r="K753" s="74" t="s">
        <v>40</v>
      </c>
      <c r="L753" s="79">
        <v>0.125</v>
      </c>
      <c r="M753" s="79">
        <v>0.05</v>
      </c>
      <c r="N753" s="76">
        <v>144</v>
      </c>
      <c r="O753" s="77" t="s">
        <v>40</v>
      </c>
      <c r="P753" s="71">
        <f t="shared" ref="P753" si="480">(C753+(E753*F753*H753))-N753</f>
        <v>0</v>
      </c>
      <c r="Q753" s="77" t="s">
        <v>40</v>
      </c>
      <c r="R753" s="78">
        <f t="shared" ref="R753" si="481">P753*(J753-(J753*L753)-((J753-(J753*L753))*M753))</f>
        <v>0</v>
      </c>
      <c r="S753" s="78">
        <f t="shared" ref="S753" si="482">R753/1.11</f>
        <v>0</v>
      </c>
    </row>
    <row r="754" spans="1:19" s="64" customFormat="1" x14ac:dyDescent="0.2">
      <c r="A754" s="63" t="s">
        <v>380</v>
      </c>
      <c r="B754" s="64" t="s">
        <v>18</v>
      </c>
      <c r="C754" s="65"/>
      <c r="D754" s="66" t="s">
        <v>40</v>
      </c>
      <c r="E754" s="67">
        <v>12</v>
      </c>
      <c r="F754" s="68">
        <v>1</v>
      </c>
      <c r="G754" s="69" t="s">
        <v>20</v>
      </c>
      <c r="H754" s="68">
        <v>144</v>
      </c>
      <c r="I754" s="69" t="s">
        <v>40</v>
      </c>
      <c r="J754" s="16">
        <v>14100</v>
      </c>
      <c r="K754" s="66" t="s">
        <v>40</v>
      </c>
      <c r="L754" s="70">
        <v>0.125</v>
      </c>
      <c r="M754" s="70">
        <v>0.05</v>
      </c>
      <c r="N754" s="68">
        <v>1728</v>
      </c>
      <c r="O754" s="69" t="s">
        <v>40</v>
      </c>
      <c r="P754" s="65">
        <f t="shared" si="463"/>
        <v>0</v>
      </c>
      <c r="Q754" s="69" t="s">
        <v>40</v>
      </c>
      <c r="R754" s="16">
        <f t="shared" si="464"/>
        <v>0</v>
      </c>
      <c r="S754" s="16">
        <f t="shared" si="467"/>
        <v>0</v>
      </c>
    </row>
    <row r="755" spans="1:19" s="64" customFormat="1" x14ac:dyDescent="0.2">
      <c r="A755" s="63" t="s">
        <v>700</v>
      </c>
      <c r="B755" s="64" t="s">
        <v>18</v>
      </c>
      <c r="C755" s="65"/>
      <c r="D755" s="66" t="s">
        <v>40</v>
      </c>
      <c r="E755" s="67"/>
      <c r="F755" s="68">
        <v>1</v>
      </c>
      <c r="G755" s="69" t="s">
        <v>20</v>
      </c>
      <c r="H755" s="68">
        <v>144</v>
      </c>
      <c r="I755" s="69" t="s">
        <v>40</v>
      </c>
      <c r="J755" s="16">
        <v>25800</v>
      </c>
      <c r="K755" s="66" t="s">
        <v>40</v>
      </c>
      <c r="L755" s="70">
        <v>0.125</v>
      </c>
      <c r="M755" s="70">
        <v>0.05</v>
      </c>
      <c r="N755" s="68">
        <v>0</v>
      </c>
      <c r="O755" s="69" t="s">
        <v>40</v>
      </c>
      <c r="P755" s="65">
        <f t="shared" si="463"/>
        <v>0</v>
      </c>
      <c r="Q755" s="69" t="s">
        <v>40</v>
      </c>
      <c r="R755" s="16">
        <f t="shared" si="464"/>
        <v>0</v>
      </c>
      <c r="S755" s="16">
        <f t="shared" si="467"/>
        <v>0</v>
      </c>
    </row>
    <row r="756" spans="1:19" s="64" customFormat="1" x14ac:dyDescent="0.2">
      <c r="A756" s="184" t="s">
        <v>1024</v>
      </c>
      <c r="B756" s="64" t="s">
        <v>18</v>
      </c>
      <c r="C756" s="65"/>
      <c r="D756" s="66" t="s">
        <v>40</v>
      </c>
      <c r="E756" s="67">
        <v>1</v>
      </c>
      <c r="F756" s="68">
        <v>1</v>
      </c>
      <c r="G756" s="69" t="s">
        <v>20</v>
      </c>
      <c r="H756" s="68">
        <v>144</v>
      </c>
      <c r="I756" s="69" t="s">
        <v>40</v>
      </c>
      <c r="J756" s="16">
        <v>21000</v>
      </c>
      <c r="K756" s="66" t="s">
        <v>40</v>
      </c>
      <c r="L756" s="70">
        <v>0.125</v>
      </c>
      <c r="M756" s="70">
        <v>0.05</v>
      </c>
      <c r="N756" s="68">
        <v>144</v>
      </c>
      <c r="O756" s="69" t="s">
        <v>40</v>
      </c>
      <c r="P756" s="65">
        <f t="shared" ref="P756" si="483">(C756+(E756*F756*H756))-N756</f>
        <v>0</v>
      </c>
      <c r="Q756" s="69" t="s">
        <v>40</v>
      </c>
      <c r="R756" s="16">
        <f t="shared" ref="R756" si="484">P756*(J756-(J756*L756)-((J756-(J756*L756))*M756))</f>
        <v>0</v>
      </c>
      <c r="S756" s="16">
        <f t="shared" ref="S756" si="485">R756/1.11</f>
        <v>0</v>
      </c>
    </row>
    <row r="757" spans="1:19" s="64" customFormat="1" x14ac:dyDescent="0.2">
      <c r="A757" s="63" t="s">
        <v>381</v>
      </c>
      <c r="B757" s="64" t="s">
        <v>18</v>
      </c>
      <c r="C757" s="65">
        <v>432</v>
      </c>
      <c r="D757" s="66" t="s">
        <v>40</v>
      </c>
      <c r="E757" s="67">
        <v>14</v>
      </c>
      <c r="F757" s="68">
        <v>1</v>
      </c>
      <c r="G757" s="69" t="s">
        <v>20</v>
      </c>
      <c r="H757" s="68">
        <v>144</v>
      </c>
      <c r="I757" s="69" t="s">
        <v>40</v>
      </c>
      <c r="J757" s="16">
        <v>20400</v>
      </c>
      <c r="K757" s="66" t="s">
        <v>40</v>
      </c>
      <c r="L757" s="70">
        <v>0.125</v>
      </c>
      <c r="M757" s="70">
        <v>0.05</v>
      </c>
      <c r="N757" s="68">
        <v>2448</v>
      </c>
      <c r="O757" s="69" t="s">
        <v>40</v>
      </c>
      <c r="P757" s="65">
        <f t="shared" si="463"/>
        <v>0</v>
      </c>
      <c r="Q757" s="69" t="s">
        <v>40</v>
      </c>
      <c r="R757" s="16">
        <f t="shared" si="464"/>
        <v>0</v>
      </c>
      <c r="S757" s="16">
        <f t="shared" si="467"/>
        <v>0</v>
      </c>
    </row>
    <row r="758" spans="1:19" s="64" customFormat="1" x14ac:dyDescent="0.2">
      <c r="A758" s="184" t="s">
        <v>381</v>
      </c>
      <c r="B758" s="64" t="s">
        <v>18</v>
      </c>
      <c r="C758" s="65"/>
      <c r="D758" s="66" t="s">
        <v>40</v>
      </c>
      <c r="E758" s="67">
        <v>3</v>
      </c>
      <c r="F758" s="68">
        <v>1</v>
      </c>
      <c r="G758" s="69" t="s">
        <v>20</v>
      </c>
      <c r="H758" s="68">
        <v>144</v>
      </c>
      <c r="I758" s="69" t="s">
        <v>40</v>
      </c>
      <c r="J758" s="16">
        <v>20400</v>
      </c>
      <c r="K758" s="66" t="s">
        <v>40</v>
      </c>
      <c r="L758" s="70">
        <v>0.125</v>
      </c>
      <c r="M758" s="70">
        <v>0.1</v>
      </c>
      <c r="N758" s="68">
        <v>432</v>
      </c>
      <c r="O758" s="69" t="s">
        <v>40</v>
      </c>
      <c r="P758" s="65">
        <f t="shared" ref="P758" si="486">(C758+(E758*F758*H758))-N758</f>
        <v>0</v>
      </c>
      <c r="Q758" s="69" t="s">
        <v>40</v>
      </c>
      <c r="R758" s="16">
        <f t="shared" ref="R758" si="487">P758*(J758-(J758*L758)-((J758-(J758*L758))*M758))</f>
        <v>0</v>
      </c>
      <c r="S758" s="16">
        <f t="shared" ref="S758" si="488">R758/1.11</f>
        <v>0</v>
      </c>
    </row>
    <row r="759" spans="1:19" s="64" customFormat="1" x14ac:dyDescent="0.2">
      <c r="A759" s="63" t="s">
        <v>796</v>
      </c>
      <c r="B759" s="64" t="s">
        <v>18</v>
      </c>
      <c r="C759" s="65"/>
      <c r="D759" s="66" t="s">
        <v>40</v>
      </c>
      <c r="E759" s="67"/>
      <c r="F759" s="68">
        <v>1</v>
      </c>
      <c r="G759" s="69" t="s">
        <v>20</v>
      </c>
      <c r="H759" s="68">
        <v>144</v>
      </c>
      <c r="I759" s="69" t="s">
        <v>40</v>
      </c>
      <c r="J759" s="16">
        <v>17400</v>
      </c>
      <c r="K759" s="66" t="s">
        <v>40</v>
      </c>
      <c r="L759" s="70">
        <v>0.125</v>
      </c>
      <c r="M759" s="70">
        <v>0.1</v>
      </c>
      <c r="N759" s="68">
        <v>0</v>
      </c>
      <c r="O759" s="69" t="s">
        <v>40</v>
      </c>
      <c r="P759" s="65">
        <f t="shared" si="463"/>
        <v>0</v>
      </c>
      <c r="Q759" s="69" t="s">
        <v>40</v>
      </c>
      <c r="R759" s="16">
        <f t="shared" si="464"/>
        <v>0</v>
      </c>
      <c r="S759" s="16">
        <f t="shared" si="467"/>
        <v>0</v>
      </c>
    </row>
    <row r="760" spans="1:19" s="64" customFormat="1" x14ac:dyDescent="0.2">
      <c r="A760" s="63"/>
      <c r="C760" s="65"/>
      <c r="D760" s="66"/>
      <c r="E760" s="67"/>
      <c r="F760" s="68"/>
      <c r="G760" s="69"/>
      <c r="H760" s="68"/>
      <c r="I760" s="69"/>
      <c r="J760" s="16"/>
      <c r="K760" s="66"/>
      <c r="L760" s="70"/>
      <c r="M760" s="70"/>
      <c r="N760" s="68"/>
      <c r="O760" s="69"/>
      <c r="P760" s="65"/>
      <c r="Q760" s="69"/>
      <c r="R760" s="16"/>
      <c r="S760" s="16"/>
    </row>
    <row r="761" spans="1:19" s="64" customFormat="1" x14ac:dyDescent="0.2">
      <c r="A761" s="63" t="s">
        <v>382</v>
      </c>
      <c r="B761" s="64" t="s">
        <v>25</v>
      </c>
      <c r="C761" s="71"/>
      <c r="D761" s="66" t="s">
        <v>40</v>
      </c>
      <c r="E761" s="67"/>
      <c r="F761" s="68">
        <v>1</v>
      </c>
      <c r="G761" s="69" t="s">
        <v>20</v>
      </c>
      <c r="H761" s="68">
        <v>144</v>
      </c>
      <c r="I761" s="69" t="s">
        <v>40</v>
      </c>
      <c r="J761" s="16">
        <v>25200</v>
      </c>
      <c r="K761" s="66" t="s">
        <v>40</v>
      </c>
      <c r="L761" s="70"/>
      <c r="M761" s="70">
        <v>0.17</v>
      </c>
      <c r="N761" s="68">
        <v>0</v>
      </c>
      <c r="O761" s="69" t="s">
        <v>40</v>
      </c>
      <c r="P761" s="65">
        <f t="shared" ref="P761:P796" si="489">(C761+(E761*F761*H761))-N761</f>
        <v>0</v>
      </c>
      <c r="Q761" s="69" t="s">
        <v>40</v>
      </c>
      <c r="R761" s="16">
        <f t="shared" ref="R761:R796" si="490">P761*(J761-(J761*L761)-((J761-(J761*L761))*M761))</f>
        <v>0</v>
      </c>
      <c r="S761" s="16">
        <f t="shared" si="467"/>
        <v>0</v>
      </c>
    </row>
    <row r="762" spans="1:19" s="64" customFormat="1" x14ac:dyDescent="0.2">
      <c r="A762" s="63" t="s">
        <v>673</v>
      </c>
      <c r="B762" s="64" t="s">
        <v>25</v>
      </c>
      <c r="C762" s="65">
        <v>432</v>
      </c>
      <c r="D762" s="66" t="s">
        <v>40</v>
      </c>
      <c r="E762" s="67">
        <v>5</v>
      </c>
      <c r="F762" s="68">
        <v>1</v>
      </c>
      <c r="G762" s="69" t="s">
        <v>20</v>
      </c>
      <c r="H762" s="68">
        <v>144</v>
      </c>
      <c r="I762" s="69" t="s">
        <v>40</v>
      </c>
      <c r="J762" s="16">
        <f>3758400/144</f>
        <v>26100</v>
      </c>
      <c r="K762" s="66" t="s">
        <v>40</v>
      </c>
      <c r="L762" s="70"/>
      <c r="M762" s="70">
        <v>0.17</v>
      </c>
      <c r="N762" s="68">
        <v>1152</v>
      </c>
      <c r="O762" s="69" t="s">
        <v>40</v>
      </c>
      <c r="P762" s="65">
        <f t="shared" si="489"/>
        <v>0</v>
      </c>
      <c r="Q762" s="69" t="s">
        <v>40</v>
      </c>
      <c r="R762" s="16">
        <f t="shared" si="490"/>
        <v>0</v>
      </c>
      <c r="S762" s="16">
        <f t="shared" si="467"/>
        <v>0</v>
      </c>
    </row>
    <row r="763" spans="1:19" s="64" customFormat="1" x14ac:dyDescent="0.2">
      <c r="A763" s="63" t="s">
        <v>383</v>
      </c>
      <c r="B763" s="64" t="s">
        <v>25</v>
      </c>
      <c r="C763" s="65">
        <v>60</v>
      </c>
      <c r="D763" s="66" t="s">
        <v>40</v>
      </c>
      <c r="E763" s="67"/>
      <c r="F763" s="68">
        <v>1</v>
      </c>
      <c r="G763" s="69" t="s">
        <v>20</v>
      </c>
      <c r="H763" s="68">
        <v>144</v>
      </c>
      <c r="I763" s="69" t="s">
        <v>40</v>
      </c>
      <c r="J763" s="16">
        <f>3715200/144</f>
        <v>25800</v>
      </c>
      <c r="K763" s="66" t="s">
        <v>40</v>
      </c>
      <c r="L763" s="70"/>
      <c r="M763" s="70">
        <v>0.17</v>
      </c>
      <c r="N763" s="68">
        <v>60</v>
      </c>
      <c r="O763" s="69" t="s">
        <v>40</v>
      </c>
      <c r="P763" s="65">
        <f t="shared" si="489"/>
        <v>0</v>
      </c>
      <c r="Q763" s="69" t="s">
        <v>40</v>
      </c>
      <c r="R763" s="16">
        <f t="shared" si="490"/>
        <v>0</v>
      </c>
      <c r="S763" s="16">
        <f t="shared" si="467"/>
        <v>0</v>
      </c>
    </row>
    <row r="764" spans="1:19" s="64" customFormat="1" x14ac:dyDescent="0.2">
      <c r="A764" s="63" t="s">
        <v>394</v>
      </c>
      <c r="B764" s="64" t="s">
        <v>25</v>
      </c>
      <c r="C764" s="71"/>
      <c r="D764" s="66" t="s">
        <v>40</v>
      </c>
      <c r="E764" s="67"/>
      <c r="F764" s="68">
        <v>1</v>
      </c>
      <c r="G764" s="69" t="s">
        <v>20</v>
      </c>
      <c r="H764" s="68">
        <v>144</v>
      </c>
      <c r="I764" s="69" t="s">
        <v>40</v>
      </c>
      <c r="J764" s="16">
        <v>25800</v>
      </c>
      <c r="K764" s="66" t="s">
        <v>40</v>
      </c>
      <c r="L764" s="70"/>
      <c r="M764" s="70">
        <v>0.17</v>
      </c>
      <c r="N764" s="68">
        <v>0</v>
      </c>
      <c r="O764" s="69" t="s">
        <v>40</v>
      </c>
      <c r="P764" s="65">
        <f t="shared" si="489"/>
        <v>0</v>
      </c>
      <c r="Q764" s="69" t="s">
        <v>40</v>
      </c>
      <c r="R764" s="16">
        <f t="shared" si="490"/>
        <v>0</v>
      </c>
      <c r="S764" s="16">
        <f>R764/1.11</f>
        <v>0</v>
      </c>
    </row>
    <row r="765" spans="1:19" s="64" customFormat="1" x14ac:dyDescent="0.2">
      <c r="A765" s="104" t="s">
        <v>777</v>
      </c>
      <c r="B765" s="64" t="s">
        <v>25</v>
      </c>
      <c r="C765" s="65">
        <v>288</v>
      </c>
      <c r="D765" s="66" t="s">
        <v>40</v>
      </c>
      <c r="E765" s="67"/>
      <c r="F765" s="68">
        <v>1</v>
      </c>
      <c r="G765" s="69" t="s">
        <v>20</v>
      </c>
      <c r="H765" s="68">
        <v>144</v>
      </c>
      <c r="I765" s="69" t="s">
        <v>40</v>
      </c>
      <c r="J765" s="16">
        <f>3628800/144</f>
        <v>25200</v>
      </c>
      <c r="K765" s="66" t="s">
        <v>40</v>
      </c>
      <c r="L765" s="70"/>
      <c r="M765" s="70">
        <v>0.17</v>
      </c>
      <c r="N765" s="68">
        <v>288</v>
      </c>
      <c r="O765" s="69" t="s">
        <v>40</v>
      </c>
      <c r="P765" s="65">
        <f t="shared" si="489"/>
        <v>0</v>
      </c>
      <c r="Q765" s="69" t="s">
        <v>40</v>
      </c>
      <c r="R765" s="16">
        <f t="shared" si="490"/>
        <v>0</v>
      </c>
      <c r="S765" s="16">
        <f t="shared" ref="S765" si="491">R765/1.11</f>
        <v>0</v>
      </c>
    </row>
    <row r="766" spans="1:19" x14ac:dyDescent="0.2">
      <c r="A766" s="123" t="s">
        <v>384</v>
      </c>
      <c r="B766" s="2" t="s">
        <v>25</v>
      </c>
      <c r="C766" s="3">
        <f>21408/12</f>
        <v>1784</v>
      </c>
      <c r="D766" s="4" t="s">
        <v>40</v>
      </c>
      <c r="E766" s="5">
        <v>65</v>
      </c>
      <c r="F766" s="6">
        <v>1</v>
      </c>
      <c r="G766" s="7" t="s">
        <v>20</v>
      </c>
      <c r="H766" s="6">
        <v>144</v>
      </c>
      <c r="I766" s="7" t="s">
        <v>40</v>
      </c>
      <c r="J766" s="8">
        <f>3758400/144</f>
        <v>26100</v>
      </c>
      <c r="K766" s="4" t="s">
        <v>40</v>
      </c>
      <c r="L766" s="120"/>
      <c r="M766" s="9">
        <v>0.17</v>
      </c>
      <c r="N766" s="6">
        <f>11144-432</f>
        <v>10712</v>
      </c>
      <c r="O766" s="7" t="s">
        <v>40</v>
      </c>
      <c r="P766" s="3">
        <f t="shared" si="489"/>
        <v>432</v>
      </c>
      <c r="Q766" s="7" t="s">
        <v>40</v>
      </c>
      <c r="R766" s="8">
        <f t="shared" si="490"/>
        <v>9358416</v>
      </c>
      <c r="S766" s="8">
        <f t="shared" si="467"/>
        <v>8431005.405405404</v>
      </c>
    </row>
    <row r="767" spans="1:19" s="64" customFormat="1" x14ac:dyDescent="0.2">
      <c r="A767" s="191" t="s">
        <v>384</v>
      </c>
      <c r="B767" s="64" t="s">
        <v>25</v>
      </c>
      <c r="C767" s="65"/>
      <c r="D767" s="66" t="s">
        <v>40</v>
      </c>
      <c r="E767" s="67">
        <v>10</v>
      </c>
      <c r="F767" s="68">
        <v>1</v>
      </c>
      <c r="G767" s="69" t="s">
        <v>20</v>
      </c>
      <c r="H767" s="68">
        <v>144</v>
      </c>
      <c r="I767" s="69" t="s">
        <v>40</v>
      </c>
      <c r="J767" s="16">
        <f>3758400/144</f>
        <v>26100</v>
      </c>
      <c r="K767" s="66" t="s">
        <v>40</v>
      </c>
      <c r="L767" s="188">
        <v>0.05</v>
      </c>
      <c r="M767" s="70">
        <v>0.17</v>
      </c>
      <c r="N767" s="68">
        <v>1440</v>
      </c>
      <c r="O767" s="69" t="s">
        <v>40</v>
      </c>
      <c r="P767" s="65">
        <f t="shared" ref="P767" si="492">(C767+(E767*F767*H767))-N767</f>
        <v>0</v>
      </c>
      <c r="Q767" s="69" t="s">
        <v>40</v>
      </c>
      <c r="R767" s="16">
        <f t="shared" ref="R767" si="493">P767*(J767-(J767*L767)-((J767-(J767*L767))*M767))</f>
        <v>0</v>
      </c>
      <c r="S767" s="16">
        <f t="shared" ref="S767" si="494">R767/1.11</f>
        <v>0</v>
      </c>
    </row>
    <row r="768" spans="1:19" s="73" customFormat="1" x14ac:dyDescent="0.2">
      <c r="A768" s="191" t="s">
        <v>384</v>
      </c>
      <c r="B768" s="73" t="s">
        <v>25</v>
      </c>
      <c r="C768" s="71"/>
      <c r="D768" s="74" t="s">
        <v>40</v>
      </c>
      <c r="E768" s="75">
        <v>17</v>
      </c>
      <c r="F768" s="76">
        <v>1</v>
      </c>
      <c r="G768" s="77" t="s">
        <v>20</v>
      </c>
      <c r="H768" s="76">
        <v>144</v>
      </c>
      <c r="I768" s="77" t="s">
        <v>40</v>
      </c>
      <c r="J768" s="78">
        <f>3758400/144</f>
        <v>26100</v>
      </c>
      <c r="K768" s="74" t="s">
        <v>40</v>
      </c>
      <c r="L768" s="188">
        <v>2.5000000000000001E-2</v>
      </c>
      <c r="M768" s="79">
        <v>0.17</v>
      </c>
      <c r="N768" s="76">
        <v>2448</v>
      </c>
      <c r="O768" s="77" t="s">
        <v>40</v>
      </c>
      <c r="P768" s="71">
        <f t="shared" ref="P768" si="495">(C768+(E768*F768*H768))-N768</f>
        <v>0</v>
      </c>
      <c r="Q768" s="77" t="s">
        <v>40</v>
      </c>
      <c r="R768" s="78">
        <f t="shared" ref="R768" si="496">P768*(J768-(J768*L768)-((J768-(J768*L768))*M768))</f>
        <v>0</v>
      </c>
      <c r="S768" s="78">
        <f t="shared" ref="S768" si="497">R768/1.11</f>
        <v>0</v>
      </c>
    </row>
    <row r="769" spans="1:19" s="80" customFormat="1" x14ac:dyDescent="0.2">
      <c r="A769" s="118" t="s">
        <v>385</v>
      </c>
      <c r="B769" s="80" t="s">
        <v>25</v>
      </c>
      <c r="C769" s="91"/>
      <c r="D769" s="84" t="s">
        <v>40</v>
      </c>
      <c r="E769" s="85">
        <v>4</v>
      </c>
      <c r="F769" s="86">
        <v>1</v>
      </c>
      <c r="G769" s="87" t="s">
        <v>20</v>
      </c>
      <c r="H769" s="86">
        <v>144</v>
      </c>
      <c r="I769" s="87" t="s">
        <v>40</v>
      </c>
      <c r="J769" s="88">
        <f>3628800/144</f>
        <v>25200</v>
      </c>
      <c r="K769" s="84" t="s">
        <v>40</v>
      </c>
      <c r="L769" s="89"/>
      <c r="M769" s="89">
        <v>0.17</v>
      </c>
      <c r="N769" s="86">
        <f>576-288</f>
        <v>288</v>
      </c>
      <c r="O769" s="87" t="s">
        <v>40</v>
      </c>
      <c r="P769" s="83">
        <f t="shared" si="489"/>
        <v>288</v>
      </c>
      <c r="Q769" s="87" t="s">
        <v>40</v>
      </c>
      <c r="R769" s="88">
        <f t="shared" si="490"/>
        <v>6023808</v>
      </c>
      <c r="S769" s="88">
        <f t="shared" si="467"/>
        <v>5426854.0540540535</v>
      </c>
    </row>
    <row r="770" spans="1:19" s="64" customFormat="1" x14ac:dyDescent="0.2">
      <c r="A770" s="104" t="s">
        <v>386</v>
      </c>
      <c r="B770" s="64" t="s">
        <v>25</v>
      </c>
      <c r="C770" s="71"/>
      <c r="D770" s="66" t="s">
        <v>40</v>
      </c>
      <c r="E770" s="67"/>
      <c r="F770" s="68">
        <v>1</v>
      </c>
      <c r="G770" s="69" t="s">
        <v>20</v>
      </c>
      <c r="H770" s="68">
        <v>144</v>
      </c>
      <c r="I770" s="69" t="s">
        <v>40</v>
      </c>
      <c r="J770" s="16">
        <f>3628800/144</f>
        <v>25200</v>
      </c>
      <c r="K770" s="66" t="s">
        <v>40</v>
      </c>
      <c r="L770" s="70"/>
      <c r="M770" s="70">
        <v>0.17</v>
      </c>
      <c r="N770" s="68"/>
      <c r="O770" s="69" t="s">
        <v>40</v>
      </c>
      <c r="P770" s="65">
        <f t="shared" si="489"/>
        <v>0</v>
      </c>
      <c r="Q770" s="69" t="s">
        <v>40</v>
      </c>
      <c r="R770" s="16">
        <f t="shared" si="490"/>
        <v>0</v>
      </c>
      <c r="S770" s="16">
        <f t="shared" si="467"/>
        <v>0</v>
      </c>
    </row>
    <row r="771" spans="1:19" s="73" customFormat="1" x14ac:dyDescent="0.2">
      <c r="A771" s="72" t="s">
        <v>864</v>
      </c>
      <c r="B771" s="73" t="s">
        <v>25</v>
      </c>
      <c r="C771" s="107"/>
      <c r="D771" s="74" t="s">
        <v>40</v>
      </c>
      <c r="E771" s="75"/>
      <c r="F771" s="76">
        <v>1</v>
      </c>
      <c r="G771" s="77" t="s">
        <v>20</v>
      </c>
      <c r="H771" s="76">
        <v>144</v>
      </c>
      <c r="I771" s="77" t="s">
        <v>40</v>
      </c>
      <c r="J771" s="78">
        <f>5875200/144</f>
        <v>40800</v>
      </c>
      <c r="K771" s="74" t="s">
        <v>40</v>
      </c>
      <c r="L771" s="79"/>
      <c r="M771" s="79">
        <v>0.17</v>
      </c>
      <c r="N771" s="76"/>
      <c r="O771" s="77" t="s">
        <v>40</v>
      </c>
      <c r="P771" s="71">
        <f t="shared" si="489"/>
        <v>0</v>
      </c>
      <c r="Q771" s="77" t="s">
        <v>40</v>
      </c>
      <c r="R771" s="78">
        <f t="shared" si="490"/>
        <v>0</v>
      </c>
      <c r="S771" s="78">
        <f t="shared" si="467"/>
        <v>0</v>
      </c>
    </row>
    <row r="772" spans="1:19" s="73" customFormat="1" x14ac:dyDescent="0.2">
      <c r="A772" s="187" t="s">
        <v>387</v>
      </c>
      <c r="B772" s="73" t="s">
        <v>25</v>
      </c>
      <c r="C772" s="71"/>
      <c r="D772" s="74" t="s">
        <v>40</v>
      </c>
      <c r="E772" s="75">
        <v>123</v>
      </c>
      <c r="F772" s="76">
        <v>1</v>
      </c>
      <c r="G772" s="77" t="s">
        <v>20</v>
      </c>
      <c r="H772" s="76">
        <v>144</v>
      </c>
      <c r="I772" s="77" t="s">
        <v>40</v>
      </c>
      <c r="J772" s="78">
        <f>5616000/144</f>
        <v>39000</v>
      </c>
      <c r="K772" s="74" t="s">
        <v>40</v>
      </c>
      <c r="L772" s="188">
        <v>2.5000000000000001E-2</v>
      </c>
      <c r="M772" s="79">
        <v>0.17</v>
      </c>
      <c r="N772" s="76">
        <v>17712</v>
      </c>
      <c r="O772" s="77" t="s">
        <v>40</v>
      </c>
      <c r="P772" s="71">
        <f t="shared" ref="P772" si="498">(C772+(E772*F772*H772))-N772</f>
        <v>0</v>
      </c>
      <c r="Q772" s="77" t="s">
        <v>40</v>
      </c>
      <c r="R772" s="78">
        <f t="shared" ref="R772" si="499">P772*(J772-(J772*L772)-((J772-(J772*L772))*M772))</f>
        <v>0</v>
      </c>
      <c r="S772" s="78">
        <f t="shared" ref="S772" si="500">R772/1.11</f>
        <v>0</v>
      </c>
    </row>
    <row r="773" spans="1:19" s="19" customFormat="1" x14ac:dyDescent="0.2">
      <c r="A773" s="121" t="s">
        <v>387</v>
      </c>
      <c r="B773" s="19" t="s">
        <v>25</v>
      </c>
      <c r="C773" s="20">
        <f>23652/12</f>
        <v>1971</v>
      </c>
      <c r="D773" s="21" t="s">
        <v>40</v>
      </c>
      <c r="E773" s="26">
        <v>210</v>
      </c>
      <c r="F773" s="22">
        <v>1</v>
      </c>
      <c r="G773" s="23" t="s">
        <v>20</v>
      </c>
      <c r="H773" s="22">
        <v>144</v>
      </c>
      <c r="I773" s="23" t="s">
        <v>40</v>
      </c>
      <c r="J773" s="24">
        <f>5616000/144</f>
        <v>39000</v>
      </c>
      <c r="K773" s="21" t="s">
        <v>40</v>
      </c>
      <c r="L773" s="120"/>
      <c r="M773" s="25">
        <v>0.17</v>
      </c>
      <c r="N773" s="22">
        <f>32211-432</f>
        <v>31779</v>
      </c>
      <c r="O773" s="23" t="s">
        <v>40</v>
      </c>
      <c r="P773" s="20">
        <f t="shared" si="489"/>
        <v>432</v>
      </c>
      <c r="Q773" s="23" t="s">
        <v>40</v>
      </c>
      <c r="R773" s="24">
        <f t="shared" si="490"/>
        <v>13983840</v>
      </c>
      <c r="S773" s="24">
        <f t="shared" si="467"/>
        <v>12598054.054054054</v>
      </c>
    </row>
    <row r="774" spans="1:19" s="73" customFormat="1" x14ac:dyDescent="0.2">
      <c r="A774" s="185" t="s">
        <v>388</v>
      </c>
      <c r="B774" s="73" t="s">
        <v>25</v>
      </c>
      <c r="C774" s="71"/>
      <c r="D774" s="74" t="s">
        <v>40</v>
      </c>
      <c r="E774" s="75">
        <v>58</v>
      </c>
      <c r="F774" s="76">
        <v>1</v>
      </c>
      <c r="G774" s="77" t="s">
        <v>20</v>
      </c>
      <c r="H774" s="76">
        <v>144</v>
      </c>
      <c r="I774" s="77" t="s">
        <v>40</v>
      </c>
      <c r="J774" s="78">
        <v>39000</v>
      </c>
      <c r="K774" s="74" t="s">
        <v>40</v>
      </c>
      <c r="L774" s="189">
        <v>2.5000000000000001E-2</v>
      </c>
      <c r="M774" s="79">
        <v>0.17</v>
      </c>
      <c r="N774" s="76">
        <v>8352</v>
      </c>
      <c r="O774" s="77" t="s">
        <v>40</v>
      </c>
      <c r="P774" s="71">
        <f t="shared" ref="P774" si="501">(C774+(E774*F774*H774))-N774</f>
        <v>0</v>
      </c>
      <c r="Q774" s="77" t="s">
        <v>40</v>
      </c>
      <c r="R774" s="78">
        <f t="shared" ref="R774" si="502">P774*(J774-(J774*L774)-((J774-(J774*L774))*M774))</f>
        <v>0</v>
      </c>
      <c r="S774" s="78">
        <f t="shared" ref="S774" si="503">R774/1.11</f>
        <v>0</v>
      </c>
    </row>
    <row r="775" spans="1:19" s="73" customFormat="1" x14ac:dyDescent="0.2">
      <c r="A775" s="185" t="s">
        <v>388</v>
      </c>
      <c r="B775" s="73" t="s">
        <v>25</v>
      </c>
      <c r="C775" s="71"/>
      <c r="D775" s="74" t="s">
        <v>40</v>
      </c>
      <c r="E775" s="75">
        <v>9</v>
      </c>
      <c r="F775" s="76">
        <v>1</v>
      </c>
      <c r="G775" s="77" t="s">
        <v>20</v>
      </c>
      <c r="H775" s="76">
        <v>144</v>
      </c>
      <c r="I775" s="77" t="s">
        <v>40</v>
      </c>
      <c r="J775" s="78">
        <v>39000</v>
      </c>
      <c r="K775" s="74" t="s">
        <v>40</v>
      </c>
      <c r="L775" s="189"/>
      <c r="M775" s="79">
        <v>0.17</v>
      </c>
      <c r="N775" s="76">
        <v>1296</v>
      </c>
      <c r="O775" s="77" t="s">
        <v>40</v>
      </c>
      <c r="P775" s="71">
        <f t="shared" ref="P775" si="504">(C775+(E775*F775*H775))-N775</f>
        <v>0</v>
      </c>
      <c r="Q775" s="77" t="s">
        <v>40</v>
      </c>
      <c r="R775" s="78">
        <f t="shared" ref="R775" si="505">P775*(J775-(J775*L775)-((J775-(J775*L775))*M775))</f>
        <v>0</v>
      </c>
      <c r="S775" s="78">
        <f t="shared" ref="S775" si="506">R775/1.11</f>
        <v>0</v>
      </c>
    </row>
    <row r="776" spans="1:19" s="73" customFormat="1" x14ac:dyDescent="0.2">
      <c r="A776" s="72" t="s">
        <v>865</v>
      </c>
      <c r="B776" s="73" t="s">
        <v>25</v>
      </c>
      <c r="C776" s="71"/>
      <c r="D776" s="74" t="s">
        <v>40</v>
      </c>
      <c r="E776" s="75">
        <v>4</v>
      </c>
      <c r="F776" s="76">
        <v>1</v>
      </c>
      <c r="G776" s="77" t="s">
        <v>20</v>
      </c>
      <c r="H776" s="76">
        <v>144</v>
      </c>
      <c r="I776" s="77" t="s">
        <v>40</v>
      </c>
      <c r="J776" s="78">
        <v>39000</v>
      </c>
      <c r="K776" s="74" t="s">
        <v>40</v>
      </c>
      <c r="L776" s="79"/>
      <c r="M776" s="79">
        <v>0.17</v>
      </c>
      <c r="N776" s="76">
        <v>576</v>
      </c>
      <c r="O776" s="77" t="s">
        <v>40</v>
      </c>
      <c r="P776" s="71">
        <f t="shared" si="489"/>
        <v>0</v>
      </c>
      <c r="Q776" s="77" t="s">
        <v>40</v>
      </c>
      <c r="R776" s="78">
        <f t="shared" ref="R776" si="507">P776*(J776-(J776*L776)-((J776-(J776*L776))*M776))</f>
        <v>0</v>
      </c>
      <c r="S776" s="78">
        <f t="shared" ref="S776" si="508">R776/1.11</f>
        <v>0</v>
      </c>
    </row>
    <row r="777" spans="1:19" s="73" customFormat="1" x14ac:dyDescent="0.2">
      <c r="A777" s="72" t="s">
        <v>913</v>
      </c>
      <c r="B777" s="73" t="s">
        <v>25</v>
      </c>
      <c r="C777" s="71"/>
      <c r="D777" s="74" t="s">
        <v>40</v>
      </c>
      <c r="E777" s="75">
        <v>1</v>
      </c>
      <c r="F777" s="76">
        <v>1</v>
      </c>
      <c r="G777" s="77" t="s">
        <v>20</v>
      </c>
      <c r="H777" s="76">
        <v>144</v>
      </c>
      <c r="I777" s="77" t="s">
        <v>40</v>
      </c>
      <c r="J777" s="78">
        <v>39000</v>
      </c>
      <c r="K777" s="74" t="s">
        <v>40</v>
      </c>
      <c r="L777" s="79"/>
      <c r="M777" s="79">
        <v>0.17</v>
      </c>
      <c r="N777" s="76">
        <v>144</v>
      </c>
      <c r="O777" s="77" t="s">
        <v>40</v>
      </c>
      <c r="P777" s="71">
        <f t="shared" ref="P777" si="509">(C777+(E777*F777*H777))-N777</f>
        <v>0</v>
      </c>
      <c r="Q777" s="77" t="s">
        <v>40</v>
      </c>
      <c r="R777" s="78">
        <f t="shared" ref="R777" si="510">P777*(J777-(J777*L777)-((J777-(J777*L777))*M777))</f>
        <v>0</v>
      </c>
      <c r="S777" s="78">
        <f t="shared" ref="S777" si="511">R777/1.11</f>
        <v>0</v>
      </c>
    </row>
    <row r="778" spans="1:19" s="73" customFormat="1" x14ac:dyDescent="0.2">
      <c r="A778" s="72" t="s">
        <v>389</v>
      </c>
      <c r="B778" s="73" t="s">
        <v>25</v>
      </c>
      <c r="C778" s="71">
        <v>537</v>
      </c>
      <c r="D778" s="74" t="s">
        <v>40</v>
      </c>
      <c r="E778" s="75"/>
      <c r="F778" s="76">
        <v>1</v>
      </c>
      <c r="G778" s="77" t="s">
        <v>20</v>
      </c>
      <c r="H778" s="76">
        <v>144</v>
      </c>
      <c r="I778" s="77" t="s">
        <v>40</v>
      </c>
      <c r="J778" s="78">
        <f>5356800/144</f>
        <v>37200</v>
      </c>
      <c r="K778" s="74" t="s">
        <v>40</v>
      </c>
      <c r="L778" s="79"/>
      <c r="M778" s="79">
        <v>0.17</v>
      </c>
      <c r="N778" s="76">
        <v>537</v>
      </c>
      <c r="O778" s="77" t="s">
        <v>40</v>
      </c>
      <c r="P778" s="71">
        <f t="shared" si="489"/>
        <v>0</v>
      </c>
      <c r="Q778" s="77" t="s">
        <v>40</v>
      </c>
      <c r="R778" s="78">
        <f t="shared" si="490"/>
        <v>0</v>
      </c>
      <c r="S778" s="78">
        <f t="shared" si="467"/>
        <v>0</v>
      </c>
    </row>
    <row r="779" spans="1:19" s="73" customFormat="1" x14ac:dyDescent="0.2">
      <c r="A779" s="184" t="s">
        <v>389</v>
      </c>
      <c r="B779" s="73" t="s">
        <v>25</v>
      </c>
      <c r="C779" s="71"/>
      <c r="D779" s="74" t="s">
        <v>40</v>
      </c>
      <c r="E779" s="75">
        <v>6</v>
      </c>
      <c r="F779" s="76">
        <v>1</v>
      </c>
      <c r="G779" s="77" t="s">
        <v>20</v>
      </c>
      <c r="H779" s="76">
        <v>144</v>
      </c>
      <c r="I779" s="77" t="s">
        <v>40</v>
      </c>
      <c r="J779" s="78">
        <v>39000</v>
      </c>
      <c r="K779" s="74" t="s">
        <v>40</v>
      </c>
      <c r="L779" s="79"/>
      <c r="M779" s="79">
        <v>0.17</v>
      </c>
      <c r="N779" s="76">
        <v>864</v>
      </c>
      <c r="O779" s="77" t="s">
        <v>40</v>
      </c>
      <c r="P779" s="71">
        <f t="shared" ref="P779" si="512">(C779+(E779*F779*H779))-N779</f>
        <v>0</v>
      </c>
      <c r="Q779" s="77" t="s">
        <v>40</v>
      </c>
      <c r="R779" s="78">
        <f t="shared" ref="R779" si="513">P779*(J779-(J779*L779)-((J779-(J779*L779))*M779))</f>
        <v>0</v>
      </c>
      <c r="S779" s="78">
        <f t="shared" ref="S779" si="514">R779/1.11</f>
        <v>0</v>
      </c>
    </row>
    <row r="780" spans="1:19" s="73" customFormat="1" x14ac:dyDescent="0.2">
      <c r="A780" s="187" t="s">
        <v>745</v>
      </c>
      <c r="B780" s="73" t="s">
        <v>25</v>
      </c>
      <c r="C780" s="71"/>
      <c r="D780" s="74" t="s">
        <v>40</v>
      </c>
      <c r="E780" s="75">
        <v>10</v>
      </c>
      <c r="F780" s="76">
        <v>1</v>
      </c>
      <c r="G780" s="77" t="s">
        <v>20</v>
      </c>
      <c r="H780" s="76">
        <v>144</v>
      </c>
      <c r="I780" s="77" t="s">
        <v>40</v>
      </c>
      <c r="J780" s="78">
        <f>5702400/144</f>
        <v>39600</v>
      </c>
      <c r="K780" s="74" t="s">
        <v>40</v>
      </c>
      <c r="L780" s="188">
        <v>0.05</v>
      </c>
      <c r="M780" s="79">
        <v>0.17</v>
      </c>
      <c r="N780" s="76">
        <v>1440</v>
      </c>
      <c r="O780" s="77" t="s">
        <v>40</v>
      </c>
      <c r="P780" s="71">
        <f t="shared" ref="P780" si="515">(C780+(E780*F780*H780))-N780</f>
        <v>0</v>
      </c>
      <c r="Q780" s="77" t="s">
        <v>40</v>
      </c>
      <c r="R780" s="78">
        <f t="shared" ref="R780" si="516">P780*(J780-(J780*L780)-((J780-(J780*L780))*M780))</f>
        <v>0</v>
      </c>
      <c r="S780" s="78">
        <f t="shared" ref="S780" si="517">R780/1.11</f>
        <v>0</v>
      </c>
    </row>
    <row r="781" spans="1:19" s="73" customFormat="1" x14ac:dyDescent="0.2">
      <c r="A781" s="187" t="s">
        <v>745</v>
      </c>
      <c r="B781" s="73" t="s">
        <v>25</v>
      </c>
      <c r="C781" s="71">
        <v>566</v>
      </c>
      <c r="D781" s="74" t="s">
        <v>40</v>
      </c>
      <c r="E781" s="75">
        <v>2</v>
      </c>
      <c r="F781" s="76">
        <v>1</v>
      </c>
      <c r="G781" s="77" t="s">
        <v>20</v>
      </c>
      <c r="H781" s="76">
        <v>144</v>
      </c>
      <c r="I781" s="77" t="s">
        <v>40</v>
      </c>
      <c r="J781" s="78">
        <f>5702400/144</f>
        <v>39600</v>
      </c>
      <c r="K781" s="74" t="s">
        <v>40</v>
      </c>
      <c r="L781" s="188"/>
      <c r="M781" s="79">
        <v>0.17</v>
      </c>
      <c r="N781" s="76">
        <v>854</v>
      </c>
      <c r="O781" s="77" t="s">
        <v>40</v>
      </c>
      <c r="P781" s="71">
        <f t="shared" si="489"/>
        <v>0</v>
      </c>
      <c r="Q781" s="77" t="s">
        <v>40</v>
      </c>
      <c r="R781" s="78">
        <f t="shared" si="490"/>
        <v>0</v>
      </c>
      <c r="S781" s="78">
        <f t="shared" si="467"/>
        <v>0</v>
      </c>
    </row>
    <row r="782" spans="1:19" s="73" customFormat="1" x14ac:dyDescent="0.2">
      <c r="A782" s="72" t="s">
        <v>746</v>
      </c>
      <c r="B782" s="73" t="s">
        <v>25</v>
      </c>
      <c r="C782" s="107"/>
      <c r="D782" s="74" t="s">
        <v>40</v>
      </c>
      <c r="E782" s="75">
        <v>1</v>
      </c>
      <c r="F782" s="76">
        <v>1</v>
      </c>
      <c r="G782" s="77" t="s">
        <v>20</v>
      </c>
      <c r="H782" s="76">
        <v>144</v>
      </c>
      <c r="I782" s="77" t="s">
        <v>40</v>
      </c>
      <c r="J782" s="78">
        <f>5702400/144</f>
        <v>39600</v>
      </c>
      <c r="K782" s="74" t="s">
        <v>40</v>
      </c>
      <c r="L782" s="79"/>
      <c r="M782" s="79">
        <v>0.17</v>
      </c>
      <c r="N782" s="76">
        <v>144</v>
      </c>
      <c r="O782" s="77" t="s">
        <v>40</v>
      </c>
      <c r="P782" s="71">
        <f t="shared" si="489"/>
        <v>0</v>
      </c>
      <c r="Q782" s="77" t="s">
        <v>40</v>
      </c>
      <c r="R782" s="78">
        <f t="shared" si="490"/>
        <v>0</v>
      </c>
      <c r="S782" s="78">
        <f t="shared" si="467"/>
        <v>0</v>
      </c>
    </row>
    <row r="783" spans="1:19" s="73" customFormat="1" x14ac:dyDescent="0.2">
      <c r="A783" s="72" t="s">
        <v>390</v>
      </c>
      <c r="B783" s="73" t="s">
        <v>25</v>
      </c>
      <c r="C783" s="71">
        <v>318</v>
      </c>
      <c r="D783" s="74" t="s">
        <v>40</v>
      </c>
      <c r="E783" s="75">
        <v>37</v>
      </c>
      <c r="F783" s="76">
        <v>1</v>
      </c>
      <c r="G783" s="77" t="s">
        <v>20</v>
      </c>
      <c r="H783" s="76">
        <v>144</v>
      </c>
      <c r="I783" s="77" t="s">
        <v>40</v>
      </c>
      <c r="J783" s="78">
        <f>5702400/144</f>
        <v>39600</v>
      </c>
      <c r="K783" s="74" t="s">
        <v>40</v>
      </c>
      <c r="L783" s="79"/>
      <c r="M783" s="79">
        <v>0.17</v>
      </c>
      <c r="N783" s="76">
        <v>5646</v>
      </c>
      <c r="O783" s="77" t="s">
        <v>40</v>
      </c>
      <c r="P783" s="71">
        <f t="shared" si="489"/>
        <v>0</v>
      </c>
      <c r="Q783" s="77" t="s">
        <v>40</v>
      </c>
      <c r="R783" s="78">
        <f t="shared" si="490"/>
        <v>0</v>
      </c>
      <c r="S783" s="78">
        <f t="shared" si="467"/>
        <v>0</v>
      </c>
    </row>
    <row r="784" spans="1:19" s="19" customFormat="1" x14ac:dyDescent="0.2">
      <c r="A784" s="134" t="s">
        <v>390</v>
      </c>
      <c r="B784" s="19" t="s">
        <v>25</v>
      </c>
      <c r="C784" s="20"/>
      <c r="D784" s="21" t="s">
        <v>40</v>
      </c>
      <c r="E784" s="26">
        <v>10</v>
      </c>
      <c r="F784" s="22">
        <v>1</v>
      </c>
      <c r="G784" s="23" t="s">
        <v>20</v>
      </c>
      <c r="H784" s="22">
        <v>144</v>
      </c>
      <c r="I784" s="23" t="s">
        <v>40</v>
      </c>
      <c r="J784" s="24">
        <f>5702400/144</f>
        <v>39600</v>
      </c>
      <c r="K784" s="21" t="s">
        <v>40</v>
      </c>
      <c r="L784" s="25">
        <v>0.05</v>
      </c>
      <c r="M784" s="25">
        <v>0.17</v>
      </c>
      <c r="N784" s="22">
        <f>1440-720</f>
        <v>720</v>
      </c>
      <c r="O784" s="23" t="s">
        <v>40</v>
      </c>
      <c r="P784" s="20">
        <f t="shared" ref="P784" si="518">(C784+(E784*F784*H784))-N784</f>
        <v>720</v>
      </c>
      <c r="Q784" s="23" t="s">
        <v>40</v>
      </c>
      <c r="R784" s="24">
        <f t="shared" ref="R784" si="519">P784*(J784-(J784*L784)-((J784-(J784*L784))*M784))</f>
        <v>22481712</v>
      </c>
      <c r="S784" s="24">
        <f t="shared" ref="S784" si="520">R784/1.11</f>
        <v>20253794.594594594</v>
      </c>
    </row>
    <row r="785" spans="1:19" s="73" customFormat="1" x14ac:dyDescent="0.2">
      <c r="A785" s="72" t="s">
        <v>914</v>
      </c>
      <c r="B785" s="73" t="s">
        <v>25</v>
      </c>
      <c r="C785" s="71"/>
      <c r="D785" s="74" t="s">
        <v>40</v>
      </c>
      <c r="E785" s="75">
        <v>2</v>
      </c>
      <c r="F785" s="76">
        <v>1</v>
      </c>
      <c r="G785" s="77" t="s">
        <v>20</v>
      </c>
      <c r="H785" s="76">
        <v>144</v>
      </c>
      <c r="I785" s="77" t="s">
        <v>40</v>
      </c>
      <c r="J785" s="78">
        <v>33000</v>
      </c>
      <c r="K785" s="74" t="s">
        <v>40</v>
      </c>
      <c r="L785" s="79"/>
      <c r="M785" s="79">
        <v>0.17</v>
      </c>
      <c r="N785" s="76">
        <v>288</v>
      </c>
      <c r="O785" s="77" t="s">
        <v>40</v>
      </c>
      <c r="P785" s="71">
        <f t="shared" ref="P785" si="521">(C785+(E785*F785*H785))-N785</f>
        <v>0</v>
      </c>
      <c r="Q785" s="77" t="s">
        <v>40</v>
      </c>
      <c r="R785" s="78">
        <f t="shared" ref="R785" si="522">P785*(J785-(J785*L785)-((J785-(J785*L785))*M785))</f>
        <v>0</v>
      </c>
      <c r="S785" s="78">
        <f t="shared" ref="S785" si="523">R785/1.11</f>
        <v>0</v>
      </c>
    </row>
    <row r="786" spans="1:19" s="64" customFormat="1" x14ac:dyDescent="0.2">
      <c r="A786" s="63" t="s">
        <v>391</v>
      </c>
      <c r="B786" s="64" t="s">
        <v>25</v>
      </c>
      <c r="C786" s="65">
        <v>738</v>
      </c>
      <c r="D786" s="66" t="s">
        <v>40</v>
      </c>
      <c r="E786" s="67">
        <v>19</v>
      </c>
      <c r="F786" s="68">
        <v>1</v>
      </c>
      <c r="G786" s="69" t="s">
        <v>20</v>
      </c>
      <c r="H786" s="68">
        <v>144</v>
      </c>
      <c r="I786" s="69" t="s">
        <v>40</v>
      </c>
      <c r="J786" s="16">
        <f>2764800/144</f>
        <v>19200</v>
      </c>
      <c r="K786" s="66" t="s">
        <v>40</v>
      </c>
      <c r="L786" s="70"/>
      <c r="M786" s="70">
        <v>0.17</v>
      </c>
      <c r="N786" s="68">
        <v>3474</v>
      </c>
      <c r="O786" s="69" t="s">
        <v>40</v>
      </c>
      <c r="P786" s="65">
        <f t="shared" si="489"/>
        <v>0</v>
      </c>
      <c r="Q786" s="69" t="s">
        <v>40</v>
      </c>
      <c r="R786" s="16">
        <f t="shared" si="490"/>
        <v>0</v>
      </c>
      <c r="S786" s="16">
        <f t="shared" si="467"/>
        <v>0</v>
      </c>
    </row>
    <row r="787" spans="1:19" s="64" customFormat="1" x14ac:dyDescent="0.2">
      <c r="A787" s="63" t="s">
        <v>392</v>
      </c>
      <c r="B787" s="64" t="s">
        <v>25</v>
      </c>
      <c r="C787" s="65"/>
      <c r="D787" s="66" t="s">
        <v>40</v>
      </c>
      <c r="E787" s="67"/>
      <c r="F787" s="68">
        <v>1</v>
      </c>
      <c r="G787" s="69" t="s">
        <v>20</v>
      </c>
      <c r="H787" s="68">
        <v>144</v>
      </c>
      <c r="I787" s="69" t="s">
        <v>40</v>
      </c>
      <c r="J787" s="16">
        <f>2764800/144</f>
        <v>19200</v>
      </c>
      <c r="K787" s="66" t="s">
        <v>40</v>
      </c>
      <c r="L787" s="70"/>
      <c r="M787" s="70">
        <v>0.17</v>
      </c>
      <c r="N787" s="68">
        <v>0</v>
      </c>
      <c r="O787" s="69" t="s">
        <v>40</v>
      </c>
      <c r="P787" s="65">
        <f t="shared" si="489"/>
        <v>0</v>
      </c>
      <c r="Q787" s="69" t="s">
        <v>40</v>
      </c>
      <c r="R787" s="16">
        <f t="shared" si="490"/>
        <v>0</v>
      </c>
      <c r="S787" s="16">
        <f t="shared" si="467"/>
        <v>0</v>
      </c>
    </row>
    <row r="788" spans="1:19" s="64" customFormat="1" x14ac:dyDescent="0.2">
      <c r="A788" s="63" t="s">
        <v>393</v>
      </c>
      <c r="B788" s="64" t="s">
        <v>25</v>
      </c>
      <c r="C788" s="65"/>
      <c r="D788" s="66" t="s">
        <v>40</v>
      </c>
      <c r="E788" s="67"/>
      <c r="F788" s="68">
        <v>1</v>
      </c>
      <c r="G788" s="69" t="s">
        <v>20</v>
      </c>
      <c r="H788" s="68">
        <v>144</v>
      </c>
      <c r="I788" s="69" t="s">
        <v>40</v>
      </c>
      <c r="J788" s="16">
        <v>23400</v>
      </c>
      <c r="K788" s="66" t="s">
        <v>40</v>
      </c>
      <c r="L788" s="70"/>
      <c r="M788" s="70">
        <v>0.17</v>
      </c>
      <c r="N788" s="68">
        <v>0</v>
      </c>
      <c r="O788" s="69" t="s">
        <v>40</v>
      </c>
      <c r="P788" s="65">
        <f t="shared" si="489"/>
        <v>0</v>
      </c>
      <c r="Q788" s="69" t="s">
        <v>40</v>
      </c>
      <c r="R788" s="16">
        <f t="shared" si="490"/>
        <v>0</v>
      </c>
      <c r="S788" s="16">
        <f t="shared" si="467"/>
        <v>0</v>
      </c>
    </row>
    <row r="789" spans="1:19" s="73" customFormat="1" x14ac:dyDescent="0.2">
      <c r="A789" s="72" t="s">
        <v>395</v>
      </c>
      <c r="B789" s="73" t="s">
        <v>25</v>
      </c>
      <c r="C789" s="71">
        <v>423</v>
      </c>
      <c r="D789" s="74" t="s">
        <v>40</v>
      </c>
      <c r="E789" s="75">
        <v>11</v>
      </c>
      <c r="F789" s="76">
        <v>1</v>
      </c>
      <c r="G789" s="77" t="s">
        <v>20</v>
      </c>
      <c r="H789" s="76">
        <v>144</v>
      </c>
      <c r="I789" s="77" t="s">
        <v>40</v>
      </c>
      <c r="J789" s="78">
        <f>3542400/144</f>
        <v>24600</v>
      </c>
      <c r="K789" s="74" t="s">
        <v>40</v>
      </c>
      <c r="L789" s="79"/>
      <c r="M789" s="79">
        <v>0.17</v>
      </c>
      <c r="N789" s="76">
        <v>2007</v>
      </c>
      <c r="O789" s="77" t="s">
        <v>40</v>
      </c>
      <c r="P789" s="71">
        <f t="shared" si="489"/>
        <v>0</v>
      </c>
      <c r="Q789" s="77" t="s">
        <v>40</v>
      </c>
      <c r="R789" s="78">
        <f t="shared" si="490"/>
        <v>0</v>
      </c>
      <c r="S789" s="78">
        <f t="shared" si="467"/>
        <v>0</v>
      </c>
    </row>
    <row r="790" spans="1:19" s="73" customFormat="1" x14ac:dyDescent="0.2">
      <c r="A790" s="72" t="s">
        <v>396</v>
      </c>
      <c r="B790" s="73" t="s">
        <v>25</v>
      </c>
      <c r="C790" s="71">
        <v>2721</v>
      </c>
      <c r="D790" s="74" t="s">
        <v>40</v>
      </c>
      <c r="E790" s="75">
        <v>106</v>
      </c>
      <c r="F790" s="76">
        <v>1</v>
      </c>
      <c r="G790" s="77" t="s">
        <v>20</v>
      </c>
      <c r="H790" s="76">
        <v>144</v>
      </c>
      <c r="I790" s="77" t="s">
        <v>40</v>
      </c>
      <c r="J790" s="78">
        <f>3110400/144</f>
        <v>21600</v>
      </c>
      <c r="K790" s="74" t="s">
        <v>40</v>
      </c>
      <c r="L790" s="79"/>
      <c r="M790" s="79">
        <v>0.17</v>
      </c>
      <c r="N790" s="76">
        <v>17985</v>
      </c>
      <c r="O790" s="77" t="s">
        <v>40</v>
      </c>
      <c r="P790" s="71">
        <f t="shared" si="489"/>
        <v>0</v>
      </c>
      <c r="Q790" s="77" t="s">
        <v>40</v>
      </c>
      <c r="R790" s="78">
        <f t="shared" si="490"/>
        <v>0</v>
      </c>
      <c r="S790" s="78">
        <f t="shared" si="467"/>
        <v>0</v>
      </c>
    </row>
    <row r="791" spans="1:19" s="73" customFormat="1" x14ac:dyDescent="0.2">
      <c r="A791" s="72" t="s">
        <v>779</v>
      </c>
      <c r="B791" s="73" t="s">
        <v>25</v>
      </c>
      <c r="C791" s="71"/>
      <c r="D791" s="74" t="s">
        <v>40</v>
      </c>
      <c r="E791" s="75">
        <v>6</v>
      </c>
      <c r="F791" s="76">
        <v>1</v>
      </c>
      <c r="G791" s="77" t="s">
        <v>20</v>
      </c>
      <c r="H791" s="76">
        <v>144</v>
      </c>
      <c r="I791" s="77" t="s">
        <v>40</v>
      </c>
      <c r="J791" s="78">
        <f>3456000/144</f>
        <v>24000</v>
      </c>
      <c r="K791" s="74" t="s">
        <v>40</v>
      </c>
      <c r="L791" s="79"/>
      <c r="M791" s="79">
        <v>0.17</v>
      </c>
      <c r="N791" s="76">
        <v>864</v>
      </c>
      <c r="O791" s="77" t="s">
        <v>40</v>
      </c>
      <c r="P791" s="71">
        <f t="shared" si="489"/>
        <v>0</v>
      </c>
      <c r="Q791" s="77" t="s">
        <v>40</v>
      </c>
      <c r="R791" s="78">
        <f t="shared" si="490"/>
        <v>0</v>
      </c>
      <c r="S791" s="78">
        <f t="shared" si="467"/>
        <v>0</v>
      </c>
    </row>
    <row r="792" spans="1:19" s="73" customFormat="1" x14ac:dyDescent="0.2">
      <c r="A792" s="72" t="s">
        <v>397</v>
      </c>
      <c r="B792" s="73" t="s">
        <v>25</v>
      </c>
      <c r="C792" s="71">
        <f>7776/12</f>
        <v>648</v>
      </c>
      <c r="D792" s="74" t="s">
        <v>40</v>
      </c>
      <c r="E792" s="75">
        <v>14</v>
      </c>
      <c r="F792" s="76">
        <v>1</v>
      </c>
      <c r="G792" s="77" t="s">
        <v>20</v>
      </c>
      <c r="H792" s="76">
        <v>144</v>
      </c>
      <c r="I792" s="77" t="s">
        <v>40</v>
      </c>
      <c r="J792" s="78">
        <f>3758400/144</f>
        <v>26100</v>
      </c>
      <c r="K792" s="74" t="s">
        <v>40</v>
      </c>
      <c r="L792" s="79"/>
      <c r="M792" s="79">
        <v>0.17</v>
      </c>
      <c r="N792" s="76">
        <v>2664</v>
      </c>
      <c r="O792" s="77" t="s">
        <v>40</v>
      </c>
      <c r="P792" s="71">
        <f t="shared" si="489"/>
        <v>0</v>
      </c>
      <c r="Q792" s="77" t="s">
        <v>40</v>
      </c>
      <c r="R792" s="78">
        <f t="shared" si="490"/>
        <v>0</v>
      </c>
      <c r="S792" s="78">
        <f t="shared" si="467"/>
        <v>0</v>
      </c>
    </row>
    <row r="793" spans="1:19" s="73" customFormat="1" x14ac:dyDescent="0.2">
      <c r="A793" s="72" t="s">
        <v>708</v>
      </c>
      <c r="B793" s="73" t="s">
        <v>25</v>
      </c>
      <c r="C793" s="71">
        <v>27</v>
      </c>
      <c r="D793" s="74" t="s">
        <v>40</v>
      </c>
      <c r="E793" s="75">
        <v>2</v>
      </c>
      <c r="F793" s="76">
        <v>1</v>
      </c>
      <c r="G793" s="77" t="s">
        <v>20</v>
      </c>
      <c r="H793" s="76">
        <v>144</v>
      </c>
      <c r="I793" s="77" t="s">
        <v>40</v>
      </c>
      <c r="J793" s="78">
        <f>5616000/144</f>
        <v>39000</v>
      </c>
      <c r="K793" s="74" t="s">
        <v>40</v>
      </c>
      <c r="L793" s="79"/>
      <c r="M793" s="79">
        <v>0.17</v>
      </c>
      <c r="N793" s="76">
        <v>315</v>
      </c>
      <c r="O793" s="77" t="s">
        <v>40</v>
      </c>
      <c r="P793" s="71">
        <f t="shared" si="489"/>
        <v>0</v>
      </c>
      <c r="Q793" s="77" t="s">
        <v>40</v>
      </c>
      <c r="R793" s="78">
        <f t="shared" si="490"/>
        <v>0</v>
      </c>
      <c r="S793" s="78">
        <f t="shared" si="467"/>
        <v>0</v>
      </c>
    </row>
    <row r="794" spans="1:19" s="73" customFormat="1" x14ac:dyDescent="0.2">
      <c r="A794" s="72" t="s">
        <v>398</v>
      </c>
      <c r="B794" s="73" t="s">
        <v>25</v>
      </c>
      <c r="C794" s="71"/>
      <c r="D794" s="74" t="s">
        <v>40</v>
      </c>
      <c r="E794" s="75">
        <v>2</v>
      </c>
      <c r="F794" s="76">
        <v>1</v>
      </c>
      <c r="G794" s="77" t="s">
        <v>20</v>
      </c>
      <c r="H794" s="76">
        <v>144</v>
      </c>
      <c r="I794" s="77" t="s">
        <v>40</v>
      </c>
      <c r="J794" s="78">
        <f>5270400/144</f>
        <v>36600</v>
      </c>
      <c r="K794" s="74" t="s">
        <v>40</v>
      </c>
      <c r="L794" s="79"/>
      <c r="M794" s="79">
        <v>0.17</v>
      </c>
      <c r="N794" s="76">
        <v>288</v>
      </c>
      <c r="O794" s="77" t="s">
        <v>40</v>
      </c>
      <c r="P794" s="71">
        <f t="shared" si="489"/>
        <v>0</v>
      </c>
      <c r="Q794" s="77" t="s">
        <v>40</v>
      </c>
      <c r="R794" s="78">
        <f t="shared" si="490"/>
        <v>0</v>
      </c>
      <c r="S794" s="78">
        <f t="shared" si="467"/>
        <v>0</v>
      </c>
    </row>
    <row r="795" spans="1:19" s="73" customFormat="1" x14ac:dyDescent="0.2">
      <c r="A795" s="72" t="s">
        <v>399</v>
      </c>
      <c r="B795" s="73" t="s">
        <v>25</v>
      </c>
      <c r="C795" s="71"/>
      <c r="D795" s="74" t="s">
        <v>40</v>
      </c>
      <c r="E795" s="75"/>
      <c r="F795" s="76">
        <v>1</v>
      </c>
      <c r="G795" s="77" t="s">
        <v>20</v>
      </c>
      <c r="H795" s="76">
        <v>144</v>
      </c>
      <c r="I795" s="77" t="s">
        <v>40</v>
      </c>
      <c r="J795" s="78">
        <f>5616000/144</f>
        <v>39000</v>
      </c>
      <c r="K795" s="74" t="s">
        <v>40</v>
      </c>
      <c r="L795" s="79"/>
      <c r="M795" s="79">
        <v>0.17</v>
      </c>
      <c r="N795" s="76">
        <v>0</v>
      </c>
      <c r="O795" s="77" t="s">
        <v>40</v>
      </c>
      <c r="P795" s="71">
        <f t="shared" si="489"/>
        <v>0</v>
      </c>
      <c r="Q795" s="77" t="s">
        <v>40</v>
      </c>
      <c r="R795" s="78">
        <f t="shared" si="490"/>
        <v>0</v>
      </c>
      <c r="S795" s="78">
        <f t="shared" si="467"/>
        <v>0</v>
      </c>
    </row>
    <row r="796" spans="1:19" s="64" customFormat="1" x14ac:dyDescent="0.2">
      <c r="A796" s="63" t="s">
        <v>400</v>
      </c>
      <c r="B796" s="64" t="s">
        <v>25</v>
      </c>
      <c r="C796" s="65"/>
      <c r="D796" s="66" t="s">
        <v>40</v>
      </c>
      <c r="E796" s="67">
        <v>2</v>
      </c>
      <c r="F796" s="68">
        <v>1</v>
      </c>
      <c r="G796" s="69" t="s">
        <v>20</v>
      </c>
      <c r="H796" s="68">
        <v>144</v>
      </c>
      <c r="I796" s="69" t="s">
        <v>40</v>
      </c>
      <c r="J796" s="16">
        <f>5616000/144</f>
        <v>39000</v>
      </c>
      <c r="K796" s="66" t="s">
        <v>40</v>
      </c>
      <c r="L796" s="70"/>
      <c r="M796" s="70">
        <v>0.17</v>
      </c>
      <c r="N796" s="68">
        <v>288</v>
      </c>
      <c r="O796" s="69" t="s">
        <v>40</v>
      </c>
      <c r="P796" s="65">
        <f t="shared" si="489"/>
        <v>0</v>
      </c>
      <c r="Q796" s="69" t="s">
        <v>40</v>
      </c>
      <c r="R796" s="16">
        <f t="shared" si="490"/>
        <v>0</v>
      </c>
      <c r="S796" s="16">
        <f t="shared" si="467"/>
        <v>0</v>
      </c>
    </row>
    <row r="797" spans="1:19" s="64" customFormat="1" x14ac:dyDescent="0.2">
      <c r="A797" s="63"/>
      <c r="C797" s="65"/>
      <c r="D797" s="66"/>
      <c r="E797" s="67"/>
      <c r="F797" s="68"/>
      <c r="G797" s="69"/>
      <c r="H797" s="68"/>
      <c r="I797" s="69"/>
      <c r="J797" s="16"/>
      <c r="K797" s="66"/>
      <c r="L797" s="70"/>
      <c r="M797" s="70"/>
      <c r="N797" s="68"/>
      <c r="O797" s="69"/>
      <c r="P797" s="65"/>
      <c r="Q797" s="69"/>
      <c r="R797" s="16"/>
      <c r="S797" s="16"/>
    </row>
    <row r="798" spans="1:19" s="73" customFormat="1" x14ac:dyDescent="0.2">
      <c r="A798" s="72" t="s">
        <v>402</v>
      </c>
      <c r="B798" s="73" t="s">
        <v>260</v>
      </c>
      <c r="C798" s="71">
        <v>2304</v>
      </c>
      <c r="D798" s="74" t="s">
        <v>40</v>
      </c>
      <c r="E798" s="75"/>
      <c r="F798" s="76">
        <v>1</v>
      </c>
      <c r="G798" s="77" t="s">
        <v>20</v>
      </c>
      <c r="H798" s="76">
        <v>144</v>
      </c>
      <c r="I798" s="77" t="s">
        <v>40</v>
      </c>
      <c r="J798" s="78">
        <v>22500</v>
      </c>
      <c r="K798" s="74" t="s">
        <v>40</v>
      </c>
      <c r="L798" s="79"/>
      <c r="M798" s="79"/>
      <c r="N798" s="76">
        <v>2304</v>
      </c>
      <c r="O798" s="77" t="s">
        <v>40</v>
      </c>
      <c r="P798" s="71">
        <f t="shared" ref="P798:P807" si="524">(C798+(E798*F798*H798))-N798</f>
        <v>0</v>
      </c>
      <c r="Q798" s="77" t="s">
        <v>40</v>
      </c>
      <c r="R798" s="78">
        <f t="shared" ref="R798:R807" si="525">P798*(J798-(J798*L798)-((J798-(J798*L798))*M798))</f>
        <v>0</v>
      </c>
      <c r="S798" s="78">
        <f t="shared" si="467"/>
        <v>0</v>
      </c>
    </row>
    <row r="799" spans="1:19" s="64" customFormat="1" x14ac:dyDescent="0.2">
      <c r="A799" s="63" t="s">
        <v>403</v>
      </c>
      <c r="B799" s="64" t="s">
        <v>260</v>
      </c>
      <c r="C799" s="65"/>
      <c r="D799" s="66" t="s">
        <v>40</v>
      </c>
      <c r="E799" s="67"/>
      <c r="F799" s="68">
        <v>1</v>
      </c>
      <c r="G799" s="69" t="s">
        <v>20</v>
      </c>
      <c r="H799" s="68">
        <v>144</v>
      </c>
      <c r="I799" s="69" t="s">
        <v>40</v>
      </c>
      <c r="J799" s="16">
        <v>26000</v>
      </c>
      <c r="K799" s="66" t="s">
        <v>40</v>
      </c>
      <c r="L799" s="70"/>
      <c r="M799" s="70"/>
      <c r="N799" s="68">
        <v>0</v>
      </c>
      <c r="O799" s="69" t="s">
        <v>40</v>
      </c>
      <c r="P799" s="65">
        <f t="shared" si="524"/>
        <v>0</v>
      </c>
      <c r="Q799" s="69" t="s">
        <v>40</v>
      </c>
      <c r="R799" s="16">
        <f t="shared" si="525"/>
        <v>0</v>
      </c>
      <c r="S799" s="16">
        <f t="shared" si="467"/>
        <v>0</v>
      </c>
    </row>
    <row r="800" spans="1:19" s="73" customFormat="1" x14ac:dyDescent="0.2">
      <c r="A800" s="72" t="s">
        <v>404</v>
      </c>
      <c r="B800" s="73" t="s">
        <v>260</v>
      </c>
      <c r="C800" s="71">
        <v>90</v>
      </c>
      <c r="D800" s="74" t="s">
        <v>40</v>
      </c>
      <c r="E800" s="75">
        <v>12</v>
      </c>
      <c r="F800" s="76">
        <v>1</v>
      </c>
      <c r="G800" s="77" t="s">
        <v>20</v>
      </c>
      <c r="H800" s="76">
        <v>96</v>
      </c>
      <c r="I800" s="77" t="s">
        <v>40</v>
      </c>
      <c r="J800" s="78">
        <v>31500</v>
      </c>
      <c r="K800" s="74" t="s">
        <v>40</v>
      </c>
      <c r="L800" s="79"/>
      <c r="M800" s="79"/>
      <c r="N800" s="76">
        <v>1242</v>
      </c>
      <c r="O800" s="77" t="s">
        <v>40</v>
      </c>
      <c r="P800" s="71">
        <f t="shared" si="524"/>
        <v>0</v>
      </c>
      <c r="Q800" s="77" t="s">
        <v>40</v>
      </c>
      <c r="R800" s="78">
        <f t="shared" si="525"/>
        <v>0</v>
      </c>
      <c r="S800" s="78">
        <f t="shared" si="467"/>
        <v>0</v>
      </c>
    </row>
    <row r="801" spans="1:19" s="64" customFormat="1" x14ac:dyDescent="0.2">
      <c r="A801" s="63" t="s">
        <v>714</v>
      </c>
      <c r="B801" s="64" t="s">
        <v>260</v>
      </c>
      <c r="C801" s="65"/>
      <c r="D801" s="66" t="s">
        <v>40</v>
      </c>
      <c r="E801" s="67"/>
      <c r="F801" s="68">
        <v>1</v>
      </c>
      <c r="G801" s="69" t="s">
        <v>20</v>
      </c>
      <c r="H801" s="68">
        <v>144</v>
      </c>
      <c r="I801" s="69" t="s">
        <v>40</v>
      </c>
      <c r="J801" s="16">
        <f>31818+(31818*10%)</f>
        <v>34999.800000000003</v>
      </c>
      <c r="K801" s="66" t="s">
        <v>40</v>
      </c>
      <c r="L801" s="70"/>
      <c r="M801" s="70"/>
      <c r="N801" s="68">
        <v>0</v>
      </c>
      <c r="O801" s="69" t="s">
        <v>40</v>
      </c>
      <c r="P801" s="65">
        <f t="shared" si="524"/>
        <v>0</v>
      </c>
      <c r="Q801" s="69" t="s">
        <v>40</v>
      </c>
      <c r="R801" s="16">
        <f t="shared" si="525"/>
        <v>0</v>
      </c>
      <c r="S801" s="16">
        <f t="shared" si="467"/>
        <v>0</v>
      </c>
    </row>
    <row r="802" spans="1:19" s="73" customFormat="1" x14ac:dyDescent="0.2">
      <c r="A802" s="72" t="s">
        <v>828</v>
      </c>
      <c r="B802" s="73" t="s">
        <v>260</v>
      </c>
      <c r="C802" s="71"/>
      <c r="D802" s="74" t="s">
        <v>40</v>
      </c>
      <c r="E802" s="75">
        <v>37</v>
      </c>
      <c r="F802" s="76">
        <v>1</v>
      </c>
      <c r="G802" s="77" t="s">
        <v>20</v>
      </c>
      <c r="H802" s="76">
        <v>144</v>
      </c>
      <c r="I802" s="77" t="s">
        <v>40</v>
      </c>
      <c r="J802" s="78">
        <v>18250</v>
      </c>
      <c r="K802" s="74" t="s">
        <v>40</v>
      </c>
      <c r="L802" s="79"/>
      <c r="M802" s="79"/>
      <c r="N802" s="76">
        <v>5328</v>
      </c>
      <c r="O802" s="77" t="s">
        <v>40</v>
      </c>
      <c r="P802" s="71">
        <f t="shared" ref="P802" si="526">(C802+(E802*F802*H802))-N802</f>
        <v>0</v>
      </c>
      <c r="Q802" s="77" t="s">
        <v>40</v>
      </c>
      <c r="R802" s="78">
        <f t="shared" ref="R802" si="527">P802*(J802-(J802*L802)-((J802-(J802*L802))*M802))</f>
        <v>0</v>
      </c>
      <c r="S802" s="78">
        <f t="shared" ref="S802" si="528">R802/1.11</f>
        <v>0</v>
      </c>
    </row>
    <row r="803" spans="1:19" s="73" customFormat="1" x14ac:dyDescent="0.2">
      <c r="A803" s="72" t="s">
        <v>828</v>
      </c>
      <c r="B803" s="73" t="s">
        <v>260</v>
      </c>
      <c r="C803" s="71">
        <f>115+69+60+144</f>
        <v>388</v>
      </c>
      <c r="D803" s="74" t="s">
        <v>40</v>
      </c>
      <c r="E803" s="75"/>
      <c r="F803" s="76">
        <v>1</v>
      </c>
      <c r="G803" s="77" t="s">
        <v>20</v>
      </c>
      <c r="H803" s="76">
        <v>144</v>
      </c>
      <c r="I803" s="77" t="s">
        <v>40</v>
      </c>
      <c r="J803" s="78">
        <v>16175</v>
      </c>
      <c r="K803" s="74" t="s">
        <v>40</v>
      </c>
      <c r="L803" s="79"/>
      <c r="M803" s="79"/>
      <c r="N803" s="76">
        <v>388</v>
      </c>
      <c r="O803" s="77" t="s">
        <v>40</v>
      </c>
      <c r="P803" s="71">
        <f>(C803+(E803*F803*H803))-N803</f>
        <v>0</v>
      </c>
      <c r="Q803" s="77" t="s">
        <v>40</v>
      </c>
      <c r="R803" s="78">
        <f>P803*(J803-(J803*L803)-((J803-(J803*L803))*M803))</f>
        <v>0</v>
      </c>
      <c r="S803" s="78">
        <f>R803/1.11</f>
        <v>0</v>
      </c>
    </row>
    <row r="804" spans="1:19" s="73" customFormat="1" x14ac:dyDescent="0.2">
      <c r="A804" s="72" t="s">
        <v>935</v>
      </c>
      <c r="B804" s="73" t="s">
        <v>260</v>
      </c>
      <c r="C804" s="71"/>
      <c r="D804" s="74" t="s">
        <v>40</v>
      </c>
      <c r="E804" s="75">
        <v>3</v>
      </c>
      <c r="F804" s="76">
        <v>1</v>
      </c>
      <c r="G804" s="77" t="s">
        <v>20</v>
      </c>
      <c r="H804" s="76">
        <v>144</v>
      </c>
      <c r="I804" s="77" t="s">
        <v>40</v>
      </c>
      <c r="J804" s="78">
        <v>0</v>
      </c>
      <c r="K804" s="74" t="s">
        <v>40</v>
      </c>
      <c r="L804" s="79"/>
      <c r="M804" s="79"/>
      <c r="N804" s="76">
        <v>432</v>
      </c>
      <c r="O804" s="77" t="s">
        <v>40</v>
      </c>
      <c r="P804" s="71">
        <f>(C804+(E804*F804*H804))-N804</f>
        <v>0</v>
      </c>
      <c r="Q804" s="77" t="s">
        <v>40</v>
      </c>
      <c r="R804" s="78">
        <f>P804*(J804-(J804*L804)-((J804-(J804*L804))*M804))</f>
        <v>0</v>
      </c>
      <c r="S804" s="78">
        <f>R804/1.11</f>
        <v>0</v>
      </c>
    </row>
    <row r="805" spans="1:19" s="73" customFormat="1" x14ac:dyDescent="0.2">
      <c r="A805" s="72" t="s">
        <v>877</v>
      </c>
      <c r="B805" s="73" t="s">
        <v>260</v>
      </c>
      <c r="C805" s="71"/>
      <c r="D805" s="74" t="s">
        <v>40</v>
      </c>
      <c r="E805" s="75">
        <v>1</v>
      </c>
      <c r="F805" s="76">
        <v>1</v>
      </c>
      <c r="G805" s="77" t="s">
        <v>20</v>
      </c>
      <c r="H805" s="76">
        <v>72</v>
      </c>
      <c r="I805" s="77" t="s">
        <v>40</v>
      </c>
      <c r="J805" s="78">
        <v>18250</v>
      </c>
      <c r="K805" s="74" t="s">
        <v>40</v>
      </c>
      <c r="L805" s="79"/>
      <c r="M805" s="79"/>
      <c r="N805" s="76">
        <v>72</v>
      </c>
      <c r="O805" s="77" t="s">
        <v>40</v>
      </c>
      <c r="P805" s="71">
        <f>(C805+(E805*F805*H805))-N805</f>
        <v>0</v>
      </c>
      <c r="Q805" s="77" t="s">
        <v>40</v>
      </c>
      <c r="R805" s="78">
        <f>P805*(J805-(J805*L805)-((J805-(J805*L805))*M805))</f>
        <v>0</v>
      </c>
      <c r="S805" s="78">
        <f>R805/1.11</f>
        <v>0</v>
      </c>
    </row>
    <row r="806" spans="1:19" s="73" customFormat="1" x14ac:dyDescent="0.2">
      <c r="A806" s="72" t="s">
        <v>877</v>
      </c>
      <c r="B806" s="73" t="s">
        <v>260</v>
      </c>
      <c r="C806" s="71"/>
      <c r="D806" s="74" t="s">
        <v>40</v>
      </c>
      <c r="E806" s="75">
        <v>1</v>
      </c>
      <c r="F806" s="76">
        <v>1</v>
      </c>
      <c r="G806" s="77" t="s">
        <v>20</v>
      </c>
      <c r="H806" s="76">
        <v>72</v>
      </c>
      <c r="I806" s="77" t="s">
        <v>40</v>
      </c>
      <c r="J806" s="78">
        <v>0</v>
      </c>
      <c r="K806" s="74" t="s">
        <v>40</v>
      </c>
      <c r="L806" s="79"/>
      <c r="M806" s="79"/>
      <c r="N806" s="76">
        <v>72</v>
      </c>
      <c r="O806" s="77" t="s">
        <v>40</v>
      </c>
      <c r="P806" s="71">
        <f t="shared" ref="P806" si="529">(C806+(E806*F806*H806))-N806</f>
        <v>0</v>
      </c>
      <c r="Q806" s="77" t="s">
        <v>40</v>
      </c>
      <c r="R806" s="78">
        <f t="shared" ref="R806" si="530">P806*(J806-(J806*L806)-((J806-(J806*L806))*M806))</f>
        <v>0</v>
      </c>
      <c r="S806" s="78">
        <f t="shared" ref="S806" si="531">R806/1.11</f>
        <v>0</v>
      </c>
    </row>
    <row r="807" spans="1:19" s="73" customFormat="1" x14ac:dyDescent="0.2">
      <c r="A807" s="72" t="s">
        <v>814</v>
      </c>
      <c r="B807" s="73" t="s">
        <v>260</v>
      </c>
      <c r="C807" s="71"/>
      <c r="D807" s="74" t="s">
        <v>40</v>
      </c>
      <c r="E807" s="75">
        <v>1</v>
      </c>
      <c r="F807" s="76">
        <v>1</v>
      </c>
      <c r="G807" s="77" t="s">
        <v>20</v>
      </c>
      <c r="H807" s="76">
        <v>120</v>
      </c>
      <c r="I807" s="77" t="s">
        <v>40</v>
      </c>
      <c r="J807" s="78">
        <v>18250</v>
      </c>
      <c r="K807" s="74" t="s">
        <v>40</v>
      </c>
      <c r="L807" s="79"/>
      <c r="M807" s="79"/>
      <c r="N807" s="76">
        <v>120</v>
      </c>
      <c r="O807" s="77" t="s">
        <v>40</v>
      </c>
      <c r="P807" s="71">
        <f t="shared" si="524"/>
        <v>0</v>
      </c>
      <c r="Q807" s="77" t="s">
        <v>40</v>
      </c>
      <c r="R807" s="78">
        <f t="shared" si="525"/>
        <v>0</v>
      </c>
      <c r="S807" s="78">
        <f t="shared" si="467"/>
        <v>0</v>
      </c>
    </row>
    <row r="808" spans="1:19" s="73" customFormat="1" x14ac:dyDescent="0.2">
      <c r="A808" s="72" t="s">
        <v>815</v>
      </c>
      <c r="B808" s="73" t="s">
        <v>260</v>
      </c>
      <c r="C808" s="71"/>
      <c r="D808" s="74" t="s">
        <v>40</v>
      </c>
      <c r="E808" s="75">
        <v>1</v>
      </c>
      <c r="F808" s="76">
        <v>1</v>
      </c>
      <c r="G808" s="77" t="s">
        <v>20</v>
      </c>
      <c r="H808" s="76">
        <v>120</v>
      </c>
      <c r="I808" s="77" t="s">
        <v>40</v>
      </c>
      <c r="J808" s="78">
        <v>18250</v>
      </c>
      <c r="K808" s="74" t="s">
        <v>40</v>
      </c>
      <c r="L808" s="79"/>
      <c r="M808" s="79"/>
      <c r="N808" s="76">
        <v>120</v>
      </c>
      <c r="O808" s="77" t="s">
        <v>40</v>
      </c>
      <c r="P808" s="71">
        <f t="shared" ref="P808:P810" si="532">(C808+(E808*F808*H808))-N808</f>
        <v>0</v>
      </c>
      <c r="Q808" s="77" t="s">
        <v>40</v>
      </c>
      <c r="R808" s="78">
        <f t="shared" ref="R808:R810" si="533">P808*(J808-(J808*L808)-((J808-(J808*L808))*M808))</f>
        <v>0</v>
      </c>
      <c r="S808" s="78">
        <f t="shared" ref="S808:S810" si="534">R808/1.11</f>
        <v>0</v>
      </c>
    </row>
    <row r="809" spans="1:19" s="73" customFormat="1" x14ac:dyDescent="0.2">
      <c r="A809" s="72" t="s">
        <v>816</v>
      </c>
      <c r="B809" s="73" t="s">
        <v>260</v>
      </c>
      <c r="C809" s="71"/>
      <c r="D809" s="74" t="s">
        <v>40</v>
      </c>
      <c r="E809" s="75">
        <v>1</v>
      </c>
      <c r="F809" s="76">
        <v>1</v>
      </c>
      <c r="G809" s="77" t="s">
        <v>20</v>
      </c>
      <c r="H809" s="76">
        <v>120</v>
      </c>
      <c r="I809" s="77" t="s">
        <v>40</v>
      </c>
      <c r="J809" s="78">
        <v>18250</v>
      </c>
      <c r="K809" s="74" t="s">
        <v>40</v>
      </c>
      <c r="L809" s="79"/>
      <c r="M809" s="79"/>
      <c r="N809" s="76">
        <v>120</v>
      </c>
      <c r="O809" s="77" t="s">
        <v>40</v>
      </c>
      <c r="P809" s="71">
        <f t="shared" si="532"/>
        <v>0</v>
      </c>
      <c r="Q809" s="77" t="s">
        <v>40</v>
      </c>
      <c r="R809" s="78">
        <f t="shared" si="533"/>
        <v>0</v>
      </c>
      <c r="S809" s="78">
        <f t="shared" si="534"/>
        <v>0</v>
      </c>
    </row>
    <row r="810" spans="1:19" s="73" customFormat="1" x14ac:dyDescent="0.2">
      <c r="A810" s="72" t="s">
        <v>817</v>
      </c>
      <c r="B810" s="73" t="s">
        <v>260</v>
      </c>
      <c r="C810" s="71"/>
      <c r="D810" s="74" t="s">
        <v>40</v>
      </c>
      <c r="E810" s="75">
        <v>1</v>
      </c>
      <c r="F810" s="76">
        <v>1</v>
      </c>
      <c r="G810" s="77" t="s">
        <v>20</v>
      </c>
      <c r="H810" s="76">
        <v>120</v>
      </c>
      <c r="I810" s="77" t="s">
        <v>40</v>
      </c>
      <c r="J810" s="78">
        <v>18250</v>
      </c>
      <c r="K810" s="74" t="s">
        <v>40</v>
      </c>
      <c r="L810" s="79"/>
      <c r="M810" s="79"/>
      <c r="N810" s="76">
        <v>120</v>
      </c>
      <c r="O810" s="77" t="s">
        <v>40</v>
      </c>
      <c r="P810" s="71">
        <f t="shared" si="532"/>
        <v>0</v>
      </c>
      <c r="Q810" s="77" t="s">
        <v>40</v>
      </c>
      <c r="R810" s="78">
        <f t="shared" si="533"/>
        <v>0</v>
      </c>
      <c r="S810" s="78">
        <f t="shared" si="534"/>
        <v>0</v>
      </c>
    </row>
    <row r="811" spans="1:19" s="73" customFormat="1" x14ac:dyDescent="0.2">
      <c r="A811" s="72" t="s">
        <v>880</v>
      </c>
      <c r="B811" s="73" t="s">
        <v>260</v>
      </c>
      <c r="C811" s="71"/>
      <c r="D811" s="74" t="s">
        <v>40</v>
      </c>
      <c r="E811" s="75">
        <v>1</v>
      </c>
      <c r="F811" s="76">
        <v>1</v>
      </c>
      <c r="G811" s="77" t="s">
        <v>20</v>
      </c>
      <c r="H811" s="76">
        <v>120</v>
      </c>
      <c r="I811" s="77" t="s">
        <v>40</v>
      </c>
      <c r="J811" s="78">
        <v>18250</v>
      </c>
      <c r="K811" s="74" t="s">
        <v>40</v>
      </c>
      <c r="L811" s="79"/>
      <c r="M811" s="79"/>
      <c r="N811" s="76">
        <v>120</v>
      </c>
      <c r="O811" s="77" t="s">
        <v>40</v>
      </c>
      <c r="P811" s="71">
        <f t="shared" ref="P811" si="535">(C811+(E811*F811*H811))-N811</f>
        <v>0</v>
      </c>
      <c r="Q811" s="77" t="s">
        <v>40</v>
      </c>
      <c r="R811" s="78">
        <f t="shared" ref="R811" si="536">P811*(J811-(J811*L811)-((J811-(J811*L811))*M811))</f>
        <v>0</v>
      </c>
      <c r="S811" s="78">
        <f t="shared" ref="S811" si="537">R811/1.11</f>
        <v>0</v>
      </c>
    </row>
    <row r="812" spans="1:19" s="73" customFormat="1" x14ac:dyDescent="0.2">
      <c r="A812" s="72" t="s">
        <v>881</v>
      </c>
      <c r="B812" s="73" t="s">
        <v>260</v>
      </c>
      <c r="C812" s="71"/>
      <c r="D812" s="74" t="s">
        <v>40</v>
      </c>
      <c r="E812" s="75">
        <v>1</v>
      </c>
      <c r="F812" s="76">
        <v>1</v>
      </c>
      <c r="G812" s="77" t="s">
        <v>20</v>
      </c>
      <c r="H812" s="76">
        <v>120</v>
      </c>
      <c r="I812" s="77" t="s">
        <v>40</v>
      </c>
      <c r="J812" s="78">
        <v>18250</v>
      </c>
      <c r="K812" s="74" t="s">
        <v>40</v>
      </c>
      <c r="L812" s="79"/>
      <c r="M812" s="79"/>
      <c r="N812" s="76">
        <v>120</v>
      </c>
      <c r="O812" s="77" t="s">
        <v>40</v>
      </c>
      <c r="P812" s="71">
        <f t="shared" ref="P812:P817" si="538">(C812+(E812*F812*H812))-N812</f>
        <v>0</v>
      </c>
      <c r="Q812" s="77" t="s">
        <v>40</v>
      </c>
      <c r="R812" s="78">
        <f t="shared" ref="R812:R817" si="539">P812*(J812-(J812*L812)-((J812-(J812*L812))*M812))</f>
        <v>0</v>
      </c>
      <c r="S812" s="78">
        <f t="shared" ref="S812:S817" si="540">R812/1.11</f>
        <v>0</v>
      </c>
    </row>
    <row r="813" spans="1:19" s="73" customFormat="1" x14ac:dyDescent="0.2">
      <c r="A813" s="72" t="s">
        <v>882</v>
      </c>
      <c r="B813" s="73" t="s">
        <v>260</v>
      </c>
      <c r="C813" s="71"/>
      <c r="D813" s="74" t="s">
        <v>40</v>
      </c>
      <c r="E813" s="75">
        <v>2</v>
      </c>
      <c r="F813" s="76">
        <v>1</v>
      </c>
      <c r="G813" s="77" t="s">
        <v>20</v>
      </c>
      <c r="H813" s="76">
        <v>120</v>
      </c>
      <c r="I813" s="77" t="s">
        <v>40</v>
      </c>
      <c r="J813" s="78">
        <v>18250</v>
      </c>
      <c r="K813" s="74" t="s">
        <v>40</v>
      </c>
      <c r="L813" s="79"/>
      <c r="M813" s="79"/>
      <c r="N813" s="76">
        <v>240</v>
      </c>
      <c r="O813" s="77" t="s">
        <v>40</v>
      </c>
      <c r="P813" s="71">
        <f t="shared" si="538"/>
        <v>0</v>
      </c>
      <c r="Q813" s="77" t="s">
        <v>40</v>
      </c>
      <c r="R813" s="78">
        <f t="shared" si="539"/>
        <v>0</v>
      </c>
      <c r="S813" s="78">
        <f t="shared" si="540"/>
        <v>0</v>
      </c>
    </row>
    <row r="814" spans="1:19" s="73" customFormat="1" x14ac:dyDescent="0.2">
      <c r="A814" s="72" t="s">
        <v>883</v>
      </c>
      <c r="B814" s="73" t="s">
        <v>260</v>
      </c>
      <c r="C814" s="71"/>
      <c r="D814" s="74" t="s">
        <v>40</v>
      </c>
      <c r="E814" s="75">
        <v>2</v>
      </c>
      <c r="F814" s="76">
        <v>1</v>
      </c>
      <c r="G814" s="77" t="s">
        <v>20</v>
      </c>
      <c r="H814" s="76">
        <v>120</v>
      </c>
      <c r="I814" s="77" t="s">
        <v>40</v>
      </c>
      <c r="J814" s="78">
        <v>18250</v>
      </c>
      <c r="K814" s="74" t="s">
        <v>40</v>
      </c>
      <c r="L814" s="79"/>
      <c r="M814" s="79"/>
      <c r="N814" s="76">
        <v>240</v>
      </c>
      <c r="O814" s="77" t="s">
        <v>40</v>
      </c>
      <c r="P814" s="71">
        <f t="shared" si="538"/>
        <v>0</v>
      </c>
      <c r="Q814" s="77" t="s">
        <v>40</v>
      </c>
      <c r="R814" s="78">
        <f t="shared" si="539"/>
        <v>0</v>
      </c>
      <c r="S814" s="78">
        <f t="shared" si="540"/>
        <v>0</v>
      </c>
    </row>
    <row r="815" spans="1:19" s="73" customFormat="1" x14ac:dyDescent="0.2">
      <c r="A815" s="72" t="s">
        <v>884</v>
      </c>
      <c r="B815" s="73" t="s">
        <v>260</v>
      </c>
      <c r="C815" s="71"/>
      <c r="D815" s="74" t="s">
        <v>40</v>
      </c>
      <c r="E815" s="75">
        <v>2</v>
      </c>
      <c r="F815" s="76">
        <v>1</v>
      </c>
      <c r="G815" s="77" t="s">
        <v>20</v>
      </c>
      <c r="H815" s="76">
        <v>120</v>
      </c>
      <c r="I815" s="77" t="s">
        <v>40</v>
      </c>
      <c r="J815" s="78">
        <v>18250</v>
      </c>
      <c r="K815" s="74" t="s">
        <v>40</v>
      </c>
      <c r="L815" s="79"/>
      <c r="M815" s="79"/>
      <c r="N815" s="76">
        <v>240</v>
      </c>
      <c r="O815" s="77" t="s">
        <v>40</v>
      </c>
      <c r="P815" s="71">
        <f t="shared" si="538"/>
        <v>0</v>
      </c>
      <c r="Q815" s="77" t="s">
        <v>40</v>
      </c>
      <c r="R815" s="78">
        <f t="shared" si="539"/>
        <v>0</v>
      </c>
      <c r="S815" s="78">
        <f t="shared" si="540"/>
        <v>0</v>
      </c>
    </row>
    <row r="816" spans="1:19" s="73" customFormat="1" x14ac:dyDescent="0.2">
      <c r="A816" s="72" t="s">
        <v>885</v>
      </c>
      <c r="B816" s="73" t="s">
        <v>260</v>
      </c>
      <c r="C816" s="71"/>
      <c r="D816" s="74" t="s">
        <v>40</v>
      </c>
      <c r="E816" s="75">
        <v>1</v>
      </c>
      <c r="F816" s="76">
        <v>1</v>
      </c>
      <c r="G816" s="77" t="s">
        <v>20</v>
      </c>
      <c r="H816" s="76">
        <v>120</v>
      </c>
      <c r="I816" s="77" t="s">
        <v>40</v>
      </c>
      <c r="J816" s="78">
        <v>18250</v>
      </c>
      <c r="K816" s="74" t="s">
        <v>40</v>
      </c>
      <c r="L816" s="79"/>
      <c r="M816" s="79"/>
      <c r="N816" s="76">
        <v>120</v>
      </c>
      <c r="O816" s="77" t="s">
        <v>40</v>
      </c>
      <c r="P816" s="71">
        <f t="shared" si="538"/>
        <v>0</v>
      </c>
      <c r="Q816" s="77" t="s">
        <v>40</v>
      </c>
      <c r="R816" s="78">
        <f t="shared" si="539"/>
        <v>0</v>
      </c>
      <c r="S816" s="78">
        <f t="shared" si="540"/>
        <v>0</v>
      </c>
    </row>
    <row r="817" spans="1:21" s="73" customFormat="1" x14ac:dyDescent="0.2">
      <c r="A817" s="72" t="s">
        <v>886</v>
      </c>
      <c r="B817" s="73" t="s">
        <v>260</v>
      </c>
      <c r="C817" s="71"/>
      <c r="D817" s="74" t="s">
        <v>40</v>
      </c>
      <c r="E817" s="75">
        <v>2</v>
      </c>
      <c r="F817" s="76">
        <v>1</v>
      </c>
      <c r="G817" s="77" t="s">
        <v>20</v>
      </c>
      <c r="H817" s="76">
        <v>120</v>
      </c>
      <c r="I817" s="77" t="s">
        <v>40</v>
      </c>
      <c r="J817" s="78">
        <v>18250</v>
      </c>
      <c r="K817" s="74" t="s">
        <v>40</v>
      </c>
      <c r="L817" s="79"/>
      <c r="M817" s="79"/>
      <c r="N817" s="76">
        <v>240</v>
      </c>
      <c r="O817" s="77" t="s">
        <v>40</v>
      </c>
      <c r="P817" s="71">
        <f t="shared" si="538"/>
        <v>0</v>
      </c>
      <c r="Q817" s="77" t="s">
        <v>40</v>
      </c>
      <c r="R817" s="78">
        <f t="shared" si="539"/>
        <v>0</v>
      </c>
      <c r="S817" s="78">
        <f t="shared" si="540"/>
        <v>0</v>
      </c>
    </row>
    <row r="818" spans="1:21" s="73" customFormat="1" x14ac:dyDescent="0.2">
      <c r="A818" s="72" t="s">
        <v>887</v>
      </c>
      <c r="B818" s="73" t="s">
        <v>260</v>
      </c>
      <c r="C818" s="71"/>
      <c r="D818" s="74" t="s">
        <v>40</v>
      </c>
      <c r="E818" s="75">
        <v>1</v>
      </c>
      <c r="F818" s="76">
        <v>1</v>
      </c>
      <c r="G818" s="77" t="s">
        <v>20</v>
      </c>
      <c r="H818" s="76">
        <v>120</v>
      </c>
      <c r="I818" s="77" t="s">
        <v>40</v>
      </c>
      <c r="J818" s="78">
        <v>18250</v>
      </c>
      <c r="K818" s="74" t="s">
        <v>40</v>
      </c>
      <c r="L818" s="79"/>
      <c r="M818" s="79"/>
      <c r="N818" s="76">
        <v>120</v>
      </c>
      <c r="O818" s="77" t="s">
        <v>40</v>
      </c>
      <c r="P818" s="71">
        <f t="shared" ref="P818" si="541">(C818+(E818*F818*H818))-N818</f>
        <v>0</v>
      </c>
      <c r="Q818" s="77" t="s">
        <v>40</v>
      </c>
      <c r="R818" s="78">
        <f t="shared" ref="R818" si="542">P818*(J818-(J818*L818)-((J818-(J818*L818))*M818))</f>
        <v>0</v>
      </c>
      <c r="S818" s="78">
        <f t="shared" ref="S818" si="543">R818/1.11</f>
        <v>0</v>
      </c>
    </row>
    <row r="819" spans="1:21" s="73" customFormat="1" x14ac:dyDescent="0.2">
      <c r="A819" s="72" t="s">
        <v>888</v>
      </c>
      <c r="B819" s="73" t="s">
        <v>260</v>
      </c>
      <c r="C819" s="71"/>
      <c r="D819" s="74" t="s">
        <v>40</v>
      </c>
      <c r="E819" s="75">
        <v>1</v>
      </c>
      <c r="F819" s="76">
        <v>1</v>
      </c>
      <c r="G819" s="77" t="s">
        <v>20</v>
      </c>
      <c r="H819" s="76">
        <v>60</v>
      </c>
      <c r="I819" s="77" t="s">
        <v>40</v>
      </c>
      <c r="J819" s="78">
        <v>18250</v>
      </c>
      <c r="K819" s="74" t="s">
        <v>40</v>
      </c>
      <c r="L819" s="79"/>
      <c r="M819" s="79"/>
      <c r="N819" s="76">
        <v>60</v>
      </c>
      <c r="O819" s="77" t="s">
        <v>40</v>
      </c>
      <c r="P819" s="71">
        <f t="shared" ref="P819" si="544">(C819+(E819*F819*H819))-N819</f>
        <v>0</v>
      </c>
      <c r="Q819" s="77" t="s">
        <v>40</v>
      </c>
      <c r="R819" s="78">
        <f t="shared" ref="R819" si="545">P819*(J819-(J819*L819)-((J819-(J819*L819))*M819))</f>
        <v>0</v>
      </c>
      <c r="S819" s="78">
        <f t="shared" ref="S819" si="546">R819/1.11</f>
        <v>0</v>
      </c>
    </row>
    <row r="820" spans="1:21" s="73" customFormat="1" x14ac:dyDescent="0.2">
      <c r="A820" s="72" t="s">
        <v>888</v>
      </c>
      <c r="B820" s="73" t="s">
        <v>260</v>
      </c>
      <c r="C820" s="71"/>
      <c r="D820" s="74" t="s">
        <v>40</v>
      </c>
      <c r="E820" s="75">
        <v>1</v>
      </c>
      <c r="F820" s="76">
        <v>1</v>
      </c>
      <c r="G820" s="77" t="s">
        <v>20</v>
      </c>
      <c r="H820" s="76">
        <v>60</v>
      </c>
      <c r="I820" s="77" t="s">
        <v>40</v>
      </c>
      <c r="J820" s="78">
        <v>0</v>
      </c>
      <c r="K820" s="74" t="s">
        <v>40</v>
      </c>
      <c r="L820" s="79"/>
      <c r="M820" s="79"/>
      <c r="N820" s="76">
        <v>0</v>
      </c>
      <c r="O820" s="77" t="s">
        <v>40</v>
      </c>
      <c r="P820" s="71">
        <v>0</v>
      </c>
      <c r="Q820" s="77" t="s">
        <v>40</v>
      </c>
      <c r="R820" s="78">
        <v>0</v>
      </c>
      <c r="S820" s="78">
        <v>0</v>
      </c>
      <c r="U820" s="206"/>
    </row>
    <row r="821" spans="1:21" s="73" customFormat="1" x14ac:dyDescent="0.2">
      <c r="A821" s="72" t="s">
        <v>937</v>
      </c>
      <c r="B821" s="73" t="s">
        <v>260</v>
      </c>
      <c r="C821" s="71"/>
      <c r="D821" s="74" t="s">
        <v>40</v>
      </c>
      <c r="E821" s="75">
        <v>5</v>
      </c>
      <c r="F821" s="76">
        <v>1</v>
      </c>
      <c r="G821" s="77" t="s">
        <v>20</v>
      </c>
      <c r="H821" s="76">
        <v>120</v>
      </c>
      <c r="I821" s="77" t="s">
        <v>924</v>
      </c>
      <c r="J821" s="78">
        <v>16750</v>
      </c>
      <c r="K821" s="74" t="s">
        <v>40</v>
      </c>
      <c r="L821" s="79"/>
      <c r="M821" s="79"/>
      <c r="N821" s="76">
        <v>600</v>
      </c>
      <c r="O821" s="77" t="s">
        <v>40</v>
      </c>
      <c r="P821" s="71">
        <f t="shared" ref="P821" si="547">(C821+(E821*F821*H821))-N821</f>
        <v>0</v>
      </c>
      <c r="Q821" s="77" t="s">
        <v>40</v>
      </c>
      <c r="R821" s="78">
        <f t="shared" ref="R821" si="548">P821*(J821-(J821*L821)-((J821-(J821*L821))*M821))</f>
        <v>0</v>
      </c>
      <c r="S821" s="78">
        <f t="shared" ref="S821" si="549">R821/1.11</f>
        <v>0</v>
      </c>
      <c r="U821" s="206"/>
    </row>
    <row r="822" spans="1:21" s="73" customFormat="1" x14ac:dyDescent="0.2">
      <c r="A822" s="72" t="s">
        <v>951</v>
      </c>
      <c r="B822" s="73" t="s">
        <v>260</v>
      </c>
      <c r="C822" s="71"/>
      <c r="D822" s="74" t="s">
        <v>40</v>
      </c>
      <c r="E822" s="75">
        <v>1</v>
      </c>
      <c r="F822" s="76">
        <v>1</v>
      </c>
      <c r="G822" s="77" t="s">
        <v>20</v>
      </c>
      <c r="H822" s="76">
        <v>144</v>
      </c>
      <c r="I822" s="77" t="s">
        <v>924</v>
      </c>
      <c r="J822" s="78">
        <v>24000</v>
      </c>
      <c r="K822" s="74" t="s">
        <v>40</v>
      </c>
      <c r="L822" s="79"/>
      <c r="M822" s="79"/>
      <c r="N822" s="76">
        <v>144</v>
      </c>
      <c r="O822" s="77" t="s">
        <v>40</v>
      </c>
      <c r="P822" s="71">
        <f t="shared" ref="P822" si="550">(C822+(E822*F822*H822))-N822</f>
        <v>0</v>
      </c>
      <c r="Q822" s="77" t="s">
        <v>40</v>
      </c>
      <c r="R822" s="78">
        <f t="shared" ref="R822" si="551">P822*(J822-(J822*L822)-((J822-(J822*L822))*M822))</f>
        <v>0</v>
      </c>
      <c r="S822" s="78">
        <f t="shared" ref="S822" si="552">R822/1.11</f>
        <v>0</v>
      </c>
    </row>
    <row r="823" spans="1:21" s="64" customFormat="1" x14ac:dyDescent="0.2">
      <c r="A823" s="63"/>
      <c r="C823" s="65"/>
      <c r="D823" s="66"/>
      <c r="E823" s="67"/>
      <c r="F823" s="68"/>
      <c r="G823" s="69"/>
      <c r="H823" s="68"/>
      <c r="I823" s="69"/>
      <c r="J823" s="16"/>
      <c r="K823" s="66"/>
      <c r="L823" s="70"/>
      <c r="M823" s="70"/>
      <c r="N823" s="68"/>
      <c r="O823" s="69"/>
      <c r="P823" s="65"/>
      <c r="Q823" s="69"/>
      <c r="R823" s="16"/>
      <c r="S823" s="16"/>
    </row>
    <row r="824" spans="1:21" s="64" customFormat="1" x14ac:dyDescent="0.2">
      <c r="A824" s="63" t="s">
        <v>703</v>
      </c>
      <c r="B824" s="64" t="s">
        <v>689</v>
      </c>
      <c r="C824" s="65">
        <v>43</v>
      </c>
      <c r="D824" s="66" t="s">
        <v>40</v>
      </c>
      <c r="E824" s="67">
        <v>25</v>
      </c>
      <c r="F824" s="68">
        <v>1</v>
      </c>
      <c r="G824" s="69" t="s">
        <v>20</v>
      </c>
      <c r="H824" s="68">
        <v>96</v>
      </c>
      <c r="I824" s="69" t="s">
        <v>40</v>
      </c>
      <c r="J824" s="16">
        <v>26500</v>
      </c>
      <c r="K824" s="66" t="s">
        <v>40</v>
      </c>
      <c r="L824" s="70"/>
      <c r="M824" s="70"/>
      <c r="N824" s="68">
        <v>2443</v>
      </c>
      <c r="O824" s="69" t="s">
        <v>40</v>
      </c>
      <c r="P824" s="65">
        <f>(C824+(E824*F824*H824))-N824</f>
        <v>0</v>
      </c>
      <c r="Q824" s="69" t="s">
        <v>40</v>
      </c>
      <c r="R824" s="16">
        <f>P824*(J824-(J824*L824)-((J824-(J824*L824))*M824))</f>
        <v>0</v>
      </c>
      <c r="S824" s="16">
        <f t="shared" si="467"/>
        <v>0</v>
      </c>
    </row>
    <row r="825" spans="1:21" s="64" customFormat="1" x14ac:dyDescent="0.2">
      <c r="A825" s="184" t="s">
        <v>703</v>
      </c>
      <c r="B825" s="64" t="s">
        <v>689</v>
      </c>
      <c r="C825" s="65"/>
      <c r="D825" s="66" t="s">
        <v>40</v>
      </c>
      <c r="E825" s="67">
        <v>3</v>
      </c>
      <c r="F825" s="68">
        <v>1</v>
      </c>
      <c r="G825" s="69" t="s">
        <v>20</v>
      </c>
      <c r="H825" s="68">
        <v>96</v>
      </c>
      <c r="I825" s="69" t="s">
        <v>40</v>
      </c>
      <c r="J825" s="16">
        <v>26500</v>
      </c>
      <c r="K825" s="66" t="s">
        <v>40</v>
      </c>
      <c r="L825" s="70">
        <v>0.03</v>
      </c>
      <c r="M825" s="70"/>
      <c r="N825" s="68">
        <v>288</v>
      </c>
      <c r="O825" s="69" t="s">
        <v>40</v>
      </c>
      <c r="P825" s="65">
        <f>(C825+(E825*F825*H825))-N825</f>
        <v>0</v>
      </c>
      <c r="Q825" s="69" t="s">
        <v>40</v>
      </c>
      <c r="R825" s="16">
        <f>P825*(J825-(J825*L825)-((J825-(J825*L825))*M825))</f>
        <v>0</v>
      </c>
      <c r="S825" s="16">
        <f t="shared" si="467"/>
        <v>0</v>
      </c>
      <c r="U825" s="207"/>
    </row>
    <row r="826" spans="1:21" s="64" customFormat="1" x14ac:dyDescent="0.2">
      <c r="A826" s="184" t="s">
        <v>1041</v>
      </c>
      <c r="B826" s="64" t="s">
        <v>689</v>
      </c>
      <c r="C826" s="65"/>
      <c r="D826" s="66" t="s">
        <v>40</v>
      </c>
      <c r="E826" s="67">
        <v>5</v>
      </c>
      <c r="F826" s="68">
        <v>1</v>
      </c>
      <c r="G826" s="69" t="s">
        <v>20</v>
      </c>
      <c r="H826" s="68">
        <v>96</v>
      </c>
      <c r="I826" s="69" t="s">
        <v>40</v>
      </c>
      <c r="J826" s="16">
        <v>26500</v>
      </c>
      <c r="K826" s="66" t="s">
        <v>40</v>
      </c>
      <c r="L826" s="70"/>
      <c r="M826" s="70"/>
      <c r="N826" s="68">
        <v>480</v>
      </c>
      <c r="O826" s="69" t="s">
        <v>40</v>
      </c>
      <c r="P826" s="65">
        <f>(C826+(E826*F826*H826))-N826</f>
        <v>0</v>
      </c>
      <c r="Q826" s="69" t="s">
        <v>40</v>
      </c>
      <c r="R826" s="16">
        <f>P826*(J826-(J826*L826)-((J826-(J826*L826))*M826))</f>
        <v>0</v>
      </c>
      <c r="S826" s="16">
        <f t="shared" ref="S826" si="553">R826/1.11</f>
        <v>0</v>
      </c>
    </row>
    <row r="827" spans="1:21" s="64" customFormat="1" x14ac:dyDescent="0.2">
      <c r="A827" s="184" t="s">
        <v>1041</v>
      </c>
      <c r="B827" s="64" t="s">
        <v>689</v>
      </c>
      <c r="C827" s="65"/>
      <c r="D827" s="66" t="s">
        <v>40</v>
      </c>
      <c r="E827" s="67">
        <v>2</v>
      </c>
      <c r="F827" s="68">
        <v>1</v>
      </c>
      <c r="G827" s="69" t="s">
        <v>20</v>
      </c>
      <c r="H827" s="68">
        <v>96</v>
      </c>
      <c r="I827" s="69" t="s">
        <v>40</v>
      </c>
      <c r="J827" s="16">
        <v>26500</v>
      </c>
      <c r="K827" s="66" t="s">
        <v>40</v>
      </c>
      <c r="L827" s="70">
        <v>0.03</v>
      </c>
      <c r="M827" s="70"/>
      <c r="N827" s="68">
        <v>192</v>
      </c>
      <c r="O827" s="69" t="s">
        <v>40</v>
      </c>
      <c r="P827" s="65">
        <f>(C827+(E827*F827*H827))-N827</f>
        <v>0</v>
      </c>
      <c r="Q827" s="69" t="s">
        <v>40</v>
      </c>
      <c r="R827" s="16">
        <f>P827*(J827-(J827*L827)-((J827-(J827*L827))*M827))</f>
        <v>0</v>
      </c>
      <c r="S827" s="16">
        <f t="shared" ref="S827" si="554">R827/1.11</f>
        <v>0</v>
      </c>
    </row>
    <row r="828" spans="1:21" s="64" customFormat="1" x14ac:dyDescent="0.2">
      <c r="A828" s="63"/>
      <c r="C828" s="65"/>
      <c r="D828" s="66"/>
      <c r="E828" s="67"/>
      <c r="F828" s="68"/>
      <c r="G828" s="69"/>
      <c r="H828" s="68"/>
      <c r="I828" s="69"/>
      <c r="J828" s="16"/>
      <c r="K828" s="66"/>
      <c r="L828" s="70"/>
      <c r="M828" s="70"/>
      <c r="N828" s="68"/>
      <c r="O828" s="69"/>
      <c r="P828" s="65"/>
      <c r="Q828" s="69"/>
      <c r="R828" s="16"/>
      <c r="S828" s="16"/>
    </row>
    <row r="829" spans="1:21" s="64" customFormat="1" x14ac:dyDescent="0.2">
      <c r="A829" s="63" t="s">
        <v>742</v>
      </c>
      <c r="B829" s="64" t="s">
        <v>171</v>
      </c>
      <c r="C829" s="65">
        <v>249</v>
      </c>
      <c r="D829" s="66" t="s">
        <v>40</v>
      </c>
      <c r="E829" s="67"/>
      <c r="F829" s="68">
        <v>1</v>
      </c>
      <c r="G829" s="69" t="s">
        <v>20</v>
      </c>
      <c r="H829" s="68">
        <v>144</v>
      </c>
      <c r="I829" s="69" t="s">
        <v>40</v>
      </c>
      <c r="J829" s="16">
        <v>19000</v>
      </c>
      <c r="K829" s="66" t="s">
        <v>40</v>
      </c>
      <c r="L829" s="70">
        <v>0.02</v>
      </c>
      <c r="M829" s="70"/>
      <c r="N829" s="68">
        <v>249</v>
      </c>
      <c r="O829" s="69" t="s">
        <v>40</v>
      </c>
      <c r="P829" s="65">
        <f>(C829+(E829*F829*H829))-N829</f>
        <v>0</v>
      </c>
      <c r="Q829" s="69" t="s">
        <v>40</v>
      </c>
      <c r="R829" s="16">
        <f>P829*(J829-(J829*L829)-((J829-(J829*L829))*M829))</f>
        <v>0</v>
      </c>
      <c r="S829" s="16">
        <f t="shared" ref="S829" si="555">R829/1.11</f>
        <v>0</v>
      </c>
    </row>
    <row r="830" spans="1:21" s="64" customFormat="1" x14ac:dyDescent="0.2">
      <c r="A830" s="63" t="s">
        <v>405</v>
      </c>
      <c r="B830" s="64" t="s">
        <v>171</v>
      </c>
      <c r="C830" s="65">
        <v>360</v>
      </c>
      <c r="D830" s="66" t="s">
        <v>40</v>
      </c>
      <c r="E830" s="67"/>
      <c r="F830" s="68">
        <v>1</v>
      </c>
      <c r="G830" s="69" t="s">
        <v>20</v>
      </c>
      <c r="H830" s="68">
        <v>192</v>
      </c>
      <c r="I830" s="69" t="s">
        <v>40</v>
      </c>
      <c r="J830" s="16">
        <v>12750</v>
      </c>
      <c r="K830" s="66" t="s">
        <v>40</v>
      </c>
      <c r="L830" s="70">
        <v>0.05</v>
      </c>
      <c r="M830" s="70"/>
      <c r="N830" s="68">
        <v>360</v>
      </c>
      <c r="O830" s="69" t="s">
        <v>40</v>
      </c>
      <c r="P830" s="65">
        <f>(C830+(E830*F830*H830))-N830</f>
        <v>0</v>
      </c>
      <c r="Q830" s="69" t="s">
        <v>40</v>
      </c>
      <c r="R830" s="16">
        <f>P830*(J830-(J830*L830)-((J830-(J830*L830))*M830))</f>
        <v>0</v>
      </c>
      <c r="S830" s="16">
        <f t="shared" si="467"/>
        <v>0</v>
      </c>
    </row>
    <row r="831" spans="1:21" s="19" customFormat="1" x14ac:dyDescent="0.2">
      <c r="A831" s="18" t="s">
        <v>952</v>
      </c>
      <c r="B831" s="19" t="s">
        <v>171</v>
      </c>
      <c r="C831" s="20">
        <f>2292/12</f>
        <v>191</v>
      </c>
      <c r="D831" s="21" t="s">
        <v>40</v>
      </c>
      <c r="E831" s="26">
        <v>12</v>
      </c>
      <c r="F831" s="22">
        <v>1</v>
      </c>
      <c r="G831" s="23" t="s">
        <v>20</v>
      </c>
      <c r="H831" s="22">
        <v>192</v>
      </c>
      <c r="I831" s="23" t="s">
        <v>40</v>
      </c>
      <c r="J831" s="24">
        <v>9500</v>
      </c>
      <c r="K831" s="21" t="s">
        <v>40</v>
      </c>
      <c r="L831" s="25">
        <v>7.0000000000000007E-2</v>
      </c>
      <c r="M831" s="25"/>
      <c r="N831" s="22">
        <f>2495-1344</f>
        <v>1151</v>
      </c>
      <c r="O831" s="23" t="s">
        <v>40</v>
      </c>
      <c r="P831" s="20">
        <f>(C831+(E831*F831*H831))-N831</f>
        <v>1344</v>
      </c>
      <c r="Q831" s="23" t="s">
        <v>40</v>
      </c>
      <c r="R831" s="24">
        <f>P831*(J831-(J831*L831)-((J831-(J831*L831))*M831))</f>
        <v>11874240</v>
      </c>
      <c r="S831" s="24">
        <f t="shared" ref="S831" si="556">R831/1.11</f>
        <v>10697513.513513513</v>
      </c>
    </row>
    <row r="832" spans="1:21" s="19" customFormat="1" x14ac:dyDescent="0.2">
      <c r="A832" s="134" t="s">
        <v>1022</v>
      </c>
      <c r="B832" s="19" t="s">
        <v>171</v>
      </c>
      <c r="C832" s="20"/>
      <c r="D832" s="21" t="s">
        <v>40</v>
      </c>
      <c r="E832" s="26">
        <v>10</v>
      </c>
      <c r="F832" s="22">
        <v>1</v>
      </c>
      <c r="G832" s="23" t="s">
        <v>20</v>
      </c>
      <c r="H832" s="22">
        <v>192</v>
      </c>
      <c r="I832" s="23" t="s">
        <v>40</v>
      </c>
      <c r="J832" s="24">
        <v>10525</v>
      </c>
      <c r="K832" s="21" t="s">
        <v>40</v>
      </c>
      <c r="L832" s="25">
        <v>7.0000000000000007E-2</v>
      </c>
      <c r="M832" s="25"/>
      <c r="N832" s="22">
        <f>1920-192</f>
        <v>1728</v>
      </c>
      <c r="O832" s="23" t="s">
        <v>40</v>
      </c>
      <c r="P832" s="20">
        <f t="shared" ref="P832:P833" si="557">(C832+(E832*F832*H832))-N832</f>
        <v>192</v>
      </c>
      <c r="Q832" s="23" t="s">
        <v>40</v>
      </c>
      <c r="R832" s="24">
        <f t="shared" ref="R832:R833" si="558">P832*(J832-(J832*L832)-((J832-(J832*L832))*M832))</f>
        <v>1879344</v>
      </c>
      <c r="S832" s="24">
        <f t="shared" ref="S832:S833" si="559">R832/1.11</f>
        <v>1693102.7027027025</v>
      </c>
    </row>
    <row r="833" spans="1:19" x14ac:dyDescent="0.2">
      <c r="A833" s="134" t="s">
        <v>1023</v>
      </c>
      <c r="B833" s="19" t="s">
        <v>171</v>
      </c>
      <c r="C833" s="20"/>
      <c r="D833" s="21" t="s">
        <v>40</v>
      </c>
      <c r="E833" s="26">
        <v>5</v>
      </c>
      <c r="F833" s="22">
        <v>1</v>
      </c>
      <c r="G833" s="23" t="s">
        <v>20</v>
      </c>
      <c r="H833" s="22">
        <v>144</v>
      </c>
      <c r="I833" s="23" t="s">
        <v>40</v>
      </c>
      <c r="J833" s="24">
        <v>8500</v>
      </c>
      <c r="K833" s="21" t="s">
        <v>40</v>
      </c>
      <c r="L833" s="25">
        <v>7.0000000000000007E-2</v>
      </c>
      <c r="M833" s="25"/>
      <c r="N833" s="22">
        <f>720-144</f>
        <v>576</v>
      </c>
      <c r="O833" s="23" t="s">
        <v>40</v>
      </c>
      <c r="P833" s="20">
        <f t="shared" si="557"/>
        <v>144</v>
      </c>
      <c r="Q833" s="23" t="s">
        <v>40</v>
      </c>
      <c r="R833" s="24">
        <f t="shared" si="558"/>
        <v>1138320</v>
      </c>
      <c r="S833" s="24">
        <f t="shared" si="559"/>
        <v>1025513.5135135134</v>
      </c>
    </row>
    <row r="834" spans="1:19" s="64" customFormat="1" x14ac:dyDescent="0.2">
      <c r="A834" s="184" t="s">
        <v>1025</v>
      </c>
      <c r="B834" s="73" t="s">
        <v>171</v>
      </c>
      <c r="C834" s="71"/>
      <c r="D834" s="74" t="s">
        <v>151</v>
      </c>
      <c r="E834" s="75">
        <v>1</v>
      </c>
      <c r="F834" s="76">
        <v>1</v>
      </c>
      <c r="G834" s="77" t="s">
        <v>20</v>
      </c>
      <c r="H834" s="76">
        <v>256</v>
      </c>
      <c r="I834" s="77" t="s">
        <v>151</v>
      </c>
      <c r="J834" s="78">
        <v>14500</v>
      </c>
      <c r="K834" s="74" t="s">
        <v>151</v>
      </c>
      <c r="L834" s="79">
        <v>7.0000000000000007E-2</v>
      </c>
      <c r="M834" s="79"/>
      <c r="N834" s="76">
        <v>256</v>
      </c>
      <c r="O834" s="77" t="s">
        <v>151</v>
      </c>
      <c r="P834" s="71">
        <f t="shared" ref="P834" si="560">(C834+(E834*F834*H834))-N834</f>
        <v>0</v>
      </c>
      <c r="Q834" s="77" t="s">
        <v>151</v>
      </c>
      <c r="R834" s="78">
        <f t="shared" ref="R834" si="561">P834*(J834-(J834*L834)-((J834-(J834*L834))*M834))</f>
        <v>0</v>
      </c>
      <c r="S834" s="78">
        <f t="shared" ref="S834" si="562">R834/1.11</f>
        <v>0</v>
      </c>
    </row>
    <row r="836" spans="1:19" x14ac:dyDescent="0.2">
      <c r="A836" s="15" t="s">
        <v>406</v>
      </c>
    </row>
    <row r="837" spans="1:19" s="73" customFormat="1" x14ac:dyDescent="0.2">
      <c r="A837" s="108" t="s">
        <v>407</v>
      </c>
      <c r="B837" s="73" t="s">
        <v>18</v>
      </c>
      <c r="C837" s="71"/>
      <c r="D837" s="74" t="s">
        <v>151</v>
      </c>
      <c r="E837" s="75"/>
      <c r="F837" s="76">
        <v>8</v>
      </c>
      <c r="G837" s="77" t="s">
        <v>33</v>
      </c>
      <c r="H837" s="76">
        <v>24</v>
      </c>
      <c r="I837" s="77" t="s">
        <v>151</v>
      </c>
      <c r="J837" s="78">
        <v>16500</v>
      </c>
      <c r="K837" s="74" t="s">
        <v>151</v>
      </c>
      <c r="L837" s="79">
        <v>0.125</v>
      </c>
      <c r="M837" s="79">
        <v>0.05</v>
      </c>
      <c r="N837" s="76"/>
      <c r="O837" s="77" t="s">
        <v>151</v>
      </c>
      <c r="P837" s="71">
        <f t="shared" ref="P837:P842" si="563">(C837+(E837*F837*H837))-N837</f>
        <v>0</v>
      </c>
      <c r="Q837" s="77" t="s">
        <v>151</v>
      </c>
      <c r="R837" s="78">
        <f t="shared" ref="R837:R842" si="564">P837*(J837-(J837*L837)-((J837-(J837*L837))*M837))</f>
        <v>0</v>
      </c>
      <c r="S837" s="78">
        <f t="shared" si="467"/>
        <v>0</v>
      </c>
    </row>
    <row r="838" spans="1:19" s="64" customFormat="1" x14ac:dyDescent="0.2">
      <c r="A838" s="108" t="s">
        <v>797</v>
      </c>
      <c r="B838" s="64" t="s">
        <v>18</v>
      </c>
      <c r="C838" s="65"/>
      <c r="D838" s="66" t="s">
        <v>151</v>
      </c>
      <c r="E838" s="67"/>
      <c r="F838" s="68">
        <v>12</v>
      </c>
      <c r="G838" s="69" t="s">
        <v>33</v>
      </c>
      <c r="H838" s="68">
        <v>24</v>
      </c>
      <c r="I838" s="69" t="s">
        <v>151</v>
      </c>
      <c r="J838" s="16">
        <v>14400</v>
      </c>
      <c r="K838" s="66" t="s">
        <v>151</v>
      </c>
      <c r="L838" s="70">
        <v>0.125</v>
      </c>
      <c r="M838" s="70">
        <v>0.05</v>
      </c>
      <c r="N838" s="68"/>
      <c r="O838" s="69" t="s">
        <v>151</v>
      </c>
      <c r="P838" s="65">
        <f t="shared" si="563"/>
        <v>0</v>
      </c>
      <c r="Q838" s="69" t="s">
        <v>151</v>
      </c>
      <c r="R838" s="16">
        <f t="shared" si="564"/>
        <v>0</v>
      </c>
      <c r="S838" s="16">
        <f t="shared" ref="S838:S970" si="565">R838/1.11</f>
        <v>0</v>
      </c>
    </row>
    <row r="839" spans="1:19" s="64" customFormat="1" x14ac:dyDescent="0.2">
      <c r="A839" s="108" t="s">
        <v>408</v>
      </c>
      <c r="B839" s="64" t="s">
        <v>18</v>
      </c>
      <c r="C839" s="65">
        <v>7</v>
      </c>
      <c r="D839" s="66" t="s">
        <v>151</v>
      </c>
      <c r="E839" s="67"/>
      <c r="F839" s="68">
        <v>8</v>
      </c>
      <c r="G839" s="69" t="s">
        <v>33</v>
      </c>
      <c r="H839" s="68">
        <v>30</v>
      </c>
      <c r="I839" s="69" t="s">
        <v>151</v>
      </c>
      <c r="J839" s="16"/>
      <c r="K839" s="66" t="s">
        <v>151</v>
      </c>
      <c r="L839" s="70">
        <v>0.1</v>
      </c>
      <c r="M839" s="70">
        <v>0.05</v>
      </c>
      <c r="N839" s="68">
        <v>7</v>
      </c>
      <c r="O839" s="69" t="s">
        <v>151</v>
      </c>
      <c r="P839" s="65">
        <f t="shared" si="563"/>
        <v>0</v>
      </c>
      <c r="Q839" s="69" t="s">
        <v>151</v>
      </c>
      <c r="R839" s="16">
        <f t="shared" si="564"/>
        <v>0</v>
      </c>
      <c r="S839" s="16">
        <f t="shared" si="565"/>
        <v>0</v>
      </c>
    </row>
    <row r="840" spans="1:19" s="64" customFormat="1" x14ac:dyDescent="0.2">
      <c r="A840" s="108" t="s">
        <v>409</v>
      </c>
      <c r="B840" s="64" t="s">
        <v>18</v>
      </c>
      <c r="C840" s="65"/>
      <c r="D840" s="66" t="s">
        <v>151</v>
      </c>
      <c r="E840" s="67"/>
      <c r="F840" s="68">
        <v>8</v>
      </c>
      <c r="G840" s="69" t="s">
        <v>33</v>
      </c>
      <c r="H840" s="68">
        <v>24</v>
      </c>
      <c r="I840" s="69" t="s">
        <v>151</v>
      </c>
      <c r="J840" s="16">
        <v>21000</v>
      </c>
      <c r="K840" s="66" t="s">
        <v>151</v>
      </c>
      <c r="L840" s="70">
        <v>0.125</v>
      </c>
      <c r="M840" s="70">
        <v>0.05</v>
      </c>
      <c r="N840" s="68">
        <v>0</v>
      </c>
      <c r="O840" s="69" t="s">
        <v>151</v>
      </c>
      <c r="P840" s="65">
        <f t="shared" si="563"/>
        <v>0</v>
      </c>
      <c r="Q840" s="69" t="s">
        <v>151</v>
      </c>
      <c r="R840" s="16">
        <f t="shared" si="564"/>
        <v>0</v>
      </c>
      <c r="S840" s="16">
        <f t="shared" si="565"/>
        <v>0</v>
      </c>
    </row>
    <row r="841" spans="1:19" s="64" customFormat="1" x14ac:dyDescent="0.2">
      <c r="A841" s="108" t="s">
        <v>410</v>
      </c>
      <c r="B841" s="64" t="s">
        <v>18</v>
      </c>
      <c r="C841" s="65"/>
      <c r="D841" s="66" t="s">
        <v>151</v>
      </c>
      <c r="E841" s="67">
        <v>8</v>
      </c>
      <c r="F841" s="68">
        <v>8</v>
      </c>
      <c r="G841" s="69" t="s">
        <v>33</v>
      </c>
      <c r="H841" s="68">
        <v>24</v>
      </c>
      <c r="I841" s="69" t="s">
        <v>151</v>
      </c>
      <c r="J841" s="16">
        <v>16800</v>
      </c>
      <c r="K841" s="66" t="s">
        <v>151</v>
      </c>
      <c r="L841" s="70">
        <v>0.125</v>
      </c>
      <c r="M841" s="70">
        <v>0.05</v>
      </c>
      <c r="N841" s="68">
        <v>1536</v>
      </c>
      <c r="O841" s="69" t="s">
        <v>151</v>
      </c>
      <c r="P841" s="65">
        <f t="shared" si="563"/>
        <v>0</v>
      </c>
      <c r="Q841" s="69" t="s">
        <v>151</v>
      </c>
      <c r="R841" s="16">
        <f t="shared" si="564"/>
        <v>0</v>
      </c>
      <c r="S841" s="16">
        <f t="shared" si="565"/>
        <v>0</v>
      </c>
    </row>
    <row r="842" spans="1:19" s="64" customFormat="1" x14ac:dyDescent="0.2">
      <c r="A842" s="108" t="s">
        <v>411</v>
      </c>
      <c r="B842" s="64" t="s">
        <v>18</v>
      </c>
      <c r="C842" s="65"/>
      <c r="D842" s="66" t="s">
        <v>151</v>
      </c>
      <c r="E842" s="67"/>
      <c r="F842" s="68">
        <v>6</v>
      </c>
      <c r="G842" s="69" t="s">
        <v>33</v>
      </c>
      <c r="H842" s="68">
        <v>24</v>
      </c>
      <c r="I842" s="69" t="s">
        <v>151</v>
      </c>
      <c r="J842" s="16">
        <v>21000</v>
      </c>
      <c r="K842" s="66" t="s">
        <v>151</v>
      </c>
      <c r="L842" s="70">
        <v>0.125</v>
      </c>
      <c r="M842" s="70">
        <v>0.05</v>
      </c>
      <c r="N842" s="68">
        <v>0</v>
      </c>
      <c r="O842" s="69" t="s">
        <v>151</v>
      </c>
      <c r="P842" s="65">
        <f t="shared" si="563"/>
        <v>0</v>
      </c>
      <c r="Q842" s="69" t="s">
        <v>151</v>
      </c>
      <c r="R842" s="16">
        <f t="shared" si="564"/>
        <v>0</v>
      </c>
      <c r="S842" s="16">
        <f t="shared" si="565"/>
        <v>0</v>
      </c>
    </row>
    <row r="843" spans="1:19" s="64" customFormat="1" x14ac:dyDescent="0.2">
      <c r="A843" s="109"/>
      <c r="C843" s="65"/>
      <c r="D843" s="66"/>
      <c r="E843" s="67"/>
      <c r="F843" s="68"/>
      <c r="G843" s="69"/>
      <c r="H843" s="68"/>
      <c r="I843" s="69"/>
      <c r="J843" s="16"/>
      <c r="K843" s="66"/>
      <c r="L843" s="70"/>
      <c r="M843" s="70"/>
      <c r="N843" s="68"/>
      <c r="O843" s="69"/>
      <c r="P843" s="65"/>
      <c r="Q843" s="69"/>
      <c r="R843" s="16"/>
      <c r="S843" s="16"/>
    </row>
    <row r="844" spans="1:19" s="64" customFormat="1" x14ac:dyDescent="0.2">
      <c r="A844" s="63" t="s">
        <v>412</v>
      </c>
      <c r="B844" s="64" t="s">
        <v>25</v>
      </c>
      <c r="C844" s="65"/>
      <c r="D844" s="66" t="s">
        <v>151</v>
      </c>
      <c r="E844" s="67"/>
      <c r="F844" s="68">
        <v>8</v>
      </c>
      <c r="G844" s="69" t="s">
        <v>33</v>
      </c>
      <c r="H844" s="68">
        <v>30</v>
      </c>
      <c r="I844" s="69" t="s">
        <v>151</v>
      </c>
      <c r="J844" s="16">
        <f>4800000/8/30</f>
        <v>20000</v>
      </c>
      <c r="K844" s="66" t="s">
        <v>151</v>
      </c>
      <c r="L844" s="70"/>
      <c r="M844" s="70">
        <v>0.17</v>
      </c>
      <c r="N844" s="68">
        <v>0</v>
      </c>
      <c r="O844" s="69" t="s">
        <v>151</v>
      </c>
      <c r="P844" s="65">
        <f>(C844+(E844*F844*H844))-N844</f>
        <v>0</v>
      </c>
      <c r="Q844" s="69" t="s">
        <v>151</v>
      </c>
      <c r="R844" s="16">
        <f>P844*(J844-(J844*L844)-((J844-(J844*L844))*M844))</f>
        <v>0</v>
      </c>
      <c r="S844" s="16">
        <f t="shared" si="565"/>
        <v>0</v>
      </c>
    </row>
    <row r="845" spans="1:19" s="64" customFormat="1" x14ac:dyDescent="0.2">
      <c r="A845" s="63" t="s">
        <v>674</v>
      </c>
      <c r="B845" s="64" t="s">
        <v>25</v>
      </c>
      <c r="C845" s="65"/>
      <c r="D845" s="66" t="s">
        <v>151</v>
      </c>
      <c r="E845" s="67"/>
      <c r="F845" s="68">
        <v>6</v>
      </c>
      <c r="G845" s="69" t="s">
        <v>33</v>
      </c>
      <c r="H845" s="68">
        <v>30</v>
      </c>
      <c r="I845" s="69" t="s">
        <v>151</v>
      </c>
      <c r="J845" s="16">
        <f>2664000/6/30</f>
        <v>14800</v>
      </c>
      <c r="K845" s="66" t="s">
        <v>151</v>
      </c>
      <c r="L845" s="70"/>
      <c r="M845" s="70">
        <v>0.17</v>
      </c>
      <c r="N845" s="68">
        <v>0</v>
      </c>
      <c r="O845" s="69" t="s">
        <v>151</v>
      </c>
      <c r="P845" s="65">
        <f>(C845+(E845*F845*H845))-N845</f>
        <v>0</v>
      </c>
      <c r="Q845" s="69" t="s">
        <v>151</v>
      </c>
      <c r="R845" s="16">
        <f>P845*(J845-(J845*L845)-((J845-(J845*L845))*M845))</f>
        <v>0</v>
      </c>
      <c r="S845" s="16">
        <f t="shared" si="565"/>
        <v>0</v>
      </c>
    </row>
    <row r="847" spans="1:19" x14ac:dyDescent="0.2">
      <c r="A847" s="15" t="s">
        <v>413</v>
      </c>
    </row>
    <row r="848" spans="1:19" s="64" customFormat="1" x14ac:dyDescent="0.2">
      <c r="A848" s="63" t="s">
        <v>414</v>
      </c>
      <c r="B848" s="64" t="s">
        <v>18</v>
      </c>
      <c r="C848" s="65"/>
      <c r="D848" s="66" t="s">
        <v>40</v>
      </c>
      <c r="E848" s="67">
        <v>1</v>
      </c>
      <c r="F848" s="68">
        <v>48</v>
      </c>
      <c r="G848" s="69" t="s">
        <v>33</v>
      </c>
      <c r="H848" s="68">
        <v>12</v>
      </c>
      <c r="I848" s="69" t="s">
        <v>19</v>
      </c>
      <c r="J848" s="16">
        <v>5800</v>
      </c>
      <c r="K848" s="66" t="s">
        <v>19</v>
      </c>
      <c r="L848" s="70">
        <v>0.125</v>
      </c>
      <c r="M848" s="70">
        <v>0.05</v>
      </c>
      <c r="N848" s="68">
        <v>576</v>
      </c>
      <c r="O848" s="69" t="s">
        <v>19</v>
      </c>
      <c r="P848" s="65">
        <f>(C848+(E848*F848*H848))-N848</f>
        <v>0</v>
      </c>
      <c r="Q848" s="69" t="s">
        <v>19</v>
      </c>
      <c r="R848" s="16">
        <f>P848*(J848-(J848*L848)-((J848-(J848*L848))*M848))</f>
        <v>0</v>
      </c>
      <c r="S848" s="16">
        <f>R848/1.11</f>
        <v>0</v>
      </c>
    </row>
    <row r="849" spans="1:19" s="64" customFormat="1" x14ac:dyDescent="0.2">
      <c r="A849" s="72" t="s">
        <v>969</v>
      </c>
      <c r="B849" s="64" t="s">
        <v>18</v>
      </c>
      <c r="C849" s="65"/>
      <c r="D849" s="66" t="s">
        <v>40</v>
      </c>
      <c r="E849" s="67">
        <v>1</v>
      </c>
      <c r="F849" s="68">
        <v>1</v>
      </c>
      <c r="G849" s="69" t="s">
        <v>20</v>
      </c>
      <c r="H849" s="68">
        <v>480</v>
      </c>
      <c r="I849" s="69" t="s">
        <v>19</v>
      </c>
      <c r="J849" s="16">
        <v>4250</v>
      </c>
      <c r="K849" s="66" t="s">
        <v>19</v>
      </c>
      <c r="L849" s="70">
        <v>0.125</v>
      </c>
      <c r="M849" s="70">
        <v>0.05</v>
      </c>
      <c r="N849" s="68">
        <v>480</v>
      </c>
      <c r="O849" s="69" t="s">
        <v>19</v>
      </c>
      <c r="P849" s="65">
        <f>(C849+(E849*F849*H849))-N849</f>
        <v>0</v>
      </c>
      <c r="Q849" s="69" t="s">
        <v>19</v>
      </c>
      <c r="R849" s="16">
        <f>P849*(J849-(J849*L849)-((J849-(J849*L849))*M849))</f>
        <v>0</v>
      </c>
      <c r="S849" s="16">
        <f>R849/1.11</f>
        <v>0</v>
      </c>
    </row>
    <row r="850" spans="1:19" s="64" customFormat="1" x14ac:dyDescent="0.2">
      <c r="A850" s="63"/>
      <c r="C850" s="65"/>
      <c r="D850" s="66"/>
      <c r="E850" s="67"/>
      <c r="F850" s="68"/>
      <c r="G850" s="69"/>
      <c r="H850" s="68"/>
      <c r="I850" s="69"/>
      <c r="J850" s="16"/>
      <c r="K850" s="66"/>
      <c r="L850" s="70"/>
      <c r="M850" s="70"/>
      <c r="N850" s="68"/>
      <c r="O850" s="69"/>
      <c r="P850" s="65"/>
      <c r="Q850" s="69"/>
      <c r="R850" s="16"/>
      <c r="S850" s="16"/>
    </row>
    <row r="851" spans="1:19" s="64" customFormat="1" x14ac:dyDescent="0.2">
      <c r="A851" s="108" t="s">
        <v>770</v>
      </c>
      <c r="B851" s="64" t="s">
        <v>25</v>
      </c>
      <c r="C851" s="65">
        <v>576</v>
      </c>
      <c r="D851" s="66" t="s">
        <v>19</v>
      </c>
      <c r="E851" s="67"/>
      <c r="F851" s="68">
        <v>24</v>
      </c>
      <c r="G851" s="69" t="s">
        <v>33</v>
      </c>
      <c r="H851" s="68">
        <v>24</v>
      </c>
      <c r="I851" s="69" t="s">
        <v>19</v>
      </c>
      <c r="J851" s="16">
        <f>2822400/24/24</f>
        <v>4900</v>
      </c>
      <c r="K851" s="66" t="s">
        <v>19</v>
      </c>
      <c r="L851" s="70"/>
      <c r="M851" s="70">
        <v>0.17</v>
      </c>
      <c r="N851" s="68">
        <v>576</v>
      </c>
      <c r="O851" s="69" t="s">
        <v>19</v>
      </c>
      <c r="P851" s="65">
        <f>(C851+(E851*F851*H851))-N851</f>
        <v>0</v>
      </c>
      <c r="Q851" s="69" t="s">
        <v>19</v>
      </c>
      <c r="R851" s="16">
        <f>P851*(J851-(J851*L851)-((J851-(J851*L851))*M851))</f>
        <v>0</v>
      </c>
      <c r="S851" s="16">
        <f t="shared" si="565"/>
        <v>0</v>
      </c>
    </row>
    <row r="852" spans="1:19" s="64" customFormat="1" x14ac:dyDescent="0.2">
      <c r="A852" s="108" t="s">
        <v>771</v>
      </c>
      <c r="B852" s="64" t="s">
        <v>25</v>
      </c>
      <c r="C852" s="65">
        <v>4</v>
      </c>
      <c r="D852" s="66" t="s">
        <v>40</v>
      </c>
      <c r="E852" s="67"/>
      <c r="F852" s="68">
        <v>24</v>
      </c>
      <c r="G852" s="69" t="s">
        <v>33</v>
      </c>
      <c r="H852" s="68">
        <v>2</v>
      </c>
      <c r="I852" s="69" t="s">
        <v>40</v>
      </c>
      <c r="J852" s="16">
        <f>2592000/24/2</f>
        <v>54000</v>
      </c>
      <c r="K852" s="66" t="s">
        <v>40</v>
      </c>
      <c r="L852" s="70"/>
      <c r="M852" s="70">
        <v>0.17</v>
      </c>
      <c r="N852" s="68">
        <v>4</v>
      </c>
      <c r="O852" s="69" t="s">
        <v>40</v>
      </c>
      <c r="P852" s="65">
        <f>(C852+(E852*F852*H852))-N852</f>
        <v>0</v>
      </c>
      <c r="Q852" s="69" t="s">
        <v>40</v>
      </c>
      <c r="R852" s="16">
        <f>P852*(J852-(J852*L852)-((J852-(J852*L852))*M852))</f>
        <v>0</v>
      </c>
      <c r="S852" s="16">
        <f t="shared" si="565"/>
        <v>0</v>
      </c>
    </row>
    <row r="853" spans="1:19" s="64" customFormat="1" x14ac:dyDescent="0.2">
      <c r="A853" s="108" t="s">
        <v>772</v>
      </c>
      <c r="B853" s="64" t="s">
        <v>25</v>
      </c>
      <c r="C853" s="65">
        <v>576</v>
      </c>
      <c r="D853" s="66" t="s">
        <v>19</v>
      </c>
      <c r="E853" s="67"/>
      <c r="F853" s="68">
        <v>24</v>
      </c>
      <c r="G853" s="69" t="s">
        <v>33</v>
      </c>
      <c r="H853" s="68">
        <v>24</v>
      </c>
      <c r="I853" s="69" t="s">
        <v>19</v>
      </c>
      <c r="J853" s="16">
        <f>1900800/24/24</f>
        <v>3300</v>
      </c>
      <c r="K853" s="66" t="s">
        <v>19</v>
      </c>
      <c r="L853" s="70"/>
      <c r="M853" s="70">
        <v>0.17</v>
      </c>
      <c r="N853" s="68">
        <v>576</v>
      </c>
      <c r="O853" s="69" t="s">
        <v>19</v>
      </c>
      <c r="P853" s="65">
        <f>(C853+(E853*F853*H853))-N853</f>
        <v>0</v>
      </c>
      <c r="Q853" s="69" t="s">
        <v>19</v>
      </c>
      <c r="R853" s="16">
        <f>P853*(J853-(J853*L853)-((J853-(J853*L853))*M853))</f>
        <v>0</v>
      </c>
      <c r="S853" s="16">
        <f t="shared" si="565"/>
        <v>0</v>
      </c>
    </row>
    <row r="854" spans="1:19" x14ac:dyDescent="0.2">
      <c r="A854" s="47"/>
    </row>
    <row r="855" spans="1:19" x14ac:dyDescent="0.2">
      <c r="A855" s="15" t="s">
        <v>1054</v>
      </c>
    </row>
    <row r="856" spans="1:19" s="64" customFormat="1" x14ac:dyDescent="0.2">
      <c r="A856" s="208" t="s">
        <v>1055</v>
      </c>
      <c r="B856" s="64" t="s">
        <v>25</v>
      </c>
      <c r="C856" s="65"/>
      <c r="D856" s="66" t="s">
        <v>40</v>
      </c>
      <c r="E856" s="67">
        <v>2</v>
      </c>
      <c r="F856" s="68">
        <v>1</v>
      </c>
      <c r="G856" s="69" t="s">
        <v>20</v>
      </c>
      <c r="H856" s="68">
        <v>216</v>
      </c>
      <c r="I856" s="69" t="s">
        <v>40</v>
      </c>
      <c r="J856" s="16">
        <v>6000</v>
      </c>
      <c r="K856" s="66" t="s">
        <v>40</v>
      </c>
      <c r="L856" s="70">
        <v>0.05</v>
      </c>
      <c r="M856" s="70">
        <v>0.17</v>
      </c>
      <c r="N856" s="68">
        <v>432</v>
      </c>
      <c r="O856" s="69" t="s">
        <v>40</v>
      </c>
      <c r="P856" s="65">
        <f t="shared" ref="P856" si="566">(C856+(E856*F856*H856))-N856</f>
        <v>0</v>
      </c>
      <c r="Q856" s="69" t="s">
        <v>40</v>
      </c>
      <c r="R856" s="16">
        <f t="shared" ref="R856" si="567">P856*(J856-(J856*L856)-((J856-(J856*L856))*M856))</f>
        <v>0</v>
      </c>
      <c r="S856" s="16">
        <f t="shared" si="565"/>
        <v>0</v>
      </c>
    </row>
    <row r="857" spans="1:19" s="64" customFormat="1" x14ac:dyDescent="0.2">
      <c r="A857" s="208" t="s">
        <v>1056</v>
      </c>
      <c r="B857" s="64" t="s">
        <v>25</v>
      </c>
      <c r="C857" s="65"/>
      <c r="D857" s="66" t="s">
        <v>40</v>
      </c>
      <c r="E857" s="67">
        <v>2</v>
      </c>
      <c r="F857" s="68">
        <v>1</v>
      </c>
      <c r="G857" s="69" t="s">
        <v>20</v>
      </c>
      <c r="H857" s="68">
        <v>216</v>
      </c>
      <c r="I857" s="69" t="s">
        <v>40</v>
      </c>
      <c r="J857" s="16">
        <v>6000</v>
      </c>
      <c r="K857" s="66" t="s">
        <v>40</v>
      </c>
      <c r="L857" s="70">
        <v>0.05</v>
      </c>
      <c r="M857" s="70">
        <v>0.17</v>
      </c>
      <c r="N857" s="68">
        <v>432</v>
      </c>
      <c r="O857" s="69" t="s">
        <v>40</v>
      </c>
      <c r="P857" s="65">
        <f t="shared" ref="P857:P860" si="568">(C857+(E857*F857*H857))-N857</f>
        <v>0</v>
      </c>
      <c r="Q857" s="69" t="s">
        <v>40</v>
      </c>
      <c r="R857" s="16">
        <f t="shared" ref="R857:R860" si="569">P857*(J857-(J857*L857)-((J857-(J857*L857))*M857))</f>
        <v>0</v>
      </c>
      <c r="S857" s="16">
        <f t="shared" si="565"/>
        <v>0</v>
      </c>
    </row>
    <row r="858" spans="1:19" s="64" customFormat="1" x14ac:dyDescent="0.2">
      <c r="A858" s="208" t="s">
        <v>1057</v>
      </c>
      <c r="B858" s="64" t="s">
        <v>25</v>
      </c>
      <c r="C858" s="65"/>
      <c r="D858" s="66" t="s">
        <v>40</v>
      </c>
      <c r="E858" s="67">
        <v>2</v>
      </c>
      <c r="F858" s="68">
        <v>1</v>
      </c>
      <c r="G858" s="69" t="s">
        <v>20</v>
      </c>
      <c r="H858" s="68">
        <v>216</v>
      </c>
      <c r="I858" s="69" t="s">
        <v>40</v>
      </c>
      <c r="J858" s="16">
        <v>6000</v>
      </c>
      <c r="K858" s="66" t="s">
        <v>40</v>
      </c>
      <c r="L858" s="70">
        <v>0.05</v>
      </c>
      <c r="M858" s="70">
        <v>0.17</v>
      </c>
      <c r="N858" s="68">
        <v>432</v>
      </c>
      <c r="O858" s="69" t="s">
        <v>40</v>
      </c>
      <c r="P858" s="65">
        <f t="shared" ref="P858" si="570">(C858+(E858*F858*H858))-N858</f>
        <v>0</v>
      </c>
      <c r="Q858" s="69" t="s">
        <v>40</v>
      </c>
      <c r="R858" s="16">
        <f t="shared" ref="R858" si="571">P858*(J858-(J858*L858)-((J858-(J858*L858))*M858))</f>
        <v>0</v>
      </c>
      <c r="S858" s="16">
        <f t="shared" ref="S858" si="572">R858/1.11</f>
        <v>0</v>
      </c>
    </row>
    <row r="859" spans="1:19" s="64" customFormat="1" x14ac:dyDescent="0.2">
      <c r="A859" s="208" t="s">
        <v>1057</v>
      </c>
      <c r="B859" s="64" t="s">
        <v>25</v>
      </c>
      <c r="C859" s="65"/>
      <c r="D859" s="66" t="s">
        <v>40</v>
      </c>
      <c r="E859" s="67">
        <v>2</v>
      </c>
      <c r="F859" s="68">
        <v>1</v>
      </c>
      <c r="G859" s="69" t="s">
        <v>20</v>
      </c>
      <c r="H859" s="68">
        <v>216</v>
      </c>
      <c r="I859" s="69" t="s">
        <v>40</v>
      </c>
      <c r="J859" s="16">
        <v>6000</v>
      </c>
      <c r="K859" s="66" t="s">
        <v>40</v>
      </c>
      <c r="L859" s="70"/>
      <c r="M859" s="70">
        <v>0.17</v>
      </c>
      <c r="N859" s="68">
        <v>432</v>
      </c>
      <c r="O859" s="69" t="s">
        <v>40</v>
      </c>
      <c r="P859" s="65">
        <f t="shared" ref="P859" si="573">(C859+(E859*F859*H859))-N859</f>
        <v>0</v>
      </c>
      <c r="Q859" s="69" t="s">
        <v>40</v>
      </c>
      <c r="R859" s="16">
        <f t="shared" ref="R859" si="574">P859*(J859-(J859*L859)-((J859-(J859*L859))*M859))</f>
        <v>0</v>
      </c>
      <c r="S859" s="16">
        <f t="shared" ref="S859" si="575">R859/1.11</f>
        <v>0</v>
      </c>
    </row>
    <row r="860" spans="1:19" s="64" customFormat="1" x14ac:dyDescent="0.2">
      <c r="A860" s="208" t="s">
        <v>1058</v>
      </c>
      <c r="B860" s="64" t="s">
        <v>25</v>
      </c>
      <c r="C860" s="65"/>
      <c r="D860" s="66" t="s">
        <v>40</v>
      </c>
      <c r="E860" s="67">
        <v>2</v>
      </c>
      <c r="F860" s="68">
        <v>1</v>
      </c>
      <c r="G860" s="69" t="s">
        <v>20</v>
      </c>
      <c r="H860" s="68">
        <v>216</v>
      </c>
      <c r="I860" s="69" t="s">
        <v>40</v>
      </c>
      <c r="J860" s="16">
        <v>6000</v>
      </c>
      <c r="K860" s="66" t="s">
        <v>40</v>
      </c>
      <c r="L860" s="70">
        <v>0.05</v>
      </c>
      <c r="M860" s="70">
        <v>0.17</v>
      </c>
      <c r="N860" s="68">
        <v>432</v>
      </c>
      <c r="O860" s="69" t="s">
        <v>40</v>
      </c>
      <c r="P860" s="65">
        <f t="shared" si="568"/>
        <v>0</v>
      </c>
      <c r="Q860" s="69" t="s">
        <v>40</v>
      </c>
      <c r="R860" s="16">
        <f t="shared" si="569"/>
        <v>0</v>
      </c>
      <c r="S860" s="16">
        <f t="shared" si="565"/>
        <v>0</v>
      </c>
    </row>
    <row r="861" spans="1:19" x14ac:dyDescent="0.2">
      <c r="A861" s="47"/>
    </row>
    <row r="862" spans="1:19" x14ac:dyDescent="0.2">
      <c r="A862" s="15" t="s">
        <v>415</v>
      </c>
    </row>
    <row r="863" spans="1:19" s="64" customFormat="1" x14ac:dyDescent="0.2">
      <c r="A863" s="63" t="s">
        <v>416</v>
      </c>
      <c r="B863" s="64" t="s">
        <v>18</v>
      </c>
      <c r="C863" s="65"/>
      <c r="D863" s="66" t="s">
        <v>98</v>
      </c>
      <c r="E863" s="67"/>
      <c r="F863" s="68">
        <v>18</v>
      </c>
      <c r="G863" s="69" t="s">
        <v>33</v>
      </c>
      <c r="H863" s="68">
        <v>12</v>
      </c>
      <c r="I863" s="69" t="s">
        <v>98</v>
      </c>
      <c r="J863" s="16">
        <f>36000/12</f>
        <v>3000</v>
      </c>
      <c r="K863" s="66" t="s">
        <v>98</v>
      </c>
      <c r="L863" s="70">
        <v>0.125</v>
      </c>
      <c r="M863" s="70">
        <v>0.05</v>
      </c>
      <c r="N863" s="68">
        <v>0</v>
      </c>
      <c r="O863" s="69" t="s">
        <v>98</v>
      </c>
      <c r="P863" s="65">
        <f>(C863+(E863*F863*H863))-N863</f>
        <v>0</v>
      </c>
      <c r="Q863" s="69" t="s">
        <v>98</v>
      </c>
      <c r="R863" s="16">
        <f>P863*(J863-(J863*L863)-((J863-(J863*L863))*M863))</f>
        <v>0</v>
      </c>
      <c r="S863" s="16">
        <f t="shared" si="565"/>
        <v>0</v>
      </c>
    </row>
    <row r="864" spans="1:19" s="64" customFormat="1" x14ac:dyDescent="0.2">
      <c r="A864" s="63" t="s">
        <v>417</v>
      </c>
      <c r="B864" s="64" t="s">
        <v>18</v>
      </c>
      <c r="C864" s="65"/>
      <c r="D864" s="66" t="s">
        <v>40</v>
      </c>
      <c r="E864" s="67"/>
      <c r="F864" s="68">
        <v>18</v>
      </c>
      <c r="G864" s="69" t="s">
        <v>33</v>
      </c>
      <c r="H864" s="68">
        <v>24</v>
      </c>
      <c r="I864" s="69" t="s">
        <v>40</v>
      </c>
      <c r="J864" s="16">
        <v>27600</v>
      </c>
      <c r="K864" s="66" t="s">
        <v>40</v>
      </c>
      <c r="L864" s="70">
        <v>0.125</v>
      </c>
      <c r="M864" s="70">
        <v>0.05</v>
      </c>
      <c r="N864" s="68">
        <v>0</v>
      </c>
      <c r="O864" s="69" t="s">
        <v>40</v>
      </c>
      <c r="P864" s="65">
        <f>(C864+(E864*F864*H864))-N864</f>
        <v>0</v>
      </c>
      <c r="Q864" s="69" t="s">
        <v>40</v>
      </c>
      <c r="R864" s="16">
        <f>P864*(J864-(J864*L864)-((J864-(J864*L864))*M864))</f>
        <v>0</v>
      </c>
      <c r="S864" s="16">
        <f t="shared" si="565"/>
        <v>0</v>
      </c>
    </row>
    <row r="865" spans="1:19" s="64" customFormat="1" x14ac:dyDescent="0.2">
      <c r="A865" s="63"/>
      <c r="C865" s="65"/>
      <c r="D865" s="66"/>
      <c r="E865" s="67"/>
      <c r="F865" s="68"/>
      <c r="G865" s="69"/>
      <c r="H865" s="68"/>
      <c r="I865" s="69"/>
      <c r="J865" s="16"/>
      <c r="K865" s="66"/>
      <c r="L865" s="70"/>
      <c r="M865" s="70"/>
      <c r="N865" s="68"/>
      <c r="O865" s="69"/>
      <c r="P865" s="65"/>
      <c r="Q865" s="69"/>
      <c r="R865" s="16"/>
      <c r="S865" s="16"/>
    </row>
    <row r="866" spans="1:19" s="64" customFormat="1" x14ac:dyDescent="0.2">
      <c r="A866" s="63" t="s">
        <v>418</v>
      </c>
      <c r="B866" s="64" t="s">
        <v>260</v>
      </c>
      <c r="C866" s="65"/>
      <c r="D866" s="66" t="s">
        <v>40</v>
      </c>
      <c r="E866" s="67"/>
      <c r="F866" s="68">
        <v>1</v>
      </c>
      <c r="G866" s="69" t="s">
        <v>20</v>
      </c>
      <c r="H866" s="68">
        <v>96</v>
      </c>
      <c r="I866" s="69" t="s">
        <v>40</v>
      </c>
      <c r="J866" s="16">
        <v>9500</v>
      </c>
      <c r="K866" s="66" t="s">
        <v>40</v>
      </c>
      <c r="L866" s="70"/>
      <c r="M866" s="70"/>
      <c r="N866" s="68">
        <v>0</v>
      </c>
      <c r="O866" s="69" t="s">
        <v>40</v>
      </c>
      <c r="P866" s="65">
        <f>(C866+(E866*F866*H866))-N866</f>
        <v>0</v>
      </c>
      <c r="Q866" s="69" t="s">
        <v>40</v>
      </c>
      <c r="R866" s="16">
        <f>P866*(J866-(J866*L866)-((J866-(J866*L866))*M866))</f>
        <v>0</v>
      </c>
      <c r="S866" s="16">
        <f t="shared" si="565"/>
        <v>0</v>
      </c>
    </row>
    <row r="867" spans="1:19" s="64" customFormat="1" x14ac:dyDescent="0.2">
      <c r="A867" s="63" t="s">
        <v>871</v>
      </c>
      <c r="B867" s="64" t="s">
        <v>260</v>
      </c>
      <c r="C867" s="65"/>
      <c r="D867" s="66" t="s">
        <v>98</v>
      </c>
      <c r="E867" s="67">
        <v>2</v>
      </c>
      <c r="F867" s="68">
        <v>1</v>
      </c>
      <c r="G867" s="69" t="s">
        <v>20</v>
      </c>
      <c r="H867" s="68">
        <v>80</v>
      </c>
      <c r="I867" s="69" t="s">
        <v>98</v>
      </c>
      <c r="J867" s="16">
        <v>22500</v>
      </c>
      <c r="K867" s="66" t="s">
        <v>98</v>
      </c>
      <c r="L867" s="70"/>
      <c r="M867" s="70"/>
      <c r="N867" s="68">
        <v>160</v>
      </c>
      <c r="O867" s="69" t="s">
        <v>98</v>
      </c>
      <c r="P867" s="65">
        <f>(C867+(E867*F867*H867))-N867</f>
        <v>0</v>
      </c>
      <c r="Q867" s="69" t="s">
        <v>98</v>
      </c>
      <c r="R867" s="16">
        <f>P867*(J867-(J867*L867)-((J867-(J867*L867))*M867))</f>
        <v>0</v>
      </c>
      <c r="S867" s="16">
        <f t="shared" ref="S867" si="576">R867/1.11</f>
        <v>0</v>
      </c>
    </row>
    <row r="868" spans="1:19" s="64" customFormat="1" x14ac:dyDescent="0.2">
      <c r="A868" s="63"/>
      <c r="C868" s="65"/>
      <c r="D868" s="66"/>
      <c r="E868" s="67"/>
      <c r="F868" s="68"/>
      <c r="G868" s="69"/>
      <c r="H868" s="68"/>
      <c r="I868" s="69"/>
      <c r="J868" s="16"/>
      <c r="K868" s="66"/>
      <c r="L868" s="70"/>
      <c r="M868" s="70"/>
      <c r="N868" s="68"/>
      <c r="O868" s="69"/>
      <c r="P868" s="65"/>
      <c r="Q868" s="69"/>
      <c r="R868" s="16"/>
      <c r="S868" s="16"/>
    </row>
    <row r="869" spans="1:19" s="64" customFormat="1" x14ac:dyDescent="0.2">
      <c r="A869" s="184" t="s">
        <v>1063</v>
      </c>
      <c r="B869" s="64" t="s">
        <v>1064</v>
      </c>
      <c r="C869" s="65">
        <v>24</v>
      </c>
      <c r="D869" s="66" t="s">
        <v>19</v>
      </c>
      <c r="E869" s="67"/>
      <c r="F869" s="68">
        <v>1</v>
      </c>
      <c r="G869" s="69" t="s">
        <v>20</v>
      </c>
      <c r="H869" s="68">
        <v>2000</v>
      </c>
      <c r="I869" s="69" t="s">
        <v>19</v>
      </c>
      <c r="J869" s="16">
        <v>1</v>
      </c>
      <c r="K869" s="66" t="s">
        <v>830</v>
      </c>
      <c r="L869" s="70"/>
      <c r="M869" s="70"/>
      <c r="N869" s="68">
        <v>24</v>
      </c>
      <c r="O869" s="69" t="s">
        <v>830</v>
      </c>
      <c r="P869" s="65">
        <f>(C869+(E869*F869*H869))-N869</f>
        <v>0</v>
      </c>
      <c r="Q869" s="69" t="s">
        <v>98</v>
      </c>
      <c r="R869" s="16">
        <f>P869*(J869-(J869*L869)-((J869-(J869*L869))*M869))</f>
        <v>0</v>
      </c>
      <c r="S869" s="16">
        <f t="shared" ref="S869" si="577">R869/1.11</f>
        <v>0</v>
      </c>
    </row>
    <row r="870" spans="1:19" s="64" customFormat="1" x14ac:dyDescent="0.2">
      <c r="A870" s="63"/>
      <c r="C870" s="65"/>
      <c r="D870" s="66"/>
      <c r="E870" s="67"/>
      <c r="F870" s="68"/>
      <c r="G870" s="69"/>
      <c r="H870" s="68"/>
      <c r="I870" s="69"/>
      <c r="J870" s="16"/>
      <c r="K870" s="66"/>
      <c r="L870" s="70"/>
      <c r="M870" s="70"/>
      <c r="N870" s="68"/>
      <c r="O870" s="69"/>
      <c r="P870" s="65"/>
      <c r="Q870" s="69"/>
      <c r="R870" s="16"/>
      <c r="S870" s="16"/>
    </row>
    <row r="871" spans="1:19" s="64" customFormat="1" x14ac:dyDescent="0.2">
      <c r="A871" s="63" t="s">
        <v>419</v>
      </c>
      <c r="B871" s="64" t="s">
        <v>25</v>
      </c>
      <c r="C871" s="65">
        <v>417</v>
      </c>
      <c r="D871" s="66" t="s">
        <v>19</v>
      </c>
      <c r="E871" s="67">
        <v>2</v>
      </c>
      <c r="F871" s="68">
        <v>144</v>
      </c>
      <c r="G871" s="69" t="s">
        <v>33</v>
      </c>
      <c r="H871" s="68">
        <v>24</v>
      </c>
      <c r="I871" s="69" t="s">
        <v>830</v>
      </c>
      <c r="J871" s="16">
        <v>1950</v>
      </c>
      <c r="K871" s="66" t="s">
        <v>830</v>
      </c>
      <c r="L871" s="70"/>
      <c r="M871" s="70">
        <v>0.17</v>
      </c>
      <c r="N871" s="68">
        <v>7329</v>
      </c>
      <c r="O871" s="69" t="s">
        <v>40</v>
      </c>
      <c r="P871" s="65">
        <f>(C871+(E871*F871*H871))-N871</f>
        <v>0</v>
      </c>
      <c r="Q871" s="69" t="s">
        <v>40</v>
      </c>
      <c r="R871" s="16">
        <f>P871*(J871-(J871*L871)-((J871-(J871*L871))*M871))</f>
        <v>0</v>
      </c>
      <c r="S871" s="16">
        <f t="shared" si="565"/>
        <v>0</v>
      </c>
    </row>
    <row r="872" spans="1:19" s="64" customFormat="1" x14ac:dyDescent="0.2">
      <c r="A872" s="63" t="s">
        <v>420</v>
      </c>
      <c r="B872" s="64" t="s">
        <v>25</v>
      </c>
      <c r="C872" s="65"/>
      <c r="D872" s="66" t="s">
        <v>33</v>
      </c>
      <c r="E872" s="67">
        <v>2</v>
      </c>
      <c r="F872" s="68">
        <v>1</v>
      </c>
      <c r="G872" s="69" t="s">
        <v>20</v>
      </c>
      <c r="H872" s="68">
        <v>120</v>
      </c>
      <c r="I872" s="69" t="s">
        <v>33</v>
      </c>
      <c r="J872" s="16">
        <f>2160000/120</f>
        <v>18000</v>
      </c>
      <c r="K872" s="66" t="s">
        <v>33</v>
      </c>
      <c r="L872" s="70"/>
      <c r="M872" s="70">
        <v>0.17</v>
      </c>
      <c r="N872" s="68">
        <v>240</v>
      </c>
      <c r="O872" s="69" t="s">
        <v>33</v>
      </c>
      <c r="P872" s="65">
        <f>(C872+(E872*F872*H872))-N872</f>
        <v>0</v>
      </c>
      <c r="Q872" s="69" t="s">
        <v>33</v>
      </c>
      <c r="R872" s="16">
        <f>P872*(J872-(J872*L872)-((J872-(J872*L872))*M872))</f>
        <v>0</v>
      </c>
      <c r="S872" s="16">
        <f t="shared" si="565"/>
        <v>0</v>
      </c>
    </row>
    <row r="873" spans="1:19" s="64" customFormat="1" x14ac:dyDescent="0.2">
      <c r="A873" s="63"/>
      <c r="C873" s="65"/>
      <c r="D873" s="66"/>
      <c r="E873" s="67"/>
      <c r="F873" s="68"/>
      <c r="G873" s="69"/>
      <c r="H873" s="68"/>
      <c r="I873" s="69"/>
      <c r="J873" s="16"/>
      <c r="K873" s="66"/>
      <c r="L873" s="70"/>
      <c r="M873" s="70"/>
      <c r="N873" s="68"/>
      <c r="O873" s="69"/>
      <c r="P873" s="65"/>
      <c r="Q873" s="69"/>
      <c r="R873" s="16"/>
      <c r="S873" s="16"/>
    </row>
    <row r="874" spans="1:19" s="64" customFormat="1" x14ac:dyDescent="0.2">
      <c r="A874" s="63" t="s">
        <v>421</v>
      </c>
      <c r="B874" s="64" t="s">
        <v>181</v>
      </c>
      <c r="C874" s="65">
        <v>2400</v>
      </c>
      <c r="D874" s="66" t="s">
        <v>33</v>
      </c>
      <c r="E874" s="67"/>
      <c r="F874" s="68">
        <v>1</v>
      </c>
      <c r="G874" s="69" t="s">
        <v>20</v>
      </c>
      <c r="H874" s="68">
        <v>240</v>
      </c>
      <c r="I874" s="69" t="s">
        <v>33</v>
      </c>
      <c r="J874" s="16">
        <v>5500</v>
      </c>
      <c r="K874" s="66" t="s">
        <v>33</v>
      </c>
      <c r="L874" s="70"/>
      <c r="M874" s="70"/>
      <c r="N874" s="68">
        <v>2400</v>
      </c>
      <c r="O874" s="69" t="s">
        <v>33</v>
      </c>
      <c r="P874" s="65">
        <f>(C874+(E874*F874*H874))-N874</f>
        <v>0</v>
      </c>
      <c r="Q874" s="69" t="s">
        <v>33</v>
      </c>
      <c r="R874" s="16">
        <f>P874*(J874-(J874*L874)-((J874-(J874*L874))*M874))</f>
        <v>0</v>
      </c>
      <c r="S874" s="16">
        <f t="shared" si="565"/>
        <v>0</v>
      </c>
    </row>
    <row r="876" spans="1:19" x14ac:dyDescent="0.2">
      <c r="A876" s="15" t="s">
        <v>511</v>
      </c>
    </row>
    <row r="877" spans="1:19" s="73" customFormat="1" x14ac:dyDescent="0.2">
      <c r="A877" s="187" t="s">
        <v>1093</v>
      </c>
      <c r="B877" s="73" t="s">
        <v>18</v>
      </c>
      <c r="C877" s="71">
        <f>(48*12)*3+(432)</f>
        <v>2160</v>
      </c>
      <c r="D877" s="74" t="s">
        <v>19</v>
      </c>
      <c r="E877" s="75"/>
      <c r="F877" s="76">
        <v>48</v>
      </c>
      <c r="G877" s="77" t="s">
        <v>33</v>
      </c>
      <c r="H877" s="76">
        <v>12</v>
      </c>
      <c r="I877" s="77" t="s">
        <v>19</v>
      </c>
      <c r="J877" s="78">
        <v>2350</v>
      </c>
      <c r="K877" s="74" t="s">
        <v>19</v>
      </c>
      <c r="L877" s="188">
        <v>0.1</v>
      </c>
      <c r="M877" s="79">
        <v>0.05</v>
      </c>
      <c r="N877" s="76">
        <v>2160</v>
      </c>
      <c r="O877" s="77" t="s">
        <v>19</v>
      </c>
      <c r="P877" s="71">
        <f>(C877+(E877*F877*H877))-N877</f>
        <v>0</v>
      </c>
      <c r="Q877" s="77" t="s">
        <v>19</v>
      </c>
      <c r="R877" s="78">
        <f>P877*(J877-(J877*L877)-((J877-(J877*L877))*M877))</f>
        <v>0</v>
      </c>
      <c r="S877" s="16">
        <f>R877/1.11</f>
        <v>0</v>
      </c>
    </row>
    <row r="878" spans="1:19" s="73" customFormat="1" x14ac:dyDescent="0.2">
      <c r="A878" s="187" t="s">
        <v>1093</v>
      </c>
      <c r="B878" s="73" t="s">
        <v>18</v>
      </c>
      <c r="C878" s="71">
        <f>(48*12)*1+(264)</f>
        <v>840</v>
      </c>
      <c r="D878" s="74" t="s">
        <v>19</v>
      </c>
      <c r="E878" s="75"/>
      <c r="F878" s="76">
        <v>48</v>
      </c>
      <c r="G878" s="77" t="s">
        <v>33</v>
      </c>
      <c r="H878" s="76">
        <v>12</v>
      </c>
      <c r="I878" s="77" t="s">
        <v>19</v>
      </c>
      <c r="J878" s="78">
        <v>2350</v>
      </c>
      <c r="K878" s="74" t="s">
        <v>19</v>
      </c>
      <c r="L878" s="188">
        <v>0.125</v>
      </c>
      <c r="M878" s="79">
        <v>0.05</v>
      </c>
      <c r="N878" s="76">
        <v>840</v>
      </c>
      <c r="O878" s="77" t="s">
        <v>19</v>
      </c>
      <c r="P878" s="71">
        <f>(C878+(E878*F878*H878))-N878</f>
        <v>0</v>
      </c>
      <c r="Q878" s="77" t="s">
        <v>19</v>
      </c>
      <c r="R878" s="78">
        <f>P878*(J878-(J878*L878)-((J878-(J878*L878))*M878))</f>
        <v>0</v>
      </c>
      <c r="S878" s="16">
        <f>R878/1.11</f>
        <v>0</v>
      </c>
    </row>
    <row r="879" spans="1:19" s="73" customFormat="1" x14ac:dyDescent="0.2">
      <c r="A879" s="72"/>
      <c r="C879" s="71"/>
      <c r="D879" s="74"/>
      <c r="E879" s="75"/>
      <c r="F879" s="76"/>
      <c r="G879" s="77"/>
      <c r="H879" s="76"/>
      <c r="I879" s="77"/>
      <c r="J879" s="78"/>
      <c r="K879" s="74"/>
      <c r="L879" s="79"/>
      <c r="M879" s="79"/>
      <c r="N879" s="76"/>
      <c r="O879" s="77"/>
      <c r="P879" s="71"/>
      <c r="Q879" s="77"/>
      <c r="R879" s="78"/>
      <c r="S879" s="16"/>
    </row>
    <row r="880" spans="1:19" s="64" customFormat="1" x14ac:dyDescent="0.2">
      <c r="A880" s="106" t="s">
        <v>512</v>
      </c>
      <c r="B880" s="64" t="s">
        <v>25</v>
      </c>
      <c r="C880" s="65"/>
      <c r="D880" s="66" t="s">
        <v>40</v>
      </c>
      <c r="E880" s="67">
        <v>5</v>
      </c>
      <c r="F880" s="68">
        <v>1</v>
      </c>
      <c r="G880" s="69" t="s">
        <v>20</v>
      </c>
      <c r="H880" s="68">
        <v>60</v>
      </c>
      <c r="I880" s="69" t="s">
        <v>40</v>
      </c>
      <c r="J880" s="16">
        <f>2160000/60</f>
        <v>36000</v>
      </c>
      <c r="K880" s="66" t="s">
        <v>40</v>
      </c>
      <c r="L880" s="70"/>
      <c r="M880" s="70">
        <v>0.17</v>
      </c>
      <c r="N880" s="68">
        <v>300</v>
      </c>
      <c r="O880" s="69" t="s">
        <v>40</v>
      </c>
      <c r="P880" s="65">
        <f>(C880+(E880*F880*H880))-N880</f>
        <v>0</v>
      </c>
      <c r="Q880" s="69" t="s">
        <v>40</v>
      </c>
      <c r="R880" s="16">
        <f>P880*(J880-(J880*L880)-((J880-(J880*L880))*M880))</f>
        <v>0</v>
      </c>
      <c r="S880" s="16">
        <f>R880/1.11</f>
        <v>0</v>
      </c>
    </row>
    <row r="881" spans="1:19" s="64" customFormat="1" x14ac:dyDescent="0.2">
      <c r="A881" s="106" t="s">
        <v>513</v>
      </c>
      <c r="B881" s="64" t="s">
        <v>25</v>
      </c>
      <c r="C881" s="65">
        <v>175</v>
      </c>
      <c r="D881" s="66" t="s">
        <v>40</v>
      </c>
      <c r="E881" s="67"/>
      <c r="F881" s="68">
        <v>12</v>
      </c>
      <c r="G881" s="69" t="s">
        <v>83</v>
      </c>
      <c r="H881" s="68">
        <v>12</v>
      </c>
      <c r="I881" s="69" t="s">
        <v>40</v>
      </c>
      <c r="J881" s="16">
        <f>1555200/144</f>
        <v>10800</v>
      </c>
      <c r="K881" s="66" t="s">
        <v>40</v>
      </c>
      <c r="L881" s="70">
        <v>0.05</v>
      </c>
      <c r="M881" s="70">
        <v>0.17</v>
      </c>
      <c r="N881" s="68">
        <v>175</v>
      </c>
      <c r="O881" s="69" t="s">
        <v>40</v>
      </c>
      <c r="P881" s="65">
        <f>(C881+(E881*F881*H881))-N881</f>
        <v>0</v>
      </c>
      <c r="Q881" s="69" t="s">
        <v>40</v>
      </c>
      <c r="R881" s="16">
        <f>P881*(J881-(J881*L881)-((J881-(J881*L881))*M881))</f>
        <v>0</v>
      </c>
      <c r="S881" s="16">
        <f>R881/1.11</f>
        <v>0</v>
      </c>
    </row>
    <row r="882" spans="1:19" s="64" customFormat="1" x14ac:dyDescent="0.2">
      <c r="A882" s="104"/>
      <c r="C882" s="65"/>
      <c r="D882" s="66"/>
      <c r="E882" s="67"/>
      <c r="F882" s="68"/>
      <c r="G882" s="69"/>
      <c r="H882" s="68"/>
      <c r="I882" s="69"/>
      <c r="J882" s="16"/>
      <c r="K882" s="66"/>
      <c r="L882" s="70"/>
      <c r="M882" s="70"/>
      <c r="N882" s="68"/>
      <c r="O882" s="69"/>
      <c r="P882" s="65"/>
      <c r="Q882" s="69"/>
      <c r="R882" s="16"/>
      <c r="S882" s="16"/>
    </row>
    <row r="883" spans="1:19" s="73" customFormat="1" x14ac:dyDescent="0.2">
      <c r="A883" s="106" t="s">
        <v>1005</v>
      </c>
      <c r="B883" s="73" t="s">
        <v>596</v>
      </c>
      <c r="C883" s="71">
        <v>12</v>
      </c>
      <c r="D883" s="74" t="s">
        <v>151</v>
      </c>
      <c r="E883" s="75">
        <v>2</v>
      </c>
      <c r="F883" s="76">
        <v>1</v>
      </c>
      <c r="G883" s="77" t="s">
        <v>98</v>
      </c>
      <c r="H883" s="76">
        <v>12</v>
      </c>
      <c r="I883" s="77" t="s">
        <v>151</v>
      </c>
      <c r="J883" s="78">
        <f>3195.95</f>
        <v>3195.95</v>
      </c>
      <c r="K883" s="74" t="s">
        <v>151</v>
      </c>
      <c r="L883" s="79"/>
      <c r="M883" s="79"/>
      <c r="N883" s="76">
        <v>36</v>
      </c>
      <c r="O883" s="77" t="s">
        <v>151</v>
      </c>
      <c r="P883" s="71">
        <f>(C883+(E883*F883*H883))-N883</f>
        <v>0</v>
      </c>
      <c r="Q883" s="77" t="s">
        <v>40</v>
      </c>
      <c r="R883" s="78">
        <f>P883*(J883-(J883*L883)-((J883-(J883*L883))*M883))</f>
        <v>0</v>
      </c>
      <c r="S883" s="78">
        <f>R883/1.11</f>
        <v>0</v>
      </c>
    </row>
    <row r="884" spans="1:19" x14ac:dyDescent="0.2">
      <c r="A884" s="38"/>
    </row>
    <row r="885" spans="1:19" x14ac:dyDescent="0.2">
      <c r="A885" s="15" t="s">
        <v>514</v>
      </c>
    </row>
    <row r="886" spans="1:19" s="64" customFormat="1" x14ac:dyDescent="0.2">
      <c r="A886" s="106" t="s">
        <v>515</v>
      </c>
      <c r="B886" s="64" t="s">
        <v>25</v>
      </c>
      <c r="C886" s="65"/>
      <c r="D886" s="66" t="s">
        <v>40</v>
      </c>
      <c r="E886" s="67">
        <v>1</v>
      </c>
      <c r="F886" s="68">
        <v>1</v>
      </c>
      <c r="G886" s="69" t="s">
        <v>20</v>
      </c>
      <c r="H886" s="68">
        <v>60</v>
      </c>
      <c r="I886" s="69" t="s">
        <v>40</v>
      </c>
      <c r="J886" s="16">
        <f>2268000/60</f>
        <v>37800</v>
      </c>
      <c r="K886" s="66" t="s">
        <v>40</v>
      </c>
      <c r="L886" s="70"/>
      <c r="M886" s="70">
        <v>0.17</v>
      </c>
      <c r="N886" s="68">
        <v>60</v>
      </c>
      <c r="O886" s="69" t="s">
        <v>40</v>
      </c>
      <c r="P886" s="65">
        <f>(C886+(E886*F886*H886))-N886</f>
        <v>0</v>
      </c>
      <c r="Q886" s="69" t="s">
        <v>40</v>
      </c>
      <c r="R886" s="16">
        <f>P886*(J886-(J886*L886)-((J886-(J886*L886))*M886))</f>
        <v>0</v>
      </c>
      <c r="S886" s="16">
        <f>R886/1.11</f>
        <v>0</v>
      </c>
    </row>
    <row r="887" spans="1:19" s="64" customFormat="1" x14ac:dyDescent="0.2">
      <c r="A887" s="106"/>
      <c r="C887" s="65"/>
      <c r="D887" s="66"/>
      <c r="E887" s="67"/>
      <c r="F887" s="68"/>
      <c r="G887" s="69"/>
      <c r="H887" s="68"/>
      <c r="I887" s="69"/>
      <c r="J887" s="16"/>
      <c r="K887" s="66"/>
      <c r="L887" s="70"/>
      <c r="M887" s="70"/>
      <c r="N887" s="68"/>
      <c r="O887" s="69"/>
      <c r="P887" s="65"/>
      <c r="Q887" s="69"/>
      <c r="R887" s="16"/>
      <c r="S887" s="16"/>
    </row>
    <row r="888" spans="1:19" s="64" customFormat="1" x14ac:dyDescent="0.2">
      <c r="A888" s="209" t="s">
        <v>1049</v>
      </c>
      <c r="B888" s="73" t="s">
        <v>18</v>
      </c>
      <c r="C888" s="65">
        <v>240</v>
      </c>
      <c r="D888" s="66" t="s">
        <v>830</v>
      </c>
      <c r="E888" s="67"/>
      <c r="F888" s="68">
        <v>1</v>
      </c>
      <c r="G888" s="69" t="s">
        <v>830</v>
      </c>
      <c r="H888" s="68">
        <v>576</v>
      </c>
      <c r="I888" s="69" t="s">
        <v>830</v>
      </c>
      <c r="J888" s="16">
        <v>2300</v>
      </c>
      <c r="K888" s="66" t="s">
        <v>830</v>
      </c>
      <c r="L888" s="70">
        <v>0.1</v>
      </c>
      <c r="M888" s="70">
        <v>0.05</v>
      </c>
      <c r="N888" s="68">
        <v>240</v>
      </c>
      <c r="O888" s="69" t="s">
        <v>830</v>
      </c>
      <c r="P888" s="65">
        <f>(C888+(E888*F888*H888))-N888</f>
        <v>0</v>
      </c>
      <c r="Q888" s="69" t="s">
        <v>830</v>
      </c>
      <c r="R888" s="16">
        <f>P888*(J888-(J888*L888)-((J888-(J888*L888))*M888))</f>
        <v>0</v>
      </c>
      <c r="S888" s="16">
        <f>R888/1.11</f>
        <v>0</v>
      </c>
    </row>
    <row r="889" spans="1:19" s="80" customFormat="1" x14ac:dyDescent="0.2">
      <c r="A889" s="139" t="s">
        <v>1049</v>
      </c>
      <c r="B889" s="90" t="s">
        <v>18</v>
      </c>
      <c r="C889" s="83">
        <f>576*7+(384)</f>
        <v>4416</v>
      </c>
      <c r="D889" s="84" t="s">
        <v>830</v>
      </c>
      <c r="E889" s="85"/>
      <c r="F889" s="86">
        <v>1</v>
      </c>
      <c r="G889" s="87" t="s">
        <v>830</v>
      </c>
      <c r="H889" s="86">
        <v>576</v>
      </c>
      <c r="I889" s="87" t="s">
        <v>830</v>
      </c>
      <c r="J889" s="88">
        <v>2300</v>
      </c>
      <c r="K889" s="84" t="s">
        <v>830</v>
      </c>
      <c r="L889" s="89">
        <v>0.125</v>
      </c>
      <c r="M889" s="89">
        <v>0.05</v>
      </c>
      <c r="N889" s="86">
        <f>4416-2880</f>
        <v>1536</v>
      </c>
      <c r="O889" s="87" t="s">
        <v>830</v>
      </c>
      <c r="P889" s="83">
        <f>(C889+(E889*F889*H889))-N889</f>
        <v>2880</v>
      </c>
      <c r="Q889" s="87" t="s">
        <v>830</v>
      </c>
      <c r="R889" s="88">
        <f>P889*(J889-(J889*L889)-((J889-(J889*L889))*M889))</f>
        <v>5506200</v>
      </c>
      <c r="S889" s="88">
        <f>R889/1.11</f>
        <v>4960540.5405405397</v>
      </c>
    </row>
    <row r="891" spans="1:19" s="73" customFormat="1" x14ac:dyDescent="0.2">
      <c r="A891" s="187" t="s">
        <v>738</v>
      </c>
      <c r="B891" s="73" t="s">
        <v>596</v>
      </c>
      <c r="C891" s="71">
        <v>12</v>
      </c>
      <c r="D891" s="74" t="s">
        <v>151</v>
      </c>
      <c r="E891" s="75"/>
      <c r="F891" s="76">
        <v>1</v>
      </c>
      <c r="G891" s="77" t="s">
        <v>151</v>
      </c>
      <c r="H891" s="76">
        <v>1</v>
      </c>
      <c r="I891" s="77" t="s">
        <v>151</v>
      </c>
      <c r="J891" s="190">
        <v>4000</v>
      </c>
      <c r="K891" s="74" t="s">
        <v>19</v>
      </c>
      <c r="L891" s="79"/>
      <c r="M891" s="79">
        <v>1.0999999999999999E-2</v>
      </c>
      <c r="N891" s="76">
        <v>12</v>
      </c>
      <c r="O891" s="77" t="s">
        <v>19</v>
      </c>
      <c r="P891" s="71">
        <f>(C891+(E891*F891*H891))-N891</f>
        <v>0</v>
      </c>
      <c r="Q891" s="77" t="s">
        <v>19</v>
      </c>
      <c r="R891" s="78">
        <f>P891*(J891-(J891*L891)-((J891-(J891*L891))*M891))</f>
        <v>0</v>
      </c>
      <c r="S891" s="78">
        <f t="shared" ref="S891" si="578">R891/1.11</f>
        <v>0</v>
      </c>
    </row>
    <row r="892" spans="1:19" s="73" customFormat="1" x14ac:dyDescent="0.2">
      <c r="A892" s="187" t="s">
        <v>1094</v>
      </c>
      <c r="B892" s="73" t="s">
        <v>596</v>
      </c>
      <c r="C892" s="71">
        <v>48</v>
      </c>
      <c r="D892" s="74" t="s">
        <v>151</v>
      </c>
      <c r="E892" s="75"/>
      <c r="F892" s="76">
        <v>1</v>
      </c>
      <c r="G892" s="77" t="s">
        <v>151</v>
      </c>
      <c r="H892" s="76">
        <v>1</v>
      </c>
      <c r="I892" s="77" t="s">
        <v>151</v>
      </c>
      <c r="J892" s="190"/>
      <c r="K892" s="74" t="s">
        <v>19</v>
      </c>
      <c r="L892" s="79"/>
      <c r="M892" s="79">
        <v>1.0999999999999999E-2</v>
      </c>
      <c r="N892" s="76">
        <v>48</v>
      </c>
      <c r="O892" s="77" t="s">
        <v>19</v>
      </c>
      <c r="P892" s="71">
        <f>(C892+(E892*F892*H892))-N892</f>
        <v>0</v>
      </c>
      <c r="Q892" s="77" t="s">
        <v>19</v>
      </c>
      <c r="R892" s="78">
        <f>P892*(J892-(J892*L892)-((J892-(J892*L892))*M892))</f>
        <v>0</v>
      </c>
      <c r="S892" s="78">
        <f t="shared" ref="S892" si="579">R892/1.11</f>
        <v>0</v>
      </c>
    </row>
    <row r="893" spans="1:19" x14ac:dyDescent="0.2">
      <c r="A893" s="38"/>
    </row>
    <row r="894" spans="1:19" x14ac:dyDescent="0.2">
      <c r="A894" s="15" t="s">
        <v>516</v>
      </c>
    </row>
    <row r="895" spans="1:19" s="73" customFormat="1" x14ac:dyDescent="0.2">
      <c r="A895" s="72" t="s">
        <v>517</v>
      </c>
      <c r="B895" s="73" t="s">
        <v>18</v>
      </c>
      <c r="C895" s="71"/>
      <c r="D895" s="74" t="s">
        <v>151</v>
      </c>
      <c r="E895" s="75"/>
      <c r="F895" s="76">
        <v>8</v>
      </c>
      <c r="G895" s="77" t="s">
        <v>33</v>
      </c>
      <c r="H895" s="76">
        <v>12</v>
      </c>
      <c r="I895" s="77" t="s">
        <v>151</v>
      </c>
      <c r="J895" s="78">
        <v>17000</v>
      </c>
      <c r="K895" s="74" t="s">
        <v>151</v>
      </c>
      <c r="L895" s="79">
        <v>0.125</v>
      </c>
      <c r="M895" s="79">
        <v>0.05</v>
      </c>
      <c r="N895" s="76"/>
      <c r="O895" s="77" t="s">
        <v>151</v>
      </c>
      <c r="P895" s="71">
        <f t="shared" ref="P895:P901" si="580">(C895+(E895*F895*H895))-N895</f>
        <v>0</v>
      </c>
      <c r="Q895" s="77" t="s">
        <v>151</v>
      </c>
      <c r="R895" s="78">
        <f t="shared" ref="R895:R901" si="581">P895*(J895-(J895*L895)-((J895-(J895*L895))*M895))</f>
        <v>0</v>
      </c>
      <c r="S895" s="16">
        <f t="shared" ref="S895:S901" si="582">R895/1.11</f>
        <v>0</v>
      </c>
    </row>
    <row r="896" spans="1:19" s="73" customFormat="1" x14ac:dyDescent="0.2">
      <c r="A896" s="72" t="s">
        <v>517</v>
      </c>
      <c r="B896" s="73" t="s">
        <v>18</v>
      </c>
      <c r="C896" s="71"/>
      <c r="D896" s="74" t="s">
        <v>151</v>
      </c>
      <c r="E896" s="75">
        <v>1</v>
      </c>
      <c r="F896" s="76">
        <v>8</v>
      </c>
      <c r="G896" s="77" t="s">
        <v>33</v>
      </c>
      <c r="H896" s="76">
        <v>12</v>
      </c>
      <c r="I896" s="77" t="s">
        <v>151</v>
      </c>
      <c r="J896" s="78">
        <v>19000</v>
      </c>
      <c r="K896" s="74" t="s">
        <v>151</v>
      </c>
      <c r="L896" s="79">
        <v>0.125</v>
      </c>
      <c r="M896" s="79">
        <v>0.05</v>
      </c>
      <c r="N896" s="76">
        <v>96</v>
      </c>
      <c r="O896" s="77" t="s">
        <v>151</v>
      </c>
      <c r="P896" s="71">
        <f t="shared" ref="P896" si="583">(C896+(E896*F896*H896))-N896</f>
        <v>0</v>
      </c>
      <c r="Q896" s="77" t="s">
        <v>151</v>
      </c>
      <c r="R896" s="78">
        <f t="shared" ref="R896" si="584">P896*(J896-(J896*L896)-((J896-(J896*L896))*M896))</f>
        <v>0</v>
      </c>
      <c r="S896" s="16">
        <f t="shared" ref="S896" si="585">R896/1.11</f>
        <v>0</v>
      </c>
    </row>
    <row r="897" spans="1:19" s="73" customFormat="1" x14ac:dyDescent="0.2">
      <c r="A897" s="72" t="s">
        <v>518</v>
      </c>
      <c r="B897" s="73" t="s">
        <v>18</v>
      </c>
      <c r="C897" s="71"/>
      <c r="D897" s="74" t="s">
        <v>151</v>
      </c>
      <c r="E897" s="75"/>
      <c r="F897" s="76">
        <v>8</v>
      </c>
      <c r="G897" s="77" t="s">
        <v>33</v>
      </c>
      <c r="H897" s="76">
        <v>6</v>
      </c>
      <c r="I897" s="77" t="s">
        <v>151</v>
      </c>
      <c r="J897" s="78">
        <v>34000</v>
      </c>
      <c r="K897" s="74" t="s">
        <v>151</v>
      </c>
      <c r="L897" s="79">
        <v>0.125</v>
      </c>
      <c r="M897" s="79">
        <v>0.05</v>
      </c>
      <c r="N897" s="76">
        <v>0</v>
      </c>
      <c r="O897" s="77" t="s">
        <v>151</v>
      </c>
      <c r="P897" s="71">
        <f t="shared" si="580"/>
        <v>0</v>
      </c>
      <c r="Q897" s="77" t="s">
        <v>151</v>
      </c>
      <c r="R897" s="78">
        <f t="shared" si="581"/>
        <v>0</v>
      </c>
      <c r="S897" s="16">
        <f t="shared" si="582"/>
        <v>0</v>
      </c>
    </row>
    <row r="898" spans="1:19" s="73" customFormat="1" x14ac:dyDescent="0.2">
      <c r="A898" s="185" t="s">
        <v>519</v>
      </c>
      <c r="B898" s="73" t="s">
        <v>18</v>
      </c>
      <c r="C898" s="71">
        <v>62</v>
      </c>
      <c r="D898" s="74" t="s">
        <v>151</v>
      </c>
      <c r="E898" s="75">
        <v>1</v>
      </c>
      <c r="F898" s="76">
        <v>6</v>
      </c>
      <c r="G898" s="77" t="s">
        <v>33</v>
      </c>
      <c r="H898" s="76">
        <v>24</v>
      </c>
      <c r="I898" s="77" t="s">
        <v>151</v>
      </c>
      <c r="J898" s="186">
        <v>31500</v>
      </c>
      <c r="K898" s="74" t="s">
        <v>151</v>
      </c>
      <c r="L898" s="79">
        <v>0.125</v>
      </c>
      <c r="M898" s="79">
        <v>0.05</v>
      </c>
      <c r="N898" s="76">
        <v>206</v>
      </c>
      <c r="O898" s="77" t="s">
        <v>151</v>
      </c>
      <c r="P898" s="71">
        <f t="shared" si="580"/>
        <v>0</v>
      </c>
      <c r="Q898" s="77" t="s">
        <v>151</v>
      </c>
      <c r="R898" s="78">
        <f t="shared" si="581"/>
        <v>0</v>
      </c>
      <c r="S898" s="16">
        <f t="shared" si="582"/>
        <v>0</v>
      </c>
    </row>
    <row r="899" spans="1:19" s="73" customFormat="1" x14ac:dyDescent="0.2">
      <c r="A899" s="185" t="s">
        <v>519</v>
      </c>
      <c r="B899" s="73" t="s">
        <v>18</v>
      </c>
      <c r="C899" s="71"/>
      <c r="D899" s="74" t="s">
        <v>151</v>
      </c>
      <c r="E899" s="75">
        <v>2</v>
      </c>
      <c r="F899" s="76">
        <v>6</v>
      </c>
      <c r="G899" s="77" t="s">
        <v>33</v>
      </c>
      <c r="H899" s="76">
        <v>24</v>
      </c>
      <c r="I899" s="77" t="s">
        <v>151</v>
      </c>
      <c r="J899" s="186">
        <v>28000</v>
      </c>
      <c r="K899" s="74" t="s">
        <v>151</v>
      </c>
      <c r="L899" s="79">
        <v>0.125</v>
      </c>
      <c r="M899" s="79">
        <v>0.05</v>
      </c>
      <c r="N899" s="76">
        <v>288</v>
      </c>
      <c r="O899" s="77" t="s">
        <v>151</v>
      </c>
      <c r="P899" s="71">
        <f t="shared" si="580"/>
        <v>0</v>
      </c>
      <c r="Q899" s="77" t="s">
        <v>151</v>
      </c>
      <c r="R899" s="78">
        <f t="shared" si="581"/>
        <v>0</v>
      </c>
      <c r="S899" s="78">
        <f t="shared" si="582"/>
        <v>0</v>
      </c>
    </row>
    <row r="900" spans="1:19" s="73" customFormat="1" x14ac:dyDescent="0.2">
      <c r="A900" s="72" t="s">
        <v>520</v>
      </c>
      <c r="B900" s="73" t="s">
        <v>18</v>
      </c>
      <c r="C900" s="71"/>
      <c r="D900" s="74" t="s">
        <v>151</v>
      </c>
      <c r="E900" s="75"/>
      <c r="F900" s="76">
        <v>6</v>
      </c>
      <c r="G900" s="77" t="s">
        <v>33</v>
      </c>
      <c r="H900" s="76">
        <v>12</v>
      </c>
      <c r="I900" s="77" t="s">
        <v>151</v>
      </c>
      <c r="J900" s="78">
        <v>63000</v>
      </c>
      <c r="K900" s="74" t="s">
        <v>151</v>
      </c>
      <c r="L900" s="79">
        <v>0.125</v>
      </c>
      <c r="M900" s="79">
        <v>0.05</v>
      </c>
      <c r="N900" s="76">
        <v>0</v>
      </c>
      <c r="O900" s="77" t="s">
        <v>151</v>
      </c>
      <c r="P900" s="71">
        <f t="shared" si="580"/>
        <v>0</v>
      </c>
      <c r="Q900" s="77" t="s">
        <v>151</v>
      </c>
      <c r="R900" s="78">
        <f t="shared" si="581"/>
        <v>0</v>
      </c>
      <c r="S900" s="16">
        <f t="shared" si="582"/>
        <v>0</v>
      </c>
    </row>
    <row r="901" spans="1:19" s="73" customFormat="1" x14ac:dyDescent="0.2">
      <c r="A901" s="72" t="s">
        <v>521</v>
      </c>
      <c r="B901" s="73" t="s">
        <v>18</v>
      </c>
      <c r="C901" s="71"/>
      <c r="D901" s="74" t="s">
        <v>151</v>
      </c>
      <c r="E901" s="75"/>
      <c r="F901" s="76">
        <v>6</v>
      </c>
      <c r="G901" s="77" t="s">
        <v>33</v>
      </c>
      <c r="H901" s="76">
        <v>24</v>
      </c>
      <c r="I901" s="77" t="s">
        <v>151</v>
      </c>
      <c r="J901" s="78"/>
      <c r="K901" s="74" t="s">
        <v>151</v>
      </c>
      <c r="L901" s="79">
        <v>0.1</v>
      </c>
      <c r="M901" s="79">
        <v>0.05</v>
      </c>
      <c r="N901" s="76">
        <v>0</v>
      </c>
      <c r="O901" s="77" t="s">
        <v>151</v>
      </c>
      <c r="P901" s="71">
        <f t="shared" si="580"/>
        <v>0</v>
      </c>
      <c r="Q901" s="77" t="s">
        <v>151</v>
      </c>
      <c r="R901" s="78">
        <f t="shared" si="581"/>
        <v>0</v>
      </c>
      <c r="S901" s="16">
        <f t="shared" si="582"/>
        <v>0</v>
      </c>
    </row>
    <row r="902" spans="1:19" s="73" customFormat="1" x14ac:dyDescent="0.2">
      <c r="A902" s="72"/>
      <c r="C902" s="71"/>
      <c r="D902" s="74"/>
      <c r="E902" s="75"/>
      <c r="F902" s="76"/>
      <c r="G902" s="77"/>
      <c r="H902" s="76"/>
      <c r="I902" s="77"/>
      <c r="J902" s="78"/>
      <c r="K902" s="74"/>
      <c r="L902" s="79"/>
      <c r="M902" s="79"/>
      <c r="N902" s="76"/>
      <c r="O902" s="77"/>
      <c r="P902" s="71"/>
      <c r="Q902" s="77"/>
      <c r="R902" s="78"/>
      <c r="S902" s="16"/>
    </row>
    <row r="903" spans="1:19" s="73" customFormat="1" x14ac:dyDescent="0.2">
      <c r="A903" s="72" t="s">
        <v>867</v>
      </c>
      <c r="B903" s="73" t="s">
        <v>25</v>
      </c>
      <c r="C903" s="71"/>
      <c r="D903" s="74" t="s">
        <v>151</v>
      </c>
      <c r="E903" s="75">
        <v>10</v>
      </c>
      <c r="F903" s="76">
        <v>6</v>
      </c>
      <c r="G903" s="77" t="s">
        <v>33</v>
      </c>
      <c r="H903" s="76">
        <v>24</v>
      </c>
      <c r="I903" s="77" t="s">
        <v>151</v>
      </c>
      <c r="J903" s="78">
        <v>25000</v>
      </c>
      <c r="K903" s="74" t="s">
        <v>151</v>
      </c>
      <c r="L903" s="79">
        <v>0.05</v>
      </c>
      <c r="M903" s="79">
        <v>0.17</v>
      </c>
      <c r="N903" s="76">
        <v>1440</v>
      </c>
      <c r="O903" s="77" t="s">
        <v>151</v>
      </c>
      <c r="P903" s="71">
        <f>(C903+(E903*F903*H903))-N903</f>
        <v>0</v>
      </c>
      <c r="Q903" s="77" t="s">
        <v>151</v>
      </c>
      <c r="R903" s="78">
        <f>P903*(J903-(J903*L903)-((J903-(J903*L903))*M903))</f>
        <v>0</v>
      </c>
      <c r="S903" s="78">
        <f>R903/1.11</f>
        <v>0</v>
      </c>
    </row>
    <row r="904" spans="1:19" s="73" customFormat="1" x14ac:dyDescent="0.2">
      <c r="A904" s="72" t="s">
        <v>905</v>
      </c>
      <c r="B904" s="73" t="s">
        <v>25</v>
      </c>
      <c r="C904" s="71"/>
      <c r="D904" s="74" t="s">
        <v>151</v>
      </c>
      <c r="E904" s="75">
        <v>3</v>
      </c>
      <c r="F904" s="76">
        <v>6</v>
      </c>
      <c r="G904" s="77" t="s">
        <v>33</v>
      </c>
      <c r="H904" s="76">
        <v>12</v>
      </c>
      <c r="I904" s="77" t="s">
        <v>151</v>
      </c>
      <c r="J904" s="78">
        <v>49000</v>
      </c>
      <c r="K904" s="74" t="s">
        <v>151</v>
      </c>
      <c r="L904" s="79">
        <v>0.05</v>
      </c>
      <c r="M904" s="79">
        <v>0.17</v>
      </c>
      <c r="N904" s="76">
        <v>216</v>
      </c>
      <c r="O904" s="77" t="s">
        <v>151</v>
      </c>
      <c r="P904" s="71">
        <f>(C904+(E904*F904*H904))-N904</f>
        <v>0</v>
      </c>
      <c r="Q904" s="77" t="s">
        <v>151</v>
      </c>
      <c r="R904" s="78">
        <f>P904*(J904-(J904*L904)-((J904-(J904*L904))*M904))</f>
        <v>0</v>
      </c>
      <c r="S904" s="78">
        <f>R904/1.11</f>
        <v>0</v>
      </c>
    </row>
    <row r="906" spans="1:19" ht="15.75" x14ac:dyDescent="0.25">
      <c r="A906" s="14" t="s">
        <v>422</v>
      </c>
    </row>
    <row r="907" spans="1:19" s="73" customFormat="1" x14ac:dyDescent="0.2">
      <c r="A907" s="72" t="s">
        <v>423</v>
      </c>
      <c r="B907" s="73" t="s">
        <v>18</v>
      </c>
      <c r="C907" s="71">
        <v>59</v>
      </c>
      <c r="D907" s="74" t="s">
        <v>83</v>
      </c>
      <c r="E907" s="75">
        <v>145</v>
      </c>
      <c r="F907" s="76">
        <v>1</v>
      </c>
      <c r="G907" s="77" t="s">
        <v>20</v>
      </c>
      <c r="H907" s="76">
        <v>30</v>
      </c>
      <c r="I907" s="77" t="s">
        <v>83</v>
      </c>
      <c r="J907" s="78">
        <v>104400</v>
      </c>
      <c r="K907" s="74" t="s">
        <v>83</v>
      </c>
      <c r="L907" s="79">
        <v>0.125</v>
      </c>
      <c r="M907" s="79">
        <v>0.05</v>
      </c>
      <c r="N907" s="76">
        <v>4409</v>
      </c>
      <c r="O907" s="77" t="s">
        <v>83</v>
      </c>
      <c r="P907" s="71">
        <f t="shared" ref="P907:P915" si="586">(C907+(E907*F907*H907))-N907</f>
        <v>0</v>
      </c>
      <c r="Q907" s="77" t="s">
        <v>83</v>
      </c>
      <c r="R907" s="78">
        <f t="shared" ref="R907:R915" si="587">P907*(J907-(J907*L907)-((J907-(J907*L907))*M907))</f>
        <v>0</v>
      </c>
      <c r="S907" s="78">
        <f t="shared" si="565"/>
        <v>0</v>
      </c>
    </row>
    <row r="908" spans="1:19" s="73" customFormat="1" x14ac:dyDescent="0.2">
      <c r="A908" s="72" t="s">
        <v>653</v>
      </c>
      <c r="B908" s="73" t="s">
        <v>18</v>
      </c>
      <c r="C908" s="71"/>
      <c r="D908" s="74" t="s">
        <v>83</v>
      </c>
      <c r="E908" s="75"/>
      <c r="F908" s="76">
        <v>1</v>
      </c>
      <c r="G908" s="77" t="s">
        <v>20</v>
      </c>
      <c r="H908" s="76">
        <v>30</v>
      </c>
      <c r="I908" s="77" t="s">
        <v>83</v>
      </c>
      <c r="J908" s="78">
        <v>102000</v>
      </c>
      <c r="K908" s="74" t="s">
        <v>83</v>
      </c>
      <c r="L908" s="79">
        <v>0.125</v>
      </c>
      <c r="M908" s="79">
        <v>0.05</v>
      </c>
      <c r="N908" s="76">
        <v>0</v>
      </c>
      <c r="O908" s="77" t="s">
        <v>83</v>
      </c>
      <c r="P908" s="71">
        <f t="shared" si="586"/>
        <v>0</v>
      </c>
      <c r="Q908" s="77" t="s">
        <v>83</v>
      </c>
      <c r="R908" s="78">
        <f t="shared" si="587"/>
        <v>0</v>
      </c>
      <c r="S908" s="78">
        <f t="shared" si="565"/>
        <v>0</v>
      </c>
    </row>
    <row r="909" spans="1:19" s="73" customFormat="1" x14ac:dyDescent="0.2">
      <c r="A909" s="72" t="s">
        <v>653</v>
      </c>
      <c r="B909" s="73" t="s">
        <v>18</v>
      </c>
      <c r="C909" s="71"/>
      <c r="D909" s="74" t="s">
        <v>83</v>
      </c>
      <c r="E909" s="75">
        <v>2</v>
      </c>
      <c r="F909" s="76">
        <v>1</v>
      </c>
      <c r="G909" s="77" t="s">
        <v>20</v>
      </c>
      <c r="H909" s="76">
        <v>30</v>
      </c>
      <c r="I909" s="77" t="s">
        <v>83</v>
      </c>
      <c r="J909" s="78">
        <v>109200</v>
      </c>
      <c r="K909" s="74" t="s">
        <v>83</v>
      </c>
      <c r="L909" s="79">
        <v>0.125</v>
      </c>
      <c r="M909" s="79">
        <v>0.05</v>
      </c>
      <c r="N909" s="76">
        <v>60</v>
      </c>
      <c r="O909" s="77" t="s">
        <v>83</v>
      </c>
      <c r="P909" s="71">
        <f t="shared" ref="P909" si="588">(C909+(E909*F909*H909))-N909</f>
        <v>0</v>
      </c>
      <c r="Q909" s="77" t="s">
        <v>83</v>
      </c>
      <c r="R909" s="78">
        <f t="shared" ref="R909" si="589">P909*(J909-(J909*L909)-((J909-(J909*L909))*M909))</f>
        <v>0</v>
      </c>
      <c r="S909" s="78">
        <f t="shared" ref="S909" si="590">R909/1.11</f>
        <v>0</v>
      </c>
    </row>
    <row r="910" spans="1:19" s="64" customFormat="1" x14ac:dyDescent="0.2">
      <c r="A910" s="63" t="s">
        <v>424</v>
      </c>
      <c r="B910" s="64" t="s">
        <v>18</v>
      </c>
      <c r="C910" s="65"/>
      <c r="D910" s="66" t="s">
        <v>83</v>
      </c>
      <c r="E910" s="67">
        <v>5</v>
      </c>
      <c r="F910" s="68">
        <v>1</v>
      </c>
      <c r="G910" s="69" t="s">
        <v>20</v>
      </c>
      <c r="H910" s="68">
        <v>30</v>
      </c>
      <c r="I910" s="69" t="s">
        <v>83</v>
      </c>
      <c r="J910" s="16">
        <v>99000</v>
      </c>
      <c r="K910" s="66" t="s">
        <v>83</v>
      </c>
      <c r="L910" s="70">
        <v>0.125</v>
      </c>
      <c r="M910" s="70">
        <v>0.05</v>
      </c>
      <c r="N910" s="68">
        <v>150</v>
      </c>
      <c r="O910" s="69" t="s">
        <v>83</v>
      </c>
      <c r="P910" s="65">
        <f t="shared" si="586"/>
        <v>0</v>
      </c>
      <c r="Q910" s="69" t="s">
        <v>83</v>
      </c>
      <c r="R910" s="16">
        <f t="shared" si="587"/>
        <v>0</v>
      </c>
      <c r="S910" s="16">
        <f t="shared" si="565"/>
        <v>0</v>
      </c>
    </row>
    <row r="911" spans="1:19" s="73" customFormat="1" x14ac:dyDescent="0.2">
      <c r="A911" s="72" t="s">
        <v>967</v>
      </c>
      <c r="B911" s="73" t="s">
        <v>18</v>
      </c>
      <c r="C911" s="71"/>
      <c r="D911" s="74" t="s">
        <v>83</v>
      </c>
      <c r="E911" s="75">
        <v>2</v>
      </c>
      <c r="F911" s="76">
        <v>1</v>
      </c>
      <c r="G911" s="77" t="s">
        <v>20</v>
      </c>
      <c r="H911" s="76">
        <v>30</v>
      </c>
      <c r="I911" s="77" t="s">
        <v>83</v>
      </c>
      <c r="J911" s="78">
        <v>139200</v>
      </c>
      <c r="K911" s="74" t="s">
        <v>83</v>
      </c>
      <c r="L911" s="79">
        <v>0.125</v>
      </c>
      <c r="M911" s="79">
        <v>0.05</v>
      </c>
      <c r="N911" s="76">
        <v>60</v>
      </c>
      <c r="O911" s="77" t="s">
        <v>83</v>
      </c>
      <c r="P911" s="71">
        <f t="shared" ref="P911" si="591">(C911+(E911*F911*H911))-N911</f>
        <v>0</v>
      </c>
      <c r="Q911" s="77" t="s">
        <v>83</v>
      </c>
      <c r="R911" s="78">
        <f t="shared" ref="R911" si="592">P911*(J911-(J911*L911)-((J911-(J911*L911))*M911))</f>
        <v>0</v>
      </c>
      <c r="S911" s="78">
        <f t="shared" ref="S911" si="593">R911/1.11</f>
        <v>0</v>
      </c>
    </row>
    <row r="912" spans="1:19" s="64" customFormat="1" x14ac:dyDescent="0.2">
      <c r="A912" s="63" t="s">
        <v>425</v>
      </c>
      <c r="B912" s="64" t="s">
        <v>18</v>
      </c>
      <c r="C912" s="65"/>
      <c r="D912" s="66" t="s">
        <v>83</v>
      </c>
      <c r="E912" s="67">
        <v>7</v>
      </c>
      <c r="F912" s="68">
        <v>1</v>
      </c>
      <c r="G912" s="69" t="s">
        <v>20</v>
      </c>
      <c r="H912" s="68">
        <v>30</v>
      </c>
      <c r="I912" s="69" t="s">
        <v>83</v>
      </c>
      <c r="J912" s="16">
        <v>96000</v>
      </c>
      <c r="K912" s="66" t="s">
        <v>83</v>
      </c>
      <c r="L912" s="70">
        <v>0.125</v>
      </c>
      <c r="M912" s="70">
        <v>0.05</v>
      </c>
      <c r="N912" s="68">
        <v>210</v>
      </c>
      <c r="O912" s="69" t="s">
        <v>83</v>
      </c>
      <c r="P912" s="65">
        <f t="shared" si="586"/>
        <v>0</v>
      </c>
      <c r="Q912" s="69" t="s">
        <v>83</v>
      </c>
      <c r="R912" s="16">
        <f t="shared" si="587"/>
        <v>0</v>
      </c>
      <c r="S912" s="16">
        <f t="shared" si="565"/>
        <v>0</v>
      </c>
    </row>
    <row r="913" spans="1:19" s="64" customFormat="1" x14ac:dyDescent="0.2">
      <c r="A913" s="63" t="s">
        <v>426</v>
      </c>
      <c r="B913" s="64" t="s">
        <v>18</v>
      </c>
      <c r="C913" s="65"/>
      <c r="D913" s="66" t="s">
        <v>83</v>
      </c>
      <c r="E913" s="67"/>
      <c r="F913" s="68">
        <v>1</v>
      </c>
      <c r="G913" s="69" t="s">
        <v>20</v>
      </c>
      <c r="H913" s="68">
        <v>30</v>
      </c>
      <c r="I913" s="69" t="s">
        <v>83</v>
      </c>
      <c r="J913" s="16">
        <v>109000</v>
      </c>
      <c r="K913" s="66" t="s">
        <v>83</v>
      </c>
      <c r="L913" s="70">
        <v>0.125</v>
      </c>
      <c r="M913" s="70">
        <v>0.05</v>
      </c>
      <c r="N913" s="68">
        <v>0</v>
      </c>
      <c r="O913" s="69" t="s">
        <v>83</v>
      </c>
      <c r="P913" s="65">
        <f t="shared" si="586"/>
        <v>0</v>
      </c>
      <c r="Q913" s="69" t="s">
        <v>83</v>
      </c>
      <c r="R913" s="16">
        <f t="shared" si="587"/>
        <v>0</v>
      </c>
      <c r="S913" s="16">
        <f t="shared" si="565"/>
        <v>0</v>
      </c>
    </row>
    <row r="914" spans="1:19" s="64" customFormat="1" x14ac:dyDescent="0.2">
      <c r="A914" s="63" t="s">
        <v>1046</v>
      </c>
      <c r="B914" s="64" t="s">
        <v>18</v>
      </c>
      <c r="C914" s="65"/>
      <c r="D914" s="66" t="s">
        <v>83</v>
      </c>
      <c r="E914" s="67">
        <v>1</v>
      </c>
      <c r="F914" s="68">
        <v>1</v>
      </c>
      <c r="G914" s="69" t="s">
        <v>20</v>
      </c>
      <c r="H914" s="68">
        <v>30</v>
      </c>
      <c r="I914" s="69" t="s">
        <v>83</v>
      </c>
      <c r="J914" s="16">
        <v>144000</v>
      </c>
      <c r="K914" s="66" t="s">
        <v>83</v>
      </c>
      <c r="L914" s="70">
        <v>0.125</v>
      </c>
      <c r="M914" s="70">
        <v>0.05</v>
      </c>
      <c r="N914" s="68">
        <v>30</v>
      </c>
      <c r="O914" s="69" t="s">
        <v>83</v>
      </c>
      <c r="P914" s="65">
        <f t="shared" si="586"/>
        <v>0</v>
      </c>
      <c r="Q914" s="69" t="s">
        <v>83</v>
      </c>
      <c r="R914" s="16">
        <f t="shared" si="587"/>
        <v>0</v>
      </c>
      <c r="S914" s="16">
        <f t="shared" si="565"/>
        <v>0</v>
      </c>
    </row>
    <row r="915" spans="1:19" s="64" customFormat="1" x14ac:dyDescent="0.2">
      <c r="A915" s="63" t="s">
        <v>732</v>
      </c>
      <c r="B915" s="64" t="s">
        <v>18</v>
      </c>
      <c r="C915" s="65"/>
      <c r="D915" s="66" t="s">
        <v>83</v>
      </c>
      <c r="E915" s="67">
        <v>1</v>
      </c>
      <c r="F915" s="68">
        <v>1</v>
      </c>
      <c r="G915" s="69" t="s">
        <v>20</v>
      </c>
      <c r="H915" s="68">
        <v>30</v>
      </c>
      <c r="I915" s="69" t="s">
        <v>83</v>
      </c>
      <c r="J915" s="16">
        <v>144000</v>
      </c>
      <c r="K915" s="66" t="s">
        <v>83</v>
      </c>
      <c r="L915" s="70">
        <v>0.125</v>
      </c>
      <c r="M915" s="70">
        <v>0.05</v>
      </c>
      <c r="N915" s="68">
        <v>30</v>
      </c>
      <c r="O915" s="69" t="s">
        <v>83</v>
      </c>
      <c r="P915" s="65">
        <f t="shared" si="586"/>
        <v>0</v>
      </c>
      <c r="Q915" s="69" t="s">
        <v>83</v>
      </c>
      <c r="R915" s="16">
        <f t="shared" si="587"/>
        <v>0</v>
      </c>
      <c r="S915" s="16">
        <f t="shared" si="565"/>
        <v>0</v>
      </c>
    </row>
    <row r="916" spans="1:19" s="73" customFormat="1" x14ac:dyDescent="0.2">
      <c r="A916" s="72" t="s">
        <v>921</v>
      </c>
      <c r="B916" s="73" t="s">
        <v>18</v>
      </c>
      <c r="C916" s="71"/>
      <c r="D916" s="74" t="s">
        <v>83</v>
      </c>
      <c r="E916" s="75">
        <v>1</v>
      </c>
      <c r="F916" s="76">
        <v>1</v>
      </c>
      <c r="G916" s="77" t="s">
        <v>20</v>
      </c>
      <c r="H916" s="76">
        <v>30</v>
      </c>
      <c r="I916" s="77" t="s">
        <v>83</v>
      </c>
      <c r="J916" s="78">
        <v>99000</v>
      </c>
      <c r="K916" s="74" t="s">
        <v>83</v>
      </c>
      <c r="L916" s="79">
        <v>0.125</v>
      </c>
      <c r="M916" s="79">
        <v>0.05</v>
      </c>
      <c r="N916" s="76">
        <v>30</v>
      </c>
      <c r="O916" s="77" t="s">
        <v>83</v>
      </c>
      <c r="P916" s="71">
        <f t="shared" ref="P916" si="594">(C916+(E916*F916*H916))-N916</f>
        <v>0</v>
      </c>
      <c r="Q916" s="77" t="s">
        <v>83</v>
      </c>
      <c r="R916" s="78">
        <f t="shared" ref="R916" si="595">P916*(J916-(J916*L916)-((J916-(J916*L916))*M916))</f>
        <v>0</v>
      </c>
      <c r="S916" s="78">
        <f t="shared" ref="S916" si="596">R916/1.11</f>
        <v>0</v>
      </c>
    </row>
    <row r="918" spans="1:19" s="63" customFormat="1" x14ac:dyDescent="0.2">
      <c r="A918" s="104" t="s">
        <v>751</v>
      </c>
      <c r="B918" s="63" t="s">
        <v>25</v>
      </c>
      <c r="C918" s="110">
        <v>5</v>
      </c>
      <c r="D918" s="111" t="s">
        <v>83</v>
      </c>
      <c r="E918" s="112"/>
      <c r="F918" s="113">
        <v>1</v>
      </c>
      <c r="G918" s="114" t="s">
        <v>20</v>
      </c>
      <c r="H918" s="113">
        <v>20</v>
      </c>
      <c r="I918" s="114" t="s">
        <v>83</v>
      </c>
      <c r="J918" s="115">
        <f>2448000/20</f>
        <v>122400</v>
      </c>
      <c r="K918" s="111" t="s">
        <v>83</v>
      </c>
      <c r="L918" s="116"/>
      <c r="M918" s="116">
        <v>0.17</v>
      </c>
      <c r="N918" s="113">
        <v>5</v>
      </c>
      <c r="O918" s="114" t="s">
        <v>83</v>
      </c>
      <c r="P918" s="110">
        <f t="shared" ref="P918:P940" si="597">(C918+(E918*F918*H918))-N918</f>
        <v>0</v>
      </c>
      <c r="Q918" s="114" t="s">
        <v>83</v>
      </c>
      <c r="R918" s="115">
        <f t="shared" ref="R918:R940" si="598">P918*(J918-(J918*L918)-((J918-(J918*L918))*M918))</f>
        <v>0</v>
      </c>
      <c r="S918" s="16">
        <f t="shared" ref="S918:S919" si="599">R918/1.11</f>
        <v>0</v>
      </c>
    </row>
    <row r="919" spans="1:19" s="72" customFormat="1" x14ac:dyDescent="0.2">
      <c r="A919" s="104" t="s">
        <v>427</v>
      </c>
      <c r="B919" s="72" t="s">
        <v>25</v>
      </c>
      <c r="C919" s="117">
        <v>40</v>
      </c>
      <c r="D919" s="193" t="s">
        <v>83</v>
      </c>
      <c r="E919" s="194">
        <v>10</v>
      </c>
      <c r="F919" s="195">
        <v>1</v>
      </c>
      <c r="G919" s="103" t="s">
        <v>20</v>
      </c>
      <c r="H919" s="195">
        <v>20</v>
      </c>
      <c r="I919" s="103" t="s">
        <v>83</v>
      </c>
      <c r="J919" s="56">
        <v>115200</v>
      </c>
      <c r="K919" s="193" t="s">
        <v>83</v>
      </c>
      <c r="L919" s="196"/>
      <c r="M919" s="196">
        <v>0.17</v>
      </c>
      <c r="N919" s="195">
        <v>240</v>
      </c>
      <c r="O919" s="103" t="s">
        <v>83</v>
      </c>
      <c r="P919" s="117">
        <f t="shared" ref="P919" si="600">(C919+(E919*F919*H919))-N919</f>
        <v>0</v>
      </c>
      <c r="Q919" s="103" t="s">
        <v>83</v>
      </c>
      <c r="R919" s="56">
        <f t="shared" ref="R919" si="601">P919*(J919-(J919*L919)-((J919-(J919*L919))*M919))</f>
        <v>0</v>
      </c>
      <c r="S919" s="78">
        <f t="shared" si="599"/>
        <v>0</v>
      </c>
    </row>
    <row r="920" spans="1:19" s="63" customFormat="1" x14ac:dyDescent="0.2">
      <c r="A920" s="104" t="s">
        <v>743</v>
      </c>
      <c r="B920" s="63" t="s">
        <v>25</v>
      </c>
      <c r="C920" s="110"/>
      <c r="D920" s="111" t="s">
        <v>83</v>
      </c>
      <c r="E920" s="112"/>
      <c r="F920" s="113">
        <v>1</v>
      </c>
      <c r="G920" s="114" t="s">
        <v>20</v>
      </c>
      <c r="H920" s="113">
        <v>20</v>
      </c>
      <c r="I920" s="114" t="s">
        <v>83</v>
      </c>
      <c r="J920" s="115">
        <f>2880000/20</f>
        <v>144000</v>
      </c>
      <c r="K920" s="111" t="s">
        <v>83</v>
      </c>
      <c r="L920" s="116"/>
      <c r="M920" s="116">
        <v>0.17</v>
      </c>
      <c r="N920" s="113">
        <v>0</v>
      </c>
      <c r="O920" s="114" t="s">
        <v>83</v>
      </c>
      <c r="P920" s="110">
        <f t="shared" si="597"/>
        <v>0</v>
      </c>
      <c r="Q920" s="114" t="s">
        <v>83</v>
      </c>
      <c r="R920" s="115">
        <f t="shared" si="598"/>
        <v>0</v>
      </c>
      <c r="S920" s="16">
        <f t="shared" si="565"/>
        <v>0</v>
      </c>
    </row>
    <row r="921" spans="1:19" s="63" customFormat="1" x14ac:dyDescent="0.2">
      <c r="A921" s="204" t="s">
        <v>1048</v>
      </c>
      <c r="B921" s="63" t="s">
        <v>25</v>
      </c>
      <c r="C921" s="110"/>
      <c r="D921" s="111" t="s">
        <v>83</v>
      </c>
      <c r="E921" s="112">
        <v>1</v>
      </c>
      <c r="F921" s="113">
        <v>1</v>
      </c>
      <c r="G921" s="114" t="s">
        <v>20</v>
      </c>
      <c r="H921" s="113">
        <v>20</v>
      </c>
      <c r="I921" s="114" t="s">
        <v>83</v>
      </c>
      <c r="J921" s="115">
        <v>122400</v>
      </c>
      <c r="K921" s="111" t="s">
        <v>83</v>
      </c>
      <c r="L921" s="116"/>
      <c r="M921" s="116">
        <v>0.17</v>
      </c>
      <c r="N921" s="113">
        <v>20</v>
      </c>
      <c r="O921" s="114" t="s">
        <v>83</v>
      </c>
      <c r="P921" s="110">
        <f t="shared" ref="P921" si="602">(C921+(E921*F921*H921))-N921</f>
        <v>0</v>
      </c>
      <c r="Q921" s="114" t="s">
        <v>83</v>
      </c>
      <c r="R921" s="115">
        <f t="shared" ref="R921" si="603">P921*(J921-(J921*L921)-((J921-(J921*L921))*M921))</f>
        <v>0</v>
      </c>
      <c r="S921" s="16">
        <f t="shared" ref="S921" si="604">R921/1.11</f>
        <v>0</v>
      </c>
    </row>
    <row r="922" spans="1:19" s="63" customFormat="1" x14ac:dyDescent="0.2">
      <c r="A922" s="104" t="s">
        <v>656</v>
      </c>
      <c r="B922" s="63" t="s">
        <v>25</v>
      </c>
      <c r="C922" s="110">
        <v>60</v>
      </c>
      <c r="D922" s="111" t="s">
        <v>83</v>
      </c>
      <c r="E922" s="112">
        <v>7</v>
      </c>
      <c r="F922" s="113">
        <v>1</v>
      </c>
      <c r="G922" s="114" t="s">
        <v>20</v>
      </c>
      <c r="H922" s="113">
        <v>20</v>
      </c>
      <c r="I922" s="114" t="s">
        <v>83</v>
      </c>
      <c r="J922" s="115">
        <f>2448000/20</f>
        <v>122400</v>
      </c>
      <c r="K922" s="111" t="s">
        <v>83</v>
      </c>
      <c r="L922" s="116"/>
      <c r="M922" s="116">
        <v>0.17</v>
      </c>
      <c r="N922" s="113">
        <v>200</v>
      </c>
      <c r="O922" s="114" t="s">
        <v>83</v>
      </c>
      <c r="P922" s="110">
        <f t="shared" si="597"/>
        <v>0</v>
      </c>
      <c r="Q922" s="114" t="s">
        <v>83</v>
      </c>
      <c r="R922" s="115">
        <f t="shared" si="598"/>
        <v>0</v>
      </c>
      <c r="S922" s="16">
        <f t="shared" si="565"/>
        <v>0</v>
      </c>
    </row>
    <row r="923" spans="1:19" s="63" customFormat="1" x14ac:dyDescent="0.2">
      <c r="A923" s="104" t="s">
        <v>428</v>
      </c>
      <c r="B923" s="63" t="s">
        <v>25</v>
      </c>
      <c r="C923" s="110">
        <v>20</v>
      </c>
      <c r="D923" s="111" t="s">
        <v>83</v>
      </c>
      <c r="E923" s="112">
        <v>26</v>
      </c>
      <c r="F923" s="113">
        <v>1</v>
      </c>
      <c r="G923" s="114" t="s">
        <v>20</v>
      </c>
      <c r="H923" s="113">
        <v>20</v>
      </c>
      <c r="I923" s="114" t="s">
        <v>83</v>
      </c>
      <c r="J923" s="115">
        <f>2112000/20</f>
        <v>105600</v>
      </c>
      <c r="K923" s="111" t="s">
        <v>83</v>
      </c>
      <c r="L923" s="116"/>
      <c r="M923" s="116">
        <v>0.17</v>
      </c>
      <c r="N923" s="113">
        <v>540</v>
      </c>
      <c r="O923" s="114" t="s">
        <v>83</v>
      </c>
      <c r="P923" s="110">
        <f t="shared" si="597"/>
        <v>0</v>
      </c>
      <c r="Q923" s="114" t="s">
        <v>83</v>
      </c>
      <c r="R923" s="115">
        <f t="shared" si="598"/>
        <v>0</v>
      </c>
      <c r="S923" s="16">
        <f t="shared" si="565"/>
        <v>0</v>
      </c>
    </row>
    <row r="924" spans="1:19" s="63" customFormat="1" x14ac:dyDescent="0.2">
      <c r="A924" s="104" t="s">
        <v>429</v>
      </c>
      <c r="B924" s="63" t="s">
        <v>25</v>
      </c>
      <c r="C924" s="110"/>
      <c r="D924" s="111" t="s">
        <v>83</v>
      </c>
      <c r="E924" s="112">
        <v>3</v>
      </c>
      <c r="F924" s="113">
        <v>1</v>
      </c>
      <c r="G924" s="114" t="s">
        <v>20</v>
      </c>
      <c r="H924" s="113">
        <v>20</v>
      </c>
      <c r="I924" s="114" t="s">
        <v>83</v>
      </c>
      <c r="J924" s="115">
        <f>2448000/20</f>
        <v>122400</v>
      </c>
      <c r="K924" s="111" t="s">
        <v>83</v>
      </c>
      <c r="L924" s="116"/>
      <c r="M924" s="116">
        <v>0.17</v>
      </c>
      <c r="N924" s="113">
        <v>60</v>
      </c>
      <c r="O924" s="114" t="s">
        <v>83</v>
      </c>
      <c r="P924" s="110">
        <f t="shared" si="597"/>
        <v>0</v>
      </c>
      <c r="Q924" s="114" t="s">
        <v>83</v>
      </c>
      <c r="R924" s="115">
        <f t="shared" si="598"/>
        <v>0</v>
      </c>
      <c r="S924" s="16">
        <f t="shared" si="565"/>
        <v>0</v>
      </c>
    </row>
    <row r="925" spans="1:19" s="63" customFormat="1" x14ac:dyDescent="0.2">
      <c r="A925" s="104" t="s">
        <v>430</v>
      </c>
      <c r="B925" s="63" t="s">
        <v>25</v>
      </c>
      <c r="C925" s="110">
        <v>20</v>
      </c>
      <c r="D925" s="111" t="s">
        <v>83</v>
      </c>
      <c r="E925" s="112"/>
      <c r="F925" s="113">
        <v>1</v>
      </c>
      <c r="G925" s="114" t="s">
        <v>20</v>
      </c>
      <c r="H925" s="113">
        <v>20</v>
      </c>
      <c r="I925" s="114" t="s">
        <v>83</v>
      </c>
      <c r="J925" s="115">
        <f>2256000/20</f>
        <v>112800</v>
      </c>
      <c r="K925" s="111" t="s">
        <v>83</v>
      </c>
      <c r="L925" s="116"/>
      <c r="M925" s="116">
        <v>0.17</v>
      </c>
      <c r="N925" s="113">
        <v>20</v>
      </c>
      <c r="O925" s="114" t="s">
        <v>83</v>
      </c>
      <c r="P925" s="110">
        <f t="shared" si="597"/>
        <v>0</v>
      </c>
      <c r="Q925" s="114" t="s">
        <v>83</v>
      </c>
      <c r="R925" s="115">
        <f t="shared" si="598"/>
        <v>0</v>
      </c>
      <c r="S925" s="16">
        <f t="shared" si="565"/>
        <v>0</v>
      </c>
    </row>
    <row r="926" spans="1:19" s="63" customFormat="1" x14ac:dyDescent="0.2">
      <c r="A926" s="104" t="s">
        <v>431</v>
      </c>
      <c r="B926" s="63" t="s">
        <v>25</v>
      </c>
      <c r="C926" s="117"/>
      <c r="D926" s="111" t="s">
        <v>83</v>
      </c>
      <c r="E926" s="112">
        <v>1</v>
      </c>
      <c r="F926" s="113">
        <v>1</v>
      </c>
      <c r="G926" s="114" t="s">
        <v>20</v>
      </c>
      <c r="H926" s="113">
        <v>20</v>
      </c>
      <c r="I926" s="114" t="s">
        <v>83</v>
      </c>
      <c r="J926" s="115">
        <f>8500*12</f>
        <v>102000</v>
      </c>
      <c r="K926" s="111" t="s">
        <v>83</v>
      </c>
      <c r="L926" s="116"/>
      <c r="M926" s="116">
        <v>0.17</v>
      </c>
      <c r="N926" s="210">
        <v>20</v>
      </c>
      <c r="O926" s="114" t="s">
        <v>83</v>
      </c>
      <c r="P926" s="110">
        <f t="shared" si="597"/>
        <v>0</v>
      </c>
      <c r="Q926" s="114" t="s">
        <v>83</v>
      </c>
      <c r="R926" s="115">
        <f t="shared" si="598"/>
        <v>0</v>
      </c>
      <c r="S926" s="16">
        <f t="shared" si="565"/>
        <v>0</v>
      </c>
    </row>
    <row r="927" spans="1:19" s="72" customFormat="1" x14ac:dyDescent="0.2">
      <c r="A927" s="104" t="s">
        <v>999</v>
      </c>
      <c r="B927" s="72" t="s">
        <v>25</v>
      </c>
      <c r="C927" s="117"/>
      <c r="D927" s="193" t="s">
        <v>83</v>
      </c>
      <c r="E927" s="194">
        <v>2</v>
      </c>
      <c r="F927" s="195">
        <v>1</v>
      </c>
      <c r="G927" s="103" t="s">
        <v>20</v>
      </c>
      <c r="H927" s="195">
        <v>20</v>
      </c>
      <c r="I927" s="103" t="s">
        <v>83</v>
      </c>
      <c r="J927" s="56">
        <v>105600</v>
      </c>
      <c r="K927" s="193" t="s">
        <v>83</v>
      </c>
      <c r="L927" s="196"/>
      <c r="M927" s="196">
        <v>0.17</v>
      </c>
      <c r="N927" s="211">
        <v>40</v>
      </c>
      <c r="O927" s="103" t="s">
        <v>83</v>
      </c>
      <c r="P927" s="117">
        <f t="shared" ref="P927" si="605">(C927+(E927*F927*H927))-N927</f>
        <v>0</v>
      </c>
      <c r="Q927" s="103" t="s">
        <v>83</v>
      </c>
      <c r="R927" s="56">
        <f t="shared" ref="R927" si="606">P927*(J927-(J927*L927)-((J927-(J927*L927))*M927))</f>
        <v>0</v>
      </c>
      <c r="S927" s="78">
        <f t="shared" ref="S927" si="607">R927/1.11</f>
        <v>0</v>
      </c>
    </row>
    <row r="928" spans="1:19" s="63" customFormat="1" x14ac:dyDescent="0.2">
      <c r="A928" s="104" t="s">
        <v>432</v>
      </c>
      <c r="B928" s="63" t="s">
        <v>25</v>
      </c>
      <c r="C928" s="117"/>
      <c r="D928" s="111" t="s">
        <v>83</v>
      </c>
      <c r="E928" s="112"/>
      <c r="F928" s="113">
        <v>1</v>
      </c>
      <c r="G928" s="114" t="s">
        <v>20</v>
      </c>
      <c r="H928" s="113">
        <v>20</v>
      </c>
      <c r="I928" s="114" t="s">
        <v>83</v>
      </c>
      <c r="J928" s="115">
        <v>103200</v>
      </c>
      <c r="K928" s="111" t="s">
        <v>83</v>
      </c>
      <c r="L928" s="116"/>
      <c r="M928" s="116">
        <v>0.17</v>
      </c>
      <c r="N928" s="113">
        <v>0</v>
      </c>
      <c r="O928" s="114" t="s">
        <v>83</v>
      </c>
      <c r="P928" s="110">
        <f t="shared" si="597"/>
        <v>0</v>
      </c>
      <c r="Q928" s="114" t="s">
        <v>83</v>
      </c>
      <c r="R928" s="115">
        <f t="shared" si="598"/>
        <v>0</v>
      </c>
      <c r="S928" s="16">
        <f t="shared" si="565"/>
        <v>0</v>
      </c>
    </row>
    <row r="929" spans="1:19" s="64" customFormat="1" x14ac:dyDescent="0.2">
      <c r="A929" s="63" t="s">
        <v>433</v>
      </c>
      <c r="B929" s="64" t="s">
        <v>25</v>
      </c>
      <c r="C929" s="71"/>
      <c r="D929" s="66" t="s">
        <v>83</v>
      </c>
      <c r="E929" s="67"/>
      <c r="F929" s="68">
        <v>1</v>
      </c>
      <c r="G929" s="69" t="s">
        <v>20</v>
      </c>
      <c r="H929" s="68">
        <v>20</v>
      </c>
      <c r="I929" s="69" t="s">
        <v>83</v>
      </c>
      <c r="J929" s="16">
        <f>1980000/20</f>
        <v>99000</v>
      </c>
      <c r="K929" s="66" t="s">
        <v>83</v>
      </c>
      <c r="L929" s="70"/>
      <c r="M929" s="70">
        <v>0.17</v>
      </c>
      <c r="N929" s="68">
        <v>0</v>
      </c>
      <c r="O929" s="69" t="s">
        <v>83</v>
      </c>
      <c r="P929" s="65">
        <f t="shared" si="597"/>
        <v>0</v>
      </c>
      <c r="Q929" s="69" t="s">
        <v>83</v>
      </c>
      <c r="R929" s="16">
        <f t="shared" si="598"/>
        <v>0</v>
      </c>
      <c r="S929" s="16">
        <f t="shared" si="565"/>
        <v>0</v>
      </c>
    </row>
    <row r="930" spans="1:19" s="72" customFormat="1" x14ac:dyDescent="0.2">
      <c r="A930" s="104" t="s">
        <v>434</v>
      </c>
      <c r="B930" s="72" t="s">
        <v>25</v>
      </c>
      <c r="C930" s="117">
        <v>115</v>
      </c>
      <c r="D930" s="193" t="s">
        <v>83</v>
      </c>
      <c r="E930" s="194">
        <v>15</v>
      </c>
      <c r="F930" s="195">
        <v>1</v>
      </c>
      <c r="G930" s="103" t="s">
        <v>20</v>
      </c>
      <c r="H930" s="195">
        <v>20</v>
      </c>
      <c r="I930" s="103" t="s">
        <v>83</v>
      </c>
      <c r="J930" s="56">
        <f>2208000/20</f>
        <v>110400</v>
      </c>
      <c r="K930" s="193" t="s">
        <v>83</v>
      </c>
      <c r="L930" s="196"/>
      <c r="M930" s="196">
        <v>0.17</v>
      </c>
      <c r="N930" s="195">
        <v>415</v>
      </c>
      <c r="O930" s="103" t="s">
        <v>83</v>
      </c>
      <c r="P930" s="117">
        <f t="shared" si="597"/>
        <v>0</v>
      </c>
      <c r="Q930" s="103" t="s">
        <v>83</v>
      </c>
      <c r="R930" s="56">
        <f t="shared" si="598"/>
        <v>0</v>
      </c>
      <c r="S930" s="78">
        <f t="shared" si="565"/>
        <v>0</v>
      </c>
    </row>
    <row r="931" spans="1:19" s="72" customFormat="1" x14ac:dyDescent="0.2">
      <c r="A931" s="104" t="s">
        <v>435</v>
      </c>
      <c r="B931" s="72" t="s">
        <v>25</v>
      </c>
      <c r="C931" s="117">
        <v>96</v>
      </c>
      <c r="D931" s="193" t="s">
        <v>83</v>
      </c>
      <c r="E931" s="194">
        <v>16</v>
      </c>
      <c r="F931" s="195">
        <v>1</v>
      </c>
      <c r="G931" s="103" t="s">
        <v>20</v>
      </c>
      <c r="H931" s="195">
        <v>20</v>
      </c>
      <c r="I931" s="103" t="s">
        <v>83</v>
      </c>
      <c r="J931" s="56">
        <f>2208000/20</f>
        <v>110400</v>
      </c>
      <c r="K931" s="193" t="s">
        <v>83</v>
      </c>
      <c r="L931" s="196"/>
      <c r="M931" s="196">
        <v>0.17</v>
      </c>
      <c r="N931" s="195">
        <v>416</v>
      </c>
      <c r="O931" s="103" t="s">
        <v>83</v>
      </c>
      <c r="P931" s="117">
        <f t="shared" si="597"/>
        <v>0</v>
      </c>
      <c r="Q931" s="103" t="s">
        <v>83</v>
      </c>
      <c r="R931" s="56">
        <f t="shared" si="598"/>
        <v>0</v>
      </c>
      <c r="S931" s="78">
        <f t="shared" si="565"/>
        <v>0</v>
      </c>
    </row>
    <row r="932" spans="1:19" s="17" customFormat="1" x14ac:dyDescent="0.2">
      <c r="A932" s="137" t="s">
        <v>1047</v>
      </c>
      <c r="B932" s="17" t="s">
        <v>25</v>
      </c>
      <c r="C932" s="48"/>
      <c r="D932" s="49" t="s">
        <v>83</v>
      </c>
      <c r="E932" s="32">
        <v>1</v>
      </c>
      <c r="F932" s="50">
        <v>1</v>
      </c>
      <c r="G932" s="51" t="s">
        <v>20</v>
      </c>
      <c r="H932" s="50">
        <v>20</v>
      </c>
      <c r="I932" s="51" t="s">
        <v>83</v>
      </c>
      <c r="J932" s="138">
        <v>112800</v>
      </c>
      <c r="K932" s="49" t="s">
        <v>83</v>
      </c>
      <c r="L932" s="53"/>
      <c r="M932" s="53">
        <v>0.17</v>
      </c>
      <c r="N932" s="50"/>
      <c r="O932" s="51" t="s">
        <v>83</v>
      </c>
      <c r="P932" s="48">
        <f t="shared" ref="P932" si="608">(C932+(E932*F932*H932))-N932</f>
        <v>20</v>
      </c>
      <c r="Q932" s="51" t="s">
        <v>83</v>
      </c>
      <c r="R932" s="52">
        <f t="shared" ref="R932" si="609">P932*(J932-(J932*L932)-((J932-(J932*L932))*M932))</f>
        <v>1872480</v>
      </c>
      <c r="S932" s="8">
        <f t="shared" ref="S932" si="610">R932/1.11</f>
        <v>1686918.9189189188</v>
      </c>
    </row>
    <row r="933" spans="1:19" s="63" customFormat="1" x14ac:dyDescent="0.2">
      <c r="A933" s="192" t="s">
        <v>1047</v>
      </c>
      <c r="B933" s="63" t="s">
        <v>25</v>
      </c>
      <c r="C933" s="110">
        <v>19</v>
      </c>
      <c r="D933" s="111" t="s">
        <v>83</v>
      </c>
      <c r="E933" s="112"/>
      <c r="F933" s="113">
        <v>1</v>
      </c>
      <c r="G933" s="114" t="s">
        <v>20</v>
      </c>
      <c r="H933" s="113">
        <v>20</v>
      </c>
      <c r="I933" s="114" t="s">
        <v>83</v>
      </c>
      <c r="J933" s="212">
        <f>2112000/20</f>
        <v>105600</v>
      </c>
      <c r="K933" s="111" t="s">
        <v>83</v>
      </c>
      <c r="L933" s="116"/>
      <c r="M933" s="116">
        <v>0.17</v>
      </c>
      <c r="N933" s="113">
        <v>19</v>
      </c>
      <c r="O933" s="114" t="s">
        <v>83</v>
      </c>
      <c r="P933" s="110">
        <f t="shared" si="597"/>
        <v>0</v>
      </c>
      <c r="Q933" s="114" t="s">
        <v>83</v>
      </c>
      <c r="R933" s="115">
        <f t="shared" si="598"/>
        <v>0</v>
      </c>
      <c r="S933" s="16">
        <f t="shared" si="565"/>
        <v>0</v>
      </c>
    </row>
    <row r="934" spans="1:19" s="63" customFormat="1" x14ac:dyDescent="0.2">
      <c r="A934" s="104" t="s">
        <v>436</v>
      </c>
      <c r="B934" s="63" t="s">
        <v>25</v>
      </c>
      <c r="C934" s="110"/>
      <c r="D934" s="111" t="s">
        <v>83</v>
      </c>
      <c r="E934" s="112">
        <v>2</v>
      </c>
      <c r="F934" s="113">
        <v>1</v>
      </c>
      <c r="G934" s="114" t="s">
        <v>20</v>
      </c>
      <c r="H934" s="113">
        <v>20</v>
      </c>
      <c r="I934" s="114" t="s">
        <v>83</v>
      </c>
      <c r="J934" s="115">
        <f>2160000/20</f>
        <v>108000</v>
      </c>
      <c r="K934" s="111" t="s">
        <v>83</v>
      </c>
      <c r="L934" s="116"/>
      <c r="M934" s="116">
        <v>0.17</v>
      </c>
      <c r="N934" s="113">
        <v>40</v>
      </c>
      <c r="O934" s="114" t="s">
        <v>83</v>
      </c>
      <c r="P934" s="110">
        <f t="shared" si="597"/>
        <v>0</v>
      </c>
      <c r="Q934" s="114" t="s">
        <v>83</v>
      </c>
      <c r="R934" s="115">
        <f t="shared" si="598"/>
        <v>0</v>
      </c>
      <c r="S934" s="16">
        <f t="shared" si="565"/>
        <v>0</v>
      </c>
    </row>
    <row r="935" spans="1:19" s="63" customFormat="1" x14ac:dyDescent="0.2">
      <c r="A935" s="104" t="s">
        <v>437</v>
      </c>
      <c r="B935" s="63" t="s">
        <v>25</v>
      </c>
      <c r="C935" s="110"/>
      <c r="D935" s="111" t="s">
        <v>83</v>
      </c>
      <c r="E935" s="112">
        <v>20</v>
      </c>
      <c r="F935" s="113">
        <v>1</v>
      </c>
      <c r="G935" s="114" t="s">
        <v>20</v>
      </c>
      <c r="H935" s="113">
        <v>20</v>
      </c>
      <c r="I935" s="114" t="s">
        <v>83</v>
      </c>
      <c r="J935" s="115">
        <f>2160000/20</f>
        <v>108000</v>
      </c>
      <c r="K935" s="111" t="s">
        <v>83</v>
      </c>
      <c r="L935" s="116"/>
      <c r="M935" s="116">
        <v>0.17</v>
      </c>
      <c r="N935" s="113">
        <v>400</v>
      </c>
      <c r="O935" s="114" t="s">
        <v>83</v>
      </c>
      <c r="P935" s="110">
        <f t="shared" si="597"/>
        <v>0</v>
      </c>
      <c r="Q935" s="114" t="s">
        <v>83</v>
      </c>
      <c r="R935" s="115">
        <f t="shared" si="598"/>
        <v>0</v>
      </c>
      <c r="S935" s="16">
        <f t="shared" si="565"/>
        <v>0</v>
      </c>
    </row>
    <row r="936" spans="1:19" s="63" customFormat="1" x14ac:dyDescent="0.2">
      <c r="A936" s="104" t="s">
        <v>709</v>
      </c>
      <c r="B936" s="63" t="s">
        <v>25</v>
      </c>
      <c r="C936" s="110"/>
      <c r="D936" s="111" t="s">
        <v>83</v>
      </c>
      <c r="E936" s="112">
        <v>10</v>
      </c>
      <c r="F936" s="113">
        <v>1</v>
      </c>
      <c r="G936" s="114" t="s">
        <v>20</v>
      </c>
      <c r="H936" s="113">
        <v>20</v>
      </c>
      <c r="I936" s="114" t="s">
        <v>83</v>
      </c>
      <c r="J936" s="115">
        <f>2256000/20</f>
        <v>112800</v>
      </c>
      <c r="K936" s="111" t="s">
        <v>83</v>
      </c>
      <c r="L936" s="116"/>
      <c r="M936" s="116">
        <v>0.17</v>
      </c>
      <c r="N936" s="113">
        <v>200</v>
      </c>
      <c r="O936" s="114" t="s">
        <v>83</v>
      </c>
      <c r="P936" s="110">
        <f t="shared" si="597"/>
        <v>0</v>
      </c>
      <c r="Q936" s="114" t="s">
        <v>83</v>
      </c>
      <c r="R936" s="115">
        <f t="shared" si="598"/>
        <v>0</v>
      </c>
      <c r="S936" s="16">
        <f t="shared" si="565"/>
        <v>0</v>
      </c>
    </row>
    <row r="937" spans="1:19" s="72" customFormat="1" x14ac:dyDescent="0.2">
      <c r="A937" s="104" t="s">
        <v>1000</v>
      </c>
      <c r="B937" s="72" t="s">
        <v>25</v>
      </c>
      <c r="C937" s="117"/>
      <c r="D937" s="193" t="s">
        <v>83</v>
      </c>
      <c r="E937" s="194">
        <v>2</v>
      </c>
      <c r="F937" s="195">
        <v>1</v>
      </c>
      <c r="G937" s="103" t="s">
        <v>20</v>
      </c>
      <c r="H937" s="195">
        <v>20</v>
      </c>
      <c r="I937" s="103" t="s">
        <v>83</v>
      </c>
      <c r="J937" s="56">
        <v>120000</v>
      </c>
      <c r="K937" s="193" t="s">
        <v>83</v>
      </c>
      <c r="L937" s="196"/>
      <c r="M937" s="196">
        <v>0.17</v>
      </c>
      <c r="N937" s="195">
        <v>40</v>
      </c>
      <c r="O937" s="103" t="s">
        <v>83</v>
      </c>
      <c r="P937" s="117">
        <f t="shared" ref="P937" si="611">(C937+(E937*F937*H937))-N937</f>
        <v>0</v>
      </c>
      <c r="Q937" s="103" t="s">
        <v>83</v>
      </c>
      <c r="R937" s="56">
        <f t="shared" ref="R937" si="612">P937*(J937-(J937*L937)-((J937-(J937*L937))*M937))</f>
        <v>0</v>
      </c>
      <c r="S937" s="78">
        <f t="shared" ref="S937" si="613">R937/1.11</f>
        <v>0</v>
      </c>
    </row>
    <row r="938" spans="1:19" s="63" customFormat="1" x14ac:dyDescent="0.2">
      <c r="A938" s="104" t="s">
        <v>438</v>
      </c>
      <c r="B938" s="63" t="s">
        <v>25</v>
      </c>
      <c r="C938" s="110"/>
      <c r="D938" s="111" t="s">
        <v>83</v>
      </c>
      <c r="E938" s="112">
        <v>3</v>
      </c>
      <c r="F938" s="113">
        <v>1</v>
      </c>
      <c r="G938" s="114" t="s">
        <v>20</v>
      </c>
      <c r="H938" s="113">
        <v>20</v>
      </c>
      <c r="I938" s="114" t="s">
        <v>83</v>
      </c>
      <c r="J938" s="115">
        <f>2112000/20</f>
        <v>105600</v>
      </c>
      <c r="K938" s="111" t="s">
        <v>83</v>
      </c>
      <c r="L938" s="116"/>
      <c r="M938" s="116">
        <v>0.17</v>
      </c>
      <c r="N938" s="113">
        <v>60</v>
      </c>
      <c r="O938" s="114" t="s">
        <v>83</v>
      </c>
      <c r="P938" s="110">
        <f t="shared" si="597"/>
        <v>0</v>
      </c>
      <c r="Q938" s="114" t="s">
        <v>83</v>
      </c>
      <c r="R938" s="115">
        <f t="shared" si="598"/>
        <v>0</v>
      </c>
      <c r="S938" s="16">
        <f t="shared" si="565"/>
        <v>0</v>
      </c>
    </row>
    <row r="939" spans="1:19" s="63" customFormat="1" x14ac:dyDescent="0.2">
      <c r="A939" s="104" t="s">
        <v>439</v>
      </c>
      <c r="B939" s="63" t="s">
        <v>25</v>
      </c>
      <c r="C939" s="110"/>
      <c r="D939" s="111" t="s">
        <v>83</v>
      </c>
      <c r="E939" s="112"/>
      <c r="F939" s="113">
        <v>1</v>
      </c>
      <c r="G939" s="114" t="s">
        <v>20</v>
      </c>
      <c r="H939" s="113">
        <v>20</v>
      </c>
      <c r="I939" s="114" t="s">
        <v>83</v>
      </c>
      <c r="J939" s="115">
        <f>2352000/20</f>
        <v>117600</v>
      </c>
      <c r="K939" s="111" t="s">
        <v>83</v>
      </c>
      <c r="L939" s="116"/>
      <c r="M939" s="116">
        <v>0.17</v>
      </c>
      <c r="N939" s="113">
        <v>0</v>
      </c>
      <c r="O939" s="114" t="s">
        <v>83</v>
      </c>
      <c r="P939" s="110">
        <f t="shared" si="597"/>
        <v>0</v>
      </c>
      <c r="Q939" s="114" t="s">
        <v>83</v>
      </c>
      <c r="R939" s="115">
        <f t="shared" si="598"/>
        <v>0</v>
      </c>
      <c r="S939" s="16">
        <f t="shared" si="565"/>
        <v>0</v>
      </c>
    </row>
    <row r="940" spans="1:19" s="63" customFormat="1" x14ac:dyDescent="0.2">
      <c r="A940" s="104" t="s">
        <v>744</v>
      </c>
      <c r="B940" s="63" t="s">
        <v>25</v>
      </c>
      <c r="C940" s="110"/>
      <c r="D940" s="111" t="s">
        <v>83</v>
      </c>
      <c r="E940" s="112">
        <v>1</v>
      </c>
      <c r="F940" s="113">
        <v>1</v>
      </c>
      <c r="G940" s="114" t="s">
        <v>20</v>
      </c>
      <c r="H940" s="113">
        <v>20</v>
      </c>
      <c r="I940" s="114" t="s">
        <v>83</v>
      </c>
      <c r="J940" s="115">
        <f>2256000/20</f>
        <v>112800</v>
      </c>
      <c r="K940" s="111" t="s">
        <v>83</v>
      </c>
      <c r="L940" s="116"/>
      <c r="M940" s="116">
        <v>0.17</v>
      </c>
      <c r="N940" s="113">
        <v>20</v>
      </c>
      <c r="O940" s="114" t="s">
        <v>83</v>
      </c>
      <c r="P940" s="110">
        <f t="shared" si="597"/>
        <v>0</v>
      </c>
      <c r="Q940" s="114" t="s">
        <v>83</v>
      </c>
      <c r="R940" s="115">
        <f t="shared" si="598"/>
        <v>0</v>
      </c>
      <c r="S940" s="16">
        <f t="shared" si="565"/>
        <v>0</v>
      </c>
    </row>
    <row r="941" spans="1:19" s="17" customFormat="1" x14ac:dyDescent="0.2">
      <c r="A941" s="38"/>
      <c r="C941" s="48"/>
      <c r="D941" s="49"/>
      <c r="E941" s="32"/>
      <c r="F941" s="50"/>
      <c r="G941" s="51"/>
      <c r="H941" s="50"/>
      <c r="I941" s="51"/>
      <c r="J941" s="52"/>
      <c r="K941" s="49"/>
      <c r="L941" s="53"/>
      <c r="M941" s="53"/>
      <c r="N941" s="50"/>
      <c r="O941" s="51"/>
      <c r="P941" s="48"/>
      <c r="Q941" s="51"/>
      <c r="R941" s="52"/>
      <c r="S941" s="8"/>
    </row>
    <row r="942" spans="1:19" s="17" customFormat="1" x14ac:dyDescent="0.2">
      <c r="A942" s="38" t="s">
        <v>440</v>
      </c>
      <c r="B942" s="17" t="s">
        <v>181</v>
      </c>
      <c r="C942" s="48">
        <v>181</v>
      </c>
      <c r="D942" s="49" t="s">
        <v>83</v>
      </c>
      <c r="E942" s="32"/>
      <c r="F942" s="50">
        <v>1</v>
      </c>
      <c r="G942" s="51" t="s">
        <v>20</v>
      </c>
      <c r="H942" s="50">
        <v>30</v>
      </c>
      <c r="I942" s="51" t="s">
        <v>83</v>
      </c>
      <c r="J942" s="52">
        <v>155000</v>
      </c>
      <c r="K942" s="49" t="s">
        <v>83</v>
      </c>
      <c r="L942" s="53"/>
      <c r="M942" s="53"/>
      <c r="N942" s="50">
        <f>181-60</f>
        <v>121</v>
      </c>
      <c r="O942" s="51" t="s">
        <v>83</v>
      </c>
      <c r="P942" s="48">
        <f>(C942+(E942*F942*H942))-N942</f>
        <v>60</v>
      </c>
      <c r="Q942" s="51" t="s">
        <v>83</v>
      </c>
      <c r="R942" s="52">
        <f>P942*(J942-(J942*L942)-((J942-(J942*L942))*M942))</f>
        <v>9300000</v>
      </c>
      <c r="S942" s="8">
        <f t="shared" si="565"/>
        <v>8378378.3783783773</v>
      </c>
    </row>
    <row r="943" spans="1:19" s="17" customFormat="1" x14ac:dyDescent="0.2">
      <c r="A943" s="38" t="s">
        <v>936</v>
      </c>
      <c r="B943" s="17" t="s">
        <v>181</v>
      </c>
      <c r="C943" s="48"/>
      <c r="D943" s="49" t="s">
        <v>33</v>
      </c>
      <c r="E943" s="32">
        <v>30</v>
      </c>
      <c r="F943" s="50">
        <v>1</v>
      </c>
      <c r="G943" s="51" t="s">
        <v>20</v>
      </c>
      <c r="H943" s="50">
        <v>40</v>
      </c>
      <c r="I943" s="51" t="s">
        <v>33</v>
      </c>
      <c r="J943" s="52">
        <v>52703</v>
      </c>
      <c r="K943" s="49" t="s">
        <v>33</v>
      </c>
      <c r="L943" s="53"/>
      <c r="M943" s="53"/>
      <c r="N943" s="50">
        <f>1200-400</f>
        <v>800</v>
      </c>
      <c r="O943" s="51" t="s">
        <v>33</v>
      </c>
      <c r="P943" s="48">
        <f>(C943+(E943*F943*H943))-N943</f>
        <v>400</v>
      </c>
      <c r="Q943" s="51" t="s">
        <v>33</v>
      </c>
      <c r="R943" s="52">
        <f>P943*(J943-(J943*L943)-((J943-(J943*L943))*M943))</f>
        <v>21081200</v>
      </c>
      <c r="S943" s="8">
        <f t="shared" ref="S943" si="614">R943/1.11</f>
        <v>18992072.07207207</v>
      </c>
    </row>
    <row r="944" spans="1:19" s="17" customFormat="1" x14ac:dyDescent="0.2">
      <c r="A944" s="135" t="s">
        <v>936</v>
      </c>
      <c r="B944" s="17" t="s">
        <v>181</v>
      </c>
      <c r="C944" s="48"/>
      <c r="D944" s="49" t="s">
        <v>33</v>
      </c>
      <c r="E944" s="32">
        <v>25</v>
      </c>
      <c r="F944" s="50">
        <v>1</v>
      </c>
      <c r="G944" s="51" t="s">
        <v>20</v>
      </c>
      <c r="H944" s="50">
        <v>40</v>
      </c>
      <c r="I944" s="51" t="s">
        <v>33</v>
      </c>
      <c r="J944" s="52">
        <v>53154</v>
      </c>
      <c r="K944" s="49" t="s">
        <v>33</v>
      </c>
      <c r="L944" s="53"/>
      <c r="M944" s="53"/>
      <c r="N944" s="50"/>
      <c r="O944" s="51" t="s">
        <v>33</v>
      </c>
      <c r="P944" s="48">
        <f>(C944+(E944*F944*H944))-N944</f>
        <v>1000</v>
      </c>
      <c r="Q944" s="51" t="s">
        <v>33</v>
      </c>
      <c r="R944" s="52">
        <f>P944*(J944-(J944*L944)-((J944-(J944*L944))*M944))</f>
        <v>53154000</v>
      </c>
      <c r="S944" s="8">
        <f t="shared" ref="S944" si="615">R944/1.11</f>
        <v>47886486.48648648</v>
      </c>
    </row>
    <row r="945" spans="1:19" s="17" customFormat="1" x14ac:dyDescent="0.2">
      <c r="A945" s="38"/>
      <c r="C945" s="48"/>
      <c r="D945" s="49"/>
      <c r="E945" s="32"/>
      <c r="F945" s="50"/>
      <c r="G945" s="51"/>
      <c r="H945" s="50"/>
      <c r="I945" s="51"/>
      <c r="J945" s="52"/>
      <c r="K945" s="49"/>
      <c r="L945" s="53"/>
      <c r="M945" s="53"/>
      <c r="N945" s="50"/>
      <c r="O945" s="51"/>
      <c r="P945" s="48"/>
      <c r="Q945" s="51"/>
      <c r="R945" s="52"/>
      <c r="S945" s="8"/>
    </row>
    <row r="946" spans="1:19" x14ac:dyDescent="0.2">
      <c r="A946" s="15" t="s">
        <v>441</v>
      </c>
    </row>
    <row r="947" spans="1:19" x14ac:dyDescent="0.2">
      <c r="A947" s="17" t="s">
        <v>442</v>
      </c>
      <c r="B947" s="2" t="s">
        <v>181</v>
      </c>
      <c r="C947" s="3">
        <f>103+118+78</f>
        <v>299</v>
      </c>
      <c r="D947" s="4" t="s">
        <v>33</v>
      </c>
      <c r="F947" s="6">
        <v>1</v>
      </c>
      <c r="G947" s="7" t="s">
        <v>20</v>
      </c>
      <c r="H947" s="6">
        <v>40</v>
      </c>
      <c r="I947" s="7" t="s">
        <v>33</v>
      </c>
      <c r="J947" s="8">
        <v>33600</v>
      </c>
      <c r="K947" s="4" t="s">
        <v>33</v>
      </c>
      <c r="O947" s="7" t="s">
        <v>33</v>
      </c>
      <c r="P947" s="3">
        <f>(C947+(E947*F947*H947))-N947</f>
        <v>299</v>
      </c>
      <c r="Q947" s="7" t="s">
        <v>33</v>
      </c>
      <c r="R947" s="8">
        <f>P947*(J947-(J947*L947)-((J947-(J947*L947))*M947))</f>
        <v>10046400</v>
      </c>
      <c r="S947" s="8">
        <f t="shared" si="565"/>
        <v>9050810.81081081</v>
      </c>
    </row>
    <row r="948" spans="1:19" s="64" customFormat="1" x14ac:dyDescent="0.2">
      <c r="A948" s="63" t="s">
        <v>443</v>
      </c>
      <c r="B948" s="64" t="s">
        <v>181</v>
      </c>
      <c r="C948" s="65"/>
      <c r="D948" s="66" t="s">
        <v>33</v>
      </c>
      <c r="E948" s="67"/>
      <c r="F948" s="68">
        <v>1</v>
      </c>
      <c r="G948" s="69" t="s">
        <v>20</v>
      </c>
      <c r="H948" s="68">
        <v>40</v>
      </c>
      <c r="I948" s="69" t="s">
        <v>33</v>
      </c>
      <c r="J948" s="16">
        <v>33600</v>
      </c>
      <c r="K948" s="66" t="s">
        <v>33</v>
      </c>
      <c r="L948" s="70"/>
      <c r="M948" s="70"/>
      <c r="N948" s="68"/>
      <c r="O948" s="69" t="s">
        <v>33</v>
      </c>
      <c r="P948" s="65">
        <f>(C948+(E948*F948*H948))-N948</f>
        <v>0</v>
      </c>
      <c r="Q948" s="69" t="s">
        <v>33</v>
      </c>
      <c r="R948" s="16">
        <f>P948*(J948-(J948*L948)-((J948-(J948*L948))*M948))</f>
        <v>0</v>
      </c>
      <c r="S948" s="16">
        <f t="shared" si="565"/>
        <v>0</v>
      </c>
    </row>
    <row r="949" spans="1:19" x14ac:dyDescent="0.2">
      <c r="A949" s="17" t="s">
        <v>444</v>
      </c>
      <c r="B949" s="2" t="s">
        <v>181</v>
      </c>
      <c r="C949" s="3">
        <v>318</v>
      </c>
      <c r="D949" s="4" t="s">
        <v>33</v>
      </c>
      <c r="F949" s="6">
        <v>1</v>
      </c>
      <c r="G949" s="7" t="s">
        <v>20</v>
      </c>
      <c r="H949" s="6">
        <v>40</v>
      </c>
      <c r="I949" s="7" t="s">
        <v>33</v>
      </c>
      <c r="J949" s="8">
        <v>33600</v>
      </c>
      <c r="K949" s="4" t="s">
        <v>33</v>
      </c>
      <c r="N949" s="6">
        <f>318-240</f>
        <v>78</v>
      </c>
      <c r="O949" s="7" t="s">
        <v>33</v>
      </c>
      <c r="P949" s="3">
        <f>(C949+(E949*F949*H949))-N949</f>
        <v>240</v>
      </c>
      <c r="Q949" s="7" t="s">
        <v>33</v>
      </c>
      <c r="R949" s="8">
        <f>P949*(J949-(J949*L949)-((J949-(J949*L949))*M949))</f>
        <v>8064000</v>
      </c>
      <c r="S949" s="8">
        <f t="shared" si="565"/>
        <v>7264864.8648648644</v>
      </c>
    </row>
    <row r="950" spans="1:19" s="64" customFormat="1" x14ac:dyDescent="0.2">
      <c r="A950" s="63" t="s">
        <v>445</v>
      </c>
      <c r="B950" s="64" t="s">
        <v>181</v>
      </c>
      <c r="C950" s="71"/>
      <c r="D950" s="66" t="s">
        <v>33</v>
      </c>
      <c r="E950" s="67"/>
      <c r="F950" s="68">
        <v>1</v>
      </c>
      <c r="G950" s="69" t="s">
        <v>20</v>
      </c>
      <c r="H950" s="68">
        <v>40</v>
      </c>
      <c r="I950" s="69" t="s">
        <v>33</v>
      </c>
      <c r="J950" s="16">
        <v>33600</v>
      </c>
      <c r="K950" s="66" t="s">
        <v>33</v>
      </c>
      <c r="L950" s="70"/>
      <c r="M950" s="70"/>
      <c r="N950" s="68"/>
      <c r="O950" s="69" t="s">
        <v>33</v>
      </c>
      <c r="P950" s="65">
        <f>(C950+(E950*F950*H950))-N950</f>
        <v>0</v>
      </c>
      <c r="Q950" s="69" t="s">
        <v>33</v>
      </c>
      <c r="R950" s="16">
        <f>P950*(J950-(J950*L950)-((J950-(J950*L950))*M950))</f>
        <v>0</v>
      </c>
      <c r="S950" s="16">
        <f t="shared" si="565"/>
        <v>0</v>
      </c>
    </row>
    <row r="951" spans="1:19" s="64" customFormat="1" x14ac:dyDescent="0.2">
      <c r="A951" s="63" t="s">
        <v>446</v>
      </c>
      <c r="B951" s="64" t="s">
        <v>181</v>
      </c>
      <c r="C951" s="71"/>
      <c r="D951" s="66" t="s">
        <v>33</v>
      </c>
      <c r="E951" s="67"/>
      <c r="F951" s="68">
        <v>1</v>
      </c>
      <c r="G951" s="69" t="s">
        <v>20</v>
      </c>
      <c r="H951" s="68">
        <v>24</v>
      </c>
      <c r="I951" s="69" t="s">
        <v>33</v>
      </c>
      <c r="J951" s="16">
        <v>38400</v>
      </c>
      <c r="K951" s="66" t="s">
        <v>33</v>
      </c>
      <c r="L951" s="70"/>
      <c r="M951" s="70"/>
      <c r="N951" s="68"/>
      <c r="O951" s="69" t="s">
        <v>33</v>
      </c>
      <c r="P951" s="65">
        <f>(C951+(E951*F951*H951))-N951</f>
        <v>0</v>
      </c>
      <c r="Q951" s="69" t="s">
        <v>33</v>
      </c>
      <c r="R951" s="16">
        <f>P951*(J951-(J951*L951)-((J951-(J951*L951))*M951))</f>
        <v>0</v>
      </c>
      <c r="S951" s="16">
        <f t="shared" si="565"/>
        <v>0</v>
      </c>
    </row>
    <row r="952" spans="1:19" x14ac:dyDescent="0.2">
      <c r="C952" s="20"/>
    </row>
    <row r="953" spans="1:19" x14ac:dyDescent="0.2">
      <c r="A953" s="15" t="s">
        <v>447</v>
      </c>
      <c r="C953" s="20"/>
    </row>
    <row r="954" spans="1:19" x14ac:dyDescent="0.2">
      <c r="A954" s="47" t="s">
        <v>448</v>
      </c>
      <c r="B954" s="2" t="s">
        <v>18</v>
      </c>
      <c r="C954" s="20">
        <v>698</v>
      </c>
      <c r="D954" s="4" t="s">
        <v>83</v>
      </c>
      <c r="F954" s="6">
        <v>1</v>
      </c>
      <c r="G954" s="7" t="s">
        <v>20</v>
      </c>
      <c r="H954" s="6">
        <v>12</v>
      </c>
      <c r="I954" s="7" t="s">
        <v>83</v>
      </c>
      <c r="J954" s="8">
        <v>255600</v>
      </c>
      <c r="K954" s="4" t="s">
        <v>83</v>
      </c>
      <c r="L954" s="9">
        <v>0.125</v>
      </c>
      <c r="M954" s="9">
        <v>0.05</v>
      </c>
      <c r="O954" s="7" t="s">
        <v>83</v>
      </c>
      <c r="P954" s="3">
        <f>(C954+(E954*F954*H954))-N954</f>
        <v>698</v>
      </c>
      <c r="Q954" s="7" t="s">
        <v>83</v>
      </c>
      <c r="R954" s="8">
        <f>P954*(J954-(J954*L954)-((J954-(J954*L954))*M954))</f>
        <v>148302315</v>
      </c>
      <c r="S954" s="8">
        <f t="shared" ref="S954:S955" si="616">R954/1.11</f>
        <v>133605689.18918918</v>
      </c>
    </row>
    <row r="955" spans="1:19" s="64" customFormat="1" x14ac:dyDescent="0.2">
      <c r="A955" s="109" t="s">
        <v>449</v>
      </c>
      <c r="B955" s="64" t="s">
        <v>25</v>
      </c>
      <c r="C955" s="71"/>
      <c r="D955" s="66" t="s">
        <v>40</v>
      </c>
      <c r="E955" s="67"/>
      <c r="F955" s="68">
        <v>12</v>
      </c>
      <c r="G955" s="69" t="s">
        <v>33</v>
      </c>
      <c r="H955" s="68">
        <v>6</v>
      </c>
      <c r="I955" s="69" t="s">
        <v>40</v>
      </c>
      <c r="J955" s="16">
        <v>21000</v>
      </c>
      <c r="K955" s="66" t="s">
        <v>40</v>
      </c>
      <c r="L955" s="70"/>
      <c r="M955" s="70">
        <v>0.17</v>
      </c>
      <c r="N955" s="68"/>
      <c r="O955" s="69" t="s">
        <v>40</v>
      </c>
      <c r="P955" s="65">
        <f>(C955+(E955*F955*H955))-N955</f>
        <v>0</v>
      </c>
      <c r="Q955" s="69" t="s">
        <v>40</v>
      </c>
      <c r="R955" s="16">
        <f>P955*(J955-(J955*L955)-((J955-(J955*L955))*M955))</f>
        <v>0</v>
      </c>
      <c r="S955" s="16">
        <f t="shared" si="616"/>
        <v>0</v>
      </c>
    </row>
    <row r="956" spans="1:19" x14ac:dyDescent="0.2">
      <c r="A956" s="47"/>
      <c r="C956" s="20"/>
    </row>
    <row r="957" spans="1:19" x14ac:dyDescent="0.2">
      <c r="A957" s="15" t="s">
        <v>450</v>
      </c>
      <c r="C957" s="20"/>
    </row>
    <row r="958" spans="1:19" s="64" customFormat="1" x14ac:dyDescent="0.2">
      <c r="A958" s="109" t="s">
        <v>451</v>
      </c>
      <c r="B958" s="64" t="s">
        <v>18</v>
      </c>
      <c r="C958" s="71"/>
      <c r="D958" s="66" t="s">
        <v>40</v>
      </c>
      <c r="E958" s="67"/>
      <c r="F958" s="68">
        <v>1</v>
      </c>
      <c r="G958" s="69" t="s">
        <v>20</v>
      </c>
      <c r="H958" s="68">
        <v>144</v>
      </c>
      <c r="I958" s="69" t="s">
        <v>40</v>
      </c>
      <c r="J958" s="16">
        <v>49200</v>
      </c>
      <c r="K958" s="66" t="s">
        <v>40</v>
      </c>
      <c r="L958" s="70">
        <v>0.125</v>
      </c>
      <c r="M958" s="70">
        <v>0.05</v>
      </c>
      <c r="N958" s="68"/>
      <c r="O958" s="69" t="s">
        <v>40</v>
      </c>
      <c r="P958" s="65">
        <f t="shared" ref="P958:P964" si="617">(C958+(E958*F958*H958))-N958</f>
        <v>0</v>
      </c>
      <c r="Q958" s="69" t="s">
        <v>40</v>
      </c>
      <c r="R958" s="16">
        <f t="shared" ref="R958:R964" si="618">P958*(J958-(J958*L958)-((J958-(J958*L958))*M958))</f>
        <v>0</v>
      </c>
      <c r="S958" s="16">
        <f t="shared" si="565"/>
        <v>0</v>
      </c>
    </row>
    <row r="959" spans="1:19" s="73" customFormat="1" x14ac:dyDescent="0.2">
      <c r="A959" s="109" t="s">
        <v>452</v>
      </c>
      <c r="B959" s="73" t="s">
        <v>18</v>
      </c>
      <c r="C959" s="71"/>
      <c r="D959" s="74" t="s">
        <v>40</v>
      </c>
      <c r="E959" s="75"/>
      <c r="F959" s="76">
        <v>1</v>
      </c>
      <c r="G959" s="77" t="s">
        <v>20</v>
      </c>
      <c r="H959" s="76">
        <v>120</v>
      </c>
      <c r="I959" s="77" t="s">
        <v>40</v>
      </c>
      <c r="J959" s="78">
        <v>30600</v>
      </c>
      <c r="K959" s="74" t="s">
        <v>40</v>
      </c>
      <c r="L959" s="79">
        <v>0.125</v>
      </c>
      <c r="M959" s="79">
        <v>0.05</v>
      </c>
      <c r="N959" s="76"/>
      <c r="O959" s="77" t="s">
        <v>40</v>
      </c>
      <c r="P959" s="71">
        <f t="shared" si="617"/>
        <v>0</v>
      </c>
      <c r="Q959" s="77" t="s">
        <v>40</v>
      </c>
      <c r="R959" s="78">
        <f t="shared" si="618"/>
        <v>0</v>
      </c>
      <c r="S959" s="78">
        <f t="shared" si="565"/>
        <v>0</v>
      </c>
    </row>
    <row r="960" spans="1:19" s="64" customFormat="1" x14ac:dyDescent="0.2">
      <c r="A960" s="109" t="s">
        <v>453</v>
      </c>
      <c r="B960" s="64" t="s">
        <v>18</v>
      </c>
      <c r="C960" s="65">
        <v>108</v>
      </c>
      <c r="D960" s="66" t="s">
        <v>40</v>
      </c>
      <c r="E960" s="67"/>
      <c r="F960" s="68">
        <v>1</v>
      </c>
      <c r="G960" s="69" t="s">
        <v>20</v>
      </c>
      <c r="H960" s="68">
        <v>144</v>
      </c>
      <c r="I960" s="69" t="s">
        <v>40</v>
      </c>
      <c r="J960" s="16">
        <v>23400</v>
      </c>
      <c r="K960" s="66" t="s">
        <v>40</v>
      </c>
      <c r="L960" s="70">
        <v>0.125</v>
      </c>
      <c r="M960" s="70">
        <v>0.05</v>
      </c>
      <c r="N960" s="68">
        <v>108</v>
      </c>
      <c r="O960" s="69" t="s">
        <v>40</v>
      </c>
      <c r="P960" s="65">
        <f t="shared" si="617"/>
        <v>0</v>
      </c>
      <c r="Q960" s="69" t="s">
        <v>40</v>
      </c>
      <c r="R960" s="16">
        <f t="shared" si="618"/>
        <v>0</v>
      </c>
      <c r="S960" s="16">
        <f t="shared" si="565"/>
        <v>0</v>
      </c>
    </row>
    <row r="961" spans="1:19" s="64" customFormat="1" x14ac:dyDescent="0.2">
      <c r="A961" s="109" t="s">
        <v>454</v>
      </c>
      <c r="B961" s="64" t="s">
        <v>18</v>
      </c>
      <c r="C961" s="65"/>
      <c r="D961" s="66" t="s">
        <v>40</v>
      </c>
      <c r="E961" s="67">
        <v>2</v>
      </c>
      <c r="F961" s="68">
        <v>1</v>
      </c>
      <c r="G961" s="69" t="s">
        <v>20</v>
      </c>
      <c r="H961" s="68">
        <v>144</v>
      </c>
      <c r="I961" s="69" t="s">
        <v>40</v>
      </c>
      <c r="J961" s="16">
        <v>40800</v>
      </c>
      <c r="K961" s="66" t="s">
        <v>40</v>
      </c>
      <c r="L961" s="70">
        <v>0.125</v>
      </c>
      <c r="M961" s="70">
        <v>0.05</v>
      </c>
      <c r="N961" s="68">
        <v>288</v>
      </c>
      <c r="O961" s="69" t="s">
        <v>40</v>
      </c>
      <c r="P961" s="65">
        <f t="shared" si="617"/>
        <v>0</v>
      </c>
      <c r="Q961" s="69" t="s">
        <v>40</v>
      </c>
      <c r="R961" s="16">
        <f t="shared" si="618"/>
        <v>0</v>
      </c>
      <c r="S961" s="16">
        <f t="shared" si="565"/>
        <v>0</v>
      </c>
    </row>
    <row r="962" spans="1:19" s="64" customFormat="1" x14ac:dyDescent="0.2">
      <c r="A962" s="109" t="s">
        <v>733</v>
      </c>
      <c r="B962" s="64" t="s">
        <v>18</v>
      </c>
      <c r="C962" s="65">
        <v>144</v>
      </c>
      <c r="D962" s="66" t="s">
        <v>40</v>
      </c>
      <c r="E962" s="67"/>
      <c r="F962" s="68">
        <v>1</v>
      </c>
      <c r="G962" s="69" t="s">
        <v>20</v>
      </c>
      <c r="H962" s="68">
        <v>144</v>
      </c>
      <c r="I962" s="69" t="s">
        <v>40</v>
      </c>
      <c r="J962" s="16">
        <v>40800</v>
      </c>
      <c r="K962" s="66" t="s">
        <v>40</v>
      </c>
      <c r="L962" s="70">
        <v>0.125</v>
      </c>
      <c r="M962" s="70">
        <v>0.05</v>
      </c>
      <c r="N962" s="68">
        <v>144</v>
      </c>
      <c r="O962" s="69" t="s">
        <v>40</v>
      </c>
      <c r="P962" s="65">
        <f t="shared" si="617"/>
        <v>0</v>
      </c>
      <c r="Q962" s="69" t="s">
        <v>40</v>
      </c>
      <c r="R962" s="16">
        <f t="shared" si="618"/>
        <v>0</v>
      </c>
      <c r="S962" s="16">
        <f t="shared" si="565"/>
        <v>0</v>
      </c>
    </row>
    <row r="963" spans="1:19" s="73" customFormat="1" x14ac:dyDescent="0.2">
      <c r="A963" s="109" t="s">
        <v>455</v>
      </c>
      <c r="B963" s="73" t="s">
        <v>18</v>
      </c>
      <c r="C963" s="71"/>
      <c r="D963" s="74" t="s">
        <v>40</v>
      </c>
      <c r="E963" s="75">
        <v>5</v>
      </c>
      <c r="F963" s="76">
        <v>1</v>
      </c>
      <c r="G963" s="77" t="s">
        <v>20</v>
      </c>
      <c r="H963" s="76">
        <v>144</v>
      </c>
      <c r="I963" s="77" t="s">
        <v>40</v>
      </c>
      <c r="J963" s="78">
        <v>40800</v>
      </c>
      <c r="K963" s="74" t="s">
        <v>40</v>
      </c>
      <c r="L963" s="79">
        <v>0.125</v>
      </c>
      <c r="M963" s="79">
        <v>0.05</v>
      </c>
      <c r="N963" s="76">
        <v>720</v>
      </c>
      <c r="O963" s="77" t="s">
        <v>40</v>
      </c>
      <c r="P963" s="71">
        <f t="shared" ref="P963" si="619">(C963+(E963*F963*H963))-N963</f>
        <v>0</v>
      </c>
      <c r="Q963" s="77" t="s">
        <v>40</v>
      </c>
      <c r="R963" s="78">
        <f t="shared" ref="R963" si="620">P963*(J963-(J963*L963)-((J963-(J963*L963))*M963))</f>
        <v>0</v>
      </c>
      <c r="S963" s="78">
        <f t="shared" ref="S963" si="621">R963/1.11</f>
        <v>0</v>
      </c>
    </row>
    <row r="964" spans="1:19" s="64" customFormat="1" x14ac:dyDescent="0.2">
      <c r="A964" s="109" t="s">
        <v>793</v>
      </c>
      <c r="B964" s="64" t="s">
        <v>18</v>
      </c>
      <c r="C964" s="65"/>
      <c r="D964" s="66" t="s">
        <v>40</v>
      </c>
      <c r="E964" s="67"/>
      <c r="F964" s="68">
        <v>1</v>
      </c>
      <c r="G964" s="69" t="s">
        <v>20</v>
      </c>
      <c r="H964" s="68">
        <v>144</v>
      </c>
      <c r="I964" s="69" t="s">
        <v>40</v>
      </c>
      <c r="J964" s="16">
        <v>25200</v>
      </c>
      <c r="K964" s="66" t="s">
        <v>40</v>
      </c>
      <c r="L964" s="70">
        <v>0.125</v>
      </c>
      <c r="M964" s="70">
        <v>0.05</v>
      </c>
      <c r="N964" s="68">
        <v>0</v>
      </c>
      <c r="O964" s="69" t="s">
        <v>40</v>
      </c>
      <c r="P964" s="65">
        <f t="shared" si="617"/>
        <v>0</v>
      </c>
      <c r="Q964" s="69" t="s">
        <v>40</v>
      </c>
      <c r="R964" s="16">
        <f t="shared" si="618"/>
        <v>0</v>
      </c>
      <c r="S964" s="16">
        <f t="shared" si="565"/>
        <v>0</v>
      </c>
    </row>
    <row r="965" spans="1:19" s="64" customFormat="1" x14ac:dyDescent="0.2">
      <c r="A965" s="109"/>
      <c r="C965" s="65"/>
      <c r="D965" s="66"/>
      <c r="E965" s="67"/>
      <c r="F965" s="68"/>
      <c r="G965" s="69"/>
      <c r="H965" s="68"/>
      <c r="I965" s="69"/>
      <c r="J965" s="16"/>
      <c r="K965" s="66"/>
      <c r="L965" s="70"/>
      <c r="M965" s="70"/>
      <c r="N965" s="68"/>
      <c r="O965" s="69"/>
      <c r="P965" s="65"/>
      <c r="Q965" s="69"/>
      <c r="R965" s="16"/>
      <c r="S965" s="16"/>
    </row>
    <row r="966" spans="1:19" s="64" customFormat="1" x14ac:dyDescent="0.2">
      <c r="A966" s="63" t="s">
        <v>456</v>
      </c>
      <c r="B966" s="64" t="s">
        <v>25</v>
      </c>
      <c r="C966" s="65">
        <v>142</v>
      </c>
      <c r="D966" s="66" t="s">
        <v>40</v>
      </c>
      <c r="E966" s="67">
        <v>2</v>
      </c>
      <c r="F966" s="68">
        <v>1</v>
      </c>
      <c r="G966" s="69" t="s">
        <v>20</v>
      </c>
      <c r="H966" s="68">
        <v>144</v>
      </c>
      <c r="I966" s="69" t="s">
        <v>40</v>
      </c>
      <c r="J966" s="16">
        <f>6739200/144</f>
        <v>46800</v>
      </c>
      <c r="K966" s="66" t="s">
        <v>40</v>
      </c>
      <c r="L966" s="70"/>
      <c r="M966" s="70">
        <v>0.17</v>
      </c>
      <c r="N966" s="68">
        <v>430</v>
      </c>
      <c r="O966" s="69" t="s">
        <v>40</v>
      </c>
      <c r="P966" s="65">
        <f t="shared" ref="P966:P973" si="622">(C966+(E966*F966*H966))-N966</f>
        <v>0</v>
      </c>
      <c r="Q966" s="69" t="s">
        <v>40</v>
      </c>
      <c r="R966" s="16">
        <f t="shared" ref="R966:R973" si="623">P966*(J966-(J966*L966)-((J966-(J966*L966))*M966))</f>
        <v>0</v>
      </c>
      <c r="S966" s="16">
        <f t="shared" si="565"/>
        <v>0</v>
      </c>
    </row>
    <row r="967" spans="1:19" s="64" customFormat="1" x14ac:dyDescent="0.2">
      <c r="A967" s="184" t="s">
        <v>456</v>
      </c>
      <c r="B967" s="64" t="s">
        <v>25</v>
      </c>
      <c r="C967" s="65"/>
      <c r="D967" s="66" t="s">
        <v>40</v>
      </c>
      <c r="E967" s="67">
        <v>2</v>
      </c>
      <c r="F967" s="68">
        <v>1</v>
      </c>
      <c r="G967" s="69" t="s">
        <v>20</v>
      </c>
      <c r="H967" s="68">
        <v>144</v>
      </c>
      <c r="I967" s="69" t="s">
        <v>40</v>
      </c>
      <c r="J967" s="16">
        <v>51600</v>
      </c>
      <c r="K967" s="66" t="s">
        <v>40</v>
      </c>
      <c r="L967" s="70"/>
      <c r="M967" s="70">
        <v>0.17</v>
      </c>
      <c r="N967" s="68">
        <v>288</v>
      </c>
      <c r="O967" s="69" t="s">
        <v>40</v>
      </c>
      <c r="P967" s="65">
        <f t="shared" si="622"/>
        <v>0</v>
      </c>
      <c r="Q967" s="69" t="s">
        <v>40</v>
      </c>
      <c r="R967" s="16">
        <f t="shared" si="623"/>
        <v>0</v>
      </c>
      <c r="S967" s="16">
        <f t="shared" ref="S967" si="624">R967/1.11</f>
        <v>0</v>
      </c>
    </row>
    <row r="968" spans="1:19" s="64" customFormat="1" x14ac:dyDescent="0.2">
      <c r="A968" s="63" t="s">
        <v>457</v>
      </c>
      <c r="B968" s="64" t="s">
        <v>25</v>
      </c>
      <c r="C968" s="71"/>
      <c r="D968" s="66" t="s">
        <v>40</v>
      </c>
      <c r="E968" s="67"/>
      <c r="F968" s="68">
        <v>1</v>
      </c>
      <c r="G968" s="69" t="s">
        <v>20</v>
      </c>
      <c r="H968" s="68">
        <v>144</v>
      </c>
      <c r="I968" s="69" t="s">
        <v>40</v>
      </c>
      <c r="J968" s="16">
        <f>4492800/144</f>
        <v>31200</v>
      </c>
      <c r="K968" s="66" t="s">
        <v>40</v>
      </c>
      <c r="L968" s="70"/>
      <c r="M968" s="70">
        <v>0.17</v>
      </c>
      <c r="N968" s="68">
        <v>0</v>
      </c>
      <c r="O968" s="69" t="s">
        <v>40</v>
      </c>
      <c r="P968" s="65">
        <f t="shared" si="622"/>
        <v>0</v>
      </c>
      <c r="Q968" s="69" t="s">
        <v>40</v>
      </c>
      <c r="R968" s="16">
        <f t="shared" si="623"/>
        <v>0</v>
      </c>
      <c r="S968" s="16">
        <f t="shared" si="565"/>
        <v>0</v>
      </c>
    </row>
    <row r="969" spans="1:19" s="64" customFormat="1" x14ac:dyDescent="0.2">
      <c r="A969" s="184" t="s">
        <v>457</v>
      </c>
      <c r="B969" s="64" t="s">
        <v>25</v>
      </c>
      <c r="C969" s="71"/>
      <c r="D969" s="66" t="s">
        <v>40</v>
      </c>
      <c r="E969" s="67">
        <v>1</v>
      </c>
      <c r="F969" s="68">
        <v>1</v>
      </c>
      <c r="G969" s="69" t="s">
        <v>20</v>
      </c>
      <c r="H969" s="68">
        <v>144</v>
      </c>
      <c r="I969" s="69" t="s">
        <v>40</v>
      </c>
      <c r="J969" s="16">
        <v>32000</v>
      </c>
      <c r="K969" s="66" t="s">
        <v>40</v>
      </c>
      <c r="L969" s="70"/>
      <c r="M969" s="70">
        <v>0.17</v>
      </c>
      <c r="N969" s="68">
        <v>144</v>
      </c>
      <c r="O969" s="69" t="s">
        <v>40</v>
      </c>
      <c r="P969" s="65">
        <f t="shared" ref="P969" si="625">(C969+(E969*F969*H969))-N969</f>
        <v>0</v>
      </c>
      <c r="Q969" s="69" t="s">
        <v>40</v>
      </c>
      <c r="R969" s="16">
        <f t="shared" ref="R969" si="626">P969*(J969-(J969*L969)-((J969-(J969*L969))*M969))</f>
        <v>0</v>
      </c>
      <c r="S969" s="16">
        <f t="shared" ref="S969" si="627">R969/1.11</f>
        <v>0</v>
      </c>
    </row>
    <row r="970" spans="1:19" s="64" customFormat="1" x14ac:dyDescent="0.2">
      <c r="A970" s="63" t="s">
        <v>458</v>
      </c>
      <c r="B970" s="64" t="s">
        <v>25</v>
      </c>
      <c r="C970" s="71"/>
      <c r="D970" s="66" t="s">
        <v>40</v>
      </c>
      <c r="E970" s="67"/>
      <c r="F970" s="68">
        <v>1</v>
      </c>
      <c r="G970" s="69" t="s">
        <v>20</v>
      </c>
      <c r="H970" s="68">
        <v>144</v>
      </c>
      <c r="I970" s="69" t="s">
        <v>40</v>
      </c>
      <c r="J970" s="16">
        <v>29400</v>
      </c>
      <c r="K970" s="66" t="s">
        <v>40</v>
      </c>
      <c r="L970" s="70"/>
      <c r="M970" s="70">
        <v>0.17</v>
      </c>
      <c r="N970" s="68">
        <v>0</v>
      </c>
      <c r="O970" s="69" t="s">
        <v>40</v>
      </c>
      <c r="P970" s="65">
        <f t="shared" si="622"/>
        <v>0</v>
      </c>
      <c r="Q970" s="69" t="s">
        <v>40</v>
      </c>
      <c r="R970" s="16">
        <f t="shared" si="623"/>
        <v>0</v>
      </c>
      <c r="S970" s="16">
        <f t="shared" si="565"/>
        <v>0</v>
      </c>
    </row>
    <row r="971" spans="1:19" s="64" customFormat="1" x14ac:dyDescent="0.2">
      <c r="A971" s="63" t="s">
        <v>459</v>
      </c>
      <c r="B971" s="64" t="s">
        <v>25</v>
      </c>
      <c r="C971" s="71"/>
      <c r="D971" s="66" t="s">
        <v>40</v>
      </c>
      <c r="E971" s="67"/>
      <c r="F971" s="68">
        <v>1</v>
      </c>
      <c r="G971" s="69" t="s">
        <v>20</v>
      </c>
      <c r="H971" s="68">
        <v>144</v>
      </c>
      <c r="I971" s="69" t="s">
        <v>40</v>
      </c>
      <c r="J971" s="16">
        <f>2764800/144</f>
        <v>19200</v>
      </c>
      <c r="K971" s="66" t="s">
        <v>40</v>
      </c>
      <c r="L971" s="70"/>
      <c r="M971" s="70">
        <v>0.17</v>
      </c>
      <c r="N971" s="68">
        <v>0</v>
      </c>
      <c r="O971" s="69" t="s">
        <v>40</v>
      </c>
      <c r="P971" s="65">
        <f t="shared" si="622"/>
        <v>0</v>
      </c>
      <c r="Q971" s="69" t="s">
        <v>40</v>
      </c>
      <c r="R971" s="16">
        <f t="shared" si="623"/>
        <v>0</v>
      </c>
      <c r="S971" s="16">
        <f t="shared" ref="S971:S1120" si="628">R971/1.11</f>
        <v>0</v>
      </c>
    </row>
    <row r="972" spans="1:19" s="64" customFormat="1" x14ac:dyDescent="0.2">
      <c r="A972" s="184" t="s">
        <v>459</v>
      </c>
      <c r="B972" s="64" t="s">
        <v>25</v>
      </c>
      <c r="C972" s="71"/>
      <c r="D972" s="66" t="s">
        <v>40</v>
      </c>
      <c r="E972" s="67">
        <v>1</v>
      </c>
      <c r="F972" s="68">
        <v>1</v>
      </c>
      <c r="G972" s="69" t="s">
        <v>20</v>
      </c>
      <c r="H972" s="68">
        <v>144</v>
      </c>
      <c r="I972" s="69" t="s">
        <v>40</v>
      </c>
      <c r="J972" s="16">
        <v>22200</v>
      </c>
      <c r="K972" s="66" t="s">
        <v>40</v>
      </c>
      <c r="L972" s="70"/>
      <c r="M972" s="70">
        <v>0.17</v>
      </c>
      <c r="N972" s="68">
        <v>144</v>
      </c>
      <c r="O972" s="69" t="s">
        <v>40</v>
      </c>
      <c r="P972" s="65">
        <f t="shared" si="622"/>
        <v>0</v>
      </c>
      <c r="Q972" s="69" t="s">
        <v>40</v>
      </c>
      <c r="R972" s="16">
        <f t="shared" si="623"/>
        <v>0</v>
      </c>
      <c r="S972" s="16">
        <f t="shared" ref="S972" si="629">R972/1.11</f>
        <v>0</v>
      </c>
    </row>
    <row r="973" spans="1:19" s="64" customFormat="1" x14ac:dyDescent="0.2">
      <c r="A973" s="63" t="s">
        <v>460</v>
      </c>
      <c r="B973" s="64" t="s">
        <v>25</v>
      </c>
      <c r="C973" s="71"/>
      <c r="D973" s="66" t="s">
        <v>40</v>
      </c>
      <c r="E973" s="67"/>
      <c r="F973" s="68">
        <v>1</v>
      </c>
      <c r="G973" s="69" t="s">
        <v>20</v>
      </c>
      <c r="H973" s="68">
        <v>144</v>
      </c>
      <c r="I973" s="69" t="s">
        <v>40</v>
      </c>
      <c r="J973" s="16">
        <f>3369600/144</f>
        <v>23400</v>
      </c>
      <c r="K973" s="66" t="s">
        <v>40</v>
      </c>
      <c r="L973" s="70"/>
      <c r="M973" s="70">
        <v>0.17</v>
      </c>
      <c r="N973" s="68">
        <v>0</v>
      </c>
      <c r="O973" s="69" t="s">
        <v>40</v>
      </c>
      <c r="P973" s="65">
        <f t="shared" si="622"/>
        <v>0</v>
      </c>
      <c r="Q973" s="69" t="s">
        <v>40</v>
      </c>
      <c r="R973" s="16">
        <f t="shared" si="623"/>
        <v>0</v>
      </c>
      <c r="S973" s="16">
        <f t="shared" si="628"/>
        <v>0</v>
      </c>
    </row>
    <row r="974" spans="1:19" s="64" customFormat="1" x14ac:dyDescent="0.2">
      <c r="A974" s="63"/>
      <c r="C974" s="71"/>
      <c r="D974" s="66"/>
      <c r="E974" s="67"/>
      <c r="F974" s="68"/>
      <c r="G974" s="69"/>
      <c r="H974" s="68"/>
      <c r="I974" s="69"/>
      <c r="J974" s="16"/>
      <c r="K974" s="66"/>
      <c r="L974" s="70"/>
      <c r="M974" s="70"/>
      <c r="N974" s="68"/>
      <c r="O974" s="69"/>
      <c r="P974" s="65"/>
      <c r="Q974" s="69"/>
      <c r="R974" s="16"/>
      <c r="S974" s="16"/>
    </row>
    <row r="975" spans="1:19" s="64" customFormat="1" x14ac:dyDescent="0.2">
      <c r="A975" s="63" t="s">
        <v>461</v>
      </c>
      <c r="B975" s="64" t="s">
        <v>260</v>
      </c>
      <c r="C975" s="71"/>
      <c r="D975" s="66" t="s">
        <v>40</v>
      </c>
      <c r="E975" s="67"/>
      <c r="F975" s="68">
        <v>1</v>
      </c>
      <c r="G975" s="69" t="s">
        <v>20</v>
      </c>
      <c r="H975" s="68">
        <v>144</v>
      </c>
      <c r="I975" s="69" t="s">
        <v>40</v>
      </c>
      <c r="J975" s="16">
        <v>12500</v>
      </c>
      <c r="K975" s="66" t="s">
        <v>40</v>
      </c>
      <c r="L975" s="70"/>
      <c r="M975" s="70"/>
      <c r="N975" s="68">
        <v>0</v>
      </c>
      <c r="O975" s="69" t="s">
        <v>40</v>
      </c>
      <c r="P975" s="65">
        <f t="shared" ref="P975:P980" si="630">(C975+(E975*F975*H975))-N975</f>
        <v>0</v>
      </c>
      <c r="Q975" s="69" t="s">
        <v>40</v>
      </c>
      <c r="R975" s="16">
        <f t="shared" ref="R975:R980" si="631">P975*(J975-(J975*L975)-((J975-(J975*L975))*M975))</f>
        <v>0</v>
      </c>
      <c r="S975" s="16">
        <f t="shared" ref="S975:S980" si="632">R975/1.11</f>
        <v>0</v>
      </c>
    </row>
    <row r="976" spans="1:19" s="64" customFormat="1" x14ac:dyDescent="0.2">
      <c r="A976" s="63" t="s">
        <v>462</v>
      </c>
      <c r="B976" s="64" t="s">
        <v>260</v>
      </c>
      <c r="C976" s="71"/>
      <c r="D976" s="66" t="s">
        <v>40</v>
      </c>
      <c r="E976" s="67"/>
      <c r="F976" s="68">
        <v>1</v>
      </c>
      <c r="G976" s="69" t="s">
        <v>20</v>
      </c>
      <c r="H976" s="68">
        <v>144</v>
      </c>
      <c r="I976" s="69" t="s">
        <v>40</v>
      </c>
      <c r="J976" s="16">
        <v>12500</v>
      </c>
      <c r="K976" s="66" t="s">
        <v>40</v>
      </c>
      <c r="L976" s="70"/>
      <c r="M976" s="70"/>
      <c r="N976" s="68">
        <v>0</v>
      </c>
      <c r="O976" s="69" t="s">
        <v>40</v>
      </c>
      <c r="P976" s="65">
        <f t="shared" si="630"/>
        <v>0</v>
      </c>
      <c r="Q976" s="69" t="s">
        <v>40</v>
      </c>
      <c r="R976" s="16">
        <f t="shared" si="631"/>
        <v>0</v>
      </c>
      <c r="S976" s="16">
        <f t="shared" si="632"/>
        <v>0</v>
      </c>
    </row>
    <row r="977" spans="1:19" s="64" customFormat="1" x14ac:dyDescent="0.2">
      <c r="A977" s="184" t="s">
        <v>955</v>
      </c>
      <c r="B977" s="64" t="s">
        <v>260</v>
      </c>
      <c r="C977" s="65"/>
      <c r="D977" s="66" t="s">
        <v>40</v>
      </c>
      <c r="E977" s="67">
        <v>1</v>
      </c>
      <c r="F977" s="68">
        <v>1</v>
      </c>
      <c r="G977" s="69" t="s">
        <v>20</v>
      </c>
      <c r="H977" s="68">
        <v>96</v>
      </c>
      <c r="I977" s="69" t="s">
        <v>40</v>
      </c>
      <c r="J977" s="16">
        <v>29000</v>
      </c>
      <c r="K977" s="66" t="s">
        <v>40</v>
      </c>
      <c r="L977" s="70"/>
      <c r="M977" s="70"/>
      <c r="N977" s="68">
        <v>96</v>
      </c>
      <c r="O977" s="69" t="s">
        <v>40</v>
      </c>
      <c r="P977" s="65">
        <f t="shared" si="630"/>
        <v>0</v>
      </c>
      <c r="Q977" s="69" t="s">
        <v>40</v>
      </c>
      <c r="R977" s="16">
        <f t="shared" si="631"/>
        <v>0</v>
      </c>
      <c r="S977" s="16">
        <f t="shared" si="632"/>
        <v>0</v>
      </c>
    </row>
    <row r="978" spans="1:19" s="64" customFormat="1" x14ac:dyDescent="0.2">
      <c r="A978" s="63" t="s">
        <v>463</v>
      </c>
      <c r="B978" s="64" t="s">
        <v>260</v>
      </c>
      <c r="C978" s="65">
        <v>96</v>
      </c>
      <c r="D978" s="66" t="s">
        <v>40</v>
      </c>
      <c r="E978" s="67"/>
      <c r="F978" s="68">
        <v>1</v>
      </c>
      <c r="G978" s="69" t="s">
        <v>20</v>
      </c>
      <c r="H978" s="68">
        <v>96</v>
      </c>
      <c r="I978" s="69" t="s">
        <v>40</v>
      </c>
      <c r="J978" s="16">
        <v>27500</v>
      </c>
      <c r="K978" s="66" t="s">
        <v>40</v>
      </c>
      <c r="L978" s="70"/>
      <c r="M978" s="70"/>
      <c r="N978" s="68">
        <v>96</v>
      </c>
      <c r="O978" s="69" t="s">
        <v>40</v>
      </c>
      <c r="P978" s="65">
        <f t="shared" si="630"/>
        <v>0</v>
      </c>
      <c r="Q978" s="69" t="s">
        <v>40</v>
      </c>
      <c r="R978" s="16">
        <f t="shared" si="631"/>
        <v>0</v>
      </c>
      <c r="S978" s="16">
        <f t="shared" si="632"/>
        <v>0</v>
      </c>
    </row>
    <row r="979" spans="1:19" s="64" customFormat="1" x14ac:dyDescent="0.2">
      <c r="A979" s="184" t="s">
        <v>1042</v>
      </c>
      <c r="B979" s="64" t="s">
        <v>260</v>
      </c>
      <c r="C979" s="65"/>
      <c r="D979" s="66" t="s">
        <v>40</v>
      </c>
      <c r="E979" s="67">
        <v>1</v>
      </c>
      <c r="F979" s="68">
        <v>1</v>
      </c>
      <c r="G979" s="69" t="s">
        <v>20</v>
      </c>
      <c r="H979" s="68">
        <v>96</v>
      </c>
      <c r="I979" s="69" t="s">
        <v>40</v>
      </c>
      <c r="J979" s="16">
        <v>29000</v>
      </c>
      <c r="K979" s="66" t="s">
        <v>40</v>
      </c>
      <c r="L979" s="70"/>
      <c r="M979" s="70"/>
      <c r="N979" s="68">
        <v>96</v>
      </c>
      <c r="O979" s="69" t="s">
        <v>40</v>
      </c>
      <c r="P979" s="65">
        <f t="shared" si="630"/>
        <v>0</v>
      </c>
      <c r="Q979" s="69" t="s">
        <v>40</v>
      </c>
      <c r="R979" s="16">
        <f t="shared" si="631"/>
        <v>0</v>
      </c>
      <c r="S979" s="16">
        <f t="shared" si="632"/>
        <v>0</v>
      </c>
    </row>
    <row r="980" spans="1:19" s="64" customFormat="1" x14ac:dyDescent="0.2">
      <c r="A980" s="184" t="s">
        <v>956</v>
      </c>
      <c r="B980" s="64" t="s">
        <v>260</v>
      </c>
      <c r="C980" s="65"/>
      <c r="D980" s="66" t="s">
        <v>40</v>
      </c>
      <c r="E980" s="67">
        <v>1</v>
      </c>
      <c r="F980" s="68">
        <v>1</v>
      </c>
      <c r="G980" s="69" t="s">
        <v>20</v>
      </c>
      <c r="H980" s="68">
        <v>144</v>
      </c>
      <c r="I980" s="69" t="s">
        <v>40</v>
      </c>
      <c r="J980" s="16">
        <v>13250</v>
      </c>
      <c r="K980" s="66" t="s">
        <v>40</v>
      </c>
      <c r="L980" s="70"/>
      <c r="M980" s="70"/>
      <c r="N980" s="68">
        <v>144</v>
      </c>
      <c r="O980" s="69" t="s">
        <v>40</v>
      </c>
      <c r="P980" s="65">
        <f t="shared" si="630"/>
        <v>0</v>
      </c>
      <c r="Q980" s="69" t="s">
        <v>40</v>
      </c>
      <c r="R980" s="16">
        <f t="shared" si="631"/>
        <v>0</v>
      </c>
      <c r="S980" s="16">
        <f t="shared" si="632"/>
        <v>0</v>
      </c>
    </row>
    <row r="982" spans="1:19" x14ac:dyDescent="0.2">
      <c r="A982" s="15" t="s">
        <v>664</v>
      </c>
    </row>
    <row r="983" spans="1:19" s="64" customFormat="1" x14ac:dyDescent="0.2">
      <c r="A983" s="109" t="s">
        <v>665</v>
      </c>
      <c r="B983" s="64" t="s">
        <v>18</v>
      </c>
      <c r="C983" s="65"/>
      <c r="D983" s="66" t="s">
        <v>83</v>
      </c>
      <c r="E983" s="67">
        <v>23</v>
      </c>
      <c r="F983" s="68">
        <v>1</v>
      </c>
      <c r="G983" s="69" t="s">
        <v>20</v>
      </c>
      <c r="H983" s="68">
        <v>12</v>
      </c>
      <c r="I983" s="69" t="s">
        <v>83</v>
      </c>
      <c r="J983" s="16">
        <v>176400</v>
      </c>
      <c r="K983" s="66" t="s">
        <v>83</v>
      </c>
      <c r="L983" s="70">
        <v>0.125</v>
      </c>
      <c r="M983" s="70">
        <v>0.05</v>
      </c>
      <c r="N983" s="68">
        <v>276</v>
      </c>
      <c r="O983" s="69" t="s">
        <v>83</v>
      </c>
      <c r="P983" s="65">
        <f t="shared" ref="P983:P988" si="633">(C983+(E983*F983*H983))-N983</f>
        <v>0</v>
      </c>
      <c r="Q983" s="69" t="s">
        <v>83</v>
      </c>
      <c r="R983" s="16">
        <f t="shared" ref="R983:R988" si="634">P983*(J983-(J983*L983)-((J983-(J983*L983))*M983))</f>
        <v>0</v>
      </c>
      <c r="S983" s="16">
        <f t="shared" si="628"/>
        <v>0</v>
      </c>
    </row>
    <row r="984" spans="1:19" s="64" customFormat="1" x14ac:dyDescent="0.2">
      <c r="A984" s="109" t="s">
        <v>666</v>
      </c>
      <c r="B984" s="64" t="s">
        <v>18</v>
      </c>
      <c r="C984" s="65"/>
      <c r="D984" s="66" t="s">
        <v>83</v>
      </c>
      <c r="E984" s="67">
        <v>1</v>
      </c>
      <c r="F984" s="68">
        <v>12</v>
      </c>
      <c r="G984" s="69" t="s">
        <v>33</v>
      </c>
      <c r="H984" s="68">
        <v>1</v>
      </c>
      <c r="I984" s="69" t="s">
        <v>83</v>
      </c>
      <c r="J984" s="16">
        <v>183600</v>
      </c>
      <c r="K984" s="66" t="s">
        <v>83</v>
      </c>
      <c r="L984" s="70">
        <v>0.125</v>
      </c>
      <c r="M984" s="70">
        <v>0.05</v>
      </c>
      <c r="N984" s="68">
        <v>12</v>
      </c>
      <c r="O984" s="69" t="s">
        <v>83</v>
      </c>
      <c r="P984" s="65">
        <f t="shared" si="633"/>
        <v>0</v>
      </c>
      <c r="Q984" s="69" t="s">
        <v>83</v>
      </c>
      <c r="R984" s="16">
        <f t="shared" si="634"/>
        <v>0</v>
      </c>
      <c r="S984" s="16">
        <f t="shared" si="628"/>
        <v>0</v>
      </c>
    </row>
    <row r="985" spans="1:19" s="73" customFormat="1" x14ac:dyDescent="0.2">
      <c r="A985" s="109" t="s">
        <v>667</v>
      </c>
      <c r="B985" s="73" t="s">
        <v>18</v>
      </c>
      <c r="C985" s="71"/>
      <c r="D985" s="74" t="s">
        <v>40</v>
      </c>
      <c r="E985" s="75">
        <v>17</v>
      </c>
      <c r="F985" s="76">
        <v>12</v>
      </c>
      <c r="G985" s="77" t="s">
        <v>83</v>
      </c>
      <c r="H985" s="76">
        <v>12</v>
      </c>
      <c r="I985" s="77" t="s">
        <v>40</v>
      </c>
      <c r="J985" s="78">
        <v>19800</v>
      </c>
      <c r="K985" s="74" t="s">
        <v>40</v>
      </c>
      <c r="L985" s="79">
        <v>0.125</v>
      </c>
      <c r="M985" s="79">
        <v>0.05</v>
      </c>
      <c r="N985" s="76">
        <v>2448</v>
      </c>
      <c r="O985" s="77" t="s">
        <v>40</v>
      </c>
      <c r="P985" s="71">
        <f t="shared" ref="P985" si="635">(C985+(E985*F985*H985))-N985</f>
        <v>0</v>
      </c>
      <c r="Q985" s="77" t="s">
        <v>40</v>
      </c>
      <c r="R985" s="78">
        <f t="shared" ref="R985" si="636">P985*(J985-(J985*L985)-((J985-(J985*L985))*M985))</f>
        <v>0</v>
      </c>
      <c r="S985" s="78">
        <f t="shared" ref="S985" si="637">R985/1.11</f>
        <v>0</v>
      </c>
    </row>
    <row r="986" spans="1:19" s="73" customFormat="1" x14ac:dyDescent="0.2">
      <c r="A986" s="109" t="s">
        <v>668</v>
      </c>
      <c r="B986" s="73" t="s">
        <v>18</v>
      </c>
      <c r="C986" s="71">
        <v>144</v>
      </c>
      <c r="D986" s="74" t="s">
        <v>40</v>
      </c>
      <c r="E986" s="75">
        <v>43</v>
      </c>
      <c r="F986" s="76">
        <v>12</v>
      </c>
      <c r="G986" s="77" t="s">
        <v>83</v>
      </c>
      <c r="H986" s="76">
        <v>6</v>
      </c>
      <c r="I986" s="77" t="s">
        <v>40</v>
      </c>
      <c r="J986" s="78">
        <f>3100*12</f>
        <v>37200</v>
      </c>
      <c r="K986" s="74" t="s">
        <v>40</v>
      </c>
      <c r="L986" s="79">
        <v>0.125</v>
      </c>
      <c r="M986" s="79">
        <v>0.05</v>
      </c>
      <c r="N986" s="76">
        <v>3240</v>
      </c>
      <c r="O986" s="77" t="s">
        <v>40</v>
      </c>
      <c r="P986" s="71">
        <f t="shared" ref="P986" si="638">(C986+(E986*F986*H986))-N986</f>
        <v>0</v>
      </c>
      <c r="Q986" s="77" t="s">
        <v>40</v>
      </c>
      <c r="R986" s="78">
        <f t="shared" ref="R986" si="639">P986*(J986-(J986*L986)-((J986-(J986*L986))*M986))</f>
        <v>0</v>
      </c>
      <c r="S986" s="78">
        <f t="shared" ref="S986" si="640">R986/1.11</f>
        <v>0</v>
      </c>
    </row>
    <row r="987" spans="1:19" s="73" customFormat="1" x14ac:dyDescent="0.2">
      <c r="A987" s="109" t="s">
        <v>669</v>
      </c>
      <c r="B987" s="73" t="s">
        <v>18</v>
      </c>
      <c r="C987" s="71">
        <v>12</v>
      </c>
      <c r="D987" s="74" t="s">
        <v>83</v>
      </c>
      <c r="E987" s="75">
        <v>5</v>
      </c>
      <c r="F987" s="76">
        <v>1</v>
      </c>
      <c r="G987" s="77" t="s">
        <v>20</v>
      </c>
      <c r="H987" s="76">
        <v>12</v>
      </c>
      <c r="I987" s="77" t="s">
        <v>83</v>
      </c>
      <c r="J987" s="78">
        <v>198000</v>
      </c>
      <c r="K987" s="74" t="s">
        <v>83</v>
      </c>
      <c r="L987" s="79">
        <v>0.125</v>
      </c>
      <c r="M987" s="79">
        <v>0.05</v>
      </c>
      <c r="N987" s="76">
        <v>72</v>
      </c>
      <c r="O987" s="77" t="s">
        <v>83</v>
      </c>
      <c r="P987" s="71">
        <f t="shared" ref="P987" si="641">(C987+(E987*F987*H987))-N987</f>
        <v>0</v>
      </c>
      <c r="Q987" s="77" t="s">
        <v>83</v>
      </c>
      <c r="R987" s="78">
        <f t="shared" ref="R987" si="642">P987*(J987-(J987*L987)-((J987-(J987*L987))*M987))</f>
        <v>0</v>
      </c>
      <c r="S987" s="78">
        <f t="shared" ref="S987" si="643">R987/1.11</f>
        <v>0</v>
      </c>
    </row>
    <row r="988" spans="1:19" s="64" customFormat="1" x14ac:dyDescent="0.2">
      <c r="A988" s="109" t="s">
        <v>734</v>
      </c>
      <c r="B988" s="64" t="s">
        <v>18</v>
      </c>
      <c r="C988" s="65">
        <v>10</v>
      </c>
      <c r="D988" s="66" t="s">
        <v>40</v>
      </c>
      <c r="E988" s="67">
        <v>2</v>
      </c>
      <c r="F988" s="68">
        <v>1</v>
      </c>
      <c r="G988" s="69" t="s">
        <v>20</v>
      </c>
      <c r="H988" s="68">
        <v>72</v>
      </c>
      <c r="I988" s="69" t="s">
        <v>40</v>
      </c>
      <c r="J988" s="16">
        <v>39600</v>
      </c>
      <c r="K988" s="66" t="s">
        <v>40</v>
      </c>
      <c r="L988" s="70">
        <v>0.125</v>
      </c>
      <c r="M988" s="70">
        <v>0.05</v>
      </c>
      <c r="N988" s="68">
        <v>154</v>
      </c>
      <c r="O988" s="69" t="s">
        <v>83</v>
      </c>
      <c r="P988" s="65">
        <f t="shared" si="633"/>
        <v>0</v>
      </c>
      <c r="Q988" s="69" t="s">
        <v>83</v>
      </c>
      <c r="R988" s="16">
        <f t="shared" si="634"/>
        <v>0</v>
      </c>
      <c r="S988" s="16">
        <f t="shared" si="628"/>
        <v>0</v>
      </c>
    </row>
    <row r="989" spans="1:19" s="64" customFormat="1" x14ac:dyDescent="0.2">
      <c r="A989" s="109"/>
      <c r="C989" s="65"/>
      <c r="D989" s="66"/>
      <c r="E989" s="67"/>
      <c r="F989" s="68"/>
      <c r="G989" s="69"/>
      <c r="H989" s="68"/>
      <c r="I989" s="69"/>
      <c r="J989" s="16"/>
      <c r="K989" s="66"/>
      <c r="L989" s="70"/>
      <c r="M989" s="70"/>
      <c r="N989" s="68"/>
      <c r="O989" s="69"/>
      <c r="P989" s="65"/>
      <c r="Q989" s="69"/>
      <c r="R989" s="16"/>
      <c r="S989" s="16"/>
    </row>
    <row r="990" spans="1:19" s="64" customFormat="1" x14ac:dyDescent="0.2">
      <c r="A990" s="109" t="s">
        <v>670</v>
      </c>
      <c r="B990" s="64" t="s">
        <v>25</v>
      </c>
      <c r="C990" s="65">
        <v>11</v>
      </c>
      <c r="D990" s="66" t="s">
        <v>83</v>
      </c>
      <c r="E990" s="67">
        <v>9</v>
      </c>
      <c r="F990" s="68">
        <v>1</v>
      </c>
      <c r="G990" s="69" t="s">
        <v>20</v>
      </c>
      <c r="H990" s="68">
        <v>18</v>
      </c>
      <c r="I990" s="69" t="s">
        <v>83</v>
      </c>
      <c r="J990" s="16">
        <f>3240000/18</f>
        <v>180000</v>
      </c>
      <c r="K990" s="66" t="s">
        <v>83</v>
      </c>
      <c r="L990" s="70"/>
      <c r="M990" s="70">
        <v>0.17</v>
      </c>
      <c r="N990" s="68">
        <v>173</v>
      </c>
      <c r="O990" s="69" t="s">
        <v>83</v>
      </c>
      <c r="P990" s="65">
        <f>(C990+(E990*F990*H990))-N990</f>
        <v>0</v>
      </c>
      <c r="Q990" s="69" t="s">
        <v>83</v>
      </c>
      <c r="R990" s="16">
        <f>P990*(J990-(J990*L990)-((J990-(J990*L990))*M990))</f>
        <v>0</v>
      </c>
      <c r="S990" s="16">
        <f t="shared" si="628"/>
        <v>0</v>
      </c>
    </row>
    <row r="991" spans="1:19" s="73" customFormat="1" x14ac:dyDescent="0.2">
      <c r="A991" s="72" t="s">
        <v>671</v>
      </c>
      <c r="B991" s="73" t="s">
        <v>25</v>
      </c>
      <c r="C991" s="71"/>
      <c r="D991" s="74" t="s">
        <v>40</v>
      </c>
      <c r="E991" s="75">
        <v>1</v>
      </c>
      <c r="F991" s="76">
        <v>12</v>
      </c>
      <c r="G991" s="77" t="s">
        <v>83</v>
      </c>
      <c r="H991" s="76">
        <v>12</v>
      </c>
      <c r="I991" s="77" t="s">
        <v>40</v>
      </c>
      <c r="J991" s="78">
        <v>16200</v>
      </c>
      <c r="K991" s="74" t="s">
        <v>40</v>
      </c>
      <c r="L991" s="79"/>
      <c r="M991" s="79">
        <v>0.17</v>
      </c>
      <c r="N991" s="76">
        <v>144</v>
      </c>
      <c r="O991" s="77" t="s">
        <v>40</v>
      </c>
      <c r="P991" s="71">
        <f>(C991+(E991*F991*H991))-N991</f>
        <v>0</v>
      </c>
      <c r="Q991" s="77" t="s">
        <v>40</v>
      </c>
      <c r="R991" s="78">
        <f>P991*(J991-(J991*L991)-((J991-(J991*L991))*M991))</f>
        <v>0</v>
      </c>
      <c r="S991" s="78">
        <f t="shared" ref="S991" si="644">R991/1.11</f>
        <v>0</v>
      </c>
    </row>
    <row r="992" spans="1:19" s="64" customFormat="1" x14ac:dyDescent="0.2">
      <c r="A992" s="63" t="s">
        <v>672</v>
      </c>
      <c r="B992" s="64" t="s">
        <v>25</v>
      </c>
      <c r="C992" s="65">
        <v>144</v>
      </c>
      <c r="D992" s="66" t="s">
        <v>40</v>
      </c>
      <c r="E992" s="67">
        <v>1</v>
      </c>
      <c r="F992" s="68">
        <v>12</v>
      </c>
      <c r="G992" s="69" t="s">
        <v>83</v>
      </c>
      <c r="H992" s="68">
        <v>12</v>
      </c>
      <c r="I992" s="69" t="s">
        <v>40</v>
      </c>
      <c r="J992" s="16">
        <f>2937600/12/12</f>
        <v>20400</v>
      </c>
      <c r="K992" s="66" t="s">
        <v>40</v>
      </c>
      <c r="L992" s="70"/>
      <c r="M992" s="70">
        <v>0.17</v>
      </c>
      <c r="N992" s="68">
        <v>288</v>
      </c>
      <c r="O992" s="69" t="s">
        <v>40</v>
      </c>
      <c r="P992" s="65">
        <f>(C992+(E992*F992*H992))-N992</f>
        <v>0</v>
      </c>
      <c r="Q992" s="69" t="s">
        <v>40</v>
      </c>
      <c r="R992" s="16">
        <f>P992*(J992-(J992*L992)-((J992-(J992*L992))*M992))</f>
        <v>0</v>
      </c>
      <c r="S992" s="16">
        <f t="shared" si="628"/>
        <v>0</v>
      </c>
    </row>
    <row r="994" spans="1:19" x14ac:dyDescent="0.2">
      <c r="A994" s="17" t="s">
        <v>776</v>
      </c>
      <c r="B994" s="2" t="s">
        <v>181</v>
      </c>
      <c r="C994" s="20">
        <v>10520</v>
      </c>
      <c r="D994" s="4" t="s">
        <v>151</v>
      </c>
      <c r="F994" s="6">
        <v>40</v>
      </c>
      <c r="G994" s="7" t="s">
        <v>33</v>
      </c>
      <c r="H994" s="6">
        <f>1600/40</f>
        <v>40</v>
      </c>
      <c r="I994" s="7" t="s">
        <v>151</v>
      </c>
      <c r="J994" s="8">
        <v>1532</v>
      </c>
      <c r="K994" s="4" t="s">
        <v>151</v>
      </c>
      <c r="O994" s="7" t="s">
        <v>151</v>
      </c>
      <c r="P994" s="3">
        <f>(C994+(E994*F994*H994))-N994</f>
        <v>10520</v>
      </c>
      <c r="Q994" s="7" t="s">
        <v>151</v>
      </c>
      <c r="R994" s="8">
        <f>P994*(J994-(J994*L994)-((J994-(J994*L994))*M994))</f>
        <v>16116640</v>
      </c>
      <c r="S994" s="8">
        <f t="shared" si="628"/>
        <v>14519495.495495494</v>
      </c>
    </row>
    <row r="996" spans="1:19" x14ac:dyDescent="0.2">
      <c r="A996" s="15" t="s">
        <v>464</v>
      </c>
    </row>
    <row r="997" spans="1:19" s="73" customFormat="1" x14ac:dyDescent="0.2">
      <c r="A997" s="72" t="s">
        <v>922</v>
      </c>
      <c r="B997" s="73" t="s">
        <v>18</v>
      </c>
      <c r="C997" s="71"/>
      <c r="D997" s="74" t="s">
        <v>151</v>
      </c>
      <c r="E997" s="75">
        <v>3</v>
      </c>
      <c r="F997" s="76">
        <v>12</v>
      </c>
      <c r="G997" s="77" t="s">
        <v>33</v>
      </c>
      <c r="H997" s="76">
        <v>12</v>
      </c>
      <c r="I997" s="77" t="s">
        <v>151</v>
      </c>
      <c r="J997" s="78">
        <v>12200</v>
      </c>
      <c r="K997" s="74" t="s">
        <v>151</v>
      </c>
      <c r="L997" s="79">
        <v>0.125</v>
      </c>
      <c r="M997" s="79">
        <v>0.05</v>
      </c>
      <c r="N997" s="76">
        <v>432</v>
      </c>
      <c r="O997" s="77" t="s">
        <v>151</v>
      </c>
      <c r="P997" s="71">
        <f t="shared" ref="P997" si="645">(C997+(E997*F997*H997))-N997</f>
        <v>0</v>
      </c>
      <c r="Q997" s="77" t="s">
        <v>151</v>
      </c>
      <c r="R997" s="78">
        <f t="shared" ref="R997" si="646">P997*(J997-(J997*L997)-((J997-(J997*L997))*M997))</f>
        <v>0</v>
      </c>
      <c r="S997" s="78">
        <f t="shared" ref="S997" si="647">R997/1.11</f>
        <v>0</v>
      </c>
    </row>
    <row r="998" spans="1:19" s="73" customFormat="1" x14ac:dyDescent="0.2">
      <c r="A998" s="72" t="s">
        <v>465</v>
      </c>
      <c r="B998" s="73" t="s">
        <v>18</v>
      </c>
      <c r="C998" s="71">
        <v>1236</v>
      </c>
      <c r="D998" s="74" t="s">
        <v>151</v>
      </c>
      <c r="E998" s="75">
        <v>42</v>
      </c>
      <c r="F998" s="76">
        <v>12</v>
      </c>
      <c r="G998" s="77" t="s">
        <v>33</v>
      </c>
      <c r="H998" s="76">
        <v>24</v>
      </c>
      <c r="I998" s="77" t="s">
        <v>151</v>
      </c>
      <c r="J998" s="78">
        <v>6700</v>
      </c>
      <c r="K998" s="74" t="s">
        <v>151</v>
      </c>
      <c r="L998" s="79">
        <v>0.125</v>
      </c>
      <c r="M998" s="79">
        <v>0.05</v>
      </c>
      <c r="N998" s="76">
        <v>13332</v>
      </c>
      <c r="O998" s="77" t="s">
        <v>151</v>
      </c>
      <c r="P998" s="71">
        <f t="shared" ref="P998:P1013" si="648">(C998+(E998*F998*H998))-N998</f>
        <v>0</v>
      </c>
      <c r="Q998" s="77" t="s">
        <v>151</v>
      </c>
      <c r="R998" s="78">
        <f t="shared" ref="R998:R1013" si="649">P998*(J998-(J998*L998)-((J998-(J998*L998))*M998))</f>
        <v>0</v>
      </c>
      <c r="S998" s="78">
        <f t="shared" si="628"/>
        <v>0</v>
      </c>
    </row>
    <row r="999" spans="1:19" s="73" customFormat="1" x14ac:dyDescent="0.2">
      <c r="A999" s="72" t="s">
        <v>466</v>
      </c>
      <c r="B999" s="73" t="s">
        <v>18</v>
      </c>
      <c r="C999" s="71">
        <v>96</v>
      </c>
      <c r="D999" s="74" t="s">
        <v>151</v>
      </c>
      <c r="E999" s="75">
        <v>10</v>
      </c>
      <c r="F999" s="76">
        <v>12</v>
      </c>
      <c r="G999" s="77" t="s">
        <v>33</v>
      </c>
      <c r="H999" s="76">
        <v>12</v>
      </c>
      <c r="I999" s="77" t="s">
        <v>151</v>
      </c>
      <c r="J999" s="78">
        <v>13800</v>
      </c>
      <c r="K999" s="74" t="s">
        <v>151</v>
      </c>
      <c r="L999" s="79">
        <v>0.125</v>
      </c>
      <c r="M999" s="79">
        <v>0.05</v>
      </c>
      <c r="N999" s="76">
        <v>1536</v>
      </c>
      <c r="O999" s="77" t="s">
        <v>151</v>
      </c>
      <c r="P999" s="71">
        <f t="shared" si="648"/>
        <v>0</v>
      </c>
      <c r="Q999" s="77" t="s">
        <v>151</v>
      </c>
      <c r="R999" s="78">
        <f t="shared" si="649"/>
        <v>0</v>
      </c>
      <c r="S999" s="16">
        <f t="shared" si="628"/>
        <v>0</v>
      </c>
    </row>
    <row r="1000" spans="1:19" s="73" customFormat="1" x14ac:dyDescent="0.2">
      <c r="A1000" s="184" t="s">
        <v>467</v>
      </c>
      <c r="B1000" s="73" t="s">
        <v>18</v>
      </c>
      <c r="C1000" s="71"/>
      <c r="D1000" s="74" t="s">
        <v>151</v>
      </c>
      <c r="E1000" s="75">
        <v>10</v>
      </c>
      <c r="F1000" s="76">
        <v>12</v>
      </c>
      <c r="G1000" s="77" t="s">
        <v>33</v>
      </c>
      <c r="H1000" s="76">
        <v>12</v>
      </c>
      <c r="I1000" s="77" t="s">
        <v>151</v>
      </c>
      <c r="J1000" s="78">
        <v>10600</v>
      </c>
      <c r="K1000" s="74" t="s">
        <v>151</v>
      </c>
      <c r="L1000" s="79">
        <v>0.125</v>
      </c>
      <c r="M1000" s="79">
        <v>0.1</v>
      </c>
      <c r="N1000" s="76">
        <v>1440</v>
      </c>
      <c r="O1000" s="77" t="s">
        <v>151</v>
      </c>
      <c r="P1000" s="71">
        <f t="shared" ref="P1000" si="650">(C1000+(E1000*F1000*H1000))-N1000</f>
        <v>0</v>
      </c>
      <c r="Q1000" s="77" t="s">
        <v>151</v>
      </c>
      <c r="R1000" s="78">
        <f t="shared" ref="R1000" si="651">P1000*(J1000-(J1000*L1000)-((J1000-(J1000*L1000))*M1000))</f>
        <v>0</v>
      </c>
      <c r="S1000" s="78">
        <f t="shared" ref="S1000" si="652">R1000/1.11</f>
        <v>0</v>
      </c>
    </row>
    <row r="1001" spans="1:19" s="73" customFormat="1" x14ac:dyDescent="0.2">
      <c r="A1001" s="72" t="s">
        <v>467</v>
      </c>
      <c r="B1001" s="73" t="s">
        <v>18</v>
      </c>
      <c r="C1001" s="71">
        <v>3084</v>
      </c>
      <c r="D1001" s="74" t="s">
        <v>151</v>
      </c>
      <c r="E1001" s="75">
        <v>172</v>
      </c>
      <c r="F1001" s="76">
        <v>12</v>
      </c>
      <c r="G1001" s="77" t="s">
        <v>33</v>
      </c>
      <c r="H1001" s="76">
        <v>12</v>
      </c>
      <c r="I1001" s="77" t="s">
        <v>151</v>
      </c>
      <c r="J1001" s="78">
        <v>10600</v>
      </c>
      <c r="K1001" s="74" t="s">
        <v>151</v>
      </c>
      <c r="L1001" s="79">
        <v>0.125</v>
      </c>
      <c r="M1001" s="79">
        <v>0.05</v>
      </c>
      <c r="N1001" s="76">
        <v>27852</v>
      </c>
      <c r="O1001" s="77" t="s">
        <v>151</v>
      </c>
      <c r="P1001" s="71">
        <f t="shared" si="648"/>
        <v>0</v>
      </c>
      <c r="Q1001" s="77" t="s">
        <v>151</v>
      </c>
      <c r="R1001" s="78">
        <f t="shared" si="649"/>
        <v>0</v>
      </c>
      <c r="S1001" s="78">
        <f t="shared" si="628"/>
        <v>0</v>
      </c>
    </row>
    <row r="1002" spans="1:19" s="73" customFormat="1" x14ac:dyDescent="0.2">
      <c r="A1002" s="72" t="s">
        <v>468</v>
      </c>
      <c r="B1002" s="73" t="s">
        <v>18</v>
      </c>
      <c r="C1002" s="71">
        <v>390</v>
      </c>
      <c r="D1002" s="74" t="s">
        <v>151</v>
      </c>
      <c r="E1002" s="75">
        <v>66</v>
      </c>
      <c r="F1002" s="76">
        <v>12</v>
      </c>
      <c r="G1002" s="77" t="s">
        <v>33</v>
      </c>
      <c r="H1002" s="76">
        <v>6</v>
      </c>
      <c r="I1002" s="77" t="s">
        <v>151</v>
      </c>
      <c r="J1002" s="78">
        <v>21200</v>
      </c>
      <c r="K1002" s="74" t="s">
        <v>151</v>
      </c>
      <c r="L1002" s="79">
        <v>0.125</v>
      </c>
      <c r="M1002" s="79">
        <v>0.05</v>
      </c>
      <c r="N1002" s="76">
        <v>5142</v>
      </c>
      <c r="O1002" s="77" t="s">
        <v>151</v>
      </c>
      <c r="P1002" s="71">
        <f t="shared" si="648"/>
        <v>0</v>
      </c>
      <c r="Q1002" s="77" t="s">
        <v>151</v>
      </c>
      <c r="R1002" s="78">
        <f t="shared" si="649"/>
        <v>0</v>
      </c>
      <c r="S1002" s="16">
        <f t="shared" si="628"/>
        <v>0</v>
      </c>
    </row>
    <row r="1003" spans="1:19" s="73" customFormat="1" x14ac:dyDescent="0.2">
      <c r="A1003" s="72" t="s">
        <v>469</v>
      </c>
      <c r="B1003" s="73" t="s">
        <v>18</v>
      </c>
      <c r="C1003" s="71"/>
      <c r="D1003" s="74" t="s">
        <v>151</v>
      </c>
      <c r="E1003" s="75">
        <v>6</v>
      </c>
      <c r="F1003" s="76">
        <v>8</v>
      </c>
      <c r="G1003" s="77" t="s">
        <v>33</v>
      </c>
      <c r="H1003" s="76">
        <v>6</v>
      </c>
      <c r="I1003" s="77" t="s">
        <v>151</v>
      </c>
      <c r="J1003" s="78">
        <v>35000</v>
      </c>
      <c r="K1003" s="74" t="s">
        <v>151</v>
      </c>
      <c r="L1003" s="79">
        <v>0.125</v>
      </c>
      <c r="M1003" s="79">
        <v>0.05</v>
      </c>
      <c r="N1003" s="76">
        <v>288</v>
      </c>
      <c r="O1003" s="77" t="s">
        <v>151</v>
      </c>
      <c r="P1003" s="71">
        <f t="shared" si="648"/>
        <v>0</v>
      </c>
      <c r="Q1003" s="77" t="s">
        <v>151</v>
      </c>
      <c r="R1003" s="78">
        <f t="shared" si="649"/>
        <v>0</v>
      </c>
      <c r="S1003" s="16">
        <f t="shared" si="628"/>
        <v>0</v>
      </c>
    </row>
    <row r="1004" spans="1:19" s="73" customFormat="1" x14ac:dyDescent="0.2">
      <c r="A1004" s="72" t="s">
        <v>470</v>
      </c>
      <c r="B1004" s="73" t="s">
        <v>18</v>
      </c>
      <c r="C1004" s="71">
        <v>408</v>
      </c>
      <c r="D1004" s="74" t="s">
        <v>151</v>
      </c>
      <c r="E1004" s="75">
        <v>8</v>
      </c>
      <c r="F1004" s="76">
        <v>12</v>
      </c>
      <c r="G1004" s="77" t="s">
        <v>33</v>
      </c>
      <c r="H1004" s="76">
        <v>12</v>
      </c>
      <c r="I1004" s="77" t="s">
        <v>151</v>
      </c>
      <c r="J1004" s="78">
        <v>9600</v>
      </c>
      <c r="K1004" s="74" t="s">
        <v>151</v>
      </c>
      <c r="L1004" s="79">
        <v>0.125</v>
      </c>
      <c r="M1004" s="79">
        <v>0.05</v>
      </c>
      <c r="N1004" s="76">
        <v>1560</v>
      </c>
      <c r="O1004" s="77" t="s">
        <v>151</v>
      </c>
      <c r="P1004" s="71">
        <f t="shared" si="648"/>
        <v>0</v>
      </c>
      <c r="Q1004" s="77" t="s">
        <v>151</v>
      </c>
      <c r="R1004" s="78">
        <f t="shared" si="649"/>
        <v>0</v>
      </c>
      <c r="S1004" s="78">
        <f t="shared" si="628"/>
        <v>0</v>
      </c>
    </row>
    <row r="1005" spans="1:19" s="64" customFormat="1" x14ac:dyDescent="0.2">
      <c r="A1005" s="63" t="s">
        <v>471</v>
      </c>
      <c r="B1005" s="64" t="s">
        <v>18</v>
      </c>
      <c r="C1005" s="65"/>
      <c r="D1005" s="66" t="s">
        <v>151</v>
      </c>
      <c r="E1005" s="67">
        <v>5</v>
      </c>
      <c r="F1005" s="68">
        <v>12</v>
      </c>
      <c r="G1005" s="69" t="s">
        <v>33</v>
      </c>
      <c r="H1005" s="68">
        <v>6</v>
      </c>
      <c r="I1005" s="69" t="s">
        <v>151</v>
      </c>
      <c r="J1005" s="16">
        <v>19200</v>
      </c>
      <c r="K1005" s="66" t="s">
        <v>151</v>
      </c>
      <c r="L1005" s="70">
        <v>0.125</v>
      </c>
      <c r="M1005" s="70">
        <v>0.05</v>
      </c>
      <c r="N1005" s="68">
        <v>360</v>
      </c>
      <c r="O1005" s="69" t="s">
        <v>151</v>
      </c>
      <c r="P1005" s="65">
        <f t="shared" si="648"/>
        <v>0</v>
      </c>
      <c r="Q1005" s="69" t="s">
        <v>151</v>
      </c>
      <c r="R1005" s="16">
        <f t="shared" si="649"/>
        <v>0</v>
      </c>
      <c r="S1005" s="16">
        <f t="shared" si="628"/>
        <v>0</v>
      </c>
    </row>
    <row r="1006" spans="1:19" s="64" customFormat="1" x14ac:dyDescent="0.2">
      <c r="A1006" s="63" t="s">
        <v>472</v>
      </c>
      <c r="B1006" s="64" t="s">
        <v>18</v>
      </c>
      <c r="C1006" s="65"/>
      <c r="D1006" s="66" t="s">
        <v>151</v>
      </c>
      <c r="E1006" s="67"/>
      <c r="F1006" s="68">
        <v>12</v>
      </c>
      <c r="G1006" s="69" t="s">
        <v>33</v>
      </c>
      <c r="H1006" s="68">
        <v>24</v>
      </c>
      <c r="I1006" s="69" t="s">
        <v>151</v>
      </c>
      <c r="J1006" s="16">
        <v>5800</v>
      </c>
      <c r="K1006" s="66" t="s">
        <v>151</v>
      </c>
      <c r="L1006" s="70">
        <v>0.125</v>
      </c>
      <c r="M1006" s="70">
        <v>0.05</v>
      </c>
      <c r="N1006" s="68">
        <v>0</v>
      </c>
      <c r="O1006" s="69" t="s">
        <v>151</v>
      </c>
      <c r="P1006" s="65">
        <f t="shared" si="648"/>
        <v>0</v>
      </c>
      <c r="Q1006" s="69" t="s">
        <v>151</v>
      </c>
      <c r="R1006" s="16">
        <f t="shared" si="649"/>
        <v>0</v>
      </c>
      <c r="S1006" s="16">
        <f t="shared" si="628"/>
        <v>0</v>
      </c>
    </row>
    <row r="1007" spans="1:19" s="73" customFormat="1" x14ac:dyDescent="0.2">
      <c r="A1007" s="72" t="s">
        <v>473</v>
      </c>
      <c r="B1007" s="73" t="s">
        <v>18</v>
      </c>
      <c r="C1007" s="71"/>
      <c r="D1007" s="74" t="s">
        <v>151</v>
      </c>
      <c r="E1007" s="75">
        <v>10</v>
      </c>
      <c r="F1007" s="76">
        <v>12</v>
      </c>
      <c r="G1007" s="77" t="s">
        <v>33</v>
      </c>
      <c r="H1007" s="76">
        <v>12</v>
      </c>
      <c r="I1007" s="77" t="s">
        <v>151</v>
      </c>
      <c r="J1007" s="78">
        <v>8400</v>
      </c>
      <c r="K1007" s="74" t="s">
        <v>151</v>
      </c>
      <c r="L1007" s="79">
        <v>0.125</v>
      </c>
      <c r="M1007" s="79">
        <v>0.05</v>
      </c>
      <c r="N1007" s="76">
        <v>1440</v>
      </c>
      <c r="O1007" s="77" t="s">
        <v>151</v>
      </c>
      <c r="P1007" s="71">
        <f t="shared" ref="P1007" si="653">(C1007+(E1007*F1007*H1007))-N1007</f>
        <v>0</v>
      </c>
      <c r="Q1007" s="77" t="s">
        <v>151</v>
      </c>
      <c r="R1007" s="78">
        <f t="shared" ref="R1007" si="654">P1007*(J1007-(J1007*L1007)-((J1007-(J1007*L1007))*M1007))</f>
        <v>0</v>
      </c>
      <c r="S1007" s="78">
        <f t="shared" ref="S1007" si="655">R1007/1.11</f>
        <v>0</v>
      </c>
    </row>
    <row r="1008" spans="1:19" s="73" customFormat="1" x14ac:dyDescent="0.2">
      <c r="A1008" s="72" t="s">
        <v>801</v>
      </c>
      <c r="B1008" s="73" t="s">
        <v>18</v>
      </c>
      <c r="C1008" s="71">
        <v>72</v>
      </c>
      <c r="D1008" s="74" t="s">
        <v>151</v>
      </c>
      <c r="E1008" s="75">
        <v>6</v>
      </c>
      <c r="F1008" s="76">
        <v>12</v>
      </c>
      <c r="G1008" s="77" t="s">
        <v>33</v>
      </c>
      <c r="H1008" s="76">
        <v>6</v>
      </c>
      <c r="I1008" s="77" t="s">
        <v>151</v>
      </c>
      <c r="J1008" s="78">
        <v>16800</v>
      </c>
      <c r="K1008" s="74" t="s">
        <v>151</v>
      </c>
      <c r="L1008" s="79">
        <v>0.125</v>
      </c>
      <c r="M1008" s="79">
        <v>0.05</v>
      </c>
      <c r="N1008" s="76">
        <v>504</v>
      </c>
      <c r="O1008" s="77" t="s">
        <v>151</v>
      </c>
      <c r="P1008" s="71">
        <f t="shared" si="648"/>
        <v>0</v>
      </c>
      <c r="Q1008" s="77" t="s">
        <v>151</v>
      </c>
      <c r="R1008" s="78">
        <f t="shared" si="649"/>
        <v>0</v>
      </c>
      <c r="S1008" s="16">
        <f t="shared" si="628"/>
        <v>0</v>
      </c>
    </row>
    <row r="1009" spans="1:19" s="73" customFormat="1" x14ac:dyDescent="0.2">
      <c r="A1009" s="72" t="s">
        <v>474</v>
      </c>
      <c r="B1009" s="73" t="s">
        <v>18</v>
      </c>
      <c r="C1009" s="71">
        <v>144</v>
      </c>
      <c r="D1009" s="74" t="s">
        <v>151</v>
      </c>
      <c r="E1009" s="75"/>
      <c r="F1009" s="76">
        <v>12</v>
      </c>
      <c r="G1009" s="77" t="s">
        <v>33</v>
      </c>
      <c r="H1009" s="76">
        <v>12</v>
      </c>
      <c r="I1009" s="77" t="s">
        <v>151</v>
      </c>
      <c r="J1009" s="78">
        <v>11000</v>
      </c>
      <c r="K1009" s="74" t="s">
        <v>151</v>
      </c>
      <c r="L1009" s="79">
        <v>0.125</v>
      </c>
      <c r="M1009" s="79">
        <v>0.05</v>
      </c>
      <c r="N1009" s="76">
        <v>144</v>
      </c>
      <c r="O1009" s="77" t="s">
        <v>151</v>
      </c>
      <c r="P1009" s="71">
        <f t="shared" si="648"/>
        <v>0</v>
      </c>
      <c r="Q1009" s="77" t="s">
        <v>151</v>
      </c>
      <c r="R1009" s="78">
        <f t="shared" si="649"/>
        <v>0</v>
      </c>
      <c r="S1009" s="16">
        <f t="shared" si="628"/>
        <v>0</v>
      </c>
    </row>
    <row r="1010" spans="1:19" s="73" customFormat="1" x14ac:dyDescent="0.2">
      <c r="A1010" s="72" t="s">
        <v>475</v>
      </c>
      <c r="B1010" s="73" t="s">
        <v>18</v>
      </c>
      <c r="C1010" s="71">
        <v>252</v>
      </c>
      <c r="D1010" s="74" t="s">
        <v>151</v>
      </c>
      <c r="E1010" s="75">
        <v>4</v>
      </c>
      <c r="F1010" s="76">
        <v>12</v>
      </c>
      <c r="G1010" s="77" t="s">
        <v>33</v>
      </c>
      <c r="H1010" s="76">
        <v>24</v>
      </c>
      <c r="I1010" s="77" t="s">
        <v>151</v>
      </c>
      <c r="J1010" s="78">
        <v>5400</v>
      </c>
      <c r="K1010" s="74" t="s">
        <v>151</v>
      </c>
      <c r="L1010" s="79">
        <v>0.125</v>
      </c>
      <c r="M1010" s="79">
        <v>0.05</v>
      </c>
      <c r="N1010" s="76">
        <v>1404</v>
      </c>
      <c r="O1010" s="77" t="s">
        <v>151</v>
      </c>
      <c r="P1010" s="71">
        <f t="shared" si="648"/>
        <v>0</v>
      </c>
      <c r="Q1010" s="77" t="s">
        <v>151</v>
      </c>
      <c r="R1010" s="78">
        <f t="shared" si="649"/>
        <v>0</v>
      </c>
      <c r="S1010" s="16">
        <f t="shared" si="628"/>
        <v>0</v>
      </c>
    </row>
    <row r="1011" spans="1:19" s="73" customFormat="1" x14ac:dyDescent="0.2">
      <c r="A1011" s="184" t="s">
        <v>1031</v>
      </c>
      <c r="B1011" s="73" t="s">
        <v>18</v>
      </c>
      <c r="C1011" s="71"/>
      <c r="D1011" s="74" t="s">
        <v>151</v>
      </c>
      <c r="E1011" s="75">
        <v>2</v>
      </c>
      <c r="F1011" s="76">
        <v>12</v>
      </c>
      <c r="G1011" s="77" t="s">
        <v>33</v>
      </c>
      <c r="H1011" s="76">
        <v>24</v>
      </c>
      <c r="I1011" s="77" t="s">
        <v>151</v>
      </c>
      <c r="J1011" s="78">
        <v>6700</v>
      </c>
      <c r="K1011" s="74" t="s">
        <v>151</v>
      </c>
      <c r="L1011" s="79">
        <v>0.125</v>
      </c>
      <c r="M1011" s="79">
        <v>0.05</v>
      </c>
      <c r="N1011" s="76">
        <v>576</v>
      </c>
      <c r="O1011" s="77" t="s">
        <v>151</v>
      </c>
      <c r="P1011" s="71">
        <f t="shared" ref="P1011" si="656">(C1011+(E1011*F1011*H1011))-N1011</f>
        <v>0</v>
      </c>
      <c r="Q1011" s="77" t="s">
        <v>151</v>
      </c>
      <c r="R1011" s="78">
        <f t="shared" ref="R1011" si="657">P1011*(J1011-(J1011*L1011)-((J1011-(J1011*L1011))*M1011))</f>
        <v>0</v>
      </c>
      <c r="S1011" s="16">
        <f t="shared" ref="S1011" si="658">R1011/1.11</f>
        <v>0</v>
      </c>
    </row>
    <row r="1012" spans="1:19" s="73" customFormat="1" x14ac:dyDescent="0.2">
      <c r="A1012" s="72" t="s">
        <v>476</v>
      </c>
      <c r="B1012" s="73" t="s">
        <v>18</v>
      </c>
      <c r="C1012" s="71"/>
      <c r="D1012" s="74" t="s">
        <v>151</v>
      </c>
      <c r="E1012" s="75"/>
      <c r="F1012" s="76">
        <v>12</v>
      </c>
      <c r="G1012" s="77" t="s">
        <v>33</v>
      </c>
      <c r="H1012" s="76">
        <v>12</v>
      </c>
      <c r="I1012" s="77" t="s">
        <v>151</v>
      </c>
      <c r="J1012" s="78">
        <v>16900</v>
      </c>
      <c r="K1012" s="74" t="s">
        <v>151</v>
      </c>
      <c r="L1012" s="79">
        <v>0.125</v>
      </c>
      <c r="M1012" s="79">
        <v>0.05</v>
      </c>
      <c r="N1012" s="76">
        <v>0</v>
      </c>
      <c r="O1012" s="77" t="s">
        <v>151</v>
      </c>
      <c r="P1012" s="71">
        <f t="shared" si="648"/>
        <v>0</v>
      </c>
      <c r="Q1012" s="77" t="s">
        <v>151</v>
      </c>
      <c r="R1012" s="78">
        <f t="shared" si="649"/>
        <v>0</v>
      </c>
      <c r="S1012" s="16">
        <f t="shared" si="628"/>
        <v>0</v>
      </c>
    </row>
    <row r="1013" spans="1:19" s="73" customFormat="1" x14ac:dyDescent="0.2">
      <c r="A1013" s="72" t="s">
        <v>477</v>
      </c>
      <c r="B1013" s="73" t="s">
        <v>18</v>
      </c>
      <c r="C1013" s="71"/>
      <c r="D1013" s="74" t="s">
        <v>151</v>
      </c>
      <c r="E1013" s="75"/>
      <c r="F1013" s="76">
        <v>12</v>
      </c>
      <c r="G1013" s="77" t="s">
        <v>33</v>
      </c>
      <c r="H1013" s="76">
        <v>6</v>
      </c>
      <c r="I1013" s="77" t="s">
        <v>151</v>
      </c>
      <c r="J1013" s="78">
        <v>33800</v>
      </c>
      <c r="K1013" s="74" t="s">
        <v>151</v>
      </c>
      <c r="L1013" s="79">
        <v>0.125</v>
      </c>
      <c r="M1013" s="79">
        <v>0.05</v>
      </c>
      <c r="N1013" s="76">
        <v>0</v>
      </c>
      <c r="O1013" s="77" t="s">
        <v>151</v>
      </c>
      <c r="P1013" s="71">
        <f t="shared" si="648"/>
        <v>0</v>
      </c>
      <c r="Q1013" s="77" t="s">
        <v>151</v>
      </c>
      <c r="R1013" s="78">
        <f t="shared" si="649"/>
        <v>0</v>
      </c>
      <c r="S1013" s="16">
        <f t="shared" si="628"/>
        <v>0</v>
      </c>
    </row>
    <row r="1014" spans="1:19" s="19" customFormat="1" x14ac:dyDescent="0.2">
      <c r="A1014" s="18"/>
      <c r="C1014" s="20"/>
      <c r="D1014" s="21"/>
      <c r="E1014" s="26"/>
      <c r="F1014" s="22"/>
      <c r="G1014" s="23"/>
      <c r="H1014" s="22"/>
      <c r="I1014" s="23"/>
      <c r="J1014" s="24"/>
      <c r="K1014" s="21"/>
      <c r="L1014" s="25"/>
      <c r="M1014" s="25"/>
      <c r="N1014" s="22"/>
      <c r="O1014" s="23"/>
      <c r="P1014" s="20"/>
      <c r="Q1014" s="23"/>
      <c r="R1014" s="24"/>
      <c r="S1014" s="8"/>
    </row>
    <row r="1015" spans="1:19" s="73" customFormat="1" x14ac:dyDescent="0.2">
      <c r="A1015" s="72" t="s">
        <v>478</v>
      </c>
      <c r="B1015" s="73" t="s">
        <v>25</v>
      </c>
      <c r="C1015" s="71">
        <v>166</v>
      </c>
      <c r="D1015" s="74" t="s">
        <v>40</v>
      </c>
      <c r="E1015" s="75">
        <v>22</v>
      </c>
      <c r="F1015" s="76">
        <v>24</v>
      </c>
      <c r="G1015" s="77" t="s">
        <v>33</v>
      </c>
      <c r="H1015" s="76">
        <v>2</v>
      </c>
      <c r="I1015" s="77" t="s">
        <v>40</v>
      </c>
      <c r="J1015" s="78">
        <f>3801600/24/2</f>
        <v>79200</v>
      </c>
      <c r="K1015" s="74" t="s">
        <v>40</v>
      </c>
      <c r="L1015" s="79"/>
      <c r="M1015" s="79">
        <v>0.17</v>
      </c>
      <c r="N1015" s="76">
        <v>1222</v>
      </c>
      <c r="O1015" s="77" t="s">
        <v>40</v>
      </c>
      <c r="P1015" s="71">
        <f t="shared" ref="P1015:P1017" si="659">(C1015+(E1015*F1015*H1015))-N1015</f>
        <v>0</v>
      </c>
      <c r="Q1015" s="77" t="s">
        <v>40</v>
      </c>
      <c r="R1015" s="78">
        <f t="shared" ref="R1015:R1017" si="660">P1015*(J1015-(J1015*L1015)-((J1015-(J1015*L1015))*M1015))</f>
        <v>0</v>
      </c>
      <c r="S1015" s="78">
        <f t="shared" ref="S1015:S1017" si="661">R1015/1.11</f>
        <v>0</v>
      </c>
    </row>
    <row r="1016" spans="1:19" s="19" customFormat="1" x14ac:dyDescent="0.2">
      <c r="A1016" s="134" t="s">
        <v>478</v>
      </c>
      <c r="B1016" s="19" t="s">
        <v>25</v>
      </c>
      <c r="C1016" s="20"/>
      <c r="D1016" s="21" t="s">
        <v>40</v>
      </c>
      <c r="E1016" s="26">
        <v>15</v>
      </c>
      <c r="F1016" s="22">
        <v>24</v>
      </c>
      <c r="G1016" s="23" t="s">
        <v>33</v>
      </c>
      <c r="H1016" s="22">
        <v>2</v>
      </c>
      <c r="I1016" s="23" t="s">
        <v>40</v>
      </c>
      <c r="J1016" s="24">
        <f>3801600/24/2</f>
        <v>79200</v>
      </c>
      <c r="K1016" s="21" t="s">
        <v>40</v>
      </c>
      <c r="L1016" s="25">
        <v>0.03</v>
      </c>
      <c r="M1016" s="25">
        <v>0.17</v>
      </c>
      <c r="N1016" s="22">
        <f>720-576</f>
        <v>144</v>
      </c>
      <c r="O1016" s="23" t="s">
        <v>40</v>
      </c>
      <c r="P1016" s="20">
        <f t="shared" ref="P1016" si="662">(C1016+(E1016*F1016*H1016))-N1016</f>
        <v>576</v>
      </c>
      <c r="Q1016" s="23" t="s">
        <v>40</v>
      </c>
      <c r="R1016" s="24">
        <f t="shared" ref="R1016" si="663">P1016*(J1016-(J1016*L1016)-((J1016-(J1016*L1016))*M1016))</f>
        <v>36728017.920000002</v>
      </c>
      <c r="S1016" s="24">
        <f t="shared" ref="S1016" si="664">R1016/1.11</f>
        <v>33088304.432432432</v>
      </c>
    </row>
    <row r="1017" spans="1:19" s="19" customFormat="1" x14ac:dyDescent="0.2">
      <c r="A1017" s="121" t="s">
        <v>479</v>
      </c>
      <c r="B1017" s="19" t="s">
        <v>25</v>
      </c>
      <c r="C1017" s="20"/>
      <c r="D1017" s="21" t="s">
        <v>40</v>
      </c>
      <c r="E1017" s="26">
        <v>185</v>
      </c>
      <c r="F1017" s="22">
        <v>1</v>
      </c>
      <c r="G1017" s="23" t="s">
        <v>20</v>
      </c>
      <c r="H1017" s="22">
        <v>24</v>
      </c>
      <c r="I1017" s="23" t="s">
        <v>40</v>
      </c>
      <c r="J1017" s="24">
        <f>2980800/24</f>
        <v>124200</v>
      </c>
      <c r="K1017" s="21" t="s">
        <v>40</v>
      </c>
      <c r="L1017" s="120">
        <v>0.03</v>
      </c>
      <c r="M1017" s="25">
        <v>0.17</v>
      </c>
      <c r="N1017" s="22">
        <f>4440-2208</f>
        <v>2232</v>
      </c>
      <c r="O1017" s="23" t="s">
        <v>40</v>
      </c>
      <c r="P1017" s="20">
        <f t="shared" si="659"/>
        <v>2208</v>
      </c>
      <c r="Q1017" s="23" t="s">
        <v>40</v>
      </c>
      <c r="R1017" s="24">
        <f t="shared" si="660"/>
        <v>220785471.35999998</v>
      </c>
      <c r="S1017" s="24">
        <f t="shared" si="661"/>
        <v>198905830.05405402</v>
      </c>
    </row>
    <row r="1018" spans="1:19" s="73" customFormat="1" x14ac:dyDescent="0.2">
      <c r="A1018" s="187" t="s">
        <v>479</v>
      </c>
      <c r="B1018" s="73" t="s">
        <v>25</v>
      </c>
      <c r="C1018" s="71">
        <v>184</v>
      </c>
      <c r="D1018" s="74" t="s">
        <v>40</v>
      </c>
      <c r="E1018" s="75">
        <v>49</v>
      </c>
      <c r="F1018" s="76">
        <v>1</v>
      </c>
      <c r="G1018" s="77" t="s">
        <v>20</v>
      </c>
      <c r="H1018" s="76">
        <v>24</v>
      </c>
      <c r="I1018" s="77" t="s">
        <v>40</v>
      </c>
      <c r="J1018" s="78">
        <f>2980800/24</f>
        <v>124200</v>
      </c>
      <c r="K1018" s="74" t="s">
        <v>40</v>
      </c>
      <c r="L1018" s="188"/>
      <c r="M1018" s="79">
        <v>0.17</v>
      </c>
      <c r="N1018" s="76">
        <v>1360</v>
      </c>
      <c r="O1018" s="77" t="s">
        <v>40</v>
      </c>
      <c r="P1018" s="71">
        <f t="shared" ref="P1018:P1030" si="665">(C1018+(E1018*F1018*H1018))-N1018</f>
        <v>0</v>
      </c>
      <c r="Q1018" s="77" t="s">
        <v>40</v>
      </c>
      <c r="R1018" s="78">
        <f t="shared" ref="R1018:R1030" si="666">P1018*(J1018-(J1018*L1018)-((J1018-(J1018*L1018))*M1018))</f>
        <v>0</v>
      </c>
      <c r="S1018" s="78">
        <f t="shared" si="628"/>
        <v>0</v>
      </c>
    </row>
    <row r="1019" spans="1:19" s="73" customFormat="1" x14ac:dyDescent="0.2">
      <c r="A1019" s="184" t="s">
        <v>479</v>
      </c>
      <c r="B1019" s="73" t="s">
        <v>25</v>
      </c>
      <c r="C1019" s="71"/>
      <c r="D1019" s="74" t="s">
        <v>40</v>
      </c>
      <c r="E1019" s="75">
        <v>10</v>
      </c>
      <c r="F1019" s="76">
        <v>1</v>
      </c>
      <c r="G1019" s="77" t="s">
        <v>20</v>
      </c>
      <c r="H1019" s="76">
        <v>24</v>
      </c>
      <c r="I1019" s="77" t="s">
        <v>40</v>
      </c>
      <c r="J1019" s="78">
        <f>2980800/24</f>
        <v>124200</v>
      </c>
      <c r="K1019" s="74" t="s">
        <v>40</v>
      </c>
      <c r="L1019" s="79">
        <v>0.05</v>
      </c>
      <c r="M1019" s="79">
        <v>0.17</v>
      </c>
      <c r="N1019" s="76">
        <v>240</v>
      </c>
      <c r="O1019" s="77" t="s">
        <v>40</v>
      </c>
      <c r="P1019" s="71">
        <f t="shared" ref="P1019" si="667">(C1019+(E1019*F1019*H1019))-N1019</f>
        <v>0</v>
      </c>
      <c r="Q1019" s="77" t="s">
        <v>40</v>
      </c>
      <c r="R1019" s="78">
        <f t="shared" ref="R1019" si="668">P1019*(J1019-(J1019*L1019)-((J1019-(J1019*L1019))*M1019))</f>
        <v>0</v>
      </c>
      <c r="S1019" s="78">
        <f t="shared" ref="S1019" si="669">R1019/1.11</f>
        <v>0</v>
      </c>
    </row>
    <row r="1020" spans="1:19" s="64" customFormat="1" x14ac:dyDescent="0.2">
      <c r="A1020" s="63" t="s">
        <v>480</v>
      </c>
      <c r="B1020" s="64" t="s">
        <v>25</v>
      </c>
      <c r="C1020" s="65"/>
      <c r="D1020" s="66" t="s">
        <v>40</v>
      </c>
      <c r="E1020" s="67">
        <v>10</v>
      </c>
      <c r="F1020" s="68">
        <v>1</v>
      </c>
      <c r="G1020" s="69" t="s">
        <v>20</v>
      </c>
      <c r="H1020" s="68">
        <v>12</v>
      </c>
      <c r="I1020" s="69" t="s">
        <v>40</v>
      </c>
      <c r="J1020" s="16">
        <f>2980800/12</f>
        <v>248400</v>
      </c>
      <c r="K1020" s="66" t="s">
        <v>40</v>
      </c>
      <c r="L1020" s="70"/>
      <c r="M1020" s="70">
        <v>0.17</v>
      </c>
      <c r="N1020" s="68">
        <v>120</v>
      </c>
      <c r="O1020" s="69" t="s">
        <v>40</v>
      </c>
      <c r="P1020" s="65">
        <f t="shared" si="665"/>
        <v>0</v>
      </c>
      <c r="Q1020" s="69" t="s">
        <v>40</v>
      </c>
      <c r="R1020" s="16">
        <f t="shared" si="666"/>
        <v>0</v>
      </c>
      <c r="S1020" s="16">
        <f t="shared" si="628"/>
        <v>0</v>
      </c>
    </row>
    <row r="1021" spans="1:19" s="64" customFormat="1" x14ac:dyDescent="0.2">
      <c r="A1021" s="63" t="s">
        <v>676</v>
      </c>
      <c r="B1021" s="64" t="s">
        <v>25</v>
      </c>
      <c r="C1021" s="65">
        <v>106</v>
      </c>
      <c r="D1021" s="66" t="s">
        <v>151</v>
      </c>
      <c r="E1021" s="67">
        <v>1</v>
      </c>
      <c r="F1021" s="68">
        <v>20</v>
      </c>
      <c r="G1021" s="69" t="s">
        <v>33</v>
      </c>
      <c r="H1021" s="68">
        <v>4</v>
      </c>
      <c r="I1021" s="69" t="s">
        <v>151</v>
      </c>
      <c r="J1021" s="16">
        <f>2640000/20/4</f>
        <v>33000</v>
      </c>
      <c r="K1021" s="66" t="s">
        <v>151</v>
      </c>
      <c r="L1021" s="70"/>
      <c r="M1021" s="70">
        <v>0.17</v>
      </c>
      <c r="N1021" s="68">
        <v>186</v>
      </c>
      <c r="O1021" s="69" t="s">
        <v>151</v>
      </c>
      <c r="P1021" s="65">
        <f t="shared" si="665"/>
        <v>0</v>
      </c>
      <c r="Q1021" s="69" t="s">
        <v>151</v>
      </c>
      <c r="R1021" s="16">
        <f t="shared" si="666"/>
        <v>0</v>
      </c>
      <c r="S1021" s="16">
        <f>R1021/1.11</f>
        <v>0</v>
      </c>
    </row>
    <row r="1022" spans="1:19" s="64" customFormat="1" x14ac:dyDescent="0.2">
      <c r="A1022" s="63" t="s">
        <v>481</v>
      </c>
      <c r="B1022" s="64" t="s">
        <v>25</v>
      </c>
      <c r="C1022" s="65"/>
      <c r="D1022" s="66" t="s">
        <v>40</v>
      </c>
      <c r="E1022" s="67">
        <v>8</v>
      </c>
      <c r="F1022" s="68">
        <v>1</v>
      </c>
      <c r="G1022" s="69" t="s">
        <v>20</v>
      </c>
      <c r="H1022" s="68">
        <v>24</v>
      </c>
      <c r="I1022" s="69" t="s">
        <v>40</v>
      </c>
      <c r="J1022" s="16">
        <f>2448000/24</f>
        <v>102000</v>
      </c>
      <c r="K1022" s="66" t="s">
        <v>40</v>
      </c>
      <c r="L1022" s="70"/>
      <c r="M1022" s="70">
        <v>0.17</v>
      </c>
      <c r="N1022" s="68">
        <v>192</v>
      </c>
      <c r="O1022" s="69" t="s">
        <v>40</v>
      </c>
      <c r="P1022" s="65">
        <f t="shared" si="665"/>
        <v>0</v>
      </c>
      <c r="Q1022" s="69" t="s">
        <v>40</v>
      </c>
      <c r="R1022" s="16">
        <f t="shared" si="666"/>
        <v>0</v>
      </c>
      <c r="S1022" s="16">
        <f t="shared" si="628"/>
        <v>0</v>
      </c>
    </row>
    <row r="1023" spans="1:19" s="64" customFormat="1" x14ac:dyDescent="0.2">
      <c r="A1023" s="184" t="s">
        <v>482</v>
      </c>
      <c r="B1023" s="64" t="s">
        <v>25</v>
      </c>
      <c r="C1023" s="65"/>
      <c r="D1023" s="66" t="s">
        <v>40</v>
      </c>
      <c r="E1023" s="67">
        <v>19</v>
      </c>
      <c r="F1023" s="68">
        <v>1</v>
      </c>
      <c r="G1023" s="69" t="s">
        <v>20</v>
      </c>
      <c r="H1023" s="68">
        <v>16</v>
      </c>
      <c r="I1023" s="69" t="s">
        <v>40</v>
      </c>
      <c r="J1023" s="16">
        <v>126000</v>
      </c>
      <c r="K1023" s="66" t="s">
        <v>40</v>
      </c>
      <c r="L1023" s="70"/>
      <c r="M1023" s="70">
        <v>0.17</v>
      </c>
      <c r="N1023" s="68">
        <v>304</v>
      </c>
      <c r="O1023" s="69" t="s">
        <v>40</v>
      </c>
      <c r="P1023" s="65">
        <f t="shared" ref="P1023" si="670">(C1023+(E1023*F1023*H1023))-N1023</f>
        <v>0</v>
      </c>
      <c r="Q1023" s="69" t="s">
        <v>40</v>
      </c>
      <c r="R1023" s="16">
        <f t="shared" ref="R1023" si="671">P1023*(J1023-(J1023*L1023)-((J1023-(J1023*L1023))*M1023))</f>
        <v>0</v>
      </c>
      <c r="S1023" s="16">
        <f t="shared" ref="S1023" si="672">R1023/1.11</f>
        <v>0</v>
      </c>
    </row>
    <row r="1024" spans="1:19" s="64" customFormat="1" x14ac:dyDescent="0.2">
      <c r="A1024" s="63" t="s">
        <v>482</v>
      </c>
      <c r="B1024" s="64" t="s">
        <v>25</v>
      </c>
      <c r="C1024" s="65">
        <v>10</v>
      </c>
      <c r="D1024" s="66" t="s">
        <v>40</v>
      </c>
      <c r="E1024" s="67"/>
      <c r="F1024" s="68">
        <v>1</v>
      </c>
      <c r="G1024" s="69" t="s">
        <v>20</v>
      </c>
      <c r="H1024" s="68">
        <v>16</v>
      </c>
      <c r="I1024" s="69" t="s">
        <v>40</v>
      </c>
      <c r="J1024" s="16">
        <f>1824000/16</f>
        <v>114000</v>
      </c>
      <c r="K1024" s="66" t="s">
        <v>40</v>
      </c>
      <c r="L1024" s="70"/>
      <c r="M1024" s="70">
        <v>0.17</v>
      </c>
      <c r="N1024" s="68">
        <v>10</v>
      </c>
      <c r="O1024" s="69" t="s">
        <v>40</v>
      </c>
      <c r="P1024" s="65">
        <f t="shared" si="665"/>
        <v>0</v>
      </c>
      <c r="Q1024" s="69" t="s">
        <v>40</v>
      </c>
      <c r="R1024" s="16">
        <f t="shared" si="666"/>
        <v>0</v>
      </c>
      <c r="S1024" s="16">
        <f t="shared" si="628"/>
        <v>0</v>
      </c>
    </row>
    <row r="1025" spans="1:19" s="64" customFormat="1" x14ac:dyDescent="0.2">
      <c r="A1025" s="63" t="s">
        <v>679</v>
      </c>
      <c r="B1025" s="64" t="s">
        <v>25</v>
      </c>
      <c r="C1025" s="65"/>
      <c r="D1025" s="66" t="s">
        <v>151</v>
      </c>
      <c r="E1025" s="67">
        <v>1</v>
      </c>
      <c r="F1025" s="68">
        <v>24</v>
      </c>
      <c r="G1025" s="69" t="s">
        <v>33</v>
      </c>
      <c r="H1025" s="68">
        <v>6</v>
      </c>
      <c r="I1025" s="69" t="s">
        <v>151</v>
      </c>
      <c r="J1025" s="16">
        <f>2448000/24/6</f>
        <v>17000</v>
      </c>
      <c r="K1025" s="66" t="s">
        <v>151</v>
      </c>
      <c r="L1025" s="70"/>
      <c r="M1025" s="70">
        <v>0.17</v>
      </c>
      <c r="N1025" s="68">
        <v>144</v>
      </c>
      <c r="O1025" s="69" t="s">
        <v>151</v>
      </c>
      <c r="P1025" s="65">
        <f t="shared" si="665"/>
        <v>0</v>
      </c>
      <c r="Q1025" s="69" t="s">
        <v>151</v>
      </c>
      <c r="R1025" s="16">
        <f t="shared" si="666"/>
        <v>0</v>
      </c>
      <c r="S1025" s="16">
        <f t="shared" si="628"/>
        <v>0</v>
      </c>
    </row>
    <row r="1026" spans="1:19" s="64" customFormat="1" x14ac:dyDescent="0.2">
      <c r="A1026" s="63" t="s">
        <v>483</v>
      </c>
      <c r="B1026" s="64" t="s">
        <v>25</v>
      </c>
      <c r="C1026" s="65"/>
      <c r="D1026" s="66" t="s">
        <v>151</v>
      </c>
      <c r="E1026" s="67">
        <v>5</v>
      </c>
      <c r="F1026" s="68">
        <v>10</v>
      </c>
      <c r="G1026" s="69" t="s">
        <v>40</v>
      </c>
      <c r="H1026" s="68">
        <v>12</v>
      </c>
      <c r="I1026" s="69" t="s">
        <v>151</v>
      </c>
      <c r="J1026" s="16">
        <f>2040000/10/12</f>
        <v>17000</v>
      </c>
      <c r="K1026" s="66" t="s">
        <v>151</v>
      </c>
      <c r="L1026" s="70"/>
      <c r="M1026" s="70">
        <v>0.17</v>
      </c>
      <c r="N1026" s="68">
        <v>600</v>
      </c>
      <c r="O1026" s="69" t="s">
        <v>151</v>
      </c>
      <c r="P1026" s="65">
        <f t="shared" si="665"/>
        <v>0</v>
      </c>
      <c r="Q1026" s="69" t="s">
        <v>151</v>
      </c>
      <c r="R1026" s="16">
        <f t="shared" si="666"/>
        <v>0</v>
      </c>
      <c r="S1026" s="16">
        <f t="shared" si="628"/>
        <v>0</v>
      </c>
    </row>
    <row r="1027" spans="1:19" s="64" customFormat="1" x14ac:dyDescent="0.2">
      <c r="A1027" s="63" t="s">
        <v>484</v>
      </c>
      <c r="B1027" s="64" t="s">
        <v>25</v>
      </c>
      <c r="C1027" s="65"/>
      <c r="D1027" s="66" t="s">
        <v>151</v>
      </c>
      <c r="E1027" s="67">
        <v>3</v>
      </c>
      <c r="F1027" s="68">
        <v>10</v>
      </c>
      <c r="G1027" s="69" t="s">
        <v>33</v>
      </c>
      <c r="H1027" s="68">
        <v>6</v>
      </c>
      <c r="I1027" s="69" t="s">
        <v>151</v>
      </c>
      <c r="J1027" s="16">
        <f>2040000/10/6</f>
        <v>34000</v>
      </c>
      <c r="K1027" s="66" t="s">
        <v>151</v>
      </c>
      <c r="L1027" s="70"/>
      <c r="M1027" s="70">
        <v>0.17</v>
      </c>
      <c r="N1027" s="68">
        <v>180</v>
      </c>
      <c r="O1027" s="69" t="s">
        <v>151</v>
      </c>
      <c r="P1027" s="65">
        <f t="shared" si="665"/>
        <v>0</v>
      </c>
      <c r="Q1027" s="69" t="s">
        <v>151</v>
      </c>
      <c r="R1027" s="16">
        <f t="shared" si="666"/>
        <v>0</v>
      </c>
      <c r="S1027" s="16">
        <f t="shared" si="628"/>
        <v>0</v>
      </c>
    </row>
    <row r="1028" spans="1:19" s="73" customFormat="1" x14ac:dyDescent="0.2">
      <c r="A1028" s="72" t="s">
        <v>485</v>
      </c>
      <c r="B1028" s="73" t="s">
        <v>25</v>
      </c>
      <c r="C1028" s="71"/>
      <c r="D1028" s="74" t="s">
        <v>151</v>
      </c>
      <c r="E1028" s="75">
        <v>10</v>
      </c>
      <c r="F1028" s="76">
        <v>24</v>
      </c>
      <c r="G1028" s="77" t="s">
        <v>40</v>
      </c>
      <c r="H1028" s="76">
        <v>12</v>
      </c>
      <c r="I1028" s="77" t="s">
        <v>151</v>
      </c>
      <c r="J1028" s="78">
        <f>3571200/24/12</f>
        <v>12400</v>
      </c>
      <c r="K1028" s="74" t="s">
        <v>151</v>
      </c>
      <c r="L1028" s="79"/>
      <c r="M1028" s="79">
        <v>0.17</v>
      </c>
      <c r="N1028" s="76">
        <v>2880</v>
      </c>
      <c r="O1028" s="77" t="s">
        <v>151</v>
      </c>
      <c r="P1028" s="71">
        <f t="shared" si="665"/>
        <v>0</v>
      </c>
      <c r="Q1028" s="77" t="s">
        <v>151</v>
      </c>
      <c r="R1028" s="78">
        <f t="shared" si="666"/>
        <v>0</v>
      </c>
      <c r="S1028" s="16">
        <f t="shared" si="628"/>
        <v>0</v>
      </c>
    </row>
    <row r="1029" spans="1:19" s="73" customFormat="1" x14ac:dyDescent="0.2">
      <c r="A1029" s="72" t="s">
        <v>486</v>
      </c>
      <c r="B1029" s="73" t="s">
        <v>25</v>
      </c>
      <c r="C1029" s="71"/>
      <c r="D1029" s="74" t="s">
        <v>151</v>
      </c>
      <c r="E1029" s="75">
        <v>4</v>
      </c>
      <c r="F1029" s="76">
        <v>16</v>
      </c>
      <c r="G1029" s="77" t="s">
        <v>40</v>
      </c>
      <c r="H1029" s="76">
        <v>12</v>
      </c>
      <c r="I1029" s="77" t="s">
        <v>151</v>
      </c>
      <c r="J1029" s="78">
        <f>3648000/16/12</f>
        <v>19000</v>
      </c>
      <c r="K1029" s="74" t="s">
        <v>151</v>
      </c>
      <c r="L1029" s="79"/>
      <c r="M1029" s="79">
        <v>0.17</v>
      </c>
      <c r="N1029" s="76">
        <v>768</v>
      </c>
      <c r="O1029" s="77" t="s">
        <v>151</v>
      </c>
      <c r="P1029" s="71">
        <f t="shared" si="665"/>
        <v>0</v>
      </c>
      <c r="Q1029" s="77" t="s">
        <v>151</v>
      </c>
      <c r="R1029" s="78">
        <f t="shared" si="666"/>
        <v>0</v>
      </c>
      <c r="S1029" s="16">
        <f t="shared" si="628"/>
        <v>0</v>
      </c>
    </row>
    <row r="1030" spans="1:19" s="64" customFormat="1" x14ac:dyDescent="0.2">
      <c r="A1030" s="63" t="s">
        <v>487</v>
      </c>
      <c r="B1030" s="64" t="s">
        <v>25</v>
      </c>
      <c r="C1030" s="65"/>
      <c r="D1030" s="66" t="s">
        <v>151</v>
      </c>
      <c r="E1030" s="67"/>
      <c r="F1030" s="68">
        <v>24</v>
      </c>
      <c r="G1030" s="69" t="s">
        <v>33</v>
      </c>
      <c r="H1030" s="68">
        <v>6</v>
      </c>
      <c r="I1030" s="69" t="s">
        <v>151</v>
      </c>
      <c r="J1030" s="16">
        <v>22000</v>
      </c>
      <c r="K1030" s="66" t="s">
        <v>151</v>
      </c>
      <c r="L1030" s="70"/>
      <c r="M1030" s="70">
        <v>0.17</v>
      </c>
      <c r="N1030" s="68">
        <v>0</v>
      </c>
      <c r="O1030" s="69" t="s">
        <v>151</v>
      </c>
      <c r="P1030" s="65">
        <f t="shared" si="665"/>
        <v>0</v>
      </c>
      <c r="Q1030" s="69" t="s">
        <v>151</v>
      </c>
      <c r="R1030" s="16">
        <f t="shared" si="666"/>
        <v>0</v>
      </c>
      <c r="S1030" s="16">
        <f t="shared" si="628"/>
        <v>0</v>
      </c>
    </row>
    <row r="1031" spans="1:19" s="64" customFormat="1" x14ac:dyDescent="0.2">
      <c r="A1031" s="63"/>
      <c r="C1031" s="65"/>
      <c r="D1031" s="66"/>
      <c r="E1031" s="67"/>
      <c r="F1031" s="68"/>
      <c r="G1031" s="69"/>
      <c r="H1031" s="68"/>
      <c r="I1031" s="69"/>
      <c r="J1031" s="16"/>
      <c r="K1031" s="66"/>
      <c r="L1031" s="70"/>
      <c r="M1031" s="70"/>
      <c r="N1031" s="68"/>
      <c r="O1031" s="69"/>
      <c r="P1031" s="65"/>
      <c r="Q1031" s="69"/>
      <c r="R1031" s="16"/>
      <c r="S1031" s="16"/>
    </row>
    <row r="1032" spans="1:19" s="64" customFormat="1" x14ac:dyDescent="0.2">
      <c r="A1032" s="72" t="s">
        <v>873</v>
      </c>
      <c r="B1032" s="64" t="s">
        <v>260</v>
      </c>
      <c r="C1032" s="65"/>
      <c r="D1032" s="66" t="s">
        <v>151</v>
      </c>
      <c r="E1032" s="67">
        <v>1</v>
      </c>
      <c r="F1032" s="68">
        <v>1</v>
      </c>
      <c r="G1032" s="69" t="s">
        <v>20</v>
      </c>
      <c r="H1032" s="68">
        <v>144</v>
      </c>
      <c r="I1032" s="69" t="s">
        <v>151</v>
      </c>
      <c r="J1032" s="16">
        <v>18500</v>
      </c>
      <c r="K1032" s="66" t="s">
        <v>151</v>
      </c>
      <c r="L1032" s="70"/>
      <c r="M1032" s="70"/>
      <c r="N1032" s="68">
        <v>144</v>
      </c>
      <c r="O1032" s="69" t="s">
        <v>151</v>
      </c>
      <c r="P1032" s="65">
        <f t="shared" ref="P1032" si="673">(C1032+(E1032*F1032*H1032))-N1032</f>
        <v>0</v>
      </c>
      <c r="Q1032" s="69" t="s">
        <v>151</v>
      </c>
      <c r="R1032" s="16">
        <f t="shared" ref="R1032" si="674">P1032*(J1032-(J1032*L1032)-((J1032-(J1032*L1032))*M1032))</f>
        <v>0</v>
      </c>
      <c r="S1032" s="16">
        <f t="shared" ref="S1032" si="675">R1032/1.11</f>
        <v>0</v>
      </c>
    </row>
    <row r="1033" spans="1:19" s="64" customFormat="1" x14ac:dyDescent="0.2">
      <c r="A1033" s="72" t="s">
        <v>874</v>
      </c>
      <c r="B1033" s="64" t="s">
        <v>260</v>
      </c>
      <c r="C1033" s="65"/>
      <c r="D1033" s="66" t="s">
        <v>151</v>
      </c>
      <c r="E1033" s="67">
        <v>1</v>
      </c>
      <c r="F1033" s="68">
        <v>1</v>
      </c>
      <c r="G1033" s="69" t="s">
        <v>20</v>
      </c>
      <c r="H1033" s="68">
        <v>240</v>
      </c>
      <c r="I1033" s="69" t="s">
        <v>151</v>
      </c>
      <c r="J1033" s="16">
        <v>8800</v>
      </c>
      <c r="K1033" s="66" t="s">
        <v>151</v>
      </c>
      <c r="L1033" s="70"/>
      <c r="M1033" s="70"/>
      <c r="N1033" s="68">
        <v>240</v>
      </c>
      <c r="O1033" s="69" t="s">
        <v>151</v>
      </c>
      <c r="P1033" s="65">
        <f t="shared" ref="P1033:P1035" si="676">(C1033+(E1033*F1033*H1033))-N1033</f>
        <v>0</v>
      </c>
      <c r="Q1033" s="69" t="s">
        <v>151</v>
      </c>
      <c r="R1033" s="16">
        <f t="shared" ref="R1033:R1035" si="677">P1033*(J1033-(J1033*L1033)-((J1033-(J1033*L1033))*M1033))</f>
        <v>0</v>
      </c>
      <c r="S1033" s="16">
        <f t="shared" ref="S1033:S1035" si="678">R1033/1.11</f>
        <v>0</v>
      </c>
    </row>
    <row r="1034" spans="1:19" s="64" customFormat="1" x14ac:dyDescent="0.2">
      <c r="A1034" s="72" t="s">
        <v>875</v>
      </c>
      <c r="B1034" s="64" t="s">
        <v>260</v>
      </c>
      <c r="C1034" s="65"/>
      <c r="D1034" s="66" t="s">
        <v>151</v>
      </c>
      <c r="E1034" s="67">
        <v>2</v>
      </c>
      <c r="F1034" s="68">
        <v>1</v>
      </c>
      <c r="G1034" s="69" t="s">
        <v>20</v>
      </c>
      <c r="H1034" s="68">
        <v>288</v>
      </c>
      <c r="I1034" s="69" t="s">
        <v>151</v>
      </c>
      <c r="J1034" s="16">
        <v>10800</v>
      </c>
      <c r="K1034" s="66" t="s">
        <v>151</v>
      </c>
      <c r="L1034" s="70"/>
      <c r="M1034" s="70"/>
      <c r="N1034" s="68">
        <v>576</v>
      </c>
      <c r="O1034" s="69" t="s">
        <v>151</v>
      </c>
      <c r="P1034" s="65">
        <f t="shared" si="676"/>
        <v>0</v>
      </c>
      <c r="Q1034" s="69" t="s">
        <v>151</v>
      </c>
      <c r="R1034" s="16">
        <f t="shared" si="677"/>
        <v>0</v>
      </c>
      <c r="S1034" s="16">
        <f t="shared" si="678"/>
        <v>0</v>
      </c>
    </row>
    <row r="1035" spans="1:19" s="64" customFormat="1" x14ac:dyDescent="0.2">
      <c r="A1035" s="72" t="s">
        <v>993</v>
      </c>
      <c r="B1035" s="64" t="s">
        <v>260</v>
      </c>
      <c r="C1035" s="65"/>
      <c r="D1035" s="66" t="s">
        <v>151</v>
      </c>
      <c r="E1035" s="67">
        <v>5</v>
      </c>
      <c r="F1035" s="68">
        <v>1</v>
      </c>
      <c r="G1035" s="69" t="s">
        <v>20</v>
      </c>
      <c r="H1035" s="68">
        <v>360</v>
      </c>
      <c r="I1035" s="69" t="s">
        <v>924</v>
      </c>
      <c r="J1035" s="16">
        <v>8100</v>
      </c>
      <c r="K1035" s="66" t="s">
        <v>924</v>
      </c>
      <c r="L1035" s="70"/>
      <c r="M1035" s="70"/>
      <c r="N1035" s="68">
        <v>1800</v>
      </c>
      <c r="O1035" s="69" t="s">
        <v>924</v>
      </c>
      <c r="P1035" s="65">
        <f t="shared" si="676"/>
        <v>0</v>
      </c>
      <c r="Q1035" s="69" t="s">
        <v>924</v>
      </c>
      <c r="R1035" s="16">
        <f t="shared" si="677"/>
        <v>0</v>
      </c>
      <c r="S1035" s="16">
        <f t="shared" si="678"/>
        <v>0</v>
      </c>
    </row>
    <row r="1036" spans="1:19" s="64" customFormat="1" x14ac:dyDescent="0.2">
      <c r="A1036" s="72" t="s">
        <v>994</v>
      </c>
      <c r="B1036" s="64" t="s">
        <v>260</v>
      </c>
      <c r="C1036" s="65"/>
      <c r="D1036" s="66" t="s">
        <v>151</v>
      </c>
      <c r="E1036" s="67">
        <v>1</v>
      </c>
      <c r="F1036" s="68">
        <v>1</v>
      </c>
      <c r="G1036" s="69" t="s">
        <v>20</v>
      </c>
      <c r="H1036" s="68">
        <v>360</v>
      </c>
      <c r="I1036" s="69" t="s">
        <v>924</v>
      </c>
      <c r="J1036" s="16">
        <v>7700</v>
      </c>
      <c r="K1036" s="66" t="s">
        <v>924</v>
      </c>
      <c r="L1036" s="70"/>
      <c r="M1036" s="70"/>
      <c r="N1036" s="68">
        <v>360</v>
      </c>
      <c r="O1036" s="69" t="s">
        <v>924</v>
      </c>
      <c r="P1036" s="65">
        <f t="shared" ref="P1036:P1040" si="679">(C1036+(E1036*F1036*H1036))-N1036</f>
        <v>0</v>
      </c>
      <c r="Q1036" s="69" t="s">
        <v>924</v>
      </c>
      <c r="R1036" s="16">
        <f t="shared" ref="R1036:R1040" si="680">P1036*(J1036-(J1036*L1036)-((J1036-(J1036*L1036))*M1036))</f>
        <v>0</v>
      </c>
      <c r="S1036" s="16">
        <f t="shared" ref="S1036:S1040" si="681">R1036/1.11</f>
        <v>0</v>
      </c>
    </row>
    <row r="1037" spans="1:19" s="64" customFormat="1" x14ac:dyDescent="0.2">
      <c r="A1037" s="72" t="s">
        <v>995</v>
      </c>
      <c r="B1037" s="64" t="s">
        <v>260</v>
      </c>
      <c r="C1037" s="65"/>
      <c r="D1037" s="66" t="s">
        <v>151</v>
      </c>
      <c r="E1037" s="67">
        <v>1</v>
      </c>
      <c r="F1037" s="68">
        <v>1</v>
      </c>
      <c r="G1037" s="69" t="s">
        <v>20</v>
      </c>
      <c r="H1037" s="68">
        <v>360</v>
      </c>
      <c r="I1037" s="69" t="s">
        <v>924</v>
      </c>
      <c r="J1037" s="16">
        <v>7700</v>
      </c>
      <c r="K1037" s="66" t="s">
        <v>924</v>
      </c>
      <c r="L1037" s="70"/>
      <c r="M1037" s="70"/>
      <c r="N1037" s="68">
        <v>360</v>
      </c>
      <c r="O1037" s="69" t="s">
        <v>924</v>
      </c>
      <c r="P1037" s="65">
        <f t="shared" si="679"/>
        <v>0</v>
      </c>
      <c r="Q1037" s="69" t="s">
        <v>924</v>
      </c>
      <c r="R1037" s="16">
        <f t="shared" si="680"/>
        <v>0</v>
      </c>
      <c r="S1037" s="16">
        <f t="shared" si="681"/>
        <v>0</v>
      </c>
    </row>
    <row r="1038" spans="1:19" s="64" customFormat="1" x14ac:dyDescent="0.2">
      <c r="A1038" s="72" t="s">
        <v>996</v>
      </c>
      <c r="B1038" s="64" t="s">
        <v>260</v>
      </c>
      <c r="C1038" s="65"/>
      <c r="D1038" s="66" t="s">
        <v>151</v>
      </c>
      <c r="E1038" s="67">
        <v>1</v>
      </c>
      <c r="F1038" s="68">
        <v>1</v>
      </c>
      <c r="G1038" s="69" t="s">
        <v>20</v>
      </c>
      <c r="H1038" s="68">
        <v>360</v>
      </c>
      <c r="I1038" s="69" t="s">
        <v>924</v>
      </c>
      <c r="J1038" s="16">
        <v>7700</v>
      </c>
      <c r="K1038" s="66" t="s">
        <v>924</v>
      </c>
      <c r="L1038" s="70"/>
      <c r="M1038" s="70"/>
      <c r="N1038" s="68">
        <v>360</v>
      </c>
      <c r="O1038" s="69" t="s">
        <v>924</v>
      </c>
      <c r="P1038" s="65">
        <f t="shared" si="679"/>
        <v>0</v>
      </c>
      <c r="Q1038" s="69" t="s">
        <v>924</v>
      </c>
      <c r="R1038" s="16">
        <f t="shared" si="680"/>
        <v>0</v>
      </c>
      <c r="S1038" s="16">
        <f t="shared" si="681"/>
        <v>0</v>
      </c>
    </row>
    <row r="1039" spans="1:19" s="64" customFormat="1" x14ac:dyDescent="0.2">
      <c r="A1039" s="72" t="s">
        <v>997</v>
      </c>
      <c r="B1039" s="64" t="s">
        <v>260</v>
      </c>
      <c r="C1039" s="65"/>
      <c r="D1039" s="66" t="s">
        <v>151</v>
      </c>
      <c r="E1039" s="67">
        <v>1</v>
      </c>
      <c r="F1039" s="68">
        <v>1</v>
      </c>
      <c r="G1039" s="69" t="s">
        <v>20</v>
      </c>
      <c r="H1039" s="68">
        <v>360</v>
      </c>
      <c r="I1039" s="69" t="s">
        <v>924</v>
      </c>
      <c r="J1039" s="16">
        <v>7700</v>
      </c>
      <c r="K1039" s="66" t="s">
        <v>924</v>
      </c>
      <c r="L1039" s="70"/>
      <c r="M1039" s="70"/>
      <c r="N1039" s="68">
        <v>360</v>
      </c>
      <c r="O1039" s="69" t="s">
        <v>924</v>
      </c>
      <c r="P1039" s="65">
        <f t="shared" si="679"/>
        <v>0</v>
      </c>
      <c r="Q1039" s="69" t="s">
        <v>924</v>
      </c>
      <c r="R1039" s="16">
        <f t="shared" si="680"/>
        <v>0</v>
      </c>
      <c r="S1039" s="16">
        <f t="shared" si="681"/>
        <v>0</v>
      </c>
    </row>
    <row r="1040" spans="1:19" s="64" customFormat="1" x14ac:dyDescent="0.2">
      <c r="A1040" s="72" t="s">
        <v>998</v>
      </c>
      <c r="B1040" s="64" t="s">
        <v>260</v>
      </c>
      <c r="C1040" s="65"/>
      <c r="D1040" s="66" t="s">
        <v>151</v>
      </c>
      <c r="E1040" s="67">
        <v>1</v>
      </c>
      <c r="F1040" s="68">
        <v>1</v>
      </c>
      <c r="G1040" s="69" t="s">
        <v>20</v>
      </c>
      <c r="H1040" s="68">
        <v>360</v>
      </c>
      <c r="I1040" s="69" t="s">
        <v>924</v>
      </c>
      <c r="J1040" s="16">
        <v>7700</v>
      </c>
      <c r="K1040" s="66" t="s">
        <v>924</v>
      </c>
      <c r="L1040" s="70"/>
      <c r="M1040" s="70"/>
      <c r="N1040" s="68">
        <v>360</v>
      </c>
      <c r="O1040" s="69" t="s">
        <v>924</v>
      </c>
      <c r="P1040" s="65">
        <f t="shared" si="679"/>
        <v>0</v>
      </c>
      <c r="Q1040" s="69" t="s">
        <v>924</v>
      </c>
      <c r="R1040" s="16">
        <f t="shared" si="680"/>
        <v>0</v>
      </c>
      <c r="S1040" s="16">
        <f t="shared" si="681"/>
        <v>0</v>
      </c>
    </row>
    <row r="1041" spans="1:19" s="64" customFormat="1" x14ac:dyDescent="0.2">
      <c r="A1041" s="72"/>
      <c r="C1041" s="65"/>
      <c r="D1041" s="66"/>
      <c r="E1041" s="67"/>
      <c r="F1041" s="68"/>
      <c r="G1041" s="69"/>
      <c r="H1041" s="68"/>
      <c r="I1041" s="69"/>
      <c r="J1041" s="16"/>
      <c r="K1041" s="66"/>
      <c r="L1041" s="70"/>
      <c r="M1041" s="70"/>
      <c r="N1041" s="68"/>
      <c r="O1041" s="69"/>
      <c r="P1041" s="65"/>
      <c r="Q1041" s="69"/>
      <c r="R1041" s="16"/>
      <c r="S1041" s="16"/>
    </row>
    <row r="1042" spans="1:19" s="64" customFormat="1" x14ac:dyDescent="0.2">
      <c r="A1042" s="72" t="s">
        <v>968</v>
      </c>
      <c r="B1042" s="64" t="s">
        <v>171</v>
      </c>
      <c r="C1042" s="65"/>
      <c r="D1042" s="66" t="s">
        <v>151</v>
      </c>
      <c r="E1042" s="67">
        <v>5</v>
      </c>
      <c r="F1042" s="68">
        <v>1</v>
      </c>
      <c r="G1042" s="69" t="s">
        <v>20</v>
      </c>
      <c r="H1042" s="68">
        <v>240</v>
      </c>
      <c r="I1042" s="69" t="s">
        <v>151</v>
      </c>
      <c r="J1042" s="16">
        <v>4850</v>
      </c>
      <c r="K1042" s="66" t="s">
        <v>151</v>
      </c>
      <c r="L1042" s="70"/>
      <c r="M1042" s="70">
        <v>7.0000000000000007E-2</v>
      </c>
      <c r="N1042" s="68">
        <v>1200</v>
      </c>
      <c r="O1042" s="69" t="s">
        <v>151</v>
      </c>
      <c r="P1042" s="65">
        <f t="shared" ref="P1042" si="682">(C1042+(E1042*F1042*H1042))-N1042</f>
        <v>0</v>
      </c>
      <c r="Q1042" s="69" t="s">
        <v>151</v>
      </c>
      <c r="R1042" s="16">
        <f t="shared" ref="R1042" si="683">P1042*(J1042-(J1042*L1042)-((J1042-(J1042*L1042))*M1042))</f>
        <v>0</v>
      </c>
      <c r="S1042" s="16">
        <f t="shared" ref="S1042" si="684">R1042/1.11</f>
        <v>0</v>
      </c>
    </row>
    <row r="1044" spans="1:19" ht="15.75" x14ac:dyDescent="0.25">
      <c r="A1044" s="14" t="s">
        <v>488</v>
      </c>
    </row>
    <row r="1045" spans="1:19" s="64" customFormat="1" x14ac:dyDescent="0.2">
      <c r="A1045" s="63" t="s">
        <v>489</v>
      </c>
      <c r="B1045" s="64" t="s">
        <v>18</v>
      </c>
      <c r="C1045" s="65">
        <v>72</v>
      </c>
      <c r="D1045" s="66" t="s">
        <v>19</v>
      </c>
      <c r="E1045" s="67"/>
      <c r="F1045" s="68">
        <v>12</v>
      </c>
      <c r="G1045" s="69" t="s">
        <v>33</v>
      </c>
      <c r="H1045" s="68">
        <v>24</v>
      </c>
      <c r="I1045" s="69" t="s">
        <v>19</v>
      </c>
      <c r="J1045" s="16">
        <v>3550</v>
      </c>
      <c r="K1045" s="66" t="s">
        <v>19</v>
      </c>
      <c r="L1045" s="70">
        <v>0.125</v>
      </c>
      <c r="M1045" s="70">
        <v>0.05</v>
      </c>
      <c r="N1045" s="68">
        <v>72</v>
      </c>
      <c r="O1045" s="69" t="s">
        <v>19</v>
      </c>
      <c r="P1045" s="65">
        <f t="shared" ref="P1045:P1050" si="685">(C1045+(E1045*F1045*H1045))-N1045</f>
        <v>0</v>
      </c>
      <c r="Q1045" s="69" t="s">
        <v>19</v>
      </c>
      <c r="R1045" s="16">
        <f t="shared" ref="R1045:R1050" si="686">P1045*(J1045-(J1045*L1045)-((J1045-(J1045*L1045))*M1045))</f>
        <v>0</v>
      </c>
      <c r="S1045" s="16">
        <f t="shared" si="628"/>
        <v>0</v>
      </c>
    </row>
    <row r="1046" spans="1:19" s="73" customFormat="1" x14ac:dyDescent="0.2">
      <c r="A1046" s="185" t="s">
        <v>822</v>
      </c>
      <c r="B1046" s="73" t="s">
        <v>18</v>
      </c>
      <c r="C1046" s="71"/>
      <c r="D1046" s="74" t="s">
        <v>19</v>
      </c>
      <c r="E1046" s="75">
        <v>1</v>
      </c>
      <c r="F1046" s="76">
        <v>1</v>
      </c>
      <c r="G1046" s="77" t="s">
        <v>20</v>
      </c>
      <c r="H1046" s="76">
        <v>288</v>
      </c>
      <c r="I1046" s="77" t="s">
        <v>19</v>
      </c>
      <c r="J1046" s="186">
        <v>4000</v>
      </c>
      <c r="K1046" s="74" t="s">
        <v>19</v>
      </c>
      <c r="L1046" s="79">
        <v>0.125</v>
      </c>
      <c r="M1046" s="79">
        <v>0.05</v>
      </c>
      <c r="N1046" s="76">
        <v>288</v>
      </c>
      <c r="O1046" s="77" t="s">
        <v>19</v>
      </c>
      <c r="P1046" s="71">
        <f t="shared" si="685"/>
        <v>0</v>
      </c>
      <c r="Q1046" s="77" t="s">
        <v>19</v>
      </c>
      <c r="R1046" s="78">
        <f t="shared" si="686"/>
        <v>0</v>
      </c>
      <c r="S1046" s="78">
        <f t="shared" ref="S1046" si="687">R1046/1.11</f>
        <v>0</v>
      </c>
    </row>
    <row r="1047" spans="1:19" s="73" customFormat="1" x14ac:dyDescent="0.2">
      <c r="A1047" s="185" t="s">
        <v>490</v>
      </c>
      <c r="B1047" s="73" t="s">
        <v>18</v>
      </c>
      <c r="C1047" s="71">
        <v>276</v>
      </c>
      <c r="D1047" s="74" t="s">
        <v>19</v>
      </c>
      <c r="E1047" s="75"/>
      <c r="F1047" s="76">
        <v>1</v>
      </c>
      <c r="G1047" s="77" t="s">
        <v>20</v>
      </c>
      <c r="H1047" s="76">
        <v>288</v>
      </c>
      <c r="I1047" s="77" t="s">
        <v>19</v>
      </c>
      <c r="J1047" s="186">
        <v>3550</v>
      </c>
      <c r="K1047" s="74" t="s">
        <v>19</v>
      </c>
      <c r="L1047" s="79">
        <v>0.125</v>
      </c>
      <c r="M1047" s="79">
        <v>0.05</v>
      </c>
      <c r="N1047" s="76">
        <v>276</v>
      </c>
      <c r="O1047" s="77" t="s">
        <v>19</v>
      </c>
      <c r="P1047" s="71">
        <f t="shared" si="685"/>
        <v>0</v>
      </c>
      <c r="Q1047" s="77" t="s">
        <v>19</v>
      </c>
      <c r="R1047" s="78">
        <f t="shared" si="686"/>
        <v>0</v>
      </c>
      <c r="S1047" s="78">
        <f t="shared" si="628"/>
        <v>0</v>
      </c>
    </row>
    <row r="1048" spans="1:19" s="73" customFormat="1" x14ac:dyDescent="0.2">
      <c r="A1048" s="184" t="s">
        <v>490</v>
      </c>
      <c r="B1048" s="73" t="s">
        <v>18</v>
      </c>
      <c r="C1048" s="71">
        <v>276</v>
      </c>
      <c r="D1048" s="74" t="s">
        <v>19</v>
      </c>
      <c r="E1048" s="75">
        <v>1</v>
      </c>
      <c r="F1048" s="76">
        <v>1</v>
      </c>
      <c r="G1048" s="77" t="s">
        <v>20</v>
      </c>
      <c r="H1048" s="76">
        <v>288</v>
      </c>
      <c r="I1048" s="77" t="s">
        <v>19</v>
      </c>
      <c r="J1048" s="186">
        <v>4000</v>
      </c>
      <c r="K1048" s="74" t="s">
        <v>19</v>
      </c>
      <c r="L1048" s="79">
        <v>0.125</v>
      </c>
      <c r="M1048" s="79">
        <v>0.05</v>
      </c>
      <c r="N1048" s="76">
        <v>564</v>
      </c>
      <c r="O1048" s="77" t="s">
        <v>19</v>
      </c>
      <c r="P1048" s="71">
        <f t="shared" si="685"/>
        <v>0</v>
      </c>
      <c r="Q1048" s="77" t="s">
        <v>19</v>
      </c>
      <c r="R1048" s="78">
        <f t="shared" si="686"/>
        <v>0</v>
      </c>
      <c r="S1048" s="78">
        <f t="shared" ref="S1048" si="688">R1048/1.11</f>
        <v>0</v>
      </c>
    </row>
    <row r="1049" spans="1:19" s="73" customFormat="1" x14ac:dyDescent="0.2">
      <c r="A1049" s="72" t="s">
        <v>491</v>
      </c>
      <c r="B1049" s="73" t="s">
        <v>18</v>
      </c>
      <c r="C1049" s="71">
        <v>2508</v>
      </c>
      <c r="D1049" s="74" t="s">
        <v>19</v>
      </c>
      <c r="E1049" s="75">
        <v>96</v>
      </c>
      <c r="F1049" s="76">
        <v>1</v>
      </c>
      <c r="G1049" s="77" t="s">
        <v>20</v>
      </c>
      <c r="H1049" s="76">
        <v>288</v>
      </c>
      <c r="I1049" s="77" t="s">
        <v>19</v>
      </c>
      <c r="J1049" s="78">
        <v>4800</v>
      </c>
      <c r="K1049" s="74" t="s">
        <v>19</v>
      </c>
      <c r="L1049" s="79">
        <v>0.125</v>
      </c>
      <c r="M1049" s="79">
        <v>0.05</v>
      </c>
      <c r="N1049" s="76">
        <v>30156</v>
      </c>
      <c r="O1049" s="77" t="s">
        <v>19</v>
      </c>
      <c r="P1049" s="71">
        <f t="shared" si="685"/>
        <v>0</v>
      </c>
      <c r="Q1049" s="77" t="s">
        <v>19</v>
      </c>
      <c r="R1049" s="78">
        <f t="shared" si="686"/>
        <v>0</v>
      </c>
      <c r="S1049" s="78">
        <f t="shared" si="628"/>
        <v>0</v>
      </c>
    </row>
    <row r="1050" spans="1:19" s="73" customFormat="1" x14ac:dyDescent="0.2">
      <c r="A1050" s="72" t="s">
        <v>920</v>
      </c>
      <c r="B1050" s="73" t="s">
        <v>18</v>
      </c>
      <c r="C1050" s="71"/>
      <c r="D1050" s="74" t="s">
        <v>19</v>
      </c>
      <c r="E1050" s="75">
        <v>3</v>
      </c>
      <c r="F1050" s="76">
        <v>1</v>
      </c>
      <c r="G1050" s="77" t="s">
        <v>20</v>
      </c>
      <c r="H1050" s="76">
        <v>288</v>
      </c>
      <c r="I1050" s="77" t="s">
        <v>19</v>
      </c>
      <c r="J1050" s="78">
        <v>4800</v>
      </c>
      <c r="K1050" s="74" t="s">
        <v>19</v>
      </c>
      <c r="L1050" s="79">
        <v>0.125</v>
      </c>
      <c r="M1050" s="79">
        <v>0.05</v>
      </c>
      <c r="N1050" s="76">
        <v>864</v>
      </c>
      <c r="O1050" s="77" t="s">
        <v>19</v>
      </c>
      <c r="P1050" s="71">
        <f t="shared" si="685"/>
        <v>0</v>
      </c>
      <c r="Q1050" s="77" t="s">
        <v>19</v>
      </c>
      <c r="R1050" s="78">
        <f t="shared" si="686"/>
        <v>0</v>
      </c>
      <c r="S1050" s="78">
        <f t="shared" ref="S1050" si="689">R1050/1.11</f>
        <v>0</v>
      </c>
    </row>
    <row r="1051" spans="1:19" s="73" customFormat="1" x14ac:dyDescent="0.2">
      <c r="A1051" s="72"/>
      <c r="C1051" s="71"/>
      <c r="D1051" s="74"/>
      <c r="E1051" s="75"/>
      <c r="F1051" s="76"/>
      <c r="G1051" s="77"/>
      <c r="H1051" s="76"/>
      <c r="I1051" s="77"/>
      <c r="J1051" s="78"/>
      <c r="K1051" s="74"/>
      <c r="L1051" s="79"/>
      <c r="M1051" s="79"/>
      <c r="N1051" s="76"/>
      <c r="O1051" s="77"/>
      <c r="P1051" s="71"/>
      <c r="Q1051" s="77"/>
      <c r="R1051" s="78"/>
      <c r="S1051" s="78"/>
    </row>
    <row r="1052" spans="1:19" s="73" customFormat="1" x14ac:dyDescent="0.2">
      <c r="A1052" s="72" t="s">
        <v>492</v>
      </c>
      <c r="B1052" s="73" t="s">
        <v>25</v>
      </c>
      <c r="C1052" s="71">
        <v>174</v>
      </c>
      <c r="D1052" s="74" t="s">
        <v>40</v>
      </c>
      <c r="E1052" s="75">
        <v>29</v>
      </c>
      <c r="F1052" s="76">
        <v>1</v>
      </c>
      <c r="G1052" s="77" t="s">
        <v>20</v>
      </c>
      <c r="H1052" s="76">
        <v>24</v>
      </c>
      <c r="I1052" s="77" t="s">
        <v>40</v>
      </c>
      <c r="J1052" s="78">
        <f>1497600/24</f>
        <v>62400</v>
      </c>
      <c r="K1052" s="74" t="s">
        <v>40</v>
      </c>
      <c r="L1052" s="79"/>
      <c r="M1052" s="79">
        <v>0.17</v>
      </c>
      <c r="N1052" s="76">
        <v>870</v>
      </c>
      <c r="O1052" s="77" t="s">
        <v>40</v>
      </c>
      <c r="P1052" s="71">
        <f>(C1052+(E1052*F1052*H1052))-N1052</f>
        <v>0</v>
      </c>
      <c r="Q1052" s="77" t="s">
        <v>40</v>
      </c>
      <c r="R1052" s="78">
        <f>P1052*(J1052-(J1052*L1052)-((J1052-(J1052*L1052))*M1052))</f>
        <v>0</v>
      </c>
      <c r="S1052" s="78">
        <f t="shared" si="628"/>
        <v>0</v>
      </c>
    </row>
    <row r="1053" spans="1:19" s="73" customFormat="1" x14ac:dyDescent="0.2">
      <c r="A1053" s="72"/>
      <c r="C1053" s="71"/>
      <c r="D1053" s="74"/>
      <c r="E1053" s="75"/>
      <c r="F1053" s="76"/>
      <c r="G1053" s="77"/>
      <c r="H1053" s="76"/>
      <c r="I1053" s="77"/>
      <c r="J1053" s="78"/>
      <c r="K1053" s="74"/>
      <c r="L1053" s="79"/>
      <c r="M1053" s="79"/>
      <c r="N1053" s="76"/>
      <c r="O1053" s="77"/>
      <c r="P1053" s="71"/>
      <c r="Q1053" s="77"/>
      <c r="R1053" s="78"/>
      <c r="S1053" s="16"/>
    </row>
    <row r="1054" spans="1:19" s="64" customFormat="1" x14ac:dyDescent="0.2">
      <c r="A1054" s="105" t="s">
        <v>493</v>
      </c>
      <c r="B1054" s="64" t="s">
        <v>171</v>
      </c>
      <c r="C1054" s="65">
        <v>1026</v>
      </c>
      <c r="D1054" s="66" t="s">
        <v>19</v>
      </c>
      <c r="E1054" s="67"/>
      <c r="F1054" s="68">
        <v>1</v>
      </c>
      <c r="G1054" s="69" t="s">
        <v>20</v>
      </c>
      <c r="H1054" s="68">
        <v>120</v>
      </c>
      <c r="I1054" s="69" t="s">
        <v>19</v>
      </c>
      <c r="J1054" s="16">
        <v>11500</v>
      </c>
      <c r="K1054" s="66" t="s">
        <v>19</v>
      </c>
      <c r="L1054" s="70"/>
      <c r="M1054" s="70"/>
      <c r="N1054" s="68">
        <v>1026</v>
      </c>
      <c r="O1054" s="69" t="s">
        <v>19</v>
      </c>
      <c r="P1054" s="65">
        <f t="shared" ref="P1054:P1057" si="690">(C1054+(E1054*F1054*H1054))-N1054</f>
        <v>0</v>
      </c>
      <c r="Q1054" s="69" t="s">
        <v>19</v>
      </c>
      <c r="R1054" s="16">
        <f t="shared" ref="R1054:R1057" si="691">P1054*(J1054-(J1054*L1054)-((J1054-(J1054*L1054))*M1054))</f>
        <v>0</v>
      </c>
      <c r="S1054" s="16">
        <f t="shared" si="628"/>
        <v>0</v>
      </c>
    </row>
    <row r="1055" spans="1:19" s="64" customFormat="1" x14ac:dyDescent="0.2">
      <c r="A1055" s="105" t="s">
        <v>715</v>
      </c>
      <c r="B1055" s="64" t="s">
        <v>171</v>
      </c>
      <c r="C1055" s="65">
        <v>251</v>
      </c>
      <c r="D1055" s="66" t="s">
        <v>19</v>
      </c>
      <c r="E1055" s="67"/>
      <c r="F1055" s="68">
        <v>1</v>
      </c>
      <c r="G1055" s="69" t="s">
        <v>20</v>
      </c>
      <c r="H1055" s="68">
        <v>100</v>
      </c>
      <c r="I1055" s="69" t="s">
        <v>19</v>
      </c>
      <c r="J1055" s="16">
        <v>13500</v>
      </c>
      <c r="K1055" s="66" t="s">
        <v>19</v>
      </c>
      <c r="L1055" s="70">
        <v>0.05</v>
      </c>
      <c r="M1055" s="70"/>
      <c r="N1055" s="68">
        <v>251</v>
      </c>
      <c r="O1055" s="69" t="s">
        <v>19</v>
      </c>
      <c r="P1055" s="65">
        <f t="shared" si="690"/>
        <v>0</v>
      </c>
      <c r="Q1055" s="69" t="s">
        <v>19</v>
      </c>
      <c r="R1055" s="16">
        <f t="shared" si="691"/>
        <v>0</v>
      </c>
      <c r="S1055" s="16">
        <f t="shared" si="628"/>
        <v>0</v>
      </c>
    </row>
    <row r="1056" spans="1:19" s="64" customFormat="1" x14ac:dyDescent="0.2">
      <c r="A1056" s="105" t="s">
        <v>494</v>
      </c>
      <c r="B1056" s="64" t="s">
        <v>171</v>
      </c>
      <c r="C1056" s="65">
        <v>486</v>
      </c>
      <c r="D1056" s="66" t="s">
        <v>19</v>
      </c>
      <c r="E1056" s="67"/>
      <c r="F1056" s="68">
        <v>1</v>
      </c>
      <c r="G1056" s="69" t="s">
        <v>20</v>
      </c>
      <c r="H1056" s="68">
        <v>96</v>
      </c>
      <c r="I1056" s="69" t="s">
        <v>19</v>
      </c>
      <c r="J1056" s="16">
        <v>21000</v>
      </c>
      <c r="K1056" s="66" t="s">
        <v>19</v>
      </c>
      <c r="L1056" s="70"/>
      <c r="M1056" s="70"/>
      <c r="N1056" s="68">
        <v>486</v>
      </c>
      <c r="O1056" s="69" t="s">
        <v>19</v>
      </c>
      <c r="P1056" s="65">
        <f t="shared" si="690"/>
        <v>0</v>
      </c>
      <c r="Q1056" s="69" t="s">
        <v>19</v>
      </c>
      <c r="R1056" s="16">
        <f t="shared" si="691"/>
        <v>0</v>
      </c>
      <c r="S1056" s="16">
        <f t="shared" si="628"/>
        <v>0</v>
      </c>
    </row>
    <row r="1057" spans="1:19" s="64" customFormat="1" x14ac:dyDescent="0.2">
      <c r="A1057" s="105" t="s">
        <v>686</v>
      </c>
      <c r="B1057" s="64" t="s">
        <v>171</v>
      </c>
      <c r="C1057" s="65"/>
      <c r="D1057" s="66" t="s">
        <v>19</v>
      </c>
      <c r="E1057" s="67"/>
      <c r="F1057" s="68">
        <v>1</v>
      </c>
      <c r="G1057" s="69" t="s">
        <v>20</v>
      </c>
      <c r="H1057" s="68">
        <v>144</v>
      </c>
      <c r="I1057" s="69" t="s">
        <v>19</v>
      </c>
      <c r="J1057" s="16">
        <v>8750</v>
      </c>
      <c r="K1057" s="66" t="s">
        <v>19</v>
      </c>
      <c r="L1057" s="70"/>
      <c r="M1057" s="70"/>
      <c r="N1057" s="68">
        <v>0</v>
      </c>
      <c r="O1057" s="69" t="s">
        <v>19</v>
      </c>
      <c r="P1057" s="65">
        <f t="shared" si="690"/>
        <v>0</v>
      </c>
      <c r="Q1057" s="69" t="s">
        <v>19</v>
      </c>
      <c r="R1057" s="16">
        <f t="shared" si="691"/>
        <v>0</v>
      </c>
      <c r="S1057" s="16">
        <f t="shared" si="628"/>
        <v>0</v>
      </c>
    </row>
    <row r="1058" spans="1:19" s="64" customFormat="1" x14ac:dyDescent="0.2">
      <c r="A1058" s="105" t="s">
        <v>687</v>
      </c>
      <c r="B1058" s="64" t="s">
        <v>171</v>
      </c>
      <c r="C1058" s="65">
        <v>24</v>
      </c>
      <c r="D1058" s="66" t="s">
        <v>19</v>
      </c>
      <c r="E1058" s="67"/>
      <c r="F1058" s="68">
        <v>1</v>
      </c>
      <c r="G1058" s="69" t="s">
        <v>20</v>
      </c>
      <c r="H1058" s="68">
        <v>144</v>
      </c>
      <c r="I1058" s="69" t="s">
        <v>19</v>
      </c>
      <c r="J1058" s="16">
        <v>8750</v>
      </c>
      <c r="K1058" s="66" t="s">
        <v>19</v>
      </c>
      <c r="L1058" s="70"/>
      <c r="M1058" s="70"/>
      <c r="N1058" s="68">
        <v>24</v>
      </c>
      <c r="O1058" s="69" t="s">
        <v>19</v>
      </c>
      <c r="P1058" s="65">
        <f t="shared" ref="P1058:P1063" si="692">(C1058+(E1058*F1058*H1058))-N1058</f>
        <v>0</v>
      </c>
      <c r="Q1058" s="69" t="s">
        <v>19</v>
      </c>
      <c r="R1058" s="16">
        <f t="shared" ref="R1058:R1063" si="693">P1058*(J1058-(J1058*L1058)-((J1058-(J1058*L1058))*M1058))</f>
        <v>0</v>
      </c>
      <c r="S1058" s="16">
        <f t="shared" ref="S1058:S1063" si="694">R1058/1.11</f>
        <v>0</v>
      </c>
    </row>
    <row r="1059" spans="1:19" s="64" customFormat="1" x14ac:dyDescent="0.2">
      <c r="A1059" s="105" t="s">
        <v>688</v>
      </c>
      <c r="B1059" s="64" t="s">
        <v>171</v>
      </c>
      <c r="C1059" s="65">
        <v>40</v>
      </c>
      <c r="D1059" s="66" t="s">
        <v>19</v>
      </c>
      <c r="E1059" s="67"/>
      <c r="F1059" s="68">
        <v>1</v>
      </c>
      <c r="G1059" s="69" t="s">
        <v>20</v>
      </c>
      <c r="H1059" s="68">
        <v>160</v>
      </c>
      <c r="I1059" s="69" t="s">
        <v>19</v>
      </c>
      <c r="J1059" s="16">
        <v>8750</v>
      </c>
      <c r="K1059" s="66" t="s">
        <v>19</v>
      </c>
      <c r="L1059" s="70"/>
      <c r="M1059" s="70"/>
      <c r="N1059" s="68">
        <v>40</v>
      </c>
      <c r="O1059" s="69" t="s">
        <v>19</v>
      </c>
      <c r="P1059" s="65">
        <f t="shared" si="692"/>
        <v>0</v>
      </c>
      <c r="Q1059" s="69" t="s">
        <v>19</v>
      </c>
      <c r="R1059" s="16">
        <f t="shared" si="693"/>
        <v>0</v>
      </c>
      <c r="S1059" s="16">
        <f t="shared" si="694"/>
        <v>0</v>
      </c>
    </row>
    <row r="1060" spans="1:19" s="73" customFormat="1" x14ac:dyDescent="0.2">
      <c r="A1060" s="103" t="s">
        <v>831</v>
      </c>
      <c r="B1060" s="73" t="s">
        <v>171</v>
      </c>
      <c r="C1060" s="71"/>
      <c r="D1060" s="74" t="s">
        <v>19</v>
      </c>
      <c r="E1060" s="75">
        <v>6</v>
      </c>
      <c r="F1060" s="76">
        <v>1</v>
      </c>
      <c r="G1060" s="77" t="s">
        <v>20</v>
      </c>
      <c r="H1060" s="76">
        <v>160</v>
      </c>
      <c r="I1060" s="77" t="s">
        <v>19</v>
      </c>
      <c r="J1060" s="78">
        <v>9500</v>
      </c>
      <c r="K1060" s="74" t="s">
        <v>19</v>
      </c>
      <c r="L1060" s="79">
        <v>0.05</v>
      </c>
      <c r="M1060" s="79"/>
      <c r="N1060" s="76">
        <v>960</v>
      </c>
      <c r="O1060" s="77" t="s">
        <v>19</v>
      </c>
      <c r="P1060" s="71">
        <f t="shared" si="692"/>
        <v>0</v>
      </c>
      <c r="Q1060" s="77" t="s">
        <v>19</v>
      </c>
      <c r="R1060" s="78">
        <f t="shared" si="693"/>
        <v>0</v>
      </c>
      <c r="S1060" s="78">
        <f t="shared" si="694"/>
        <v>0</v>
      </c>
    </row>
    <row r="1061" spans="1:19" s="64" customFormat="1" x14ac:dyDescent="0.2">
      <c r="A1061" s="103" t="s">
        <v>827</v>
      </c>
      <c r="B1061" s="64" t="s">
        <v>171</v>
      </c>
      <c r="C1061" s="65"/>
      <c r="D1061" s="66" t="s">
        <v>19</v>
      </c>
      <c r="E1061" s="67">
        <v>3</v>
      </c>
      <c r="F1061" s="68">
        <v>1</v>
      </c>
      <c r="G1061" s="69" t="s">
        <v>20</v>
      </c>
      <c r="H1061" s="68">
        <v>192</v>
      </c>
      <c r="I1061" s="69" t="s">
        <v>19</v>
      </c>
      <c r="J1061" s="16">
        <v>9500</v>
      </c>
      <c r="K1061" s="66" t="s">
        <v>19</v>
      </c>
      <c r="L1061" s="70">
        <v>0.05</v>
      </c>
      <c r="M1061" s="70"/>
      <c r="N1061" s="68">
        <v>576</v>
      </c>
      <c r="O1061" s="69" t="s">
        <v>19</v>
      </c>
      <c r="P1061" s="65">
        <f t="shared" si="692"/>
        <v>0</v>
      </c>
      <c r="Q1061" s="69" t="s">
        <v>19</v>
      </c>
      <c r="R1061" s="16">
        <f t="shared" si="693"/>
        <v>0</v>
      </c>
      <c r="S1061" s="16">
        <f t="shared" si="694"/>
        <v>0</v>
      </c>
    </row>
    <row r="1062" spans="1:19" s="73" customFormat="1" x14ac:dyDescent="0.2">
      <c r="A1062" s="103" t="s">
        <v>889</v>
      </c>
      <c r="B1062" s="73" t="s">
        <v>171</v>
      </c>
      <c r="C1062" s="71"/>
      <c r="D1062" s="74" t="s">
        <v>19</v>
      </c>
      <c r="E1062" s="75">
        <v>10</v>
      </c>
      <c r="F1062" s="76">
        <v>1</v>
      </c>
      <c r="G1062" s="77" t="s">
        <v>20</v>
      </c>
      <c r="H1062" s="76">
        <v>144</v>
      </c>
      <c r="I1062" s="77" t="s">
        <v>19</v>
      </c>
      <c r="J1062" s="78">
        <v>9500</v>
      </c>
      <c r="K1062" s="74" t="s">
        <v>19</v>
      </c>
      <c r="L1062" s="79">
        <v>0.05</v>
      </c>
      <c r="M1062" s="79"/>
      <c r="N1062" s="76">
        <v>1440</v>
      </c>
      <c r="O1062" s="77" t="s">
        <v>19</v>
      </c>
      <c r="P1062" s="71">
        <f t="shared" si="692"/>
        <v>0</v>
      </c>
      <c r="Q1062" s="77" t="s">
        <v>19</v>
      </c>
      <c r="R1062" s="78">
        <f t="shared" si="693"/>
        <v>0</v>
      </c>
      <c r="S1062" s="78">
        <f t="shared" si="694"/>
        <v>0</v>
      </c>
    </row>
    <row r="1063" spans="1:19" s="73" customFormat="1" x14ac:dyDescent="0.2">
      <c r="A1063" s="103" t="s">
        <v>890</v>
      </c>
      <c r="B1063" s="73" t="s">
        <v>171</v>
      </c>
      <c r="C1063" s="71"/>
      <c r="D1063" s="74" t="s">
        <v>19</v>
      </c>
      <c r="E1063" s="75">
        <v>25</v>
      </c>
      <c r="F1063" s="76">
        <v>1</v>
      </c>
      <c r="G1063" s="77" t="s">
        <v>20</v>
      </c>
      <c r="H1063" s="76">
        <v>144</v>
      </c>
      <c r="I1063" s="77" t="s">
        <v>19</v>
      </c>
      <c r="J1063" s="78">
        <v>9500</v>
      </c>
      <c r="K1063" s="74" t="s">
        <v>19</v>
      </c>
      <c r="L1063" s="79">
        <v>0.05</v>
      </c>
      <c r="M1063" s="79"/>
      <c r="N1063" s="76">
        <v>3600</v>
      </c>
      <c r="O1063" s="77" t="s">
        <v>19</v>
      </c>
      <c r="P1063" s="71">
        <f t="shared" si="692"/>
        <v>0</v>
      </c>
      <c r="Q1063" s="77" t="s">
        <v>19</v>
      </c>
      <c r="R1063" s="78">
        <f t="shared" si="693"/>
        <v>0</v>
      </c>
      <c r="S1063" s="78">
        <f t="shared" si="694"/>
        <v>0</v>
      </c>
    </row>
    <row r="1064" spans="1:19" s="73" customFormat="1" x14ac:dyDescent="0.2">
      <c r="A1064" s="103" t="s">
        <v>925</v>
      </c>
      <c r="B1064" s="73" t="s">
        <v>171</v>
      </c>
      <c r="C1064" s="71">
        <v>142</v>
      </c>
      <c r="D1064" s="74" t="s">
        <v>19</v>
      </c>
      <c r="E1064" s="75">
        <v>2</v>
      </c>
      <c r="F1064" s="76">
        <v>1</v>
      </c>
      <c r="G1064" s="77" t="s">
        <v>20</v>
      </c>
      <c r="H1064" s="76">
        <v>144</v>
      </c>
      <c r="I1064" s="77" t="s">
        <v>19</v>
      </c>
      <c r="J1064" s="78">
        <v>10000</v>
      </c>
      <c r="K1064" s="74" t="s">
        <v>19</v>
      </c>
      <c r="L1064" s="79">
        <v>0.05</v>
      </c>
      <c r="M1064" s="79"/>
      <c r="N1064" s="76">
        <v>430</v>
      </c>
      <c r="O1064" s="77" t="s">
        <v>19</v>
      </c>
      <c r="P1064" s="71">
        <f t="shared" ref="P1064:P1067" si="695">(C1064+(E1064*F1064*H1064))-N1064</f>
        <v>0</v>
      </c>
      <c r="Q1064" s="77" t="s">
        <v>19</v>
      </c>
      <c r="R1064" s="78">
        <f t="shared" ref="R1064:R1067" si="696">P1064*(J1064-(J1064*L1064)-((J1064-(J1064*L1064))*M1064))</f>
        <v>0</v>
      </c>
      <c r="S1064" s="78">
        <f t="shared" ref="S1064:S1067" si="697">R1064/1.11</f>
        <v>0</v>
      </c>
    </row>
    <row r="1065" spans="1:19" s="73" customFormat="1" x14ac:dyDescent="0.2">
      <c r="A1065" s="103" t="s">
        <v>926</v>
      </c>
      <c r="B1065" s="73" t="s">
        <v>171</v>
      </c>
      <c r="C1065" s="71"/>
      <c r="D1065" s="74" t="s">
        <v>19</v>
      </c>
      <c r="E1065" s="75">
        <v>1</v>
      </c>
      <c r="F1065" s="76">
        <v>1</v>
      </c>
      <c r="G1065" s="77" t="s">
        <v>20</v>
      </c>
      <c r="H1065" s="76">
        <v>144</v>
      </c>
      <c r="I1065" s="77" t="s">
        <v>19</v>
      </c>
      <c r="J1065" s="78">
        <v>10000</v>
      </c>
      <c r="K1065" s="74" t="s">
        <v>19</v>
      </c>
      <c r="L1065" s="79">
        <v>0.05</v>
      </c>
      <c r="M1065" s="79"/>
      <c r="N1065" s="76">
        <v>144</v>
      </c>
      <c r="O1065" s="77" t="s">
        <v>19</v>
      </c>
      <c r="P1065" s="71">
        <f t="shared" si="695"/>
        <v>0</v>
      </c>
      <c r="Q1065" s="77" t="s">
        <v>19</v>
      </c>
      <c r="R1065" s="78">
        <f t="shared" si="696"/>
        <v>0</v>
      </c>
      <c r="S1065" s="78">
        <f t="shared" si="697"/>
        <v>0</v>
      </c>
    </row>
    <row r="1066" spans="1:19" s="73" customFormat="1" x14ac:dyDescent="0.2">
      <c r="A1066" s="103" t="s">
        <v>927</v>
      </c>
      <c r="B1066" s="73" t="s">
        <v>171</v>
      </c>
      <c r="C1066" s="71"/>
      <c r="D1066" s="74" t="s">
        <v>19</v>
      </c>
      <c r="E1066" s="75">
        <v>11</v>
      </c>
      <c r="F1066" s="76">
        <v>1</v>
      </c>
      <c r="G1066" s="77" t="s">
        <v>20</v>
      </c>
      <c r="H1066" s="76">
        <v>144</v>
      </c>
      <c r="I1066" s="77" t="s">
        <v>19</v>
      </c>
      <c r="J1066" s="78">
        <v>10500</v>
      </c>
      <c r="K1066" s="74" t="s">
        <v>19</v>
      </c>
      <c r="L1066" s="79">
        <v>0.05</v>
      </c>
      <c r="M1066" s="79"/>
      <c r="N1066" s="76">
        <v>1584</v>
      </c>
      <c r="O1066" s="77" t="s">
        <v>19</v>
      </c>
      <c r="P1066" s="71">
        <f t="shared" si="695"/>
        <v>0</v>
      </c>
      <c r="Q1066" s="77" t="s">
        <v>19</v>
      </c>
      <c r="R1066" s="78">
        <f t="shared" si="696"/>
        <v>0</v>
      </c>
      <c r="S1066" s="78">
        <f t="shared" si="697"/>
        <v>0</v>
      </c>
    </row>
    <row r="1067" spans="1:19" s="73" customFormat="1" x14ac:dyDescent="0.2">
      <c r="A1067" s="103" t="s">
        <v>928</v>
      </c>
      <c r="B1067" s="73" t="s">
        <v>171</v>
      </c>
      <c r="C1067" s="71">
        <v>143</v>
      </c>
      <c r="D1067" s="74" t="s">
        <v>19</v>
      </c>
      <c r="E1067" s="75">
        <v>5</v>
      </c>
      <c r="F1067" s="76">
        <v>1</v>
      </c>
      <c r="G1067" s="77" t="s">
        <v>20</v>
      </c>
      <c r="H1067" s="76">
        <v>144</v>
      </c>
      <c r="I1067" s="77" t="s">
        <v>19</v>
      </c>
      <c r="J1067" s="78">
        <v>10500</v>
      </c>
      <c r="K1067" s="74" t="s">
        <v>19</v>
      </c>
      <c r="L1067" s="79">
        <v>0.05</v>
      </c>
      <c r="M1067" s="79"/>
      <c r="N1067" s="76">
        <v>863</v>
      </c>
      <c r="O1067" s="77" t="s">
        <v>19</v>
      </c>
      <c r="P1067" s="71">
        <f t="shared" si="695"/>
        <v>0</v>
      </c>
      <c r="Q1067" s="77" t="s">
        <v>19</v>
      </c>
      <c r="R1067" s="78">
        <f t="shared" si="696"/>
        <v>0</v>
      </c>
      <c r="S1067" s="78">
        <f t="shared" si="697"/>
        <v>0</v>
      </c>
    </row>
    <row r="1068" spans="1:19" s="19" customFormat="1" x14ac:dyDescent="0.2">
      <c r="A1068" s="136" t="s">
        <v>957</v>
      </c>
      <c r="B1068" s="19" t="s">
        <v>171</v>
      </c>
      <c r="C1068" s="20"/>
      <c r="D1068" s="21" t="s">
        <v>19</v>
      </c>
      <c r="E1068" s="26">
        <v>50</v>
      </c>
      <c r="F1068" s="22">
        <v>1</v>
      </c>
      <c r="G1068" s="23" t="s">
        <v>20</v>
      </c>
      <c r="H1068" s="22">
        <v>160</v>
      </c>
      <c r="I1068" s="23" t="s">
        <v>19</v>
      </c>
      <c r="J1068" s="24">
        <v>8500</v>
      </c>
      <c r="K1068" s="21" t="s">
        <v>19</v>
      </c>
      <c r="L1068" s="25">
        <v>7.0000000000000007E-2</v>
      </c>
      <c r="M1068" s="25"/>
      <c r="N1068" s="22">
        <f>8000-6720</f>
        <v>1280</v>
      </c>
      <c r="O1068" s="23" t="s">
        <v>19</v>
      </c>
      <c r="P1068" s="20">
        <f t="shared" ref="P1068" si="698">(C1068+(E1068*F1068*H1068))-N1068</f>
        <v>6720</v>
      </c>
      <c r="Q1068" s="23" t="s">
        <v>19</v>
      </c>
      <c r="R1068" s="24">
        <f t="shared" ref="R1068" si="699">P1068*(J1068-(J1068*L1068)-((J1068-(J1068*L1068))*M1068))</f>
        <v>53121600</v>
      </c>
      <c r="S1068" s="24">
        <f t="shared" ref="S1068" si="700">R1068/1.11</f>
        <v>47857297.297297291</v>
      </c>
    </row>
    <row r="1069" spans="1:19" s="19" customFormat="1" x14ac:dyDescent="0.2">
      <c r="A1069" s="136" t="s">
        <v>958</v>
      </c>
      <c r="B1069" s="19" t="s">
        <v>171</v>
      </c>
      <c r="C1069" s="20"/>
      <c r="D1069" s="21" t="s">
        <v>19</v>
      </c>
      <c r="E1069" s="26">
        <v>16</v>
      </c>
      <c r="F1069" s="22">
        <v>1</v>
      </c>
      <c r="G1069" s="23" t="s">
        <v>20</v>
      </c>
      <c r="H1069" s="22">
        <v>120</v>
      </c>
      <c r="I1069" s="23" t="s">
        <v>19</v>
      </c>
      <c r="J1069" s="24">
        <v>11500</v>
      </c>
      <c r="K1069" s="21" t="s">
        <v>19</v>
      </c>
      <c r="L1069" s="25">
        <v>7.0000000000000007E-2</v>
      </c>
      <c r="M1069" s="25"/>
      <c r="N1069" s="22">
        <f>1920-840</f>
        <v>1080</v>
      </c>
      <c r="O1069" s="23" t="s">
        <v>19</v>
      </c>
      <c r="P1069" s="20">
        <f t="shared" ref="P1069:P1083" si="701">(C1069+(E1069*F1069*H1069))-N1069</f>
        <v>840</v>
      </c>
      <c r="Q1069" s="23" t="s">
        <v>19</v>
      </c>
      <c r="R1069" s="24">
        <f t="shared" ref="R1069:R1083" si="702">P1069*(J1069-(J1069*L1069)-((J1069-(J1069*L1069))*M1069))</f>
        <v>8983800</v>
      </c>
      <c r="S1069" s="24">
        <f t="shared" ref="S1069:S1083" si="703">R1069/1.11</f>
        <v>8093513.5135135129</v>
      </c>
    </row>
    <row r="1070" spans="1:19" s="19" customFormat="1" x14ac:dyDescent="0.2">
      <c r="A1070" s="136" t="s">
        <v>959</v>
      </c>
      <c r="B1070" s="19" t="s">
        <v>171</v>
      </c>
      <c r="C1070" s="20"/>
      <c r="D1070" s="21" t="s">
        <v>19</v>
      </c>
      <c r="E1070" s="26">
        <v>43</v>
      </c>
      <c r="F1070" s="22">
        <v>1</v>
      </c>
      <c r="G1070" s="23" t="s">
        <v>20</v>
      </c>
      <c r="H1070" s="22">
        <v>144</v>
      </c>
      <c r="I1070" s="23" t="s">
        <v>19</v>
      </c>
      <c r="J1070" s="24">
        <v>9250</v>
      </c>
      <c r="K1070" s="21" t="s">
        <v>19</v>
      </c>
      <c r="L1070" s="25">
        <v>7.0000000000000007E-2</v>
      </c>
      <c r="M1070" s="25"/>
      <c r="N1070" s="22">
        <f>6192-3168</f>
        <v>3024</v>
      </c>
      <c r="O1070" s="23" t="s">
        <v>19</v>
      </c>
      <c r="P1070" s="20">
        <f t="shared" si="701"/>
        <v>3168</v>
      </c>
      <c r="Q1070" s="23" t="s">
        <v>19</v>
      </c>
      <c r="R1070" s="24">
        <f t="shared" si="702"/>
        <v>27252720</v>
      </c>
      <c r="S1070" s="24">
        <f t="shared" si="703"/>
        <v>24551999.999999996</v>
      </c>
    </row>
    <row r="1071" spans="1:19" s="19" customFormat="1" x14ac:dyDescent="0.2">
      <c r="A1071" s="136" t="s">
        <v>960</v>
      </c>
      <c r="B1071" s="19" t="s">
        <v>171</v>
      </c>
      <c r="C1071" s="20"/>
      <c r="D1071" s="21" t="s">
        <v>19</v>
      </c>
      <c r="E1071" s="26">
        <v>26</v>
      </c>
      <c r="F1071" s="22">
        <v>1</v>
      </c>
      <c r="G1071" s="23" t="s">
        <v>20</v>
      </c>
      <c r="H1071" s="22">
        <v>160</v>
      </c>
      <c r="I1071" s="23" t="s">
        <v>19</v>
      </c>
      <c r="J1071" s="24">
        <v>9250</v>
      </c>
      <c r="K1071" s="21" t="s">
        <v>19</v>
      </c>
      <c r="L1071" s="25">
        <v>7.0000000000000007E-2</v>
      </c>
      <c r="M1071" s="25"/>
      <c r="N1071" s="22">
        <f>4160-2560</f>
        <v>1600</v>
      </c>
      <c r="O1071" s="23" t="s">
        <v>19</v>
      </c>
      <c r="P1071" s="20">
        <f t="shared" si="701"/>
        <v>2560</v>
      </c>
      <c r="Q1071" s="23" t="s">
        <v>19</v>
      </c>
      <c r="R1071" s="24">
        <f t="shared" si="702"/>
        <v>22022400</v>
      </c>
      <c r="S1071" s="24">
        <f t="shared" si="703"/>
        <v>19840000</v>
      </c>
    </row>
    <row r="1072" spans="1:19" s="19" customFormat="1" x14ac:dyDescent="0.2">
      <c r="A1072" s="136" t="s">
        <v>827</v>
      </c>
      <c r="B1072" s="19" t="s">
        <v>171</v>
      </c>
      <c r="C1072" s="20"/>
      <c r="D1072" s="21" t="s">
        <v>19</v>
      </c>
      <c r="E1072" s="26">
        <v>28</v>
      </c>
      <c r="F1072" s="22">
        <v>1</v>
      </c>
      <c r="G1072" s="23" t="s">
        <v>20</v>
      </c>
      <c r="H1072" s="22">
        <v>192</v>
      </c>
      <c r="I1072" s="23" t="s">
        <v>19</v>
      </c>
      <c r="J1072" s="24">
        <v>9250</v>
      </c>
      <c r="K1072" s="21" t="s">
        <v>19</v>
      </c>
      <c r="L1072" s="25">
        <v>7.0000000000000007E-2</v>
      </c>
      <c r="M1072" s="25"/>
      <c r="N1072" s="22">
        <f>5376-3264</f>
        <v>2112</v>
      </c>
      <c r="O1072" s="23" t="s">
        <v>19</v>
      </c>
      <c r="P1072" s="20">
        <f t="shared" si="701"/>
        <v>3264</v>
      </c>
      <c r="Q1072" s="23" t="s">
        <v>19</v>
      </c>
      <c r="R1072" s="24">
        <f t="shared" si="702"/>
        <v>28078560</v>
      </c>
      <c r="S1072" s="24">
        <f t="shared" si="703"/>
        <v>25295999.999999996</v>
      </c>
    </row>
    <row r="1073" spans="1:19" s="19" customFormat="1" x14ac:dyDescent="0.2">
      <c r="A1073" s="136" t="s">
        <v>990</v>
      </c>
      <c r="B1073" s="19" t="s">
        <v>171</v>
      </c>
      <c r="C1073" s="20"/>
      <c r="D1073" s="21" t="s">
        <v>19</v>
      </c>
      <c r="E1073" s="26">
        <v>21</v>
      </c>
      <c r="F1073" s="22">
        <v>1</v>
      </c>
      <c r="G1073" s="23" t="s">
        <v>20</v>
      </c>
      <c r="H1073" s="22">
        <v>192</v>
      </c>
      <c r="I1073" s="23" t="s">
        <v>19</v>
      </c>
      <c r="J1073" s="24">
        <v>9250</v>
      </c>
      <c r="K1073" s="21" t="s">
        <v>19</v>
      </c>
      <c r="L1073" s="25">
        <v>7.0000000000000007E-2</v>
      </c>
      <c r="M1073" s="25"/>
      <c r="N1073" s="22">
        <f>4032-3840</f>
        <v>192</v>
      </c>
      <c r="O1073" s="23" t="s">
        <v>19</v>
      </c>
      <c r="P1073" s="20">
        <f t="shared" ref="P1073" si="704">(C1073+(E1073*F1073*H1073))-N1073</f>
        <v>3840</v>
      </c>
      <c r="Q1073" s="23" t="s">
        <v>19</v>
      </c>
      <c r="R1073" s="24">
        <f t="shared" ref="R1073" si="705">P1073*(J1073-(J1073*L1073)-((J1073-(J1073*L1073))*M1073))</f>
        <v>33033600</v>
      </c>
      <c r="S1073" s="24">
        <f t="shared" ref="S1073" si="706">R1073/1.11</f>
        <v>29759999.999999996</v>
      </c>
    </row>
    <row r="1074" spans="1:19" s="19" customFormat="1" x14ac:dyDescent="0.2">
      <c r="A1074" s="136" t="s">
        <v>889</v>
      </c>
      <c r="B1074" s="19" t="s">
        <v>171</v>
      </c>
      <c r="C1074" s="20"/>
      <c r="D1074" s="21" t="s">
        <v>19</v>
      </c>
      <c r="E1074" s="26">
        <v>44</v>
      </c>
      <c r="F1074" s="22">
        <v>1</v>
      </c>
      <c r="G1074" s="23" t="s">
        <v>20</v>
      </c>
      <c r="H1074" s="22">
        <v>144</v>
      </c>
      <c r="I1074" s="23" t="s">
        <v>19</v>
      </c>
      <c r="J1074" s="24">
        <v>9250</v>
      </c>
      <c r="K1074" s="21" t="s">
        <v>19</v>
      </c>
      <c r="L1074" s="25">
        <v>7.0000000000000007E-2</v>
      </c>
      <c r="M1074" s="25"/>
      <c r="N1074" s="22">
        <f>6336-3744</f>
        <v>2592</v>
      </c>
      <c r="O1074" s="23" t="s">
        <v>19</v>
      </c>
      <c r="P1074" s="20">
        <f t="shared" si="701"/>
        <v>3744</v>
      </c>
      <c r="Q1074" s="23" t="s">
        <v>19</v>
      </c>
      <c r="R1074" s="24">
        <f t="shared" si="702"/>
        <v>32207760</v>
      </c>
      <c r="S1074" s="24">
        <f t="shared" si="703"/>
        <v>29015999.999999996</v>
      </c>
    </row>
    <row r="1075" spans="1:19" s="19" customFormat="1" x14ac:dyDescent="0.2">
      <c r="A1075" s="136" t="s">
        <v>890</v>
      </c>
      <c r="B1075" s="19" t="s">
        <v>171</v>
      </c>
      <c r="C1075" s="20"/>
      <c r="D1075" s="21" t="s">
        <v>19</v>
      </c>
      <c r="E1075" s="26">
        <v>21</v>
      </c>
      <c r="F1075" s="22">
        <v>1</v>
      </c>
      <c r="G1075" s="23" t="s">
        <v>20</v>
      </c>
      <c r="H1075" s="22">
        <v>144</v>
      </c>
      <c r="I1075" s="23" t="s">
        <v>19</v>
      </c>
      <c r="J1075" s="24">
        <v>9250</v>
      </c>
      <c r="K1075" s="21" t="s">
        <v>19</v>
      </c>
      <c r="L1075" s="25">
        <v>7.0000000000000007E-2</v>
      </c>
      <c r="M1075" s="25"/>
      <c r="N1075" s="22">
        <f>3024-2880</f>
        <v>144</v>
      </c>
      <c r="O1075" s="23" t="s">
        <v>19</v>
      </c>
      <c r="P1075" s="20">
        <f t="shared" si="701"/>
        <v>2880</v>
      </c>
      <c r="Q1075" s="23" t="s">
        <v>19</v>
      </c>
      <c r="R1075" s="24">
        <f t="shared" si="702"/>
        <v>24775200</v>
      </c>
      <c r="S1075" s="24">
        <f t="shared" si="703"/>
        <v>22319999.999999996</v>
      </c>
    </row>
    <row r="1076" spans="1:19" s="19" customFormat="1" x14ac:dyDescent="0.2">
      <c r="A1076" s="136" t="s">
        <v>927</v>
      </c>
      <c r="B1076" s="19" t="s">
        <v>171</v>
      </c>
      <c r="C1076" s="20"/>
      <c r="D1076" s="21" t="s">
        <v>19</v>
      </c>
      <c r="E1076" s="26">
        <v>10</v>
      </c>
      <c r="F1076" s="22">
        <v>1</v>
      </c>
      <c r="G1076" s="23" t="s">
        <v>20</v>
      </c>
      <c r="H1076" s="22">
        <v>144</v>
      </c>
      <c r="I1076" s="23" t="s">
        <v>19</v>
      </c>
      <c r="J1076" s="24">
        <v>10500</v>
      </c>
      <c r="K1076" s="21" t="s">
        <v>19</v>
      </c>
      <c r="L1076" s="25">
        <v>7.0000000000000007E-2</v>
      </c>
      <c r="M1076" s="25"/>
      <c r="N1076" s="22">
        <f>1440-864</f>
        <v>576</v>
      </c>
      <c r="O1076" s="23" t="s">
        <v>19</v>
      </c>
      <c r="P1076" s="20">
        <f t="shared" si="701"/>
        <v>864</v>
      </c>
      <c r="Q1076" s="23" t="s">
        <v>19</v>
      </c>
      <c r="R1076" s="24">
        <f t="shared" si="702"/>
        <v>8436960</v>
      </c>
      <c r="S1076" s="24">
        <f t="shared" si="703"/>
        <v>7600864.8648648644</v>
      </c>
    </row>
    <row r="1077" spans="1:19" s="73" customFormat="1" x14ac:dyDescent="0.2">
      <c r="A1077" s="213" t="s">
        <v>961</v>
      </c>
      <c r="B1077" s="73" t="s">
        <v>171</v>
      </c>
      <c r="C1077" s="71"/>
      <c r="D1077" s="74" t="s">
        <v>19</v>
      </c>
      <c r="E1077" s="75">
        <v>1</v>
      </c>
      <c r="F1077" s="76">
        <v>1</v>
      </c>
      <c r="G1077" s="77" t="s">
        <v>20</v>
      </c>
      <c r="H1077" s="76">
        <v>192</v>
      </c>
      <c r="I1077" s="77" t="s">
        <v>19</v>
      </c>
      <c r="J1077" s="78">
        <v>10000</v>
      </c>
      <c r="K1077" s="74" t="s">
        <v>19</v>
      </c>
      <c r="L1077" s="79">
        <v>7.0000000000000007E-2</v>
      </c>
      <c r="M1077" s="79"/>
      <c r="N1077" s="76">
        <v>192</v>
      </c>
      <c r="O1077" s="77" t="s">
        <v>19</v>
      </c>
      <c r="P1077" s="71">
        <f t="shared" si="701"/>
        <v>0</v>
      </c>
      <c r="Q1077" s="77" t="s">
        <v>19</v>
      </c>
      <c r="R1077" s="78">
        <f t="shared" si="702"/>
        <v>0</v>
      </c>
      <c r="S1077" s="78">
        <f t="shared" si="703"/>
        <v>0</v>
      </c>
    </row>
    <row r="1078" spans="1:19" s="19" customFormat="1" x14ac:dyDescent="0.2">
      <c r="A1078" s="136" t="s">
        <v>962</v>
      </c>
      <c r="B1078" s="19" t="s">
        <v>171</v>
      </c>
      <c r="C1078" s="20"/>
      <c r="D1078" s="21" t="s">
        <v>19</v>
      </c>
      <c r="E1078" s="26">
        <v>8</v>
      </c>
      <c r="F1078" s="22">
        <v>1</v>
      </c>
      <c r="G1078" s="23" t="s">
        <v>20</v>
      </c>
      <c r="H1078" s="22">
        <v>144</v>
      </c>
      <c r="I1078" s="23" t="s">
        <v>19</v>
      </c>
      <c r="J1078" s="24">
        <v>11500</v>
      </c>
      <c r="K1078" s="21" t="s">
        <v>19</v>
      </c>
      <c r="L1078" s="25">
        <v>7.0000000000000007E-2</v>
      </c>
      <c r="M1078" s="25"/>
      <c r="N1078" s="22">
        <f>1152-288</f>
        <v>864</v>
      </c>
      <c r="O1078" s="23" t="s">
        <v>19</v>
      </c>
      <c r="P1078" s="20">
        <f t="shared" si="701"/>
        <v>288</v>
      </c>
      <c r="Q1078" s="23" t="s">
        <v>19</v>
      </c>
      <c r="R1078" s="24">
        <f t="shared" si="702"/>
        <v>3080160</v>
      </c>
      <c r="S1078" s="24">
        <f t="shared" si="703"/>
        <v>2774918.9189189188</v>
      </c>
    </row>
    <row r="1079" spans="1:19" s="19" customFormat="1" x14ac:dyDescent="0.2">
      <c r="A1079" s="136" t="s">
        <v>963</v>
      </c>
      <c r="B1079" s="19" t="s">
        <v>171</v>
      </c>
      <c r="C1079" s="20">
        <v>143</v>
      </c>
      <c r="D1079" s="21" t="s">
        <v>19</v>
      </c>
      <c r="E1079" s="26">
        <v>32</v>
      </c>
      <c r="F1079" s="22">
        <v>1</v>
      </c>
      <c r="G1079" s="23" t="s">
        <v>20</v>
      </c>
      <c r="H1079" s="22">
        <v>144</v>
      </c>
      <c r="I1079" s="23" t="s">
        <v>19</v>
      </c>
      <c r="J1079" s="24">
        <v>10500</v>
      </c>
      <c r="K1079" s="21" t="s">
        <v>19</v>
      </c>
      <c r="L1079" s="25">
        <v>7.0000000000000007E-2</v>
      </c>
      <c r="M1079" s="25"/>
      <c r="N1079" s="22">
        <f>4751-3744</f>
        <v>1007</v>
      </c>
      <c r="O1079" s="23" t="s">
        <v>19</v>
      </c>
      <c r="P1079" s="20">
        <f t="shared" si="701"/>
        <v>3744</v>
      </c>
      <c r="Q1079" s="23" t="s">
        <v>19</v>
      </c>
      <c r="R1079" s="24">
        <f t="shared" si="702"/>
        <v>36560160</v>
      </c>
      <c r="S1079" s="24">
        <f t="shared" si="703"/>
        <v>32937081.081081077</v>
      </c>
    </row>
    <row r="1080" spans="1:19" s="19" customFormat="1" x14ac:dyDescent="0.2">
      <c r="A1080" s="136" t="s">
        <v>964</v>
      </c>
      <c r="B1080" s="19" t="s">
        <v>171</v>
      </c>
      <c r="C1080" s="20"/>
      <c r="D1080" s="21" t="s">
        <v>19</v>
      </c>
      <c r="E1080" s="26">
        <v>10</v>
      </c>
      <c r="F1080" s="22">
        <v>1</v>
      </c>
      <c r="G1080" s="23" t="s">
        <v>20</v>
      </c>
      <c r="H1080" s="22">
        <v>144</v>
      </c>
      <c r="I1080" s="23" t="s">
        <v>19</v>
      </c>
      <c r="J1080" s="24">
        <v>11000</v>
      </c>
      <c r="K1080" s="21" t="s">
        <v>19</v>
      </c>
      <c r="L1080" s="25">
        <v>7.0000000000000007E-2</v>
      </c>
      <c r="M1080" s="25"/>
      <c r="N1080" s="22">
        <f>1440-288</f>
        <v>1152</v>
      </c>
      <c r="O1080" s="23" t="s">
        <v>19</v>
      </c>
      <c r="P1080" s="20">
        <f t="shared" si="701"/>
        <v>288</v>
      </c>
      <c r="Q1080" s="23" t="s">
        <v>19</v>
      </c>
      <c r="R1080" s="24">
        <f t="shared" si="702"/>
        <v>2946240</v>
      </c>
      <c r="S1080" s="24">
        <f t="shared" si="703"/>
        <v>2654270.2702702698</v>
      </c>
    </row>
    <row r="1081" spans="1:19" s="19" customFormat="1" x14ac:dyDescent="0.2">
      <c r="A1081" s="136" t="s">
        <v>965</v>
      </c>
      <c r="B1081" s="19" t="s">
        <v>171</v>
      </c>
      <c r="C1081" s="20"/>
      <c r="D1081" s="21" t="s">
        <v>19</v>
      </c>
      <c r="E1081" s="26">
        <v>25</v>
      </c>
      <c r="F1081" s="22">
        <v>1</v>
      </c>
      <c r="G1081" s="23" t="s">
        <v>20</v>
      </c>
      <c r="H1081" s="22">
        <v>144</v>
      </c>
      <c r="I1081" s="23" t="s">
        <v>19</v>
      </c>
      <c r="J1081" s="24">
        <v>11500</v>
      </c>
      <c r="K1081" s="21" t="s">
        <v>19</v>
      </c>
      <c r="L1081" s="25">
        <v>7.0000000000000007E-2</v>
      </c>
      <c r="M1081" s="25"/>
      <c r="N1081" s="22">
        <f>3600-2736</f>
        <v>864</v>
      </c>
      <c r="O1081" s="23" t="s">
        <v>19</v>
      </c>
      <c r="P1081" s="20">
        <f t="shared" si="701"/>
        <v>2736</v>
      </c>
      <c r="Q1081" s="23" t="s">
        <v>19</v>
      </c>
      <c r="R1081" s="24">
        <f t="shared" si="702"/>
        <v>29261520</v>
      </c>
      <c r="S1081" s="24">
        <f t="shared" si="703"/>
        <v>26361729.729729727</v>
      </c>
    </row>
    <row r="1082" spans="1:19" s="19" customFormat="1" x14ac:dyDescent="0.2">
      <c r="A1082" s="136" t="s">
        <v>991</v>
      </c>
      <c r="B1082" s="19" t="s">
        <v>171</v>
      </c>
      <c r="C1082" s="20"/>
      <c r="D1082" s="21" t="s">
        <v>19</v>
      </c>
      <c r="E1082" s="26">
        <v>10</v>
      </c>
      <c r="F1082" s="22">
        <v>1</v>
      </c>
      <c r="G1082" s="23" t="s">
        <v>20</v>
      </c>
      <c r="H1082" s="22">
        <v>192</v>
      </c>
      <c r="I1082" s="23" t="s">
        <v>19</v>
      </c>
      <c r="J1082" s="24">
        <v>9250</v>
      </c>
      <c r="K1082" s="21" t="s">
        <v>19</v>
      </c>
      <c r="L1082" s="25">
        <v>7.0000000000000007E-2</v>
      </c>
      <c r="M1082" s="25"/>
      <c r="N1082" s="22">
        <f>1920-1728</f>
        <v>192</v>
      </c>
      <c r="O1082" s="23" t="s">
        <v>19</v>
      </c>
      <c r="P1082" s="20">
        <f t="shared" ref="P1082" si="707">(C1082+(E1082*F1082*H1082))-N1082</f>
        <v>1728</v>
      </c>
      <c r="Q1082" s="23" t="s">
        <v>19</v>
      </c>
      <c r="R1082" s="24">
        <f t="shared" ref="R1082" si="708">P1082*(J1082-(J1082*L1082)-((J1082-(J1082*L1082))*M1082))</f>
        <v>14865120</v>
      </c>
      <c r="S1082" s="24">
        <f t="shared" ref="S1082" si="709">R1082/1.11</f>
        <v>13391999.999999998</v>
      </c>
    </row>
    <row r="1083" spans="1:19" s="73" customFormat="1" x14ac:dyDescent="0.2">
      <c r="A1083" s="213" t="s">
        <v>966</v>
      </c>
      <c r="B1083" s="73" t="s">
        <v>171</v>
      </c>
      <c r="C1083" s="71"/>
      <c r="D1083" s="74" t="s">
        <v>19</v>
      </c>
      <c r="E1083" s="75">
        <v>20</v>
      </c>
      <c r="F1083" s="76">
        <v>1</v>
      </c>
      <c r="G1083" s="77" t="s">
        <v>20</v>
      </c>
      <c r="H1083" s="76">
        <v>144</v>
      </c>
      <c r="I1083" s="77" t="s">
        <v>19</v>
      </c>
      <c r="J1083" s="78">
        <v>11000</v>
      </c>
      <c r="K1083" s="74" t="s">
        <v>19</v>
      </c>
      <c r="L1083" s="79">
        <v>7.0000000000000007E-2</v>
      </c>
      <c r="M1083" s="79"/>
      <c r="N1083" s="76">
        <v>2880</v>
      </c>
      <c r="O1083" s="77" t="s">
        <v>19</v>
      </c>
      <c r="P1083" s="71">
        <f t="shared" si="701"/>
        <v>0</v>
      </c>
      <c r="Q1083" s="77" t="s">
        <v>19</v>
      </c>
      <c r="R1083" s="78">
        <f t="shared" si="702"/>
        <v>0</v>
      </c>
      <c r="S1083" s="78">
        <f t="shared" si="703"/>
        <v>0</v>
      </c>
    </row>
    <row r="1084" spans="1:19" s="19" customFormat="1" x14ac:dyDescent="0.2">
      <c r="A1084" s="136" t="s">
        <v>992</v>
      </c>
      <c r="B1084" s="19" t="s">
        <v>171</v>
      </c>
      <c r="C1084" s="20"/>
      <c r="D1084" s="21" t="s">
        <v>19</v>
      </c>
      <c r="E1084" s="26">
        <v>26</v>
      </c>
      <c r="F1084" s="22">
        <v>1</v>
      </c>
      <c r="G1084" s="23" t="s">
        <v>20</v>
      </c>
      <c r="H1084" s="22">
        <v>192</v>
      </c>
      <c r="I1084" s="23" t="s">
        <v>19</v>
      </c>
      <c r="J1084" s="24">
        <v>9500</v>
      </c>
      <c r="K1084" s="21" t="s">
        <v>19</v>
      </c>
      <c r="L1084" s="25">
        <v>7.0000000000000007E-2</v>
      </c>
      <c r="M1084" s="25"/>
      <c r="N1084" s="22">
        <f>4992-4608</f>
        <v>384</v>
      </c>
      <c r="O1084" s="23" t="s">
        <v>19</v>
      </c>
      <c r="P1084" s="20">
        <f t="shared" ref="P1084" si="710">(C1084+(E1084*F1084*H1084))-N1084</f>
        <v>4608</v>
      </c>
      <c r="Q1084" s="23" t="s">
        <v>19</v>
      </c>
      <c r="R1084" s="24">
        <f t="shared" ref="R1084" si="711">P1084*(J1084-(J1084*L1084)-((J1084-(J1084*L1084))*M1084))</f>
        <v>40711680</v>
      </c>
      <c r="S1084" s="24">
        <f t="shared" ref="S1084" si="712">R1084/1.11</f>
        <v>36677189.189189188</v>
      </c>
    </row>
    <row r="1085" spans="1:19" s="19" customFormat="1" x14ac:dyDescent="0.2">
      <c r="A1085" s="136" t="s">
        <v>974</v>
      </c>
      <c r="B1085" s="19" t="s">
        <v>171</v>
      </c>
      <c r="C1085" s="20"/>
      <c r="D1085" s="21" t="s">
        <v>19</v>
      </c>
      <c r="E1085" s="26">
        <v>58</v>
      </c>
      <c r="F1085" s="22">
        <v>1</v>
      </c>
      <c r="G1085" s="23" t="s">
        <v>20</v>
      </c>
      <c r="H1085" s="22">
        <v>144</v>
      </c>
      <c r="I1085" s="23" t="s">
        <v>19</v>
      </c>
      <c r="J1085" s="24">
        <v>8500</v>
      </c>
      <c r="K1085" s="21" t="s">
        <v>19</v>
      </c>
      <c r="L1085" s="25">
        <v>7.0000000000000007E-2</v>
      </c>
      <c r="M1085" s="25"/>
      <c r="N1085" s="22">
        <f>8352-7200</f>
        <v>1152</v>
      </c>
      <c r="O1085" s="23" t="s">
        <v>19</v>
      </c>
      <c r="P1085" s="20">
        <f t="shared" ref="P1085" si="713">(C1085+(E1085*F1085*H1085))-N1085</f>
        <v>7200</v>
      </c>
      <c r="Q1085" s="23" t="s">
        <v>19</v>
      </c>
      <c r="R1085" s="24">
        <f t="shared" ref="R1085" si="714">P1085*(J1085-(J1085*L1085)-((J1085-(J1085*L1085))*M1085))</f>
        <v>56916000</v>
      </c>
      <c r="S1085" s="24">
        <f t="shared" ref="S1085" si="715">R1085/1.11</f>
        <v>51275675.675675668</v>
      </c>
    </row>
    <row r="1086" spans="1:19" x14ac:dyDescent="0.2">
      <c r="A1086" s="37"/>
    </row>
    <row r="1087" spans="1:19" s="64" customFormat="1" x14ac:dyDescent="0.2">
      <c r="A1087" s="63" t="s">
        <v>682</v>
      </c>
      <c r="B1087" s="64" t="s">
        <v>260</v>
      </c>
      <c r="C1087" s="65">
        <v>2244</v>
      </c>
      <c r="D1087" s="66" t="s">
        <v>19</v>
      </c>
      <c r="E1087" s="112"/>
      <c r="F1087" s="68">
        <v>1</v>
      </c>
      <c r="G1087" s="69" t="s">
        <v>20</v>
      </c>
      <c r="H1087" s="214">
        <v>480</v>
      </c>
      <c r="I1087" s="69" t="s">
        <v>19</v>
      </c>
      <c r="J1087" s="16">
        <v>26000</v>
      </c>
      <c r="K1087" s="66" t="s">
        <v>19</v>
      </c>
      <c r="L1087" s="215">
        <v>0.2</v>
      </c>
      <c r="M1087" s="70"/>
      <c r="N1087" s="68">
        <v>2244</v>
      </c>
      <c r="O1087" s="69" t="s">
        <v>19</v>
      </c>
      <c r="P1087" s="65">
        <f>(C1087+(E1087*F1087*H1087))-N1087</f>
        <v>0</v>
      </c>
      <c r="Q1087" s="69" t="s">
        <v>19</v>
      </c>
      <c r="R1087" s="16">
        <f>P1087*(J1087-(J1087*L1087)-((J1087-(J1087*L1087))*M1087))</f>
        <v>0</v>
      </c>
      <c r="S1087" s="16">
        <f>R1087/1.11</f>
        <v>0</v>
      </c>
    </row>
    <row r="1088" spans="1:19" s="64" customFormat="1" x14ac:dyDescent="0.2">
      <c r="A1088" s="63" t="s">
        <v>684</v>
      </c>
      <c r="B1088" s="64" t="s">
        <v>260</v>
      </c>
      <c r="C1088" s="65">
        <v>2208</v>
      </c>
      <c r="D1088" s="66" t="s">
        <v>19</v>
      </c>
      <c r="E1088" s="112"/>
      <c r="F1088" s="68">
        <v>1</v>
      </c>
      <c r="G1088" s="69" t="s">
        <v>20</v>
      </c>
      <c r="H1088" s="214">
        <v>480</v>
      </c>
      <c r="I1088" s="69" t="s">
        <v>19</v>
      </c>
      <c r="J1088" s="16">
        <v>20800</v>
      </c>
      <c r="K1088" s="66" t="s">
        <v>19</v>
      </c>
      <c r="L1088" s="215">
        <v>0.3</v>
      </c>
      <c r="M1088" s="70"/>
      <c r="N1088" s="68">
        <v>2208</v>
      </c>
      <c r="O1088" s="69" t="s">
        <v>19</v>
      </c>
      <c r="P1088" s="65">
        <f>(C1088+(E1088*F1088*H1088))-N1088</f>
        <v>0</v>
      </c>
      <c r="Q1088" s="69" t="s">
        <v>19</v>
      </c>
      <c r="R1088" s="16">
        <f>P1088*(J1088-(J1088*L1088)-((J1088-(J1088*L1088))*M1088))</f>
        <v>0</v>
      </c>
      <c r="S1088" s="16">
        <f>R1088/1.11</f>
        <v>0</v>
      </c>
    </row>
    <row r="1089" spans="1:19" x14ac:dyDescent="0.2">
      <c r="A1089" s="17" t="s">
        <v>680</v>
      </c>
      <c r="B1089" s="2" t="s">
        <v>260</v>
      </c>
      <c r="C1089" s="3">
        <v>1944</v>
      </c>
      <c r="D1089" s="4" t="s">
        <v>19</v>
      </c>
      <c r="E1089" s="32"/>
      <c r="F1089" s="6">
        <v>1</v>
      </c>
      <c r="G1089" s="7" t="s">
        <v>20</v>
      </c>
      <c r="H1089" s="33">
        <v>480</v>
      </c>
      <c r="I1089" s="7" t="s">
        <v>19</v>
      </c>
      <c r="J1089" s="8">
        <v>15000</v>
      </c>
      <c r="K1089" s="4" t="s">
        <v>19</v>
      </c>
      <c r="L1089" s="31">
        <v>0.2</v>
      </c>
      <c r="N1089" s="6">
        <f>1944-960</f>
        <v>984</v>
      </c>
      <c r="O1089" s="7" t="s">
        <v>19</v>
      </c>
      <c r="P1089" s="3">
        <f>(C1089+(E1089*F1089*H1089))-N1089</f>
        <v>960</v>
      </c>
      <c r="Q1089" s="7" t="s">
        <v>19</v>
      </c>
      <c r="R1089" s="8">
        <f>P1089*(J1089-(J1089*L1089)-((J1089-(J1089*L1089))*M1089))</f>
        <v>11520000</v>
      </c>
      <c r="S1089" s="8">
        <f>R1089/1.11</f>
        <v>10378378.378378378</v>
      </c>
    </row>
    <row r="1090" spans="1:19" x14ac:dyDescent="0.2">
      <c r="A1090" s="17" t="s">
        <v>683</v>
      </c>
      <c r="B1090" s="2" t="s">
        <v>260</v>
      </c>
      <c r="C1090" s="3">
        <v>2094</v>
      </c>
      <c r="D1090" s="4" t="s">
        <v>19</v>
      </c>
      <c r="E1090" s="32"/>
      <c r="F1090" s="6">
        <v>1</v>
      </c>
      <c r="G1090" s="7" t="s">
        <v>20</v>
      </c>
      <c r="H1090" s="33">
        <v>480</v>
      </c>
      <c r="I1090" s="7" t="s">
        <v>19</v>
      </c>
      <c r="J1090" s="8">
        <v>29900</v>
      </c>
      <c r="K1090" s="4" t="s">
        <v>19</v>
      </c>
      <c r="L1090" s="31">
        <v>0.25</v>
      </c>
      <c r="O1090" s="7" t="s">
        <v>19</v>
      </c>
      <c r="P1090" s="3">
        <f>(C1090+(E1090*F1090*H1090))-N1090</f>
        <v>2094</v>
      </c>
      <c r="Q1090" s="7" t="s">
        <v>19</v>
      </c>
      <c r="R1090" s="8">
        <f>P1090*(J1090-(J1090*L1090)-((J1090-(J1090*L1090))*M1090))</f>
        <v>46957950</v>
      </c>
      <c r="S1090" s="8">
        <f>R1090/1.11</f>
        <v>42304459.459459454</v>
      </c>
    </row>
    <row r="1091" spans="1:19" s="64" customFormat="1" x14ac:dyDescent="0.2">
      <c r="A1091" s="63" t="s">
        <v>681</v>
      </c>
      <c r="B1091" s="64" t="s">
        <v>260</v>
      </c>
      <c r="C1091" s="65">
        <v>1272</v>
      </c>
      <c r="D1091" s="66" t="s">
        <v>19</v>
      </c>
      <c r="E1091" s="112"/>
      <c r="F1091" s="68">
        <v>1</v>
      </c>
      <c r="G1091" s="69" t="s">
        <v>20</v>
      </c>
      <c r="H1091" s="214">
        <v>384</v>
      </c>
      <c r="I1091" s="69" t="s">
        <v>19</v>
      </c>
      <c r="J1091" s="16">
        <v>16000</v>
      </c>
      <c r="K1091" s="66" t="s">
        <v>19</v>
      </c>
      <c r="L1091" s="215">
        <v>0.25</v>
      </c>
      <c r="M1091" s="70"/>
      <c r="N1091" s="68">
        <v>1272</v>
      </c>
      <c r="O1091" s="69" t="s">
        <v>19</v>
      </c>
      <c r="P1091" s="65">
        <f>(C1091+(E1091*F1091*H1091))-N1091</f>
        <v>0</v>
      </c>
      <c r="Q1091" s="69" t="s">
        <v>19</v>
      </c>
      <c r="R1091" s="16">
        <f>P1091*(J1091-(J1091*L1091)-((J1091-(J1091*L1091))*M1091))</f>
        <v>0</v>
      </c>
      <c r="S1091" s="16">
        <f>R1091/1.11</f>
        <v>0</v>
      </c>
    </row>
    <row r="1093" spans="1:19" ht="15.75" x14ac:dyDescent="0.25">
      <c r="A1093" s="14" t="s">
        <v>495</v>
      </c>
    </row>
    <row r="1094" spans="1:19" x14ac:dyDescent="0.2">
      <c r="A1094" s="15" t="s">
        <v>496</v>
      </c>
    </row>
    <row r="1095" spans="1:19" x14ac:dyDescent="0.2">
      <c r="A1095" s="17" t="s">
        <v>763</v>
      </c>
      <c r="B1095" s="2" t="s">
        <v>18</v>
      </c>
      <c r="D1095" s="4" t="s">
        <v>33</v>
      </c>
      <c r="E1095" s="5">
        <v>8</v>
      </c>
      <c r="F1095" s="6">
        <v>1</v>
      </c>
      <c r="G1095" s="7" t="s">
        <v>20</v>
      </c>
      <c r="H1095" s="6">
        <v>48</v>
      </c>
      <c r="I1095" s="7" t="s">
        <v>33</v>
      </c>
      <c r="J1095" s="8">
        <v>31200</v>
      </c>
      <c r="K1095" s="4" t="s">
        <v>33</v>
      </c>
      <c r="L1095" s="9">
        <v>0.125</v>
      </c>
      <c r="M1095" s="9">
        <v>0.05</v>
      </c>
      <c r="N1095" s="6">
        <f>384-48</f>
        <v>336</v>
      </c>
      <c r="O1095" s="7" t="s">
        <v>33</v>
      </c>
      <c r="P1095" s="3">
        <f>(C1095+(E1095*F1095*H1095))-N1095</f>
        <v>48</v>
      </c>
      <c r="Q1095" s="7" t="s">
        <v>33</v>
      </c>
      <c r="R1095" s="8">
        <f>P1095*(J1095-(J1095*L1095)-((J1095-(J1095*L1095))*M1095))</f>
        <v>1244880</v>
      </c>
      <c r="S1095" s="8">
        <f t="shared" si="628"/>
        <v>1121513.5135135134</v>
      </c>
    </row>
    <row r="1097" spans="1:19" s="73" customFormat="1" x14ac:dyDescent="0.2">
      <c r="A1097" s="104" t="s">
        <v>764</v>
      </c>
      <c r="B1097" s="73" t="s">
        <v>25</v>
      </c>
      <c r="C1097" s="71">
        <v>122</v>
      </c>
      <c r="D1097" s="74" t="s">
        <v>40</v>
      </c>
      <c r="E1097" s="75">
        <v>11</v>
      </c>
      <c r="F1097" s="76">
        <v>1</v>
      </c>
      <c r="G1097" s="77" t="s">
        <v>20</v>
      </c>
      <c r="H1097" s="76">
        <v>48</v>
      </c>
      <c r="I1097" s="77" t="s">
        <v>40</v>
      </c>
      <c r="J1097" s="78">
        <f>1584000/48</f>
        <v>33000</v>
      </c>
      <c r="K1097" s="74" t="s">
        <v>40</v>
      </c>
      <c r="L1097" s="79"/>
      <c r="M1097" s="79">
        <v>0.17</v>
      </c>
      <c r="N1097" s="76">
        <v>650</v>
      </c>
      <c r="O1097" s="77" t="s">
        <v>40</v>
      </c>
      <c r="P1097" s="71">
        <f>(C1097+(E1097*F1097*H1097))-N1097</f>
        <v>0</v>
      </c>
      <c r="Q1097" s="77" t="s">
        <v>40</v>
      </c>
      <c r="R1097" s="78">
        <f>P1097*(J1097-(J1097*L1097)-((J1097-(J1097*L1097))*M1097))</f>
        <v>0</v>
      </c>
      <c r="S1097" s="78">
        <f t="shared" si="628"/>
        <v>0</v>
      </c>
    </row>
    <row r="1098" spans="1:19" s="19" customFormat="1" x14ac:dyDescent="0.2">
      <c r="A1098" s="38"/>
      <c r="C1098" s="20"/>
      <c r="D1098" s="21"/>
      <c r="E1098" s="26"/>
      <c r="F1098" s="22"/>
      <c r="G1098" s="23"/>
      <c r="H1098" s="22"/>
      <c r="I1098" s="23"/>
      <c r="J1098" s="24"/>
      <c r="K1098" s="21"/>
      <c r="L1098" s="25"/>
      <c r="M1098" s="25"/>
      <c r="N1098" s="22"/>
      <c r="O1098" s="23"/>
      <c r="P1098" s="20"/>
      <c r="Q1098" s="23"/>
      <c r="R1098" s="24"/>
      <c r="S1098" s="24"/>
    </row>
    <row r="1099" spans="1:19" s="73" customFormat="1" x14ac:dyDescent="0.2">
      <c r="A1099" s="104" t="s">
        <v>1045</v>
      </c>
      <c r="B1099" s="73" t="s">
        <v>18</v>
      </c>
      <c r="C1099" s="71"/>
      <c r="D1099" s="74" t="s">
        <v>33</v>
      </c>
      <c r="E1099" s="75">
        <v>1</v>
      </c>
      <c r="F1099" s="76">
        <v>1</v>
      </c>
      <c r="G1099" s="77" t="s">
        <v>20</v>
      </c>
      <c r="H1099" s="76">
        <v>100</v>
      </c>
      <c r="I1099" s="77" t="s">
        <v>33</v>
      </c>
      <c r="J1099" s="78">
        <v>22000</v>
      </c>
      <c r="K1099" s="74" t="s">
        <v>33</v>
      </c>
      <c r="L1099" s="79">
        <v>0.125</v>
      </c>
      <c r="M1099" s="79">
        <v>0.05</v>
      </c>
      <c r="N1099" s="76">
        <v>100</v>
      </c>
      <c r="O1099" s="77" t="s">
        <v>33</v>
      </c>
      <c r="P1099" s="71">
        <f>(C1099+(E1099*F1099*H1099))-N1099</f>
        <v>0</v>
      </c>
      <c r="Q1099" s="77" t="s">
        <v>33</v>
      </c>
      <c r="R1099" s="78">
        <f>P1099*(J1099-(J1099*L1099)-((J1099-(J1099*L1099))*M1099))</f>
        <v>0</v>
      </c>
      <c r="S1099" s="78">
        <f t="shared" ref="S1099" si="716">R1099/1.11</f>
        <v>0</v>
      </c>
    </row>
    <row r="1101" spans="1:19" ht="15.75" x14ac:dyDescent="0.25">
      <c r="A1101" s="14" t="s">
        <v>497</v>
      </c>
    </row>
    <row r="1102" spans="1:19" s="73" customFormat="1" x14ac:dyDescent="0.2">
      <c r="A1102" s="187" t="s">
        <v>658</v>
      </c>
      <c r="B1102" s="73" t="s">
        <v>18</v>
      </c>
      <c r="C1102" s="71"/>
      <c r="D1102" s="74" t="s">
        <v>19</v>
      </c>
      <c r="E1102" s="75">
        <v>1</v>
      </c>
      <c r="F1102" s="76">
        <v>10</v>
      </c>
      <c r="G1102" s="77" t="s">
        <v>33</v>
      </c>
      <c r="H1102" s="76">
        <v>12</v>
      </c>
      <c r="I1102" s="77" t="s">
        <v>19</v>
      </c>
      <c r="J1102" s="190">
        <v>11600</v>
      </c>
      <c r="K1102" s="74" t="s">
        <v>19</v>
      </c>
      <c r="L1102" s="79">
        <v>0.125</v>
      </c>
      <c r="M1102" s="79">
        <v>0.05</v>
      </c>
      <c r="N1102" s="76">
        <v>120</v>
      </c>
      <c r="O1102" s="77" t="s">
        <v>19</v>
      </c>
      <c r="P1102" s="71">
        <f t="shared" ref="P1102" si="717">(C1102+(E1102*F1102*H1102))-N1102</f>
        <v>0</v>
      </c>
      <c r="Q1102" s="77" t="s">
        <v>19</v>
      </c>
      <c r="R1102" s="78">
        <f t="shared" ref="R1102" si="718">P1102*(J1102-(J1102*L1102)-((J1102-(J1102*L1102))*M1102))</f>
        <v>0</v>
      </c>
      <c r="S1102" s="78">
        <f t="shared" ref="S1102" si="719">R1102/1.11</f>
        <v>0</v>
      </c>
    </row>
    <row r="1103" spans="1:19" s="73" customFormat="1" x14ac:dyDescent="0.2">
      <c r="A1103" s="187" t="s">
        <v>658</v>
      </c>
      <c r="B1103" s="73" t="s">
        <v>18</v>
      </c>
      <c r="C1103" s="71">
        <v>36</v>
      </c>
      <c r="D1103" s="74" t="s">
        <v>19</v>
      </c>
      <c r="E1103" s="75"/>
      <c r="F1103" s="76">
        <v>10</v>
      </c>
      <c r="G1103" s="77" t="s">
        <v>33</v>
      </c>
      <c r="H1103" s="76">
        <v>12</v>
      </c>
      <c r="I1103" s="77" t="s">
        <v>19</v>
      </c>
      <c r="J1103" s="190">
        <v>11200</v>
      </c>
      <c r="K1103" s="74" t="s">
        <v>19</v>
      </c>
      <c r="L1103" s="79">
        <v>0.125</v>
      </c>
      <c r="M1103" s="79">
        <v>0.05</v>
      </c>
      <c r="N1103" s="76">
        <v>36</v>
      </c>
      <c r="O1103" s="77" t="s">
        <v>19</v>
      </c>
      <c r="P1103" s="71">
        <f t="shared" ref="P1103:P1109" si="720">(C1103+(E1103*F1103*H1103))-N1103</f>
        <v>0</v>
      </c>
      <c r="Q1103" s="77" t="s">
        <v>19</v>
      </c>
      <c r="R1103" s="78">
        <f t="shared" ref="R1103:R1109" si="721">P1103*(J1103-(J1103*L1103)-((J1103-(J1103*L1103))*M1103))</f>
        <v>0</v>
      </c>
      <c r="S1103" s="78">
        <f t="shared" ref="S1103:S1104" si="722">R1103/1.11</f>
        <v>0</v>
      </c>
    </row>
    <row r="1104" spans="1:19" s="73" customFormat="1" x14ac:dyDescent="0.2">
      <c r="A1104" s="72" t="s">
        <v>659</v>
      </c>
      <c r="B1104" s="73" t="s">
        <v>18</v>
      </c>
      <c r="C1104" s="71">
        <v>48</v>
      </c>
      <c r="D1104" s="74" t="s">
        <v>19</v>
      </c>
      <c r="E1104" s="75"/>
      <c r="F1104" s="76">
        <v>10</v>
      </c>
      <c r="G1104" s="77" t="s">
        <v>33</v>
      </c>
      <c r="H1104" s="76">
        <v>12</v>
      </c>
      <c r="I1104" s="77" t="s">
        <v>19</v>
      </c>
      <c r="J1104" s="78">
        <v>12400</v>
      </c>
      <c r="K1104" s="74" t="s">
        <v>19</v>
      </c>
      <c r="L1104" s="79">
        <v>0.125</v>
      </c>
      <c r="M1104" s="79">
        <v>0.05</v>
      </c>
      <c r="N1104" s="76">
        <v>48</v>
      </c>
      <c r="O1104" s="77" t="s">
        <v>19</v>
      </c>
      <c r="P1104" s="71">
        <f t="shared" si="720"/>
        <v>0</v>
      </c>
      <c r="Q1104" s="77" t="s">
        <v>19</v>
      </c>
      <c r="R1104" s="78">
        <f t="shared" si="721"/>
        <v>0</v>
      </c>
      <c r="S1104" s="78">
        <f t="shared" si="722"/>
        <v>0</v>
      </c>
    </row>
    <row r="1105" spans="1:19" s="73" customFormat="1" x14ac:dyDescent="0.2">
      <c r="A1105" s="72" t="s">
        <v>498</v>
      </c>
      <c r="B1105" s="73" t="s">
        <v>18</v>
      </c>
      <c r="C1105" s="71">
        <v>840</v>
      </c>
      <c r="D1105" s="74" t="s">
        <v>19</v>
      </c>
      <c r="E1105" s="75">
        <v>18</v>
      </c>
      <c r="F1105" s="76">
        <v>10</v>
      </c>
      <c r="G1105" s="77" t="s">
        <v>33</v>
      </c>
      <c r="H1105" s="76">
        <v>12</v>
      </c>
      <c r="I1105" s="77" t="s">
        <v>19</v>
      </c>
      <c r="J1105" s="78">
        <v>12950</v>
      </c>
      <c r="K1105" s="74" t="s">
        <v>19</v>
      </c>
      <c r="L1105" s="79">
        <v>0.125</v>
      </c>
      <c r="M1105" s="79">
        <v>0.05</v>
      </c>
      <c r="N1105" s="76">
        <v>3000</v>
      </c>
      <c r="O1105" s="77" t="s">
        <v>19</v>
      </c>
      <c r="P1105" s="71">
        <f t="shared" si="720"/>
        <v>0</v>
      </c>
      <c r="Q1105" s="77" t="s">
        <v>19</v>
      </c>
      <c r="R1105" s="78">
        <f t="shared" si="721"/>
        <v>0</v>
      </c>
      <c r="S1105" s="78">
        <f t="shared" si="628"/>
        <v>0</v>
      </c>
    </row>
    <row r="1106" spans="1:19" s="64" customFormat="1" x14ac:dyDescent="0.2">
      <c r="A1106" s="184" t="s">
        <v>499</v>
      </c>
      <c r="B1106" s="64" t="s">
        <v>18</v>
      </c>
      <c r="C1106" s="65"/>
      <c r="D1106" s="66" t="s">
        <v>19</v>
      </c>
      <c r="E1106" s="67">
        <v>5</v>
      </c>
      <c r="F1106" s="68">
        <v>5</v>
      </c>
      <c r="G1106" s="69" t="s">
        <v>33</v>
      </c>
      <c r="H1106" s="68">
        <v>12</v>
      </c>
      <c r="I1106" s="69" t="s">
        <v>19</v>
      </c>
      <c r="J1106" s="16">
        <v>29500</v>
      </c>
      <c r="K1106" s="66" t="s">
        <v>19</v>
      </c>
      <c r="L1106" s="70">
        <v>0.125</v>
      </c>
      <c r="M1106" s="70">
        <v>0.05</v>
      </c>
      <c r="N1106" s="68">
        <v>300</v>
      </c>
      <c r="O1106" s="69" t="s">
        <v>19</v>
      </c>
      <c r="P1106" s="65">
        <f t="shared" ref="P1106" si="723">(C1106+(E1106*F1106*H1106))-N1106</f>
        <v>0</v>
      </c>
      <c r="Q1106" s="69" t="s">
        <v>19</v>
      </c>
      <c r="R1106" s="16">
        <f t="shared" ref="R1106" si="724">P1106*(J1106-(J1106*L1106)-((J1106-(J1106*L1106))*M1106))</f>
        <v>0</v>
      </c>
      <c r="S1106" s="16">
        <f t="shared" ref="S1106" si="725">R1106/1.11</f>
        <v>0</v>
      </c>
    </row>
    <row r="1107" spans="1:19" s="64" customFormat="1" x14ac:dyDescent="0.2">
      <c r="A1107" s="63" t="s">
        <v>499</v>
      </c>
      <c r="B1107" s="64" t="s">
        <v>18</v>
      </c>
      <c r="C1107" s="65">
        <v>60</v>
      </c>
      <c r="D1107" s="66" t="s">
        <v>19</v>
      </c>
      <c r="E1107" s="67"/>
      <c r="F1107" s="68">
        <v>5</v>
      </c>
      <c r="G1107" s="69" t="s">
        <v>33</v>
      </c>
      <c r="H1107" s="68">
        <v>12</v>
      </c>
      <c r="I1107" s="69" t="s">
        <v>19</v>
      </c>
      <c r="J1107" s="16">
        <v>27000</v>
      </c>
      <c r="K1107" s="66" t="s">
        <v>19</v>
      </c>
      <c r="L1107" s="70">
        <v>0.125</v>
      </c>
      <c r="M1107" s="70">
        <v>0.05</v>
      </c>
      <c r="N1107" s="68">
        <v>60</v>
      </c>
      <c r="O1107" s="69" t="s">
        <v>19</v>
      </c>
      <c r="P1107" s="65">
        <f t="shared" si="720"/>
        <v>0</v>
      </c>
      <c r="Q1107" s="69" t="s">
        <v>19</v>
      </c>
      <c r="R1107" s="16">
        <f t="shared" si="721"/>
        <v>0</v>
      </c>
      <c r="S1107" s="16">
        <f t="shared" si="628"/>
        <v>0</v>
      </c>
    </row>
    <row r="1108" spans="1:19" s="64" customFormat="1" x14ac:dyDescent="0.2">
      <c r="A1108" s="63" t="s">
        <v>500</v>
      </c>
      <c r="B1108" s="64" t="s">
        <v>18</v>
      </c>
      <c r="C1108" s="65">
        <v>48</v>
      </c>
      <c r="D1108" s="66" t="s">
        <v>19</v>
      </c>
      <c r="E1108" s="67">
        <v>10</v>
      </c>
      <c r="F1108" s="68">
        <v>1</v>
      </c>
      <c r="G1108" s="69" t="s">
        <v>20</v>
      </c>
      <c r="H1108" s="68">
        <v>24</v>
      </c>
      <c r="I1108" s="69" t="s">
        <v>19</v>
      </c>
      <c r="J1108" s="16">
        <v>40000</v>
      </c>
      <c r="K1108" s="66" t="s">
        <v>19</v>
      </c>
      <c r="L1108" s="70">
        <v>0.125</v>
      </c>
      <c r="M1108" s="70">
        <v>0.05</v>
      </c>
      <c r="N1108" s="68">
        <v>288</v>
      </c>
      <c r="O1108" s="69" t="s">
        <v>19</v>
      </c>
      <c r="P1108" s="65">
        <f t="shared" si="720"/>
        <v>0</v>
      </c>
      <c r="Q1108" s="69" t="s">
        <v>19</v>
      </c>
      <c r="R1108" s="16">
        <f t="shared" si="721"/>
        <v>0</v>
      </c>
      <c r="S1108" s="16">
        <f t="shared" si="628"/>
        <v>0</v>
      </c>
    </row>
    <row r="1109" spans="1:19" s="64" customFormat="1" x14ac:dyDescent="0.2">
      <c r="A1109" s="63" t="s">
        <v>501</v>
      </c>
      <c r="B1109" s="64" t="s">
        <v>18</v>
      </c>
      <c r="C1109" s="65"/>
      <c r="D1109" s="66" t="s">
        <v>19</v>
      </c>
      <c r="E1109" s="67">
        <v>5</v>
      </c>
      <c r="F1109" s="68">
        <v>1</v>
      </c>
      <c r="G1109" s="69" t="s">
        <v>20</v>
      </c>
      <c r="H1109" s="68">
        <v>24</v>
      </c>
      <c r="I1109" s="69" t="s">
        <v>19</v>
      </c>
      <c r="J1109" s="16">
        <v>45500</v>
      </c>
      <c r="K1109" s="66" t="s">
        <v>19</v>
      </c>
      <c r="L1109" s="70">
        <v>0.125</v>
      </c>
      <c r="M1109" s="70">
        <v>0.05</v>
      </c>
      <c r="N1109" s="68">
        <v>120</v>
      </c>
      <c r="O1109" s="69" t="s">
        <v>19</v>
      </c>
      <c r="P1109" s="65">
        <f t="shared" si="720"/>
        <v>0</v>
      </c>
      <c r="Q1109" s="69" t="s">
        <v>19</v>
      </c>
      <c r="R1109" s="16">
        <f t="shared" si="721"/>
        <v>0</v>
      </c>
      <c r="S1109" s="16">
        <f t="shared" si="628"/>
        <v>0</v>
      </c>
    </row>
    <row r="1110" spans="1:19" s="64" customFormat="1" x14ac:dyDescent="0.2">
      <c r="A1110" s="63"/>
      <c r="C1110" s="65"/>
      <c r="D1110" s="66"/>
      <c r="E1110" s="67"/>
      <c r="F1110" s="68"/>
      <c r="G1110" s="69"/>
      <c r="H1110" s="68"/>
      <c r="I1110" s="69"/>
      <c r="J1110" s="16"/>
      <c r="K1110" s="66"/>
      <c r="L1110" s="70"/>
      <c r="M1110" s="70"/>
      <c r="N1110" s="68"/>
      <c r="O1110" s="69"/>
      <c r="P1110" s="65"/>
      <c r="Q1110" s="69"/>
      <c r="R1110" s="16"/>
      <c r="S1110" s="16"/>
    </row>
    <row r="1111" spans="1:19" s="64" customFormat="1" x14ac:dyDescent="0.2">
      <c r="A1111" s="63" t="s">
        <v>502</v>
      </c>
      <c r="B1111" s="64" t="s">
        <v>25</v>
      </c>
      <c r="C1111" s="65"/>
      <c r="D1111" s="66" t="s">
        <v>19</v>
      </c>
      <c r="E1111" s="67"/>
      <c r="F1111" s="68">
        <v>10</v>
      </c>
      <c r="G1111" s="69" t="s">
        <v>40</v>
      </c>
      <c r="H1111" s="68">
        <v>12</v>
      </c>
      <c r="I1111" s="69" t="s">
        <v>19</v>
      </c>
      <c r="J1111" s="16">
        <f>1500000/10/12</f>
        <v>12500</v>
      </c>
      <c r="K1111" s="66" t="s">
        <v>19</v>
      </c>
      <c r="L1111" s="70"/>
      <c r="M1111" s="70">
        <v>0.17</v>
      </c>
      <c r="N1111" s="68">
        <v>0</v>
      </c>
      <c r="O1111" s="69" t="s">
        <v>19</v>
      </c>
      <c r="P1111" s="65">
        <f t="shared" ref="P1111:P1120" si="726">(C1111+(E1111*F1111*H1111))-N1111</f>
        <v>0</v>
      </c>
      <c r="Q1111" s="69" t="s">
        <v>19</v>
      </c>
      <c r="R1111" s="16">
        <f t="shared" ref="R1111:R1120" si="727">P1111*(J1111-(J1111*L1111)-((J1111-(J1111*L1111))*M1111))</f>
        <v>0</v>
      </c>
      <c r="S1111" s="16">
        <f t="shared" si="628"/>
        <v>0</v>
      </c>
    </row>
    <row r="1112" spans="1:19" s="73" customFormat="1" x14ac:dyDescent="0.2">
      <c r="A1112" s="72" t="s">
        <v>503</v>
      </c>
      <c r="B1112" s="73" t="s">
        <v>25</v>
      </c>
      <c r="C1112" s="71"/>
      <c r="D1112" s="74" t="s">
        <v>40</v>
      </c>
      <c r="E1112" s="75">
        <v>15</v>
      </c>
      <c r="F1112" s="76">
        <v>1</v>
      </c>
      <c r="G1112" s="77" t="s">
        <v>20</v>
      </c>
      <c r="H1112" s="76">
        <v>10</v>
      </c>
      <c r="I1112" s="77" t="s">
        <v>40</v>
      </c>
      <c r="J1112" s="78">
        <f>1560000/10</f>
        <v>156000</v>
      </c>
      <c r="K1112" s="74" t="s">
        <v>40</v>
      </c>
      <c r="L1112" s="79"/>
      <c r="M1112" s="79">
        <v>0.17</v>
      </c>
      <c r="N1112" s="76">
        <v>150</v>
      </c>
      <c r="O1112" s="77" t="s">
        <v>40</v>
      </c>
      <c r="P1112" s="71">
        <f t="shared" si="726"/>
        <v>0</v>
      </c>
      <c r="Q1112" s="77" t="s">
        <v>40</v>
      </c>
      <c r="R1112" s="78">
        <f t="shared" si="727"/>
        <v>0</v>
      </c>
      <c r="S1112" s="78">
        <f t="shared" si="628"/>
        <v>0</v>
      </c>
    </row>
    <row r="1113" spans="1:19" s="73" customFormat="1" x14ac:dyDescent="0.2">
      <c r="A1113" s="72" t="s">
        <v>504</v>
      </c>
      <c r="B1113" s="73" t="s">
        <v>25</v>
      </c>
      <c r="C1113" s="71"/>
      <c r="D1113" s="74" t="s">
        <v>19</v>
      </c>
      <c r="E1113" s="75"/>
      <c r="F1113" s="76">
        <v>10</v>
      </c>
      <c r="G1113" s="77" t="s">
        <v>40</v>
      </c>
      <c r="H1113" s="76">
        <v>12</v>
      </c>
      <c r="I1113" s="77" t="s">
        <v>19</v>
      </c>
      <c r="J1113" s="78">
        <f>13000</f>
        <v>13000</v>
      </c>
      <c r="K1113" s="74" t="s">
        <v>19</v>
      </c>
      <c r="L1113" s="79"/>
      <c r="M1113" s="79">
        <v>0.17</v>
      </c>
      <c r="N1113" s="76">
        <v>0</v>
      </c>
      <c r="O1113" s="77" t="s">
        <v>19</v>
      </c>
      <c r="P1113" s="71">
        <f t="shared" si="726"/>
        <v>0</v>
      </c>
      <c r="Q1113" s="77" t="s">
        <v>19</v>
      </c>
      <c r="R1113" s="78">
        <f t="shared" si="727"/>
        <v>0</v>
      </c>
      <c r="S1113" s="16">
        <f t="shared" si="628"/>
        <v>0</v>
      </c>
    </row>
    <row r="1114" spans="1:19" s="73" customFormat="1" x14ac:dyDescent="0.2">
      <c r="A1114" s="72" t="s">
        <v>505</v>
      </c>
      <c r="B1114" s="73" t="s">
        <v>25</v>
      </c>
      <c r="C1114" s="71">
        <v>20</v>
      </c>
      <c r="D1114" s="74" t="s">
        <v>40</v>
      </c>
      <c r="E1114" s="75">
        <v>12</v>
      </c>
      <c r="F1114" s="76">
        <v>4</v>
      </c>
      <c r="G1114" s="77" t="s">
        <v>33</v>
      </c>
      <c r="H1114" s="76">
        <v>2</v>
      </c>
      <c r="I1114" s="77" t="s">
        <v>40</v>
      </c>
      <c r="J1114" s="78">
        <f>1440000/4/2</f>
        <v>180000</v>
      </c>
      <c r="K1114" s="74" t="s">
        <v>40</v>
      </c>
      <c r="L1114" s="79"/>
      <c r="M1114" s="79">
        <v>0.17</v>
      </c>
      <c r="N1114" s="76">
        <v>116</v>
      </c>
      <c r="O1114" s="77" t="s">
        <v>40</v>
      </c>
      <c r="P1114" s="71">
        <f t="shared" si="726"/>
        <v>0</v>
      </c>
      <c r="Q1114" s="77" t="s">
        <v>40</v>
      </c>
      <c r="R1114" s="78">
        <f t="shared" si="727"/>
        <v>0</v>
      </c>
      <c r="S1114" s="78">
        <f t="shared" si="628"/>
        <v>0</v>
      </c>
    </row>
    <row r="1115" spans="1:19" s="73" customFormat="1" x14ac:dyDescent="0.2">
      <c r="A1115" s="72" t="s">
        <v>506</v>
      </c>
      <c r="B1115" s="73" t="s">
        <v>25</v>
      </c>
      <c r="C1115" s="71">
        <v>3</v>
      </c>
      <c r="D1115" s="74" t="s">
        <v>40</v>
      </c>
      <c r="E1115" s="75">
        <v>5</v>
      </c>
      <c r="F1115" s="76">
        <v>1</v>
      </c>
      <c r="G1115" s="77" t="s">
        <v>20</v>
      </c>
      <c r="H1115" s="76">
        <v>5</v>
      </c>
      <c r="I1115" s="77" t="s">
        <v>40</v>
      </c>
      <c r="J1115" s="78">
        <f>1410000/5</f>
        <v>282000</v>
      </c>
      <c r="K1115" s="74" t="s">
        <v>19</v>
      </c>
      <c r="L1115" s="79"/>
      <c r="M1115" s="79">
        <v>0.17</v>
      </c>
      <c r="N1115" s="76">
        <v>28</v>
      </c>
      <c r="O1115" s="77" t="s">
        <v>40</v>
      </c>
      <c r="P1115" s="71">
        <f t="shared" si="726"/>
        <v>0</v>
      </c>
      <c r="Q1115" s="77" t="s">
        <v>40</v>
      </c>
      <c r="R1115" s="78">
        <f t="shared" si="727"/>
        <v>0</v>
      </c>
      <c r="S1115" s="78">
        <f t="shared" si="628"/>
        <v>0</v>
      </c>
    </row>
    <row r="1116" spans="1:19" s="19" customFormat="1" x14ac:dyDescent="0.2">
      <c r="A1116" s="121" t="s">
        <v>507</v>
      </c>
      <c r="B1116" s="19" t="s">
        <v>25</v>
      </c>
      <c r="C1116" s="20"/>
      <c r="D1116" s="21" t="s">
        <v>40</v>
      </c>
      <c r="E1116" s="26">
        <v>6</v>
      </c>
      <c r="F1116" s="22">
        <v>1</v>
      </c>
      <c r="G1116" s="23" t="s">
        <v>20</v>
      </c>
      <c r="H1116" s="22">
        <v>4</v>
      </c>
      <c r="I1116" s="23" t="s">
        <v>40</v>
      </c>
      <c r="J1116" s="122">
        <v>384000</v>
      </c>
      <c r="K1116" s="21" t="s">
        <v>40</v>
      </c>
      <c r="L1116" s="25"/>
      <c r="M1116" s="25">
        <v>0.17</v>
      </c>
      <c r="N1116" s="22">
        <v>20</v>
      </c>
      <c r="O1116" s="23" t="s">
        <v>40</v>
      </c>
      <c r="P1116" s="20">
        <f t="shared" ref="P1116" si="728">(C1116+(E1116*F1116*H1116))-N1116</f>
        <v>4</v>
      </c>
      <c r="Q1116" s="23" t="s">
        <v>40</v>
      </c>
      <c r="R1116" s="24">
        <f t="shared" ref="R1116" si="729">P1116*(J1116-(J1116*L1116)-((J1116-(J1116*L1116))*M1116))</f>
        <v>1274880</v>
      </c>
      <c r="S1116" s="24">
        <f t="shared" ref="S1116" si="730">R1116/1.11</f>
        <v>1148540.5405405404</v>
      </c>
    </row>
    <row r="1117" spans="1:19" s="73" customFormat="1" x14ac:dyDescent="0.2">
      <c r="A1117" s="187" t="s">
        <v>507</v>
      </c>
      <c r="B1117" s="73" t="s">
        <v>25</v>
      </c>
      <c r="C1117" s="71">
        <f>8+4</f>
        <v>12</v>
      </c>
      <c r="D1117" s="74" t="s">
        <v>40</v>
      </c>
      <c r="E1117" s="75"/>
      <c r="F1117" s="76">
        <v>1</v>
      </c>
      <c r="G1117" s="77" t="s">
        <v>20</v>
      </c>
      <c r="H1117" s="76">
        <v>4</v>
      </c>
      <c r="I1117" s="77" t="s">
        <v>40</v>
      </c>
      <c r="J1117" s="190">
        <f>1410000/4</f>
        <v>352500</v>
      </c>
      <c r="K1117" s="74" t="s">
        <v>40</v>
      </c>
      <c r="L1117" s="79"/>
      <c r="M1117" s="79">
        <v>0.17</v>
      </c>
      <c r="N1117" s="76">
        <v>12</v>
      </c>
      <c r="O1117" s="77" t="s">
        <v>40</v>
      </c>
      <c r="P1117" s="71">
        <f t="shared" si="726"/>
        <v>0</v>
      </c>
      <c r="Q1117" s="77" t="s">
        <v>40</v>
      </c>
      <c r="R1117" s="78">
        <f t="shared" si="727"/>
        <v>0</v>
      </c>
      <c r="S1117" s="78">
        <f t="shared" si="628"/>
        <v>0</v>
      </c>
    </row>
    <row r="1118" spans="1:19" s="64" customFormat="1" x14ac:dyDescent="0.2">
      <c r="A1118" s="63" t="s">
        <v>508</v>
      </c>
      <c r="B1118" s="64" t="s">
        <v>25</v>
      </c>
      <c r="C1118" s="65"/>
      <c r="D1118" s="66" t="s">
        <v>19</v>
      </c>
      <c r="E1118" s="67">
        <v>1</v>
      </c>
      <c r="F1118" s="68">
        <v>1</v>
      </c>
      <c r="G1118" s="69" t="s">
        <v>20</v>
      </c>
      <c r="H1118" s="68">
        <v>24</v>
      </c>
      <c r="I1118" s="69" t="s">
        <v>19</v>
      </c>
      <c r="J1118" s="16">
        <f>1164000/24</f>
        <v>48500</v>
      </c>
      <c r="K1118" s="66" t="s">
        <v>19</v>
      </c>
      <c r="L1118" s="70"/>
      <c r="M1118" s="70">
        <v>0.17</v>
      </c>
      <c r="N1118" s="68">
        <v>24</v>
      </c>
      <c r="O1118" s="69" t="s">
        <v>19</v>
      </c>
      <c r="P1118" s="65">
        <f t="shared" si="726"/>
        <v>0</v>
      </c>
      <c r="Q1118" s="69" t="s">
        <v>19</v>
      </c>
      <c r="R1118" s="16">
        <f t="shared" si="727"/>
        <v>0</v>
      </c>
      <c r="S1118" s="16">
        <f t="shared" si="628"/>
        <v>0</v>
      </c>
    </row>
    <row r="1119" spans="1:19" s="64" customFormat="1" x14ac:dyDescent="0.2">
      <c r="A1119" s="63" t="s">
        <v>509</v>
      </c>
      <c r="B1119" s="64" t="s">
        <v>25</v>
      </c>
      <c r="C1119" s="65">
        <v>66</v>
      </c>
      <c r="D1119" s="66" t="s">
        <v>19</v>
      </c>
      <c r="E1119" s="67">
        <v>5</v>
      </c>
      <c r="F1119" s="68">
        <v>1</v>
      </c>
      <c r="G1119" s="69" t="s">
        <v>20</v>
      </c>
      <c r="H1119" s="68">
        <v>24</v>
      </c>
      <c r="I1119" s="69" t="s">
        <v>19</v>
      </c>
      <c r="J1119" s="16">
        <f>1020000/24</f>
        <v>42500</v>
      </c>
      <c r="K1119" s="66" t="s">
        <v>19</v>
      </c>
      <c r="L1119" s="70"/>
      <c r="M1119" s="70">
        <v>0.17</v>
      </c>
      <c r="N1119" s="68">
        <v>186</v>
      </c>
      <c r="O1119" s="69" t="s">
        <v>19</v>
      </c>
      <c r="P1119" s="65">
        <f t="shared" si="726"/>
        <v>0</v>
      </c>
      <c r="Q1119" s="69" t="s">
        <v>19</v>
      </c>
      <c r="R1119" s="16">
        <f t="shared" si="727"/>
        <v>0</v>
      </c>
      <c r="S1119" s="16">
        <f t="shared" si="628"/>
        <v>0</v>
      </c>
    </row>
    <row r="1120" spans="1:19" s="64" customFormat="1" x14ac:dyDescent="0.2">
      <c r="A1120" s="63" t="s">
        <v>510</v>
      </c>
      <c r="B1120" s="64" t="s">
        <v>25</v>
      </c>
      <c r="C1120" s="65">
        <v>72</v>
      </c>
      <c r="D1120" s="66" t="s">
        <v>19</v>
      </c>
      <c r="E1120" s="67">
        <v>7</v>
      </c>
      <c r="F1120" s="68">
        <v>1</v>
      </c>
      <c r="G1120" s="69" t="s">
        <v>20</v>
      </c>
      <c r="H1120" s="68">
        <v>24</v>
      </c>
      <c r="I1120" s="69" t="s">
        <v>19</v>
      </c>
      <c r="J1120" s="16">
        <f>1416000/24</f>
        <v>59000</v>
      </c>
      <c r="K1120" s="66" t="s">
        <v>19</v>
      </c>
      <c r="L1120" s="70"/>
      <c r="M1120" s="70">
        <v>0.17</v>
      </c>
      <c r="N1120" s="68">
        <v>240</v>
      </c>
      <c r="O1120" s="69" t="s">
        <v>19</v>
      </c>
      <c r="P1120" s="65">
        <f t="shared" si="726"/>
        <v>0</v>
      </c>
      <c r="Q1120" s="69" t="s">
        <v>19</v>
      </c>
      <c r="R1120" s="16">
        <f t="shared" si="727"/>
        <v>0</v>
      </c>
      <c r="S1120" s="16">
        <f t="shared" si="628"/>
        <v>0</v>
      </c>
    </row>
    <row r="1121" spans="1:19" x14ac:dyDescent="0.2">
      <c r="J1121" s="24"/>
      <c r="K1121" s="21"/>
      <c r="L1121" s="25"/>
      <c r="M1121" s="25"/>
      <c r="N1121" s="22"/>
      <c r="O1121" s="23"/>
      <c r="P1121" s="20"/>
      <c r="Q1121" s="23"/>
      <c r="R1121" s="24"/>
      <c r="S1121" s="24"/>
    </row>
    <row r="1122" spans="1:19" ht="15.75" x14ac:dyDescent="0.25">
      <c r="A1122" s="14" t="s">
        <v>1001</v>
      </c>
      <c r="R1122" s="16"/>
      <c r="S1122" s="16"/>
    </row>
    <row r="1123" spans="1:19" s="64" customFormat="1" x14ac:dyDescent="0.2">
      <c r="A1123" s="63" t="s">
        <v>1003</v>
      </c>
      <c r="B1123" s="64" t="s">
        <v>1074</v>
      </c>
      <c r="C1123" s="65"/>
      <c r="D1123" s="66" t="s">
        <v>830</v>
      </c>
      <c r="E1123" s="67">
        <v>25</v>
      </c>
      <c r="F1123" s="68">
        <v>1</v>
      </c>
      <c r="G1123" s="69" t="s">
        <v>20</v>
      </c>
      <c r="H1123" s="68">
        <v>180</v>
      </c>
      <c r="I1123" s="69" t="s">
        <v>830</v>
      </c>
      <c r="J1123" s="78">
        <v>7555</v>
      </c>
      <c r="K1123" s="74" t="s">
        <v>830</v>
      </c>
      <c r="L1123" s="79">
        <v>0.1</v>
      </c>
      <c r="M1123" s="79">
        <v>0.1</v>
      </c>
      <c r="N1123" s="76">
        <v>4500</v>
      </c>
      <c r="O1123" s="77" t="s">
        <v>830</v>
      </c>
      <c r="P1123" s="71">
        <f>(C1123+(E1123*F1123*H1123))-N1123</f>
        <v>0</v>
      </c>
      <c r="Q1123" s="77" t="s">
        <v>830</v>
      </c>
      <c r="R1123" s="78">
        <f>P1123*(J1123-(J1123*L1123)-((J1123-(J1123*L1123))*M1123))</f>
        <v>0</v>
      </c>
      <c r="S1123" s="78">
        <f t="shared" ref="S1123:S1124" si="731">R1123/1.11</f>
        <v>0</v>
      </c>
    </row>
    <row r="1124" spans="1:19" s="64" customFormat="1" x14ac:dyDescent="0.2">
      <c r="A1124" s="63" t="s">
        <v>1004</v>
      </c>
      <c r="B1124" s="64" t="s">
        <v>1074</v>
      </c>
      <c r="C1124" s="65"/>
      <c r="D1124" s="66" t="s">
        <v>830</v>
      </c>
      <c r="E1124" s="67">
        <v>10</v>
      </c>
      <c r="F1124" s="68">
        <v>1</v>
      </c>
      <c r="G1124" s="69" t="s">
        <v>20</v>
      </c>
      <c r="H1124" s="68">
        <v>240</v>
      </c>
      <c r="I1124" s="69" t="s">
        <v>830</v>
      </c>
      <c r="J1124" s="78">
        <v>5485</v>
      </c>
      <c r="K1124" s="74" t="s">
        <v>830</v>
      </c>
      <c r="L1124" s="79">
        <v>0.1</v>
      </c>
      <c r="M1124" s="79">
        <v>0.1</v>
      </c>
      <c r="N1124" s="76">
        <v>2400</v>
      </c>
      <c r="O1124" s="77" t="s">
        <v>830</v>
      </c>
      <c r="P1124" s="71">
        <f>(C1124+(E1124*F1124*H1124))-N1124</f>
        <v>0</v>
      </c>
      <c r="Q1124" s="77" t="s">
        <v>830</v>
      </c>
      <c r="R1124" s="78">
        <f>P1124*(J1124-(J1124*L1124)-((J1124-(J1124*L1124))*M1124))</f>
        <v>0</v>
      </c>
      <c r="S1124" s="78">
        <f t="shared" si="731"/>
        <v>0</v>
      </c>
    </row>
    <row r="1125" spans="1:19" x14ac:dyDescent="0.2">
      <c r="J1125" s="24"/>
      <c r="K1125" s="21"/>
      <c r="L1125" s="25"/>
      <c r="M1125" s="25"/>
      <c r="N1125" s="22"/>
      <c r="O1125" s="23"/>
      <c r="P1125" s="20"/>
      <c r="Q1125" s="23"/>
      <c r="R1125" s="24"/>
      <c r="S1125" s="24"/>
    </row>
    <row r="1126" spans="1:19" ht="15.75" x14ac:dyDescent="0.25">
      <c r="A1126" s="14" t="s">
        <v>522</v>
      </c>
    </row>
    <row r="1127" spans="1:19" s="73" customFormat="1" x14ac:dyDescent="0.2">
      <c r="A1127" s="72" t="s">
        <v>523</v>
      </c>
      <c r="B1127" s="73" t="s">
        <v>18</v>
      </c>
      <c r="C1127" s="71">
        <v>9140</v>
      </c>
      <c r="D1127" s="74" t="s">
        <v>19</v>
      </c>
      <c r="E1127" s="75">
        <v>18</v>
      </c>
      <c r="F1127" s="76">
        <v>72</v>
      </c>
      <c r="G1127" s="77" t="s">
        <v>33</v>
      </c>
      <c r="H1127" s="76">
        <v>10</v>
      </c>
      <c r="I1127" s="77" t="s">
        <v>19</v>
      </c>
      <c r="J1127" s="78">
        <v>3700</v>
      </c>
      <c r="K1127" s="74" t="s">
        <v>19</v>
      </c>
      <c r="L1127" s="79">
        <v>0.125</v>
      </c>
      <c r="M1127" s="79">
        <v>0.05</v>
      </c>
      <c r="N1127" s="76">
        <v>22100</v>
      </c>
      <c r="O1127" s="77" t="s">
        <v>19</v>
      </c>
      <c r="P1127" s="71">
        <f>(C1127+(E1127*F1127*H1127))-N1127</f>
        <v>0</v>
      </c>
      <c r="Q1127" s="77" t="s">
        <v>19</v>
      </c>
      <c r="R1127" s="78">
        <f>P1127*(J1127-(J1127*L1127)-((J1127-(J1127*L1127))*M1127))</f>
        <v>0</v>
      </c>
      <c r="S1127" s="78">
        <f t="shared" ref="S1127:S1229" si="732">R1127/1.11</f>
        <v>0</v>
      </c>
    </row>
    <row r="1128" spans="1:19" s="73" customFormat="1" x14ac:dyDescent="0.2">
      <c r="A1128" s="72" t="s">
        <v>989</v>
      </c>
      <c r="B1128" s="73" t="s">
        <v>18</v>
      </c>
      <c r="C1128" s="71">
        <v>240</v>
      </c>
      <c r="D1128" s="74" t="s">
        <v>19</v>
      </c>
      <c r="E1128" s="75"/>
      <c r="F1128" s="76">
        <v>72</v>
      </c>
      <c r="G1128" s="77" t="s">
        <v>33</v>
      </c>
      <c r="H1128" s="76">
        <v>10</v>
      </c>
      <c r="I1128" s="77" t="s">
        <v>19</v>
      </c>
      <c r="J1128" s="78">
        <v>3700</v>
      </c>
      <c r="K1128" s="74" t="s">
        <v>19</v>
      </c>
      <c r="L1128" s="79">
        <v>0.125</v>
      </c>
      <c r="M1128" s="79">
        <v>0.05</v>
      </c>
      <c r="N1128" s="76">
        <v>240</v>
      </c>
      <c r="O1128" s="77" t="s">
        <v>19</v>
      </c>
      <c r="P1128" s="71">
        <f>(C1128+(E1128*F1128*H1128))-N1128</f>
        <v>0</v>
      </c>
      <c r="Q1128" s="77" t="s">
        <v>19</v>
      </c>
      <c r="R1128" s="78">
        <f>P1128*(J1128-(J1128*L1128)-((J1128-(J1128*L1128))*M1128))</f>
        <v>0</v>
      </c>
      <c r="S1128" s="78">
        <f t="shared" ref="S1128" si="733">R1128/1.11</f>
        <v>0</v>
      </c>
    </row>
    <row r="1129" spans="1:19" s="73" customFormat="1" x14ac:dyDescent="0.2">
      <c r="A1129" s="72" t="s">
        <v>524</v>
      </c>
      <c r="B1129" s="73" t="s">
        <v>18</v>
      </c>
      <c r="C1129" s="71"/>
      <c r="D1129" s="74" t="s">
        <v>151</v>
      </c>
      <c r="E1129" s="75"/>
      <c r="F1129" s="76">
        <v>12</v>
      </c>
      <c r="G1129" s="77" t="s">
        <v>33</v>
      </c>
      <c r="H1129" s="76">
        <v>24</v>
      </c>
      <c r="I1129" s="77" t="s">
        <v>151</v>
      </c>
      <c r="J1129" s="78">
        <v>16500</v>
      </c>
      <c r="K1129" s="74" t="s">
        <v>151</v>
      </c>
      <c r="L1129" s="79">
        <v>0.125</v>
      </c>
      <c r="M1129" s="79">
        <v>0.05</v>
      </c>
      <c r="N1129" s="76">
        <v>0</v>
      </c>
      <c r="O1129" s="77" t="s">
        <v>151</v>
      </c>
      <c r="P1129" s="71">
        <f>(C1129+(E1129*F1129*H1129))-N1129</f>
        <v>0</v>
      </c>
      <c r="Q1129" s="77" t="s">
        <v>151</v>
      </c>
      <c r="R1129" s="78">
        <f>P1129*(J1129-(J1129*L1129)-((J1129-(J1129*L1129))*M1129))</f>
        <v>0</v>
      </c>
      <c r="S1129" s="16">
        <f t="shared" si="732"/>
        <v>0</v>
      </c>
    </row>
    <row r="1130" spans="1:19" s="73" customFormat="1" x14ac:dyDescent="0.2">
      <c r="A1130" s="72"/>
      <c r="C1130" s="71"/>
      <c r="D1130" s="74"/>
      <c r="E1130" s="75"/>
      <c r="F1130" s="76"/>
      <c r="G1130" s="77"/>
      <c r="H1130" s="76"/>
      <c r="I1130" s="77"/>
      <c r="J1130" s="78"/>
      <c r="K1130" s="74"/>
      <c r="L1130" s="79"/>
      <c r="M1130" s="79"/>
      <c r="N1130" s="76"/>
      <c r="O1130" s="77"/>
      <c r="P1130" s="71"/>
      <c r="Q1130" s="77"/>
      <c r="R1130" s="78"/>
      <c r="S1130" s="16"/>
    </row>
    <row r="1131" spans="1:19" s="80" customFormat="1" x14ac:dyDescent="0.2">
      <c r="A1131" s="99" t="s">
        <v>525</v>
      </c>
      <c r="B1131" s="80" t="s">
        <v>25</v>
      </c>
      <c r="C1131" s="83">
        <v>210</v>
      </c>
      <c r="D1131" s="84" t="s">
        <v>19</v>
      </c>
      <c r="E1131" s="85">
        <v>8</v>
      </c>
      <c r="F1131" s="86">
        <v>48</v>
      </c>
      <c r="G1131" s="87" t="s">
        <v>33</v>
      </c>
      <c r="H1131" s="86">
        <v>10</v>
      </c>
      <c r="I1131" s="87" t="s">
        <v>19</v>
      </c>
      <c r="J1131" s="88">
        <f>30500/10</f>
        <v>3050</v>
      </c>
      <c r="K1131" s="84" t="s">
        <v>19</v>
      </c>
      <c r="L1131" s="89"/>
      <c r="M1131" s="89">
        <v>0.17</v>
      </c>
      <c r="N1131" s="86">
        <f>4050-1920</f>
        <v>2130</v>
      </c>
      <c r="O1131" s="87" t="s">
        <v>19</v>
      </c>
      <c r="P1131" s="83">
        <f>(C1131+(E1131*F1131*H1131))-N1131</f>
        <v>1920</v>
      </c>
      <c r="Q1131" s="87" t="s">
        <v>19</v>
      </c>
      <c r="R1131" s="88">
        <f>P1131*(J1131-(J1131*L1131)-((J1131-(J1131*L1131))*M1131))</f>
        <v>4860480</v>
      </c>
      <c r="S1131" s="88">
        <f t="shared" si="732"/>
        <v>4378810.8108108109</v>
      </c>
    </row>
    <row r="1132" spans="1:19" s="64" customFormat="1" x14ac:dyDescent="0.2">
      <c r="A1132" s="63" t="s">
        <v>526</v>
      </c>
      <c r="B1132" s="64" t="s">
        <v>25</v>
      </c>
      <c r="C1132" s="65"/>
      <c r="D1132" s="66" t="s">
        <v>19</v>
      </c>
      <c r="E1132" s="67"/>
      <c r="F1132" s="68">
        <v>48</v>
      </c>
      <c r="G1132" s="69" t="s">
        <v>33</v>
      </c>
      <c r="H1132" s="68">
        <v>10</v>
      </c>
      <c r="I1132" s="69" t="s">
        <v>19</v>
      </c>
      <c r="J1132" s="16">
        <f>30500/10</f>
        <v>3050</v>
      </c>
      <c r="K1132" s="66" t="s">
        <v>19</v>
      </c>
      <c r="L1132" s="70"/>
      <c r="M1132" s="70">
        <v>0.17</v>
      </c>
      <c r="N1132" s="68"/>
      <c r="O1132" s="69" t="s">
        <v>19</v>
      </c>
      <c r="P1132" s="65">
        <f>(C1132+(E1132*F1132*H1132))-N1132</f>
        <v>0</v>
      </c>
      <c r="Q1132" s="69" t="s">
        <v>19</v>
      </c>
      <c r="R1132" s="16">
        <f>P1132*(J1132-(J1132*L1132)-((J1132-(J1132*L1132))*M1132))</f>
        <v>0</v>
      </c>
      <c r="S1132" s="16">
        <f t="shared" si="732"/>
        <v>0</v>
      </c>
    </row>
    <row r="1133" spans="1:19" s="64" customFormat="1" x14ac:dyDescent="0.2">
      <c r="A1133" s="63" t="s">
        <v>527</v>
      </c>
      <c r="B1133" s="64" t="s">
        <v>25</v>
      </c>
      <c r="C1133" s="65"/>
      <c r="D1133" s="66" t="s">
        <v>40</v>
      </c>
      <c r="E1133" s="67"/>
      <c r="F1133" s="68">
        <v>12</v>
      </c>
      <c r="G1133" s="69" t="s">
        <v>33</v>
      </c>
      <c r="H1133" s="68">
        <v>12</v>
      </c>
      <c r="I1133" s="69" t="s">
        <v>40</v>
      </c>
      <c r="J1133" s="16">
        <v>25800</v>
      </c>
      <c r="K1133" s="66" t="s">
        <v>40</v>
      </c>
      <c r="L1133" s="70"/>
      <c r="M1133" s="70">
        <v>0.17</v>
      </c>
      <c r="N1133" s="68"/>
      <c r="O1133" s="69" t="s">
        <v>40</v>
      </c>
      <c r="P1133" s="65">
        <f>(C1133+(E1133*F1133*H1133))-N1133</f>
        <v>0</v>
      </c>
      <c r="Q1133" s="69" t="s">
        <v>40</v>
      </c>
      <c r="R1133" s="16">
        <f>P1133*(J1133-(J1133*L1133)-((J1133-(J1133*L1133))*M1133))</f>
        <v>0</v>
      </c>
      <c r="S1133" s="16">
        <f t="shared" si="732"/>
        <v>0</v>
      </c>
    </row>
    <row r="1134" spans="1:19" x14ac:dyDescent="0.2">
      <c r="A1134" s="134" t="s">
        <v>953</v>
      </c>
      <c r="B1134" s="2" t="s">
        <v>25</v>
      </c>
      <c r="C1134" s="3">
        <v>140</v>
      </c>
      <c r="D1134" s="4" t="s">
        <v>19</v>
      </c>
      <c r="E1134" s="5">
        <v>2</v>
      </c>
      <c r="F1134" s="6">
        <v>48</v>
      </c>
      <c r="G1134" s="7" t="s">
        <v>33</v>
      </c>
      <c r="H1134" s="6">
        <v>10</v>
      </c>
      <c r="I1134" s="7" t="s">
        <v>19</v>
      </c>
      <c r="J1134" s="8">
        <v>2400</v>
      </c>
      <c r="K1134" s="4" t="s">
        <v>19</v>
      </c>
      <c r="L1134" s="9">
        <v>2.5000000000000001E-2</v>
      </c>
      <c r="M1134" s="9">
        <v>0.17</v>
      </c>
      <c r="N1134" s="6">
        <f>1100-960</f>
        <v>140</v>
      </c>
      <c r="O1134" s="7" t="s">
        <v>19</v>
      </c>
      <c r="P1134" s="3">
        <f>(C1134+(E1134*F1134*H1134))-N1134</f>
        <v>960</v>
      </c>
      <c r="Q1134" s="7" t="s">
        <v>19</v>
      </c>
      <c r="R1134" s="8">
        <f>P1134*(J1134-(J1134*L1134)-((J1134-(J1134*L1134))*M1134))</f>
        <v>1864512</v>
      </c>
      <c r="S1134" s="8">
        <f t="shared" ref="S1134" si="734">R1134/1.11</f>
        <v>1679740.5405405404</v>
      </c>
    </row>
    <row r="1136" spans="1:19" s="73" customFormat="1" ht="13.5" customHeight="1" x14ac:dyDescent="0.2">
      <c r="A1136" s="72" t="s">
        <v>528</v>
      </c>
      <c r="B1136" s="73" t="s">
        <v>260</v>
      </c>
      <c r="C1136" s="71"/>
      <c r="D1136" s="74" t="s">
        <v>98</v>
      </c>
      <c r="E1136" s="75">
        <v>3</v>
      </c>
      <c r="F1136" s="76">
        <v>1</v>
      </c>
      <c r="G1136" s="77" t="s">
        <v>20</v>
      </c>
      <c r="H1136" s="76">
        <v>24</v>
      </c>
      <c r="I1136" s="77" t="s">
        <v>98</v>
      </c>
      <c r="J1136" s="78">
        <v>106000</v>
      </c>
      <c r="K1136" s="74" t="s">
        <v>98</v>
      </c>
      <c r="L1136" s="79"/>
      <c r="M1136" s="79"/>
      <c r="N1136" s="76">
        <v>72</v>
      </c>
      <c r="O1136" s="77" t="s">
        <v>98</v>
      </c>
      <c r="P1136" s="71">
        <f>(C1136+(E1136*F1136*H1136))-N1136</f>
        <v>0</v>
      </c>
      <c r="Q1136" s="77" t="s">
        <v>98</v>
      </c>
      <c r="R1136" s="78">
        <f>P1136*(J1136-(J1136*L1136)-((J1136-(J1136*L1136))*M1136))</f>
        <v>0</v>
      </c>
      <c r="S1136" s="78">
        <f t="shared" ref="S1136" si="735">R1136/1.11</f>
        <v>0</v>
      </c>
    </row>
    <row r="1137" spans="1:19" s="73" customFormat="1" x14ac:dyDescent="0.2">
      <c r="A1137" s="72" t="s">
        <v>870</v>
      </c>
      <c r="B1137" s="73" t="s">
        <v>260</v>
      </c>
      <c r="C1137" s="71"/>
      <c r="D1137" s="74" t="s">
        <v>98</v>
      </c>
      <c r="E1137" s="75">
        <v>2</v>
      </c>
      <c r="F1137" s="76">
        <v>1</v>
      </c>
      <c r="G1137" s="77" t="s">
        <v>20</v>
      </c>
      <c r="H1137" s="76">
        <v>32</v>
      </c>
      <c r="I1137" s="77" t="s">
        <v>98</v>
      </c>
      <c r="J1137" s="78">
        <v>49500</v>
      </c>
      <c r="K1137" s="74" t="s">
        <v>98</v>
      </c>
      <c r="L1137" s="79"/>
      <c r="M1137" s="79"/>
      <c r="N1137" s="76">
        <v>64</v>
      </c>
      <c r="O1137" s="77" t="s">
        <v>98</v>
      </c>
      <c r="P1137" s="71">
        <f>(C1137+(E1137*F1137*H1137))-N1137</f>
        <v>0</v>
      </c>
      <c r="Q1137" s="77" t="s">
        <v>98</v>
      </c>
      <c r="R1137" s="78">
        <f>P1137*(J1137-(J1137*L1137)-((J1137-(J1137*L1137))*M1137))</f>
        <v>0</v>
      </c>
      <c r="S1137" s="78">
        <f t="shared" ref="S1137" si="736">R1137/1.11</f>
        <v>0</v>
      </c>
    </row>
    <row r="1138" spans="1:19" s="73" customFormat="1" x14ac:dyDescent="0.2">
      <c r="A1138" s="72"/>
      <c r="C1138" s="71"/>
      <c r="D1138" s="74"/>
      <c r="E1138" s="75"/>
      <c r="F1138" s="76"/>
      <c r="G1138" s="77"/>
      <c r="H1138" s="76"/>
      <c r="I1138" s="77"/>
      <c r="J1138" s="78"/>
      <c r="K1138" s="74"/>
      <c r="L1138" s="79"/>
      <c r="M1138" s="79"/>
      <c r="N1138" s="76"/>
      <c r="O1138" s="77"/>
      <c r="P1138" s="71"/>
      <c r="Q1138" s="77"/>
      <c r="R1138" s="78"/>
      <c r="S1138" s="16"/>
    </row>
    <row r="1139" spans="1:19" s="64" customFormat="1" x14ac:dyDescent="0.2">
      <c r="A1139" s="63" t="s">
        <v>529</v>
      </c>
      <c r="B1139" s="64" t="s">
        <v>171</v>
      </c>
      <c r="C1139" s="65">
        <v>375</v>
      </c>
      <c r="D1139" s="66" t="s">
        <v>40</v>
      </c>
      <c r="E1139" s="67"/>
      <c r="F1139" s="68">
        <v>1</v>
      </c>
      <c r="G1139" s="69" t="s">
        <v>20</v>
      </c>
      <c r="H1139" s="68">
        <v>108</v>
      </c>
      <c r="I1139" s="69" t="s">
        <v>40</v>
      </c>
      <c r="J1139" s="16">
        <v>18000</v>
      </c>
      <c r="K1139" s="66" t="s">
        <v>40</v>
      </c>
      <c r="L1139" s="70">
        <v>0.05</v>
      </c>
      <c r="M1139" s="70"/>
      <c r="N1139" s="68">
        <v>375</v>
      </c>
      <c r="O1139" s="69" t="s">
        <v>40</v>
      </c>
      <c r="P1139" s="65">
        <f>(C1139+(E1139*F1139*H1139))-N1139</f>
        <v>0</v>
      </c>
      <c r="Q1139" s="69" t="s">
        <v>40</v>
      </c>
      <c r="R1139" s="16">
        <f>P1139*(J1139-(J1139*L1139)-((J1139-(J1139*L1139))*M1139))</f>
        <v>0</v>
      </c>
      <c r="S1139" s="16">
        <f t="shared" si="732"/>
        <v>0</v>
      </c>
    </row>
    <row r="1140" spans="1:19" s="73" customFormat="1" x14ac:dyDescent="0.2">
      <c r="A1140" s="72" t="s">
        <v>829</v>
      </c>
      <c r="B1140" s="73" t="s">
        <v>171</v>
      </c>
      <c r="C1140" s="71"/>
      <c r="D1140" s="74" t="s">
        <v>40</v>
      </c>
      <c r="E1140" s="75">
        <v>15</v>
      </c>
      <c r="F1140" s="76">
        <v>1</v>
      </c>
      <c r="G1140" s="77" t="s">
        <v>20</v>
      </c>
      <c r="H1140" s="76">
        <v>100</v>
      </c>
      <c r="I1140" s="77" t="s">
        <v>40</v>
      </c>
      <c r="J1140" s="78">
        <v>19000</v>
      </c>
      <c r="K1140" s="74" t="s">
        <v>40</v>
      </c>
      <c r="L1140" s="79">
        <v>0.05</v>
      </c>
      <c r="M1140" s="79"/>
      <c r="N1140" s="76">
        <v>1500</v>
      </c>
      <c r="O1140" s="77" t="s">
        <v>40</v>
      </c>
      <c r="P1140" s="71">
        <f>(C1140+(E1140*F1140*H1140))-N1140</f>
        <v>0</v>
      </c>
      <c r="Q1140" s="77" t="s">
        <v>40</v>
      </c>
      <c r="R1140" s="78">
        <f>P1140*(J1140-(J1140*L1140)-((J1140-(J1140*L1140))*M1140))</f>
        <v>0</v>
      </c>
      <c r="S1140" s="78">
        <f t="shared" ref="S1140" si="737">R1140/1.11</f>
        <v>0</v>
      </c>
    </row>
    <row r="1141" spans="1:19" s="19" customFormat="1" x14ac:dyDescent="0.2">
      <c r="A1141" s="134" t="s">
        <v>829</v>
      </c>
      <c r="B1141" s="19" t="s">
        <v>171</v>
      </c>
      <c r="C1141" s="20"/>
      <c r="D1141" s="21" t="s">
        <v>40</v>
      </c>
      <c r="E1141" s="26">
        <v>5</v>
      </c>
      <c r="F1141" s="22">
        <v>1</v>
      </c>
      <c r="G1141" s="23" t="s">
        <v>20</v>
      </c>
      <c r="H1141" s="22">
        <v>100</v>
      </c>
      <c r="I1141" s="23" t="s">
        <v>40</v>
      </c>
      <c r="J1141" s="24">
        <v>18000</v>
      </c>
      <c r="K1141" s="21" t="s">
        <v>40</v>
      </c>
      <c r="L1141" s="25">
        <v>7.0000000000000007E-2</v>
      </c>
      <c r="M1141" s="25"/>
      <c r="N1141" s="22">
        <v>200</v>
      </c>
      <c r="O1141" s="23" t="s">
        <v>40</v>
      </c>
      <c r="P1141" s="20">
        <f>(C1141+(E1141*F1141*H1141))-N1141</f>
        <v>300</v>
      </c>
      <c r="Q1141" s="23" t="s">
        <v>40</v>
      </c>
      <c r="R1141" s="24">
        <f>P1141*(J1141-(J1141*L1141)-((J1141-(J1141*L1141))*M1141))</f>
        <v>5022000</v>
      </c>
      <c r="S1141" s="24">
        <f t="shared" ref="S1141" si="738">R1141/1.11</f>
        <v>4524324.3243243238</v>
      </c>
    </row>
    <row r="1142" spans="1:19" s="73" customFormat="1" x14ac:dyDescent="0.2">
      <c r="A1142" s="72" t="s">
        <v>1026</v>
      </c>
      <c r="B1142" s="73" t="s">
        <v>171</v>
      </c>
      <c r="C1142" s="71"/>
      <c r="D1142" s="74" t="s">
        <v>40</v>
      </c>
      <c r="E1142" s="75">
        <v>5</v>
      </c>
      <c r="F1142" s="76">
        <v>1</v>
      </c>
      <c r="G1142" s="77" t="s">
        <v>20</v>
      </c>
      <c r="H1142" s="76">
        <v>100</v>
      </c>
      <c r="I1142" s="77" t="s">
        <v>40</v>
      </c>
      <c r="J1142" s="78">
        <v>18500</v>
      </c>
      <c r="K1142" s="74" t="s">
        <v>40</v>
      </c>
      <c r="L1142" s="79">
        <v>7.0000000000000007E-2</v>
      </c>
      <c r="M1142" s="79"/>
      <c r="N1142" s="76">
        <v>500</v>
      </c>
      <c r="O1142" s="77" t="s">
        <v>40</v>
      </c>
      <c r="P1142" s="71">
        <f>(C1142+(E1142*F1142*H1142))-N1142</f>
        <v>0</v>
      </c>
      <c r="Q1142" s="77" t="s">
        <v>40</v>
      </c>
      <c r="R1142" s="78">
        <f>P1142*(J1142-(J1142*L1142)-((J1142-(J1142*L1142))*M1142))</f>
        <v>0</v>
      </c>
      <c r="S1142" s="78">
        <f t="shared" ref="S1142" si="739">R1142/1.11</f>
        <v>0</v>
      </c>
    </row>
    <row r="1144" spans="1:19" s="19" customFormat="1" x14ac:dyDescent="0.2">
      <c r="A1144" s="121" t="s">
        <v>662</v>
      </c>
      <c r="B1144" s="19" t="s">
        <v>596</v>
      </c>
      <c r="C1144" s="20"/>
      <c r="D1144" s="21" t="s">
        <v>19</v>
      </c>
      <c r="E1144" s="26">
        <v>3</v>
      </c>
      <c r="F1144" s="22">
        <v>1</v>
      </c>
      <c r="G1144" s="23" t="s">
        <v>20</v>
      </c>
      <c r="H1144" s="22">
        <v>600</v>
      </c>
      <c r="I1144" s="23" t="s">
        <v>19</v>
      </c>
      <c r="J1144" s="24">
        <v>2700</v>
      </c>
      <c r="K1144" s="21" t="s">
        <v>19</v>
      </c>
      <c r="L1144" s="120">
        <v>0.3</v>
      </c>
      <c r="M1144" s="25"/>
      <c r="N1144" s="22"/>
      <c r="O1144" s="23" t="s">
        <v>19</v>
      </c>
      <c r="P1144" s="20">
        <f>(C1144+(E1144*F1144*H1144))-N1144</f>
        <v>1800</v>
      </c>
      <c r="Q1144" s="23" t="s">
        <v>19</v>
      </c>
      <c r="R1144" s="24">
        <f>P1144*(J1144-(J1144*L1144)-((J1144-(J1144*L1144))*M1144))</f>
        <v>3402000</v>
      </c>
      <c r="S1144" s="24">
        <f t="shared" ref="S1144" si="740">R1144/1.11</f>
        <v>3064864.8648648644</v>
      </c>
    </row>
    <row r="1145" spans="1:19" s="19" customFormat="1" x14ac:dyDescent="0.2">
      <c r="A1145" s="121" t="s">
        <v>662</v>
      </c>
      <c r="B1145" s="19" t="s">
        <v>596</v>
      </c>
      <c r="C1145" s="20">
        <v>3376</v>
      </c>
      <c r="D1145" s="21" t="s">
        <v>19</v>
      </c>
      <c r="E1145" s="26"/>
      <c r="F1145" s="22">
        <v>1</v>
      </c>
      <c r="G1145" s="23" t="s">
        <v>20</v>
      </c>
      <c r="H1145" s="22">
        <v>600</v>
      </c>
      <c r="I1145" s="23" t="s">
        <v>19</v>
      </c>
      <c r="J1145" s="24">
        <v>2700</v>
      </c>
      <c r="K1145" s="21" t="s">
        <v>19</v>
      </c>
      <c r="L1145" s="120">
        <v>0.35</v>
      </c>
      <c r="M1145" s="25"/>
      <c r="N1145" s="22"/>
      <c r="O1145" s="23" t="s">
        <v>19</v>
      </c>
      <c r="P1145" s="20">
        <f>(C1145+(E1145*F1145*H1145))-N1145</f>
        <v>3376</v>
      </c>
      <c r="Q1145" s="23" t="s">
        <v>19</v>
      </c>
      <c r="R1145" s="24">
        <f>P1145*(J1145-(J1145*L1145)-((J1145-(J1145*L1145))*M1145))</f>
        <v>5924880</v>
      </c>
      <c r="S1145" s="24">
        <f t="shared" si="732"/>
        <v>5337729.7297297297</v>
      </c>
    </row>
    <row r="1146" spans="1:19" s="19" customFormat="1" x14ac:dyDescent="0.2">
      <c r="A1146" s="18"/>
      <c r="C1146" s="20"/>
      <c r="D1146" s="21"/>
      <c r="E1146" s="26"/>
      <c r="F1146" s="22"/>
      <c r="G1146" s="23"/>
      <c r="H1146" s="22"/>
      <c r="I1146" s="23"/>
      <c r="J1146" s="24"/>
      <c r="K1146" s="21"/>
      <c r="L1146" s="25"/>
      <c r="M1146" s="25"/>
      <c r="N1146" s="22"/>
      <c r="O1146" s="23"/>
      <c r="P1146" s="20"/>
      <c r="Q1146" s="23"/>
      <c r="R1146" s="24"/>
      <c r="S1146" s="24"/>
    </row>
    <row r="1147" spans="1:19" s="73" customFormat="1" x14ac:dyDescent="0.2">
      <c r="A1147" s="184" t="s">
        <v>1088</v>
      </c>
      <c r="B1147" s="73" t="s">
        <v>181</v>
      </c>
      <c r="C1147" s="71">
        <v>2</v>
      </c>
      <c r="D1147" s="74" t="s">
        <v>151</v>
      </c>
      <c r="E1147" s="75">
        <v>3</v>
      </c>
      <c r="F1147" s="76">
        <v>1</v>
      </c>
      <c r="G1147" s="77" t="s">
        <v>20</v>
      </c>
      <c r="H1147" s="76">
        <v>12</v>
      </c>
      <c r="I1147" s="77" t="s">
        <v>151</v>
      </c>
      <c r="J1147" s="78">
        <v>25000</v>
      </c>
      <c r="K1147" s="74" t="s">
        <v>40</v>
      </c>
      <c r="L1147" s="79"/>
      <c r="M1147" s="79"/>
      <c r="N1147" s="76">
        <v>38</v>
      </c>
      <c r="O1147" s="77" t="s">
        <v>40</v>
      </c>
      <c r="P1147" s="71">
        <f t="shared" ref="P1147:P1148" si="741">(C1147+(E1147*F1147*H1147))-N1147</f>
        <v>0</v>
      </c>
      <c r="Q1147" s="77" t="s">
        <v>40</v>
      </c>
      <c r="R1147" s="78">
        <f t="shared" ref="R1147:R1148" si="742">P1147*(J1147-(J1147*L1147)-((J1147-(J1147*L1147))*M1147))</f>
        <v>0</v>
      </c>
      <c r="S1147" s="78">
        <f t="shared" ref="S1147:S1148" si="743">R1147/1.11</f>
        <v>0</v>
      </c>
    </row>
    <row r="1148" spans="1:19" s="73" customFormat="1" x14ac:dyDescent="0.2">
      <c r="A1148" s="184" t="s">
        <v>1089</v>
      </c>
      <c r="B1148" s="73" t="s">
        <v>181</v>
      </c>
      <c r="C1148" s="71">
        <v>2</v>
      </c>
      <c r="D1148" s="74" t="s">
        <v>151</v>
      </c>
      <c r="E1148" s="75">
        <v>3</v>
      </c>
      <c r="F1148" s="76">
        <v>1</v>
      </c>
      <c r="G1148" s="77" t="s">
        <v>20</v>
      </c>
      <c r="H1148" s="76">
        <v>12</v>
      </c>
      <c r="I1148" s="77" t="s">
        <v>151</v>
      </c>
      <c r="J1148" s="78">
        <v>120000</v>
      </c>
      <c r="K1148" s="74" t="s">
        <v>40</v>
      </c>
      <c r="L1148" s="79"/>
      <c r="M1148" s="79"/>
      <c r="N1148" s="76">
        <v>38</v>
      </c>
      <c r="O1148" s="77" t="s">
        <v>40</v>
      </c>
      <c r="P1148" s="71">
        <f t="shared" si="741"/>
        <v>0</v>
      </c>
      <c r="Q1148" s="77" t="s">
        <v>40</v>
      </c>
      <c r="R1148" s="78">
        <f t="shared" si="742"/>
        <v>0</v>
      </c>
      <c r="S1148" s="78">
        <f t="shared" si="743"/>
        <v>0</v>
      </c>
    </row>
    <row r="1149" spans="1:19" s="19" customFormat="1" x14ac:dyDescent="0.2">
      <c r="A1149" s="18"/>
      <c r="C1149" s="20"/>
      <c r="D1149" s="21"/>
      <c r="E1149" s="26"/>
      <c r="F1149" s="22"/>
      <c r="G1149" s="23"/>
      <c r="H1149" s="22"/>
      <c r="I1149" s="23"/>
      <c r="J1149" s="24"/>
      <c r="K1149" s="21"/>
      <c r="L1149" s="25"/>
      <c r="M1149" s="25"/>
      <c r="N1149" s="22"/>
      <c r="O1149" s="23"/>
      <c r="P1149" s="20"/>
      <c r="Q1149" s="23"/>
      <c r="R1149" s="24"/>
      <c r="S1149" s="24"/>
    </row>
    <row r="1150" spans="1:19" ht="15.75" x14ac:dyDescent="0.25">
      <c r="A1150" s="14" t="s">
        <v>530</v>
      </c>
    </row>
    <row r="1151" spans="1:19" x14ac:dyDescent="0.2">
      <c r="A1151" s="15" t="s">
        <v>531</v>
      </c>
    </row>
    <row r="1152" spans="1:19" s="73" customFormat="1" x14ac:dyDescent="0.2">
      <c r="A1152" s="72" t="s">
        <v>532</v>
      </c>
      <c r="B1152" s="73" t="s">
        <v>18</v>
      </c>
      <c r="C1152" s="71"/>
      <c r="D1152" s="74" t="s">
        <v>19</v>
      </c>
      <c r="E1152" s="75"/>
      <c r="F1152" s="76">
        <v>40</v>
      </c>
      <c r="G1152" s="77" t="s">
        <v>98</v>
      </c>
      <c r="H1152" s="76">
        <v>12</v>
      </c>
      <c r="I1152" s="77" t="s">
        <v>19</v>
      </c>
      <c r="J1152" s="78">
        <v>6700</v>
      </c>
      <c r="K1152" s="74" t="s">
        <v>19</v>
      </c>
      <c r="L1152" s="79">
        <v>0.125</v>
      </c>
      <c r="M1152" s="79">
        <v>0.05</v>
      </c>
      <c r="N1152" s="76">
        <v>0</v>
      </c>
      <c r="O1152" s="77" t="s">
        <v>19</v>
      </c>
      <c r="P1152" s="71">
        <f>(C1152+(E1152*F1152*H1152))-N1152</f>
        <v>0</v>
      </c>
      <c r="Q1152" s="77" t="s">
        <v>19</v>
      </c>
      <c r="R1152" s="78">
        <f>P1152*(J1152-(J1152*L1152)-((J1152-(J1152*L1152))*M1152))</f>
        <v>0</v>
      </c>
      <c r="S1152" s="16">
        <f t="shared" si="732"/>
        <v>0</v>
      </c>
    </row>
    <row r="1153" spans="1:19" s="73" customFormat="1" x14ac:dyDescent="0.2">
      <c r="A1153" s="72" t="s">
        <v>869</v>
      </c>
      <c r="B1153" s="73" t="s">
        <v>18</v>
      </c>
      <c r="C1153" s="71"/>
      <c r="D1153" s="74" t="s">
        <v>19</v>
      </c>
      <c r="E1153" s="75">
        <v>1</v>
      </c>
      <c r="F1153" s="76">
        <v>40</v>
      </c>
      <c r="G1153" s="77" t="s">
        <v>98</v>
      </c>
      <c r="H1153" s="76">
        <v>12</v>
      </c>
      <c r="I1153" s="77" t="s">
        <v>19</v>
      </c>
      <c r="J1153" s="78">
        <v>6600</v>
      </c>
      <c r="K1153" s="74" t="s">
        <v>19</v>
      </c>
      <c r="L1153" s="79">
        <v>0.125</v>
      </c>
      <c r="M1153" s="79">
        <v>0.05</v>
      </c>
      <c r="N1153" s="76">
        <v>480</v>
      </c>
      <c r="O1153" s="77" t="s">
        <v>19</v>
      </c>
      <c r="P1153" s="71">
        <f>(C1153+(E1153*F1153*H1153))-N1153</f>
        <v>0</v>
      </c>
      <c r="Q1153" s="77" t="s">
        <v>19</v>
      </c>
      <c r="R1153" s="78">
        <f>P1153*(J1153-(J1153*L1153)-((J1153-(J1153*L1153))*M1153))</f>
        <v>0</v>
      </c>
      <c r="S1153" s="78">
        <f t="shared" ref="S1153" si="744">R1153/1.11</f>
        <v>0</v>
      </c>
    </row>
    <row r="1154" spans="1:19" s="73" customFormat="1" x14ac:dyDescent="0.2">
      <c r="A1154" s="72" t="s">
        <v>533</v>
      </c>
      <c r="B1154" s="73" t="s">
        <v>18</v>
      </c>
      <c r="C1154" s="71"/>
      <c r="D1154" s="74" t="s">
        <v>19</v>
      </c>
      <c r="E1154" s="75">
        <v>2</v>
      </c>
      <c r="F1154" s="76">
        <v>20</v>
      </c>
      <c r="G1154" s="77" t="s">
        <v>98</v>
      </c>
      <c r="H1154" s="76">
        <v>12</v>
      </c>
      <c r="I1154" s="77" t="s">
        <v>19</v>
      </c>
      <c r="J1154" s="78">
        <v>8600</v>
      </c>
      <c r="K1154" s="74" t="s">
        <v>19</v>
      </c>
      <c r="L1154" s="79">
        <v>0.125</v>
      </c>
      <c r="M1154" s="79">
        <v>0.05</v>
      </c>
      <c r="N1154" s="76">
        <v>480</v>
      </c>
      <c r="O1154" s="77" t="s">
        <v>19</v>
      </c>
      <c r="P1154" s="71">
        <f>(C1154+(E1154*F1154*H1154))-N1154</f>
        <v>0</v>
      </c>
      <c r="Q1154" s="77" t="s">
        <v>19</v>
      </c>
      <c r="R1154" s="78">
        <f>P1154*(J1154-(J1154*L1154)-((J1154-(J1154*L1154))*M1154))</f>
        <v>0</v>
      </c>
      <c r="S1154" s="78">
        <f t="shared" ref="S1154" si="745">R1154/1.11</f>
        <v>0</v>
      </c>
    </row>
    <row r="1155" spans="1:19" s="73" customFormat="1" x14ac:dyDescent="0.2">
      <c r="A1155" s="72"/>
      <c r="C1155" s="71"/>
      <c r="D1155" s="74"/>
      <c r="E1155" s="75"/>
      <c r="F1155" s="76"/>
      <c r="G1155" s="77"/>
      <c r="H1155" s="76"/>
      <c r="I1155" s="77"/>
      <c r="J1155" s="78"/>
      <c r="K1155" s="74"/>
      <c r="L1155" s="79"/>
      <c r="M1155" s="79"/>
      <c r="N1155" s="76"/>
      <c r="O1155" s="77"/>
      <c r="P1155" s="71"/>
      <c r="Q1155" s="77"/>
      <c r="R1155" s="78"/>
      <c r="S1155" s="16"/>
    </row>
    <row r="1156" spans="1:19" s="64" customFormat="1" x14ac:dyDescent="0.2">
      <c r="A1156" s="104" t="s">
        <v>534</v>
      </c>
      <c r="B1156" s="64" t="s">
        <v>25</v>
      </c>
      <c r="C1156" s="65"/>
      <c r="D1156" s="66" t="s">
        <v>40</v>
      </c>
      <c r="E1156" s="67">
        <v>2</v>
      </c>
      <c r="F1156" s="68">
        <v>1</v>
      </c>
      <c r="G1156" s="69" t="s">
        <v>20</v>
      </c>
      <c r="H1156" s="68">
        <v>40</v>
      </c>
      <c r="I1156" s="69" t="s">
        <v>40</v>
      </c>
      <c r="J1156" s="16">
        <f>3096000/40</f>
        <v>77400</v>
      </c>
      <c r="K1156" s="66" t="s">
        <v>40</v>
      </c>
      <c r="L1156" s="70"/>
      <c r="M1156" s="70">
        <v>0.17</v>
      </c>
      <c r="N1156" s="68">
        <v>80</v>
      </c>
      <c r="O1156" s="69" t="s">
        <v>40</v>
      </c>
      <c r="P1156" s="65">
        <f t="shared" ref="P1156:P1161" si="746">(C1156+(E1156*F1156*H1156))-N1156</f>
        <v>0</v>
      </c>
      <c r="Q1156" s="69" t="s">
        <v>40</v>
      </c>
      <c r="R1156" s="16">
        <f t="shared" ref="R1156:R1161" si="747">P1156*(J1156-(J1156*L1156)-((J1156-(J1156*L1156))*M1156))</f>
        <v>0</v>
      </c>
      <c r="S1156" s="16">
        <f t="shared" si="732"/>
        <v>0</v>
      </c>
    </row>
    <row r="1157" spans="1:19" s="64" customFormat="1" x14ac:dyDescent="0.2">
      <c r="A1157" s="104" t="s">
        <v>535</v>
      </c>
      <c r="B1157" s="64" t="s">
        <v>25</v>
      </c>
      <c r="C1157" s="65">
        <v>33</v>
      </c>
      <c r="D1157" s="66" t="s">
        <v>40</v>
      </c>
      <c r="E1157" s="67">
        <v>3</v>
      </c>
      <c r="F1157" s="68">
        <v>1</v>
      </c>
      <c r="G1157" s="69" t="s">
        <v>20</v>
      </c>
      <c r="H1157" s="68">
        <v>40</v>
      </c>
      <c r="I1157" s="69" t="s">
        <v>40</v>
      </c>
      <c r="J1157" s="16">
        <f>2976000/40</f>
        <v>74400</v>
      </c>
      <c r="K1157" s="66" t="s">
        <v>40</v>
      </c>
      <c r="L1157" s="70"/>
      <c r="M1157" s="70">
        <v>0.17</v>
      </c>
      <c r="N1157" s="68">
        <v>153</v>
      </c>
      <c r="O1157" s="69" t="s">
        <v>40</v>
      </c>
      <c r="P1157" s="65">
        <f t="shared" si="746"/>
        <v>0</v>
      </c>
      <c r="Q1157" s="69" t="s">
        <v>40</v>
      </c>
      <c r="R1157" s="16">
        <f t="shared" si="747"/>
        <v>0</v>
      </c>
      <c r="S1157" s="16">
        <f t="shared" si="732"/>
        <v>0</v>
      </c>
    </row>
    <row r="1158" spans="1:19" s="64" customFormat="1" x14ac:dyDescent="0.2">
      <c r="A1158" s="104" t="s">
        <v>536</v>
      </c>
      <c r="B1158" s="64" t="s">
        <v>25</v>
      </c>
      <c r="C1158" s="65"/>
      <c r="D1158" s="66" t="s">
        <v>19</v>
      </c>
      <c r="E1158" s="67"/>
      <c r="F1158" s="68">
        <v>1</v>
      </c>
      <c r="G1158" s="69" t="s">
        <v>20</v>
      </c>
      <c r="H1158" s="68">
        <v>20</v>
      </c>
      <c r="I1158" s="69" t="s">
        <v>19</v>
      </c>
      <c r="J1158" s="16">
        <v>90000</v>
      </c>
      <c r="K1158" s="66" t="s">
        <v>19</v>
      </c>
      <c r="L1158" s="70"/>
      <c r="M1158" s="70">
        <v>0.17</v>
      </c>
      <c r="N1158" s="68">
        <v>0</v>
      </c>
      <c r="O1158" s="69" t="s">
        <v>19</v>
      </c>
      <c r="P1158" s="65">
        <f t="shared" si="746"/>
        <v>0</v>
      </c>
      <c r="Q1158" s="69" t="s">
        <v>19</v>
      </c>
      <c r="R1158" s="16">
        <f t="shared" si="747"/>
        <v>0</v>
      </c>
      <c r="S1158" s="16">
        <f t="shared" si="732"/>
        <v>0</v>
      </c>
    </row>
    <row r="1159" spans="1:19" s="64" customFormat="1" x14ac:dyDescent="0.2">
      <c r="A1159" s="104" t="s">
        <v>537</v>
      </c>
      <c r="B1159" s="64" t="s">
        <v>25</v>
      </c>
      <c r="C1159" s="65"/>
      <c r="D1159" s="66" t="s">
        <v>19</v>
      </c>
      <c r="E1159" s="67"/>
      <c r="F1159" s="68">
        <v>1</v>
      </c>
      <c r="G1159" s="69" t="s">
        <v>20</v>
      </c>
      <c r="H1159" s="68">
        <v>20</v>
      </c>
      <c r="I1159" s="69" t="s">
        <v>19</v>
      </c>
      <c r="J1159" s="16">
        <v>87500</v>
      </c>
      <c r="K1159" s="66" t="s">
        <v>19</v>
      </c>
      <c r="L1159" s="70"/>
      <c r="M1159" s="70">
        <v>0.17</v>
      </c>
      <c r="N1159" s="68">
        <v>0</v>
      </c>
      <c r="O1159" s="69" t="s">
        <v>19</v>
      </c>
      <c r="P1159" s="65">
        <f t="shared" si="746"/>
        <v>0</v>
      </c>
      <c r="Q1159" s="69" t="s">
        <v>19</v>
      </c>
      <c r="R1159" s="16">
        <f t="shared" si="747"/>
        <v>0</v>
      </c>
      <c r="S1159" s="16">
        <f t="shared" si="732"/>
        <v>0</v>
      </c>
    </row>
    <row r="1160" spans="1:19" s="64" customFormat="1" x14ac:dyDescent="0.2">
      <c r="A1160" s="104" t="s">
        <v>538</v>
      </c>
      <c r="B1160" s="64" t="s">
        <v>25</v>
      </c>
      <c r="C1160" s="65">
        <v>11</v>
      </c>
      <c r="D1160" s="66" t="s">
        <v>40</v>
      </c>
      <c r="E1160" s="67"/>
      <c r="F1160" s="68">
        <v>1</v>
      </c>
      <c r="G1160" s="69" t="s">
        <v>20</v>
      </c>
      <c r="H1160" s="68">
        <v>40</v>
      </c>
      <c r="I1160" s="69" t="s">
        <v>40</v>
      </c>
      <c r="J1160" s="16">
        <f>3360000/40</f>
        <v>84000</v>
      </c>
      <c r="K1160" s="66" t="s">
        <v>40</v>
      </c>
      <c r="L1160" s="70"/>
      <c r="M1160" s="70">
        <v>0.17</v>
      </c>
      <c r="N1160" s="68">
        <v>11</v>
      </c>
      <c r="O1160" s="69" t="s">
        <v>40</v>
      </c>
      <c r="P1160" s="65">
        <f t="shared" si="746"/>
        <v>0</v>
      </c>
      <c r="Q1160" s="69" t="s">
        <v>40</v>
      </c>
      <c r="R1160" s="16">
        <f t="shared" si="747"/>
        <v>0</v>
      </c>
      <c r="S1160" s="16">
        <f t="shared" si="732"/>
        <v>0</v>
      </c>
    </row>
    <row r="1161" spans="1:19" s="64" customFormat="1" x14ac:dyDescent="0.2">
      <c r="A1161" s="104" t="s">
        <v>539</v>
      </c>
      <c r="B1161" s="64" t="s">
        <v>25</v>
      </c>
      <c r="C1161" s="65"/>
      <c r="D1161" s="66" t="s">
        <v>40</v>
      </c>
      <c r="E1161" s="67">
        <v>3</v>
      </c>
      <c r="F1161" s="68">
        <v>1</v>
      </c>
      <c r="G1161" s="69" t="s">
        <v>20</v>
      </c>
      <c r="H1161" s="68">
        <v>20</v>
      </c>
      <c r="I1161" s="69" t="s">
        <v>40</v>
      </c>
      <c r="J1161" s="16">
        <f>1992000/20</f>
        <v>99600</v>
      </c>
      <c r="K1161" s="66" t="s">
        <v>40</v>
      </c>
      <c r="L1161" s="70"/>
      <c r="M1161" s="70">
        <v>0.17</v>
      </c>
      <c r="N1161" s="68">
        <v>60</v>
      </c>
      <c r="O1161" s="69" t="s">
        <v>40</v>
      </c>
      <c r="P1161" s="65">
        <f t="shared" si="746"/>
        <v>0</v>
      </c>
      <c r="Q1161" s="69" t="s">
        <v>40</v>
      </c>
      <c r="R1161" s="16">
        <f t="shared" si="747"/>
        <v>0</v>
      </c>
      <c r="S1161" s="16">
        <f t="shared" si="732"/>
        <v>0</v>
      </c>
    </row>
    <row r="1162" spans="1:19" x14ac:dyDescent="0.2">
      <c r="A1162" s="38"/>
    </row>
    <row r="1163" spans="1:19" x14ac:dyDescent="0.2">
      <c r="A1163" s="15" t="s">
        <v>540</v>
      </c>
    </row>
    <row r="1164" spans="1:19" s="73" customFormat="1" x14ac:dyDescent="0.2">
      <c r="A1164" s="72" t="s">
        <v>541</v>
      </c>
      <c r="B1164" s="73" t="s">
        <v>18</v>
      </c>
      <c r="C1164" s="71"/>
      <c r="D1164" s="74" t="s">
        <v>40</v>
      </c>
      <c r="E1164" s="75">
        <v>8</v>
      </c>
      <c r="F1164" s="76">
        <v>18</v>
      </c>
      <c r="G1164" s="77" t="s">
        <v>98</v>
      </c>
      <c r="H1164" s="76">
        <v>1</v>
      </c>
      <c r="I1164" s="77" t="s">
        <v>40</v>
      </c>
      <c r="J1164" s="78">
        <f>4900*12</f>
        <v>58800</v>
      </c>
      <c r="K1164" s="74" t="s">
        <v>40</v>
      </c>
      <c r="L1164" s="79">
        <v>0.125</v>
      </c>
      <c r="M1164" s="79">
        <v>0.05</v>
      </c>
      <c r="N1164" s="76">
        <v>144</v>
      </c>
      <c r="O1164" s="77" t="s">
        <v>40</v>
      </c>
      <c r="P1164" s="71">
        <f>(C1164+(E1164*F1164*H1164))-N1164</f>
        <v>0</v>
      </c>
      <c r="Q1164" s="77" t="s">
        <v>40</v>
      </c>
      <c r="R1164" s="78">
        <f>P1164*(J1164-(J1164*L1164)-((J1164-(J1164*L1164))*M1164))</f>
        <v>0</v>
      </c>
      <c r="S1164" s="16">
        <f t="shared" si="732"/>
        <v>0</v>
      </c>
    </row>
    <row r="1165" spans="1:19" s="73" customFormat="1" x14ac:dyDescent="0.2">
      <c r="A1165" s="72" t="s">
        <v>542</v>
      </c>
      <c r="B1165" s="73" t="s">
        <v>18</v>
      </c>
      <c r="C1165" s="71"/>
      <c r="D1165" s="74" t="s">
        <v>40</v>
      </c>
      <c r="E1165" s="75"/>
      <c r="F1165" s="76">
        <v>24</v>
      </c>
      <c r="G1165" s="77" t="s">
        <v>98</v>
      </c>
      <c r="H1165" s="76">
        <v>2</v>
      </c>
      <c r="I1165" s="77" t="s">
        <v>40</v>
      </c>
      <c r="J1165" s="78">
        <f>4900*12</f>
        <v>58800</v>
      </c>
      <c r="K1165" s="74" t="s">
        <v>40</v>
      </c>
      <c r="L1165" s="79">
        <v>0.125</v>
      </c>
      <c r="M1165" s="79">
        <v>0.05</v>
      </c>
      <c r="N1165" s="76">
        <v>0</v>
      </c>
      <c r="O1165" s="77" t="s">
        <v>40</v>
      </c>
      <c r="P1165" s="71">
        <f>(C1165+(E1165*F1165*H1165))-N1165</f>
        <v>0</v>
      </c>
      <c r="Q1165" s="77" t="s">
        <v>40</v>
      </c>
      <c r="R1165" s="78">
        <f>P1165*(J1165-(J1165*L1165)-((J1165-(J1165*L1165))*M1165))</f>
        <v>0</v>
      </c>
      <c r="S1165" s="16">
        <f t="shared" si="732"/>
        <v>0</v>
      </c>
    </row>
    <row r="1166" spans="1:19" s="73" customFormat="1" x14ac:dyDescent="0.2">
      <c r="A1166" s="184" t="s">
        <v>542</v>
      </c>
      <c r="B1166" s="73" t="s">
        <v>18</v>
      </c>
      <c r="C1166" s="71"/>
      <c r="D1166" s="74" t="s">
        <v>40</v>
      </c>
      <c r="E1166" s="75">
        <v>1</v>
      </c>
      <c r="F1166" s="76">
        <v>24</v>
      </c>
      <c r="G1166" s="77" t="s">
        <v>98</v>
      </c>
      <c r="H1166" s="76">
        <v>2</v>
      </c>
      <c r="I1166" s="77" t="s">
        <v>40</v>
      </c>
      <c r="J1166" s="78">
        <v>56400</v>
      </c>
      <c r="K1166" s="74" t="s">
        <v>40</v>
      </c>
      <c r="L1166" s="79">
        <v>0.125</v>
      </c>
      <c r="M1166" s="79">
        <v>0.05</v>
      </c>
      <c r="N1166" s="76">
        <v>48</v>
      </c>
      <c r="O1166" s="77" t="s">
        <v>40</v>
      </c>
      <c r="P1166" s="71">
        <f>(C1166+(E1166*F1166*H1166))-N1166</f>
        <v>0</v>
      </c>
      <c r="Q1166" s="77" t="s">
        <v>40</v>
      </c>
      <c r="R1166" s="78">
        <f>P1166*(J1166-(J1166*L1166)-((J1166-(J1166*L1166))*M1166))</f>
        <v>0</v>
      </c>
      <c r="S1166" s="16">
        <f t="shared" ref="S1166" si="748">R1166/1.11</f>
        <v>0</v>
      </c>
    </row>
    <row r="1167" spans="1:19" s="73" customFormat="1" x14ac:dyDescent="0.2">
      <c r="A1167" s="72" t="s">
        <v>543</v>
      </c>
      <c r="B1167" s="73" t="s">
        <v>18</v>
      </c>
      <c r="C1167" s="71"/>
      <c r="D1167" s="74" t="s">
        <v>40</v>
      </c>
      <c r="E1167" s="75">
        <v>7</v>
      </c>
      <c r="F1167" s="76">
        <v>18</v>
      </c>
      <c r="G1167" s="77" t="s">
        <v>98</v>
      </c>
      <c r="H1167" s="76">
        <v>1</v>
      </c>
      <c r="I1167" s="77" t="s">
        <v>40</v>
      </c>
      <c r="J1167" s="78">
        <v>69600</v>
      </c>
      <c r="K1167" s="74" t="s">
        <v>40</v>
      </c>
      <c r="L1167" s="79">
        <v>0.125</v>
      </c>
      <c r="M1167" s="79">
        <v>0.05</v>
      </c>
      <c r="N1167" s="76">
        <v>126</v>
      </c>
      <c r="O1167" s="77" t="s">
        <v>40</v>
      </c>
      <c r="P1167" s="71">
        <f>(C1167+(E1167*F1167*H1167))-N1167</f>
        <v>0</v>
      </c>
      <c r="Q1167" s="77" t="s">
        <v>40</v>
      </c>
      <c r="R1167" s="78">
        <f>P1167*(J1167-(J1167*L1167)-((J1167-(J1167*L1167))*M1167))</f>
        <v>0</v>
      </c>
      <c r="S1167" s="78">
        <f t="shared" ref="S1167" si="749">R1167/1.11</f>
        <v>0</v>
      </c>
    </row>
    <row r="1168" spans="1:19" s="73" customFormat="1" x14ac:dyDescent="0.2">
      <c r="A1168" s="72" t="s">
        <v>544</v>
      </c>
      <c r="B1168" s="73" t="s">
        <v>18</v>
      </c>
      <c r="C1168" s="71"/>
      <c r="D1168" s="74" t="s">
        <v>40</v>
      </c>
      <c r="E1168" s="75"/>
      <c r="F1168" s="76">
        <v>24</v>
      </c>
      <c r="G1168" s="77" t="s">
        <v>98</v>
      </c>
      <c r="H1168" s="76">
        <v>6</v>
      </c>
      <c r="I1168" s="77" t="s">
        <v>19</v>
      </c>
      <c r="J1168" s="78">
        <v>12600</v>
      </c>
      <c r="K1168" s="74" t="s">
        <v>19</v>
      </c>
      <c r="L1168" s="79">
        <v>0.125</v>
      </c>
      <c r="M1168" s="79">
        <v>0.05</v>
      </c>
      <c r="N1168" s="76">
        <v>0</v>
      </c>
      <c r="O1168" s="77" t="s">
        <v>19</v>
      </c>
      <c r="P1168" s="71">
        <f>(C1168+(E1168*F1168*H1168))-N1168</f>
        <v>0</v>
      </c>
      <c r="Q1168" s="77" t="s">
        <v>19</v>
      </c>
      <c r="R1168" s="78">
        <f>P1168*(J1168-(J1168*L1168)-((J1168-(J1168*L1168))*M1168))</f>
        <v>0</v>
      </c>
      <c r="S1168" s="16">
        <f t="shared" si="732"/>
        <v>0</v>
      </c>
    </row>
    <row r="1169" spans="1:19" s="73" customFormat="1" x14ac:dyDescent="0.2">
      <c r="A1169" s="72"/>
      <c r="C1169" s="71"/>
      <c r="D1169" s="74"/>
      <c r="E1169" s="75"/>
      <c r="F1169" s="76"/>
      <c r="G1169" s="77"/>
      <c r="H1169" s="76"/>
      <c r="I1169" s="77"/>
      <c r="J1169" s="78"/>
      <c r="K1169" s="74"/>
      <c r="L1169" s="79"/>
      <c r="M1169" s="79"/>
      <c r="N1169" s="76"/>
      <c r="O1169" s="77"/>
      <c r="P1169" s="71"/>
      <c r="Q1169" s="77"/>
      <c r="R1169" s="78"/>
      <c r="S1169" s="16"/>
    </row>
    <row r="1170" spans="1:19" s="73" customFormat="1" x14ac:dyDescent="0.2">
      <c r="A1170" s="72" t="s">
        <v>545</v>
      </c>
      <c r="B1170" s="73" t="s">
        <v>25</v>
      </c>
      <c r="C1170" s="71"/>
      <c r="D1170" s="74" t="s">
        <v>40</v>
      </c>
      <c r="E1170" s="75">
        <v>9</v>
      </c>
      <c r="F1170" s="76">
        <v>1</v>
      </c>
      <c r="G1170" s="77" t="s">
        <v>20</v>
      </c>
      <c r="H1170" s="76">
        <v>18</v>
      </c>
      <c r="I1170" s="77" t="s">
        <v>40</v>
      </c>
      <c r="J1170" s="78">
        <f>1069200/18</f>
        <v>59400</v>
      </c>
      <c r="K1170" s="74" t="s">
        <v>40</v>
      </c>
      <c r="L1170" s="79"/>
      <c r="M1170" s="79">
        <v>0.17</v>
      </c>
      <c r="N1170" s="76">
        <v>162</v>
      </c>
      <c r="O1170" s="77" t="s">
        <v>40</v>
      </c>
      <c r="P1170" s="71">
        <f>(C1170+(E1170*F1170*H1170))-N1170</f>
        <v>0</v>
      </c>
      <c r="Q1170" s="77" t="s">
        <v>40</v>
      </c>
      <c r="R1170" s="78">
        <f>P1170*(J1170-(J1170*L1170)-((J1170-(J1170*L1170))*M1170))</f>
        <v>0</v>
      </c>
      <c r="S1170" s="78">
        <f t="shared" si="732"/>
        <v>0</v>
      </c>
    </row>
    <row r="1171" spans="1:19" s="64" customFormat="1" x14ac:dyDescent="0.2">
      <c r="A1171" s="63" t="s">
        <v>546</v>
      </c>
      <c r="B1171" s="64" t="s">
        <v>25</v>
      </c>
      <c r="C1171" s="65"/>
      <c r="D1171" s="66" t="s">
        <v>40</v>
      </c>
      <c r="E1171" s="67">
        <v>2</v>
      </c>
      <c r="F1171" s="68">
        <v>1</v>
      </c>
      <c r="G1171" s="69" t="s">
        <v>20</v>
      </c>
      <c r="H1171" s="68">
        <v>18</v>
      </c>
      <c r="I1171" s="69" t="s">
        <v>40</v>
      </c>
      <c r="J1171" s="16">
        <f>1274400/18</f>
        <v>70800</v>
      </c>
      <c r="K1171" s="66" t="s">
        <v>40</v>
      </c>
      <c r="L1171" s="70"/>
      <c r="M1171" s="70">
        <v>0.17</v>
      </c>
      <c r="N1171" s="68">
        <v>36</v>
      </c>
      <c r="O1171" s="69" t="s">
        <v>40</v>
      </c>
      <c r="P1171" s="65">
        <f>(C1171+(E1171*F1171*H1171))-N1171</f>
        <v>0</v>
      </c>
      <c r="Q1171" s="69" t="s">
        <v>40</v>
      </c>
      <c r="R1171" s="16">
        <f>P1171*(J1171-(J1171*L1171)-((J1171-(J1171*L1171))*M1171))</f>
        <v>0</v>
      </c>
      <c r="S1171" s="16">
        <f t="shared" si="732"/>
        <v>0</v>
      </c>
    </row>
    <row r="1173" spans="1:19" x14ac:dyDescent="0.2">
      <c r="A1173" s="15" t="s">
        <v>1075</v>
      </c>
      <c r="R1173" s="16"/>
      <c r="S1173" s="16"/>
    </row>
    <row r="1174" spans="1:19" s="64" customFormat="1" x14ac:dyDescent="0.2">
      <c r="A1174" s="63" t="s">
        <v>933</v>
      </c>
      <c r="B1174" s="73" t="s">
        <v>181</v>
      </c>
      <c r="C1174" s="65"/>
      <c r="D1174" s="66" t="s">
        <v>40</v>
      </c>
      <c r="E1174" s="67">
        <v>10</v>
      </c>
      <c r="F1174" s="68">
        <v>1</v>
      </c>
      <c r="G1174" s="69" t="s">
        <v>20</v>
      </c>
      <c r="H1174" s="68">
        <v>12</v>
      </c>
      <c r="I1174" s="69" t="s">
        <v>40</v>
      </c>
      <c r="J1174" s="78">
        <v>52552.583333333336</v>
      </c>
      <c r="K1174" s="74" t="s">
        <v>40</v>
      </c>
      <c r="L1174" s="79"/>
      <c r="M1174" s="79"/>
      <c r="N1174" s="76">
        <v>120</v>
      </c>
      <c r="O1174" s="77" t="s">
        <v>40</v>
      </c>
      <c r="P1174" s="71">
        <f>(C1174+(E1174*F1174*H1174))-N1174</f>
        <v>0</v>
      </c>
      <c r="Q1174" s="77" t="s">
        <v>40</v>
      </c>
      <c r="R1174" s="78">
        <f>P1174*(J1174-(J1174*L1174)-((J1174-(J1174*L1174))*M1174))</f>
        <v>0</v>
      </c>
      <c r="S1174" s="78">
        <f t="shared" ref="S1174" si="750">R1174/1.11</f>
        <v>0</v>
      </c>
    </row>
    <row r="1175" spans="1:19" s="64" customFormat="1" x14ac:dyDescent="0.2">
      <c r="A1175" s="63"/>
      <c r="B1175" s="73"/>
      <c r="C1175" s="65"/>
      <c r="D1175" s="66"/>
      <c r="E1175" s="67"/>
      <c r="F1175" s="68"/>
      <c r="G1175" s="69"/>
      <c r="H1175" s="68"/>
      <c r="I1175" s="69"/>
      <c r="J1175" s="78"/>
      <c r="K1175" s="74"/>
      <c r="L1175" s="79"/>
      <c r="M1175" s="79"/>
      <c r="N1175" s="76"/>
      <c r="O1175" s="77"/>
      <c r="P1175" s="71"/>
      <c r="Q1175" s="77"/>
      <c r="R1175" s="78"/>
      <c r="S1175" s="78"/>
    </row>
    <row r="1176" spans="1:19" s="64" customFormat="1" x14ac:dyDescent="0.2">
      <c r="A1176" s="184" t="s">
        <v>1009</v>
      </c>
      <c r="B1176" s="73" t="s">
        <v>18</v>
      </c>
      <c r="C1176" s="65"/>
      <c r="D1176" s="66" t="s">
        <v>40</v>
      </c>
      <c r="E1176" s="67">
        <v>1</v>
      </c>
      <c r="F1176" s="68">
        <v>1</v>
      </c>
      <c r="G1176" s="69" t="s">
        <v>20</v>
      </c>
      <c r="H1176" s="68">
        <v>12</v>
      </c>
      <c r="I1176" s="69" t="s">
        <v>40</v>
      </c>
      <c r="J1176" s="78">
        <v>60600</v>
      </c>
      <c r="K1176" s="74" t="s">
        <v>40</v>
      </c>
      <c r="L1176" s="79">
        <v>0.125</v>
      </c>
      <c r="M1176" s="79">
        <v>0.05</v>
      </c>
      <c r="N1176" s="76">
        <v>12</v>
      </c>
      <c r="O1176" s="77" t="s">
        <v>40</v>
      </c>
      <c r="P1176" s="71">
        <f>(C1176+(E1176*F1176*H1176))-N1176</f>
        <v>0</v>
      </c>
      <c r="Q1176" s="77" t="s">
        <v>40</v>
      </c>
      <c r="R1176" s="78">
        <f>P1176*(J1176-(J1176*L1176)-((J1176-(J1176*L1176))*M1176))</f>
        <v>0</v>
      </c>
      <c r="S1176" s="78">
        <f t="shared" ref="S1176" si="751">R1176/1.11</f>
        <v>0</v>
      </c>
    </row>
    <row r="1177" spans="1:19" x14ac:dyDescent="0.2">
      <c r="J1177" s="24"/>
      <c r="K1177" s="21"/>
      <c r="L1177" s="25"/>
      <c r="M1177" s="25"/>
      <c r="N1177" s="22"/>
      <c r="O1177" s="23"/>
      <c r="P1177" s="20"/>
      <c r="Q1177" s="23"/>
      <c r="R1177" s="24"/>
      <c r="S1177" s="24"/>
    </row>
    <row r="1178" spans="1:19" ht="15.75" x14ac:dyDescent="0.25">
      <c r="A1178" s="14" t="s">
        <v>547</v>
      </c>
    </row>
    <row r="1179" spans="1:19" x14ac:dyDescent="0.2">
      <c r="A1179" s="15" t="s">
        <v>548</v>
      </c>
    </row>
    <row r="1180" spans="1:19" s="64" customFormat="1" x14ac:dyDescent="0.2">
      <c r="A1180" s="63" t="s">
        <v>702</v>
      </c>
      <c r="B1180" s="73" t="s">
        <v>18</v>
      </c>
      <c r="C1180" s="65"/>
      <c r="D1180" s="66" t="s">
        <v>19</v>
      </c>
      <c r="E1180" s="67">
        <v>4</v>
      </c>
      <c r="F1180" s="68">
        <v>1</v>
      </c>
      <c r="G1180" s="69" t="s">
        <v>20</v>
      </c>
      <c r="H1180" s="68">
        <v>72</v>
      </c>
      <c r="I1180" s="69" t="s">
        <v>19</v>
      </c>
      <c r="J1180" s="16">
        <v>34500</v>
      </c>
      <c r="K1180" s="66" t="s">
        <v>19</v>
      </c>
      <c r="L1180" s="70">
        <v>0.125</v>
      </c>
      <c r="M1180" s="70">
        <v>0.05</v>
      </c>
      <c r="N1180" s="68">
        <v>288</v>
      </c>
      <c r="O1180" s="69" t="s">
        <v>19</v>
      </c>
      <c r="P1180" s="65">
        <f>(C1180+(E1180*F1180*H1180))-N1180</f>
        <v>0</v>
      </c>
      <c r="Q1180" s="69" t="s">
        <v>19</v>
      </c>
      <c r="R1180" s="16">
        <f>P1180*(J1180-(J1180*L1180)-((J1180-(J1180*L1180))*M1180))</f>
        <v>0</v>
      </c>
      <c r="S1180" s="16">
        <f t="shared" ref="S1180" si="752">R1180/1.11</f>
        <v>0</v>
      </c>
    </row>
    <row r="1181" spans="1:19" s="64" customFormat="1" x14ac:dyDescent="0.2">
      <c r="A1181" s="63" t="s">
        <v>549</v>
      </c>
      <c r="B1181" s="73" t="s">
        <v>18</v>
      </c>
      <c r="C1181" s="65"/>
      <c r="D1181" s="66" t="s">
        <v>19</v>
      </c>
      <c r="E1181" s="67">
        <v>2</v>
      </c>
      <c r="F1181" s="68">
        <v>1</v>
      </c>
      <c r="G1181" s="69" t="s">
        <v>20</v>
      </c>
      <c r="H1181" s="68">
        <v>24</v>
      </c>
      <c r="I1181" s="69" t="s">
        <v>19</v>
      </c>
      <c r="J1181" s="16">
        <v>97000</v>
      </c>
      <c r="K1181" s="66" t="s">
        <v>19</v>
      </c>
      <c r="L1181" s="70">
        <v>0.125</v>
      </c>
      <c r="M1181" s="70">
        <v>0.05</v>
      </c>
      <c r="N1181" s="68">
        <v>48</v>
      </c>
      <c r="O1181" s="69" t="s">
        <v>19</v>
      </c>
      <c r="P1181" s="65">
        <f>(C1181+(E1181*F1181*H1181))-N1181</f>
        <v>0</v>
      </c>
      <c r="Q1181" s="69" t="s">
        <v>19</v>
      </c>
      <c r="R1181" s="16">
        <f>P1181*(J1181-(J1181*L1181)-((J1181-(J1181*L1181))*M1181))</f>
        <v>0</v>
      </c>
      <c r="S1181" s="16">
        <f t="shared" si="732"/>
        <v>0</v>
      </c>
    </row>
    <row r="1182" spans="1:19" s="64" customFormat="1" x14ac:dyDescent="0.2">
      <c r="A1182" s="63"/>
      <c r="B1182" s="73"/>
      <c r="C1182" s="65"/>
      <c r="D1182" s="66"/>
      <c r="E1182" s="67"/>
      <c r="F1182" s="68"/>
      <c r="G1182" s="69"/>
      <c r="H1182" s="68"/>
      <c r="I1182" s="69"/>
      <c r="J1182" s="16"/>
      <c r="K1182" s="66"/>
      <c r="L1182" s="70"/>
      <c r="M1182" s="70"/>
      <c r="N1182" s="68"/>
      <c r="O1182" s="69"/>
      <c r="P1182" s="65"/>
      <c r="Q1182" s="69"/>
      <c r="R1182" s="16"/>
      <c r="S1182" s="16"/>
    </row>
    <row r="1183" spans="1:19" s="64" customFormat="1" x14ac:dyDescent="0.2">
      <c r="A1183" s="63" t="s">
        <v>550</v>
      </c>
      <c r="B1183" s="64" t="s">
        <v>25</v>
      </c>
      <c r="C1183" s="65"/>
      <c r="D1183" s="66" t="s">
        <v>40</v>
      </c>
      <c r="E1183" s="67"/>
      <c r="F1183" s="68">
        <v>1</v>
      </c>
      <c r="G1183" s="69" t="s">
        <v>20</v>
      </c>
      <c r="H1183" s="68">
        <v>48</v>
      </c>
      <c r="I1183" s="69" t="s">
        <v>19</v>
      </c>
      <c r="J1183" s="16">
        <f>2400000/48</f>
        <v>50000</v>
      </c>
      <c r="K1183" s="66" t="s">
        <v>19</v>
      </c>
      <c r="L1183" s="70"/>
      <c r="M1183" s="70">
        <v>0.17</v>
      </c>
      <c r="N1183" s="68">
        <v>0</v>
      </c>
      <c r="O1183" s="69" t="s">
        <v>19</v>
      </c>
      <c r="P1183" s="65">
        <f>(C1183+(E1183*F1183*H1183))-N1183</f>
        <v>0</v>
      </c>
      <c r="Q1183" s="69" t="s">
        <v>19</v>
      </c>
      <c r="R1183" s="16">
        <f>P1183*(J1183-(J1183*L1183)-((J1183-(J1183*L1183))*M1183))</f>
        <v>0</v>
      </c>
      <c r="S1183" s="16">
        <f t="shared" si="732"/>
        <v>0</v>
      </c>
    </row>
    <row r="1185" spans="1:19" x14ac:dyDescent="0.2">
      <c r="A1185" s="15" t="s">
        <v>551</v>
      </c>
    </row>
    <row r="1186" spans="1:19" s="73" customFormat="1" x14ac:dyDescent="0.2">
      <c r="A1186" s="72" t="s">
        <v>552</v>
      </c>
      <c r="B1186" s="73" t="s">
        <v>18</v>
      </c>
      <c r="C1186" s="71"/>
      <c r="D1186" s="74" t="s">
        <v>40</v>
      </c>
      <c r="E1186" s="75">
        <v>59</v>
      </c>
      <c r="F1186" s="76">
        <v>1</v>
      </c>
      <c r="G1186" s="77" t="s">
        <v>20</v>
      </c>
      <c r="H1186" s="76">
        <v>20</v>
      </c>
      <c r="I1186" s="77" t="s">
        <v>40</v>
      </c>
      <c r="J1186" s="78">
        <v>85200</v>
      </c>
      <c r="K1186" s="74" t="s">
        <v>40</v>
      </c>
      <c r="L1186" s="79">
        <v>0.125</v>
      </c>
      <c r="M1186" s="79">
        <v>0.05</v>
      </c>
      <c r="N1186" s="76">
        <v>1180</v>
      </c>
      <c r="O1186" s="77" t="s">
        <v>40</v>
      </c>
      <c r="P1186" s="71">
        <f t="shared" ref="P1186:P1203" si="753">(C1186+(E1186*F1186*H1186))-N1186</f>
        <v>0</v>
      </c>
      <c r="Q1186" s="77" t="s">
        <v>40</v>
      </c>
      <c r="R1186" s="78">
        <f t="shared" ref="R1186:R1203" si="754">P1186*(J1186-(J1186*L1186)-((J1186-(J1186*L1186))*M1186))</f>
        <v>0</v>
      </c>
      <c r="S1186" s="78">
        <f t="shared" si="732"/>
        <v>0</v>
      </c>
    </row>
    <row r="1187" spans="1:19" s="64" customFormat="1" x14ac:dyDescent="0.2">
      <c r="A1187" s="63" t="s">
        <v>553</v>
      </c>
      <c r="B1187" s="64" t="s">
        <v>18</v>
      </c>
      <c r="C1187" s="65"/>
      <c r="D1187" s="66" t="s">
        <v>19</v>
      </c>
      <c r="E1187" s="67">
        <v>5</v>
      </c>
      <c r="F1187" s="68">
        <v>24</v>
      </c>
      <c r="G1187" s="69" t="s">
        <v>33</v>
      </c>
      <c r="H1187" s="68">
        <v>10</v>
      </c>
      <c r="I1187" s="69" t="s">
        <v>19</v>
      </c>
      <c r="J1187" s="16">
        <v>9750</v>
      </c>
      <c r="K1187" s="66" t="s">
        <v>19</v>
      </c>
      <c r="L1187" s="70">
        <v>0.125</v>
      </c>
      <c r="M1187" s="70">
        <v>0.05</v>
      </c>
      <c r="N1187" s="68">
        <v>1200</v>
      </c>
      <c r="O1187" s="69" t="s">
        <v>19</v>
      </c>
      <c r="P1187" s="65">
        <f t="shared" si="753"/>
        <v>0</v>
      </c>
      <c r="Q1187" s="69" t="s">
        <v>19</v>
      </c>
      <c r="R1187" s="16">
        <f t="shared" si="754"/>
        <v>0</v>
      </c>
      <c r="S1187" s="16">
        <f t="shared" si="732"/>
        <v>0</v>
      </c>
    </row>
    <row r="1188" spans="1:19" s="64" customFormat="1" x14ac:dyDescent="0.2">
      <c r="A1188" s="63" t="s">
        <v>554</v>
      </c>
      <c r="B1188" s="64" t="s">
        <v>18</v>
      </c>
      <c r="C1188" s="65"/>
      <c r="D1188" s="66" t="s">
        <v>40</v>
      </c>
      <c r="E1188" s="67">
        <v>6</v>
      </c>
      <c r="F1188" s="68">
        <v>1</v>
      </c>
      <c r="G1188" s="69" t="s">
        <v>20</v>
      </c>
      <c r="H1188" s="68">
        <v>25</v>
      </c>
      <c r="I1188" s="69" t="s">
        <v>40</v>
      </c>
      <c r="J1188" s="16">
        <v>70800</v>
      </c>
      <c r="K1188" s="66" t="s">
        <v>40</v>
      </c>
      <c r="L1188" s="70">
        <v>0.125</v>
      </c>
      <c r="M1188" s="70">
        <v>0.05</v>
      </c>
      <c r="N1188" s="68">
        <v>150</v>
      </c>
      <c r="O1188" s="69" t="s">
        <v>40</v>
      </c>
      <c r="P1188" s="65">
        <f t="shared" si="753"/>
        <v>0</v>
      </c>
      <c r="Q1188" s="69" t="s">
        <v>40</v>
      </c>
      <c r="R1188" s="16">
        <f t="shared" si="754"/>
        <v>0</v>
      </c>
      <c r="S1188" s="16">
        <f t="shared" si="732"/>
        <v>0</v>
      </c>
    </row>
    <row r="1189" spans="1:19" s="64" customFormat="1" x14ac:dyDescent="0.2">
      <c r="A1189" s="72" t="s">
        <v>834</v>
      </c>
      <c r="B1189" s="64" t="s">
        <v>18</v>
      </c>
      <c r="C1189" s="65"/>
      <c r="D1189" s="66" t="s">
        <v>40</v>
      </c>
      <c r="E1189" s="67">
        <v>3</v>
      </c>
      <c r="F1189" s="68">
        <v>1</v>
      </c>
      <c r="G1189" s="69" t="s">
        <v>20</v>
      </c>
      <c r="H1189" s="68">
        <v>25</v>
      </c>
      <c r="I1189" s="69" t="s">
        <v>40</v>
      </c>
      <c r="J1189" s="16">
        <v>66600</v>
      </c>
      <c r="K1189" s="66" t="s">
        <v>40</v>
      </c>
      <c r="L1189" s="70">
        <v>0.125</v>
      </c>
      <c r="M1189" s="70">
        <v>0.05</v>
      </c>
      <c r="N1189" s="68">
        <v>75</v>
      </c>
      <c r="O1189" s="69" t="s">
        <v>40</v>
      </c>
      <c r="P1189" s="65">
        <f t="shared" ref="P1189:P1190" si="755">(C1189+(E1189*F1189*H1189))-N1189</f>
        <v>0</v>
      </c>
      <c r="Q1189" s="69" t="s">
        <v>40</v>
      </c>
      <c r="R1189" s="16">
        <f t="shared" ref="R1189:R1190" si="756">P1189*(J1189-(J1189*L1189)-((J1189-(J1189*L1189))*M1189))</f>
        <v>0</v>
      </c>
      <c r="S1189" s="16">
        <f t="shared" ref="S1189:S1190" si="757">R1189/1.11</f>
        <v>0</v>
      </c>
    </row>
    <row r="1190" spans="1:19" s="73" customFormat="1" x14ac:dyDescent="0.2">
      <c r="A1190" s="187" t="s">
        <v>555</v>
      </c>
      <c r="B1190" s="73" t="s">
        <v>18</v>
      </c>
      <c r="C1190" s="71"/>
      <c r="D1190" s="74" t="s">
        <v>40</v>
      </c>
      <c r="E1190" s="75">
        <v>23</v>
      </c>
      <c r="F1190" s="76">
        <v>20</v>
      </c>
      <c r="G1190" s="77" t="s">
        <v>33</v>
      </c>
      <c r="H1190" s="76">
        <v>1</v>
      </c>
      <c r="I1190" s="77" t="s">
        <v>40</v>
      </c>
      <c r="J1190" s="190">
        <v>84000</v>
      </c>
      <c r="K1190" s="74" t="s">
        <v>40</v>
      </c>
      <c r="L1190" s="79">
        <v>0.125</v>
      </c>
      <c r="M1190" s="79">
        <v>0.05</v>
      </c>
      <c r="N1190" s="76">
        <v>460</v>
      </c>
      <c r="O1190" s="77" t="s">
        <v>40</v>
      </c>
      <c r="P1190" s="71">
        <f t="shared" si="755"/>
        <v>0</v>
      </c>
      <c r="Q1190" s="77" t="s">
        <v>40</v>
      </c>
      <c r="R1190" s="78">
        <f t="shared" si="756"/>
        <v>0</v>
      </c>
      <c r="S1190" s="78">
        <f t="shared" si="757"/>
        <v>0</v>
      </c>
    </row>
    <row r="1191" spans="1:19" s="73" customFormat="1" x14ac:dyDescent="0.2">
      <c r="A1191" s="187" t="s">
        <v>555</v>
      </c>
      <c r="B1191" s="73" t="s">
        <v>18</v>
      </c>
      <c r="C1191" s="71">
        <v>240</v>
      </c>
      <c r="D1191" s="74" t="s">
        <v>40</v>
      </c>
      <c r="E1191" s="75"/>
      <c r="F1191" s="76">
        <v>20</v>
      </c>
      <c r="G1191" s="77" t="s">
        <v>33</v>
      </c>
      <c r="H1191" s="76">
        <v>1</v>
      </c>
      <c r="I1191" s="77" t="s">
        <v>40</v>
      </c>
      <c r="J1191" s="190">
        <f>6800*12</f>
        <v>81600</v>
      </c>
      <c r="K1191" s="74" t="s">
        <v>40</v>
      </c>
      <c r="L1191" s="79">
        <v>0.125</v>
      </c>
      <c r="M1191" s="79">
        <v>0.05</v>
      </c>
      <c r="N1191" s="76">
        <v>240</v>
      </c>
      <c r="O1191" s="77" t="s">
        <v>40</v>
      </c>
      <c r="P1191" s="71">
        <f t="shared" si="753"/>
        <v>0</v>
      </c>
      <c r="Q1191" s="77" t="s">
        <v>40</v>
      </c>
      <c r="R1191" s="78">
        <f t="shared" si="754"/>
        <v>0</v>
      </c>
      <c r="S1191" s="78">
        <f t="shared" si="732"/>
        <v>0</v>
      </c>
    </row>
    <row r="1192" spans="1:19" s="73" customFormat="1" x14ac:dyDescent="0.2">
      <c r="A1192" s="184" t="s">
        <v>555</v>
      </c>
      <c r="B1192" s="73" t="s">
        <v>18</v>
      </c>
      <c r="C1192" s="71"/>
      <c r="D1192" s="74" t="s">
        <v>40</v>
      </c>
      <c r="E1192" s="75">
        <v>15</v>
      </c>
      <c r="F1192" s="76">
        <v>20</v>
      </c>
      <c r="G1192" s="77" t="s">
        <v>33</v>
      </c>
      <c r="H1192" s="76">
        <v>1</v>
      </c>
      <c r="I1192" s="77" t="s">
        <v>40</v>
      </c>
      <c r="J1192" s="78">
        <v>84000</v>
      </c>
      <c r="K1192" s="74" t="s">
        <v>40</v>
      </c>
      <c r="L1192" s="79">
        <v>0.125</v>
      </c>
      <c r="M1192" s="79">
        <v>0.1</v>
      </c>
      <c r="N1192" s="76">
        <v>300</v>
      </c>
      <c r="O1192" s="77" t="s">
        <v>40</v>
      </c>
      <c r="P1192" s="71">
        <f t="shared" ref="P1192" si="758">(C1192+(E1192*F1192*H1192))-N1192</f>
        <v>0</v>
      </c>
      <c r="Q1192" s="77" t="s">
        <v>40</v>
      </c>
      <c r="R1192" s="78">
        <f t="shared" ref="R1192" si="759">P1192*(J1192-(J1192*L1192)-((J1192-(J1192*L1192))*M1192))</f>
        <v>0</v>
      </c>
      <c r="S1192" s="78">
        <f t="shared" ref="S1192" si="760">R1192/1.11</f>
        <v>0</v>
      </c>
    </row>
    <row r="1193" spans="1:19" s="73" customFormat="1" x14ac:dyDescent="0.2">
      <c r="A1193" s="72" t="s">
        <v>970</v>
      </c>
      <c r="B1193" s="73" t="s">
        <v>18</v>
      </c>
      <c r="C1193" s="71"/>
      <c r="D1193" s="74" t="s">
        <v>19</v>
      </c>
      <c r="E1193" s="75">
        <v>1</v>
      </c>
      <c r="F1193" s="76">
        <v>1</v>
      </c>
      <c r="G1193" s="77" t="s">
        <v>20</v>
      </c>
      <c r="H1193" s="76">
        <v>10</v>
      </c>
      <c r="I1193" s="77" t="s">
        <v>40</v>
      </c>
      <c r="J1193" s="78">
        <v>282000</v>
      </c>
      <c r="K1193" s="74" t="s">
        <v>40</v>
      </c>
      <c r="L1193" s="79">
        <v>0.125</v>
      </c>
      <c r="M1193" s="79">
        <v>0.05</v>
      </c>
      <c r="N1193" s="76">
        <v>10</v>
      </c>
      <c r="O1193" s="77" t="s">
        <v>40</v>
      </c>
      <c r="P1193" s="71">
        <f t="shared" ref="P1193" si="761">(C1193+(E1193*F1193*H1193))-N1193</f>
        <v>0</v>
      </c>
      <c r="Q1193" s="77" t="s">
        <v>40</v>
      </c>
      <c r="R1193" s="78">
        <f t="shared" ref="R1193" si="762">P1193*(J1193-(J1193*L1193)-((J1193-(J1193*L1193))*M1193))</f>
        <v>0</v>
      </c>
      <c r="S1193" s="78">
        <f t="shared" ref="S1193" si="763">R1193/1.11</f>
        <v>0</v>
      </c>
    </row>
    <row r="1194" spans="1:19" s="73" customFormat="1" x14ac:dyDescent="0.2">
      <c r="A1194" s="72" t="s">
        <v>556</v>
      </c>
      <c r="B1194" s="73" t="s">
        <v>18</v>
      </c>
      <c r="C1194" s="71">
        <v>450</v>
      </c>
      <c r="D1194" s="74" t="s">
        <v>19</v>
      </c>
      <c r="E1194" s="75">
        <v>11</v>
      </c>
      <c r="F1194" s="76">
        <v>20</v>
      </c>
      <c r="G1194" s="77" t="s">
        <v>33</v>
      </c>
      <c r="H1194" s="76">
        <v>6</v>
      </c>
      <c r="I1194" s="77" t="s">
        <v>19</v>
      </c>
      <c r="J1194" s="78">
        <v>18700</v>
      </c>
      <c r="K1194" s="74" t="s">
        <v>19</v>
      </c>
      <c r="L1194" s="79">
        <v>0.125</v>
      </c>
      <c r="M1194" s="79">
        <v>0.05</v>
      </c>
      <c r="N1194" s="76">
        <v>1770</v>
      </c>
      <c r="O1194" s="77" t="s">
        <v>19</v>
      </c>
      <c r="P1194" s="71">
        <f t="shared" si="753"/>
        <v>0</v>
      </c>
      <c r="Q1194" s="77" t="s">
        <v>19</v>
      </c>
      <c r="R1194" s="78">
        <f t="shared" si="754"/>
        <v>0</v>
      </c>
      <c r="S1194" s="78">
        <f t="shared" si="732"/>
        <v>0</v>
      </c>
    </row>
    <row r="1195" spans="1:19" s="73" customFormat="1" x14ac:dyDescent="0.2">
      <c r="A1195" s="72" t="s">
        <v>557</v>
      </c>
      <c r="B1195" s="73" t="s">
        <v>18</v>
      </c>
      <c r="C1195" s="71">
        <v>1284</v>
      </c>
      <c r="D1195" s="74" t="s">
        <v>19</v>
      </c>
      <c r="E1195" s="75">
        <v>4</v>
      </c>
      <c r="F1195" s="76">
        <v>20</v>
      </c>
      <c r="G1195" s="77" t="s">
        <v>33</v>
      </c>
      <c r="H1195" s="76">
        <v>6</v>
      </c>
      <c r="I1195" s="77" t="s">
        <v>19</v>
      </c>
      <c r="J1195" s="78">
        <v>18000</v>
      </c>
      <c r="K1195" s="74" t="s">
        <v>19</v>
      </c>
      <c r="L1195" s="79">
        <v>0.125</v>
      </c>
      <c r="M1195" s="79">
        <v>0.05</v>
      </c>
      <c r="N1195" s="76">
        <v>1764</v>
      </c>
      <c r="O1195" s="77" t="s">
        <v>19</v>
      </c>
      <c r="P1195" s="71">
        <f t="shared" si="753"/>
        <v>0</v>
      </c>
      <c r="Q1195" s="77" t="s">
        <v>19</v>
      </c>
      <c r="R1195" s="78">
        <f t="shared" si="754"/>
        <v>0</v>
      </c>
      <c r="S1195" s="78">
        <f t="shared" si="732"/>
        <v>0</v>
      </c>
    </row>
    <row r="1196" spans="1:19" s="64" customFormat="1" x14ac:dyDescent="0.2">
      <c r="A1196" s="63" t="s">
        <v>558</v>
      </c>
      <c r="B1196" s="64" t="s">
        <v>18</v>
      </c>
      <c r="C1196" s="65"/>
      <c r="D1196" s="66" t="s">
        <v>19</v>
      </c>
      <c r="E1196" s="67"/>
      <c r="F1196" s="68">
        <v>1</v>
      </c>
      <c r="G1196" s="69" t="s">
        <v>20</v>
      </c>
      <c r="H1196" s="68">
        <v>12</v>
      </c>
      <c r="I1196" s="69" t="s">
        <v>19</v>
      </c>
      <c r="J1196" s="16">
        <v>162000</v>
      </c>
      <c r="K1196" s="66" t="s">
        <v>19</v>
      </c>
      <c r="L1196" s="70">
        <v>0.125</v>
      </c>
      <c r="M1196" s="70">
        <v>0.05</v>
      </c>
      <c r="N1196" s="68">
        <v>0</v>
      </c>
      <c r="O1196" s="69" t="s">
        <v>19</v>
      </c>
      <c r="P1196" s="65">
        <f t="shared" si="753"/>
        <v>0</v>
      </c>
      <c r="Q1196" s="69" t="s">
        <v>19</v>
      </c>
      <c r="R1196" s="16">
        <f t="shared" si="754"/>
        <v>0</v>
      </c>
      <c r="S1196" s="16">
        <f t="shared" si="732"/>
        <v>0</v>
      </c>
    </row>
    <row r="1197" spans="1:19" s="64" customFormat="1" x14ac:dyDescent="0.2">
      <c r="A1197" s="63" t="s">
        <v>754</v>
      </c>
      <c r="B1197" s="64" t="s">
        <v>18</v>
      </c>
      <c r="C1197" s="65"/>
      <c r="D1197" s="66" t="s">
        <v>19</v>
      </c>
      <c r="E1197" s="67"/>
      <c r="F1197" s="68">
        <v>1</v>
      </c>
      <c r="G1197" s="69" t="s">
        <v>20</v>
      </c>
      <c r="H1197" s="68">
        <v>12</v>
      </c>
      <c r="I1197" s="69" t="s">
        <v>19</v>
      </c>
      <c r="J1197" s="16">
        <v>200000</v>
      </c>
      <c r="K1197" s="66" t="s">
        <v>19</v>
      </c>
      <c r="L1197" s="70">
        <v>0.125</v>
      </c>
      <c r="M1197" s="70">
        <v>0.05</v>
      </c>
      <c r="N1197" s="68">
        <v>0</v>
      </c>
      <c r="O1197" s="69" t="s">
        <v>19</v>
      </c>
      <c r="P1197" s="65">
        <f t="shared" si="753"/>
        <v>0</v>
      </c>
      <c r="Q1197" s="69" t="s">
        <v>19</v>
      </c>
      <c r="R1197" s="16">
        <f t="shared" si="754"/>
        <v>0</v>
      </c>
      <c r="S1197" s="16">
        <f t="shared" si="732"/>
        <v>0</v>
      </c>
    </row>
    <row r="1198" spans="1:19" s="64" customFormat="1" x14ac:dyDescent="0.2">
      <c r="A1198" s="184" t="s">
        <v>754</v>
      </c>
      <c r="B1198" s="64" t="s">
        <v>18</v>
      </c>
      <c r="C1198" s="65"/>
      <c r="D1198" s="66" t="s">
        <v>19</v>
      </c>
      <c r="E1198" s="67">
        <v>1</v>
      </c>
      <c r="F1198" s="68">
        <v>1</v>
      </c>
      <c r="G1198" s="69" t="s">
        <v>20</v>
      </c>
      <c r="H1198" s="68">
        <v>12</v>
      </c>
      <c r="I1198" s="69" t="s">
        <v>19</v>
      </c>
      <c r="J1198" s="16">
        <v>208000</v>
      </c>
      <c r="K1198" s="66" t="s">
        <v>19</v>
      </c>
      <c r="L1198" s="70">
        <v>0.125</v>
      </c>
      <c r="M1198" s="70">
        <v>0.05</v>
      </c>
      <c r="N1198" s="68">
        <v>12</v>
      </c>
      <c r="O1198" s="69" t="s">
        <v>19</v>
      </c>
      <c r="P1198" s="65">
        <f t="shared" ref="P1198" si="764">(C1198+(E1198*F1198*H1198))-N1198</f>
        <v>0</v>
      </c>
      <c r="Q1198" s="69" t="s">
        <v>19</v>
      </c>
      <c r="R1198" s="16">
        <f t="shared" ref="R1198" si="765">P1198*(J1198-(J1198*L1198)-((J1198-(J1198*L1198))*M1198))</f>
        <v>0</v>
      </c>
      <c r="S1198" s="16">
        <f t="shared" ref="S1198" si="766">R1198/1.11</f>
        <v>0</v>
      </c>
    </row>
    <row r="1199" spans="1:19" s="64" customFormat="1" x14ac:dyDescent="0.2">
      <c r="A1199" s="63" t="s">
        <v>559</v>
      </c>
      <c r="B1199" s="64" t="s">
        <v>18</v>
      </c>
      <c r="C1199" s="65"/>
      <c r="D1199" s="66" t="s">
        <v>19</v>
      </c>
      <c r="E1199" s="67">
        <v>2</v>
      </c>
      <c r="F1199" s="68">
        <v>1</v>
      </c>
      <c r="G1199" s="69" t="s">
        <v>20</v>
      </c>
      <c r="H1199" s="68">
        <v>36</v>
      </c>
      <c r="I1199" s="69" t="s">
        <v>19</v>
      </c>
      <c r="J1199" s="16">
        <v>58000</v>
      </c>
      <c r="K1199" s="66" t="s">
        <v>19</v>
      </c>
      <c r="L1199" s="70">
        <v>0.125</v>
      </c>
      <c r="M1199" s="70">
        <v>0.05</v>
      </c>
      <c r="N1199" s="68">
        <v>72</v>
      </c>
      <c r="O1199" s="69" t="s">
        <v>19</v>
      </c>
      <c r="P1199" s="65">
        <f t="shared" si="753"/>
        <v>0</v>
      </c>
      <c r="Q1199" s="69" t="s">
        <v>19</v>
      </c>
      <c r="R1199" s="16">
        <f t="shared" si="754"/>
        <v>0</v>
      </c>
      <c r="S1199" s="16">
        <f t="shared" si="732"/>
        <v>0</v>
      </c>
    </row>
    <row r="1200" spans="1:19" s="64" customFormat="1" x14ac:dyDescent="0.2">
      <c r="A1200" s="63" t="s">
        <v>560</v>
      </c>
      <c r="B1200" s="64" t="s">
        <v>18</v>
      </c>
      <c r="C1200" s="65">
        <v>36</v>
      </c>
      <c r="D1200" s="66" t="s">
        <v>19</v>
      </c>
      <c r="E1200" s="67">
        <v>4</v>
      </c>
      <c r="F1200" s="68">
        <v>1</v>
      </c>
      <c r="G1200" s="69" t="s">
        <v>20</v>
      </c>
      <c r="H1200" s="68">
        <v>12</v>
      </c>
      <c r="I1200" s="69" t="s">
        <v>19</v>
      </c>
      <c r="J1200" s="16">
        <v>97000</v>
      </c>
      <c r="K1200" s="66" t="s">
        <v>19</v>
      </c>
      <c r="L1200" s="70">
        <v>0.125</v>
      </c>
      <c r="M1200" s="70">
        <v>0.05</v>
      </c>
      <c r="N1200" s="68">
        <v>84</v>
      </c>
      <c r="O1200" s="69" t="s">
        <v>19</v>
      </c>
      <c r="P1200" s="65">
        <f t="shared" si="753"/>
        <v>0</v>
      </c>
      <c r="Q1200" s="69" t="s">
        <v>19</v>
      </c>
      <c r="R1200" s="16">
        <f t="shared" si="754"/>
        <v>0</v>
      </c>
      <c r="S1200" s="16">
        <f t="shared" si="732"/>
        <v>0</v>
      </c>
    </row>
    <row r="1201" spans="1:19" s="73" customFormat="1" x14ac:dyDescent="0.2">
      <c r="A1201" s="72" t="s">
        <v>561</v>
      </c>
      <c r="B1201" s="73" t="s">
        <v>18</v>
      </c>
      <c r="C1201" s="71">
        <v>12</v>
      </c>
      <c r="D1201" s="74" t="s">
        <v>19</v>
      </c>
      <c r="E1201" s="75">
        <v>6</v>
      </c>
      <c r="F1201" s="76">
        <v>1</v>
      </c>
      <c r="G1201" s="77" t="s">
        <v>20</v>
      </c>
      <c r="H1201" s="76">
        <v>12</v>
      </c>
      <c r="I1201" s="77" t="s">
        <v>19</v>
      </c>
      <c r="J1201" s="78">
        <v>97000</v>
      </c>
      <c r="K1201" s="74" t="s">
        <v>19</v>
      </c>
      <c r="L1201" s="79">
        <v>0.125</v>
      </c>
      <c r="M1201" s="79">
        <v>0.05</v>
      </c>
      <c r="N1201" s="76">
        <v>84</v>
      </c>
      <c r="O1201" s="77" t="s">
        <v>19</v>
      </c>
      <c r="P1201" s="71">
        <f t="shared" si="753"/>
        <v>0</v>
      </c>
      <c r="Q1201" s="77" t="s">
        <v>19</v>
      </c>
      <c r="R1201" s="78">
        <f t="shared" si="754"/>
        <v>0</v>
      </c>
      <c r="S1201" s="78">
        <f t="shared" si="732"/>
        <v>0</v>
      </c>
    </row>
    <row r="1202" spans="1:19" s="64" customFormat="1" x14ac:dyDescent="0.2">
      <c r="A1202" s="63" t="s">
        <v>562</v>
      </c>
      <c r="B1202" s="64" t="s">
        <v>18</v>
      </c>
      <c r="C1202" s="65">
        <v>2</v>
      </c>
      <c r="D1202" s="66" t="s">
        <v>19</v>
      </c>
      <c r="E1202" s="67">
        <v>6</v>
      </c>
      <c r="F1202" s="68">
        <v>1</v>
      </c>
      <c r="G1202" s="69" t="s">
        <v>20</v>
      </c>
      <c r="H1202" s="68">
        <v>6</v>
      </c>
      <c r="I1202" s="69" t="s">
        <v>19</v>
      </c>
      <c r="J1202" s="16">
        <v>187000</v>
      </c>
      <c r="K1202" s="66" t="s">
        <v>19</v>
      </c>
      <c r="L1202" s="70">
        <v>0.125</v>
      </c>
      <c r="M1202" s="70">
        <v>0.05</v>
      </c>
      <c r="N1202" s="68">
        <v>38</v>
      </c>
      <c r="O1202" s="69" t="s">
        <v>19</v>
      </c>
      <c r="P1202" s="65">
        <f t="shared" si="753"/>
        <v>0</v>
      </c>
      <c r="Q1202" s="69" t="s">
        <v>19</v>
      </c>
      <c r="R1202" s="16">
        <f t="shared" si="754"/>
        <v>0</v>
      </c>
      <c r="S1202" s="16">
        <f t="shared" si="732"/>
        <v>0</v>
      </c>
    </row>
    <row r="1203" spans="1:19" s="64" customFormat="1" x14ac:dyDescent="0.2">
      <c r="A1203" s="63" t="s">
        <v>563</v>
      </c>
      <c r="B1203" s="64" t="s">
        <v>18</v>
      </c>
      <c r="C1203" s="65">
        <v>6</v>
      </c>
      <c r="D1203" s="66" t="s">
        <v>19</v>
      </c>
      <c r="E1203" s="67">
        <v>1</v>
      </c>
      <c r="F1203" s="68">
        <v>1</v>
      </c>
      <c r="G1203" s="69" t="s">
        <v>20</v>
      </c>
      <c r="H1203" s="68">
        <v>6</v>
      </c>
      <c r="I1203" s="69" t="s">
        <v>19</v>
      </c>
      <c r="J1203" s="16">
        <v>420000</v>
      </c>
      <c r="K1203" s="66" t="s">
        <v>19</v>
      </c>
      <c r="L1203" s="70">
        <v>0.125</v>
      </c>
      <c r="M1203" s="70">
        <v>0.05</v>
      </c>
      <c r="N1203" s="68">
        <v>12</v>
      </c>
      <c r="O1203" s="69" t="s">
        <v>19</v>
      </c>
      <c r="P1203" s="65">
        <f t="shared" si="753"/>
        <v>0</v>
      </c>
      <c r="Q1203" s="69" t="s">
        <v>19</v>
      </c>
      <c r="R1203" s="16">
        <f t="shared" si="754"/>
        <v>0</v>
      </c>
      <c r="S1203" s="16">
        <f t="shared" si="732"/>
        <v>0</v>
      </c>
    </row>
    <row r="1205" spans="1:19" s="19" customFormat="1" x14ac:dyDescent="0.2">
      <c r="A1205" s="121" t="s">
        <v>564</v>
      </c>
      <c r="B1205" s="19" t="s">
        <v>25</v>
      </c>
      <c r="C1205" s="20"/>
      <c r="D1205" s="21" t="s">
        <v>40</v>
      </c>
      <c r="E1205" s="26">
        <v>100</v>
      </c>
      <c r="F1205" s="22">
        <v>1</v>
      </c>
      <c r="G1205" s="23" t="s">
        <v>20</v>
      </c>
      <c r="H1205" s="22">
        <v>20</v>
      </c>
      <c r="I1205" s="23" t="s">
        <v>40</v>
      </c>
      <c r="J1205" s="24">
        <f>1860000/20</f>
        <v>93000</v>
      </c>
      <c r="K1205" s="21" t="s">
        <v>40</v>
      </c>
      <c r="L1205" s="120">
        <v>0.03</v>
      </c>
      <c r="M1205" s="25">
        <v>0.17</v>
      </c>
      <c r="N1205" s="22">
        <f>2000-1660</f>
        <v>340</v>
      </c>
      <c r="O1205" s="23" t="s">
        <v>40</v>
      </c>
      <c r="P1205" s="20">
        <f t="shared" ref="P1205" si="767">(C1205+(E1205*F1205*H1205))-N1205</f>
        <v>1660</v>
      </c>
      <c r="Q1205" s="23" t="s">
        <v>40</v>
      </c>
      <c r="R1205" s="24">
        <f t="shared" ref="R1205" si="768">P1205*(J1205-(J1205*L1205)-((J1205-(J1205*L1205))*M1205))</f>
        <v>124291338</v>
      </c>
      <c r="S1205" s="24">
        <f t="shared" ref="S1205" si="769">R1205/1.11</f>
        <v>111974178.37837836</v>
      </c>
    </row>
    <row r="1206" spans="1:19" s="73" customFormat="1" x14ac:dyDescent="0.2">
      <c r="A1206" s="187" t="s">
        <v>564</v>
      </c>
      <c r="B1206" s="73" t="s">
        <v>25</v>
      </c>
      <c r="C1206" s="71">
        <v>214</v>
      </c>
      <c r="D1206" s="74" t="s">
        <v>40</v>
      </c>
      <c r="E1206" s="75">
        <v>63</v>
      </c>
      <c r="F1206" s="76">
        <v>1</v>
      </c>
      <c r="G1206" s="77" t="s">
        <v>20</v>
      </c>
      <c r="H1206" s="76">
        <v>20</v>
      </c>
      <c r="I1206" s="77" t="s">
        <v>40</v>
      </c>
      <c r="J1206" s="78">
        <f>1860000/20</f>
        <v>93000</v>
      </c>
      <c r="K1206" s="74" t="s">
        <v>40</v>
      </c>
      <c r="L1206" s="188"/>
      <c r="M1206" s="79">
        <v>0.17</v>
      </c>
      <c r="N1206" s="76">
        <v>1474</v>
      </c>
      <c r="O1206" s="77" t="s">
        <v>40</v>
      </c>
      <c r="P1206" s="71">
        <f t="shared" ref="N1206:P1231" si="770">(C1206+(E1206*F1206*H1206))-N1206</f>
        <v>0</v>
      </c>
      <c r="Q1206" s="77" t="s">
        <v>40</v>
      </c>
      <c r="R1206" s="78">
        <f t="shared" ref="R1206:R1231" si="771">P1206*(J1206-(J1206*L1206)-((J1206-(J1206*L1206))*M1206))</f>
        <v>0</v>
      </c>
      <c r="S1206" s="78">
        <f t="shared" si="732"/>
        <v>0</v>
      </c>
    </row>
    <row r="1207" spans="1:19" s="73" customFormat="1" x14ac:dyDescent="0.2">
      <c r="A1207" s="184" t="s">
        <v>564</v>
      </c>
      <c r="B1207" s="73" t="s">
        <v>25</v>
      </c>
      <c r="C1207" s="71"/>
      <c r="D1207" s="74" t="s">
        <v>40</v>
      </c>
      <c r="E1207" s="75">
        <v>20</v>
      </c>
      <c r="F1207" s="76">
        <v>1</v>
      </c>
      <c r="G1207" s="77" t="s">
        <v>20</v>
      </c>
      <c r="H1207" s="76">
        <v>20</v>
      </c>
      <c r="I1207" s="77" t="s">
        <v>40</v>
      </c>
      <c r="J1207" s="78">
        <f>1860000/20</f>
        <v>93000</v>
      </c>
      <c r="K1207" s="74" t="s">
        <v>40</v>
      </c>
      <c r="L1207" s="79">
        <v>0.05</v>
      </c>
      <c r="M1207" s="79">
        <v>0.17</v>
      </c>
      <c r="N1207" s="76">
        <v>400</v>
      </c>
      <c r="O1207" s="77" t="s">
        <v>40</v>
      </c>
      <c r="P1207" s="71">
        <f t="shared" ref="P1207" si="772">(C1207+(E1207*F1207*H1207))-N1207</f>
        <v>0</v>
      </c>
      <c r="Q1207" s="77" t="s">
        <v>40</v>
      </c>
      <c r="R1207" s="78">
        <f t="shared" ref="R1207" si="773">P1207*(J1207-(J1207*L1207)-((J1207-(J1207*L1207))*M1207))</f>
        <v>0</v>
      </c>
      <c r="S1207" s="78">
        <f t="shared" ref="S1207" si="774">R1207/1.11</f>
        <v>0</v>
      </c>
    </row>
    <row r="1208" spans="1:19" s="73" customFormat="1" x14ac:dyDescent="0.2">
      <c r="A1208" s="72" t="s">
        <v>565</v>
      </c>
      <c r="B1208" s="73" t="s">
        <v>25</v>
      </c>
      <c r="C1208" s="71">
        <v>40</v>
      </c>
      <c r="D1208" s="74" t="s">
        <v>40</v>
      </c>
      <c r="E1208" s="75">
        <v>4</v>
      </c>
      <c r="F1208" s="76">
        <v>1</v>
      </c>
      <c r="G1208" s="77" t="s">
        <v>20</v>
      </c>
      <c r="H1208" s="76">
        <v>20</v>
      </c>
      <c r="I1208" s="77" t="s">
        <v>40</v>
      </c>
      <c r="J1208" s="78">
        <f>1740000/20</f>
        <v>87000</v>
      </c>
      <c r="K1208" s="74" t="s">
        <v>40</v>
      </c>
      <c r="L1208" s="79"/>
      <c r="M1208" s="79">
        <v>0.17</v>
      </c>
      <c r="N1208" s="76">
        <v>120</v>
      </c>
      <c r="O1208" s="77" t="s">
        <v>40</v>
      </c>
      <c r="P1208" s="71">
        <f t="shared" si="770"/>
        <v>0</v>
      </c>
      <c r="Q1208" s="77" t="s">
        <v>40</v>
      </c>
      <c r="R1208" s="78">
        <f t="shared" si="771"/>
        <v>0</v>
      </c>
      <c r="S1208" s="78">
        <f t="shared" si="732"/>
        <v>0</v>
      </c>
    </row>
    <row r="1209" spans="1:19" s="73" customFormat="1" x14ac:dyDescent="0.2">
      <c r="A1209" s="184" t="s">
        <v>565</v>
      </c>
      <c r="B1209" s="73" t="s">
        <v>25</v>
      </c>
      <c r="C1209" s="71"/>
      <c r="D1209" s="74" t="s">
        <v>40</v>
      </c>
      <c r="E1209" s="75">
        <v>8</v>
      </c>
      <c r="F1209" s="76">
        <v>1</v>
      </c>
      <c r="G1209" s="77" t="s">
        <v>20</v>
      </c>
      <c r="H1209" s="76">
        <v>20</v>
      </c>
      <c r="I1209" s="77" t="s">
        <v>40</v>
      </c>
      <c r="J1209" s="78">
        <v>93000</v>
      </c>
      <c r="K1209" s="74" t="s">
        <v>40</v>
      </c>
      <c r="L1209" s="79">
        <v>0.05</v>
      </c>
      <c r="M1209" s="79">
        <v>0.17</v>
      </c>
      <c r="N1209" s="76">
        <v>160</v>
      </c>
      <c r="O1209" s="77" t="s">
        <v>40</v>
      </c>
      <c r="P1209" s="71">
        <f t="shared" ref="P1209" si="775">(C1209+(E1209*F1209*H1209))-N1209</f>
        <v>0</v>
      </c>
      <c r="Q1209" s="77" t="s">
        <v>40</v>
      </c>
      <c r="R1209" s="78">
        <f t="shared" ref="R1209" si="776">P1209*(J1209-(J1209*L1209)-((J1209-(J1209*L1209))*M1209))</f>
        <v>0</v>
      </c>
      <c r="S1209" s="78">
        <f t="shared" ref="S1209" si="777">R1209/1.11</f>
        <v>0</v>
      </c>
    </row>
    <row r="1210" spans="1:19" s="73" customFormat="1" x14ac:dyDescent="0.2">
      <c r="A1210" s="72" t="s">
        <v>566</v>
      </c>
      <c r="B1210" s="73" t="s">
        <v>25</v>
      </c>
      <c r="C1210" s="71">
        <v>100</v>
      </c>
      <c r="D1210" s="74" t="s">
        <v>40</v>
      </c>
      <c r="E1210" s="75"/>
      <c r="F1210" s="76">
        <v>1</v>
      </c>
      <c r="G1210" s="77" t="s">
        <v>20</v>
      </c>
      <c r="H1210" s="76">
        <v>20</v>
      </c>
      <c r="I1210" s="77" t="s">
        <v>40</v>
      </c>
      <c r="J1210" s="78">
        <f>1740000/20</f>
        <v>87000</v>
      </c>
      <c r="K1210" s="74" t="s">
        <v>40</v>
      </c>
      <c r="L1210" s="79"/>
      <c r="M1210" s="79">
        <v>0.17</v>
      </c>
      <c r="N1210" s="76">
        <v>100</v>
      </c>
      <c r="O1210" s="77" t="s">
        <v>40</v>
      </c>
      <c r="P1210" s="71">
        <f t="shared" si="770"/>
        <v>0</v>
      </c>
      <c r="Q1210" s="77" t="s">
        <v>40</v>
      </c>
      <c r="R1210" s="78">
        <f t="shared" si="771"/>
        <v>0</v>
      </c>
      <c r="S1210" s="78">
        <f t="shared" si="732"/>
        <v>0</v>
      </c>
    </row>
    <row r="1211" spans="1:19" s="73" customFormat="1" x14ac:dyDescent="0.2">
      <c r="A1211" s="184" t="s">
        <v>566</v>
      </c>
      <c r="B1211" s="73" t="s">
        <v>25</v>
      </c>
      <c r="C1211" s="71"/>
      <c r="D1211" s="74" t="s">
        <v>40</v>
      </c>
      <c r="E1211" s="75">
        <v>22</v>
      </c>
      <c r="F1211" s="76">
        <v>1</v>
      </c>
      <c r="G1211" s="77" t="s">
        <v>20</v>
      </c>
      <c r="H1211" s="76">
        <v>20</v>
      </c>
      <c r="I1211" s="77" t="s">
        <v>40</v>
      </c>
      <c r="J1211" s="78">
        <v>93000</v>
      </c>
      <c r="K1211" s="74" t="s">
        <v>40</v>
      </c>
      <c r="L1211" s="79">
        <v>0.05</v>
      </c>
      <c r="M1211" s="79">
        <v>0.17</v>
      </c>
      <c r="N1211" s="76">
        <v>440</v>
      </c>
      <c r="O1211" s="77" t="s">
        <v>40</v>
      </c>
      <c r="P1211" s="71">
        <f t="shared" ref="P1211" si="778">(C1211+(E1211*F1211*H1211))-N1211</f>
        <v>0</v>
      </c>
      <c r="Q1211" s="77" t="s">
        <v>40</v>
      </c>
      <c r="R1211" s="78">
        <f t="shared" ref="R1211" si="779">P1211*(J1211-(J1211*L1211)-((J1211-(J1211*L1211))*M1211))</f>
        <v>0</v>
      </c>
      <c r="S1211" s="78">
        <f t="shared" ref="S1211" si="780">R1211/1.11</f>
        <v>0</v>
      </c>
    </row>
    <row r="1212" spans="1:19" s="73" customFormat="1" x14ac:dyDescent="0.2">
      <c r="A1212" s="72" t="s">
        <v>567</v>
      </c>
      <c r="B1212" s="73" t="s">
        <v>25</v>
      </c>
      <c r="C1212" s="71">
        <v>5</v>
      </c>
      <c r="D1212" s="74" t="s">
        <v>40</v>
      </c>
      <c r="E1212" s="75">
        <v>21</v>
      </c>
      <c r="F1212" s="76">
        <v>1</v>
      </c>
      <c r="G1212" s="77" t="s">
        <v>20</v>
      </c>
      <c r="H1212" s="76">
        <v>20</v>
      </c>
      <c r="I1212" s="77" t="s">
        <v>40</v>
      </c>
      <c r="J1212" s="78">
        <f>2352000/20</f>
        <v>117600</v>
      </c>
      <c r="K1212" s="74" t="s">
        <v>40</v>
      </c>
      <c r="L1212" s="79"/>
      <c r="M1212" s="79">
        <v>0.17</v>
      </c>
      <c r="N1212" s="76">
        <v>425</v>
      </c>
      <c r="O1212" s="81" t="s">
        <v>40</v>
      </c>
      <c r="P1212" s="71">
        <f t="shared" si="770"/>
        <v>0</v>
      </c>
      <c r="Q1212" s="77" t="s">
        <v>40</v>
      </c>
      <c r="R1212" s="78">
        <f t="shared" si="771"/>
        <v>0</v>
      </c>
      <c r="S1212" s="78">
        <f t="shared" si="732"/>
        <v>0</v>
      </c>
    </row>
    <row r="1213" spans="1:19" s="73" customFormat="1" x14ac:dyDescent="0.2">
      <c r="A1213" s="72" t="s">
        <v>651</v>
      </c>
      <c r="B1213" s="73" t="s">
        <v>25</v>
      </c>
      <c r="C1213" s="71">
        <v>40</v>
      </c>
      <c r="D1213" s="74" t="s">
        <v>40</v>
      </c>
      <c r="E1213" s="75">
        <v>14</v>
      </c>
      <c r="F1213" s="76">
        <v>1</v>
      </c>
      <c r="G1213" s="77" t="s">
        <v>20</v>
      </c>
      <c r="H1213" s="76">
        <v>20</v>
      </c>
      <c r="I1213" s="77" t="s">
        <v>40</v>
      </c>
      <c r="J1213" s="78">
        <f>2352000/20</f>
        <v>117600</v>
      </c>
      <c r="K1213" s="74" t="s">
        <v>40</v>
      </c>
      <c r="L1213" s="79"/>
      <c r="M1213" s="79">
        <v>0.17</v>
      </c>
      <c r="N1213" s="76">
        <v>320</v>
      </c>
      <c r="O1213" s="205" t="s">
        <v>40</v>
      </c>
      <c r="P1213" s="71">
        <f t="shared" si="770"/>
        <v>0</v>
      </c>
      <c r="Q1213" s="77" t="s">
        <v>40</v>
      </c>
      <c r="R1213" s="78">
        <f t="shared" si="771"/>
        <v>0</v>
      </c>
      <c r="S1213" s="78">
        <f t="shared" si="732"/>
        <v>0</v>
      </c>
    </row>
    <row r="1214" spans="1:19" s="73" customFormat="1" x14ac:dyDescent="0.2">
      <c r="A1214" s="72" t="s">
        <v>568</v>
      </c>
      <c r="B1214" s="73" t="s">
        <v>25</v>
      </c>
      <c r="C1214" s="71">
        <v>100</v>
      </c>
      <c r="D1214" s="74" t="s">
        <v>40</v>
      </c>
      <c r="E1214" s="75">
        <v>2</v>
      </c>
      <c r="F1214" s="76">
        <v>1</v>
      </c>
      <c r="G1214" s="77" t="s">
        <v>20</v>
      </c>
      <c r="H1214" s="76">
        <v>20</v>
      </c>
      <c r="I1214" s="77" t="s">
        <v>40</v>
      </c>
      <c r="J1214" s="78">
        <f>2352000/20</f>
        <v>117600</v>
      </c>
      <c r="K1214" s="74" t="s">
        <v>40</v>
      </c>
      <c r="L1214" s="79"/>
      <c r="M1214" s="79">
        <v>0.17</v>
      </c>
      <c r="N1214" s="76">
        <v>140</v>
      </c>
      <c r="O1214" s="77" t="s">
        <v>40</v>
      </c>
      <c r="P1214" s="71">
        <f t="shared" si="770"/>
        <v>0</v>
      </c>
      <c r="Q1214" s="77" t="s">
        <v>40</v>
      </c>
      <c r="R1214" s="78">
        <f t="shared" si="771"/>
        <v>0</v>
      </c>
      <c r="S1214" s="78">
        <f t="shared" si="732"/>
        <v>0</v>
      </c>
    </row>
    <row r="1215" spans="1:19" s="73" customFormat="1" x14ac:dyDescent="0.2">
      <c r="A1215" s="72" t="s">
        <v>778</v>
      </c>
      <c r="B1215" s="73" t="s">
        <v>25</v>
      </c>
      <c r="C1215" s="71"/>
      <c r="D1215" s="74" t="s">
        <v>40</v>
      </c>
      <c r="E1215" s="75"/>
      <c r="F1215" s="76">
        <v>1</v>
      </c>
      <c r="G1215" s="77" t="s">
        <v>20</v>
      </c>
      <c r="H1215" s="76">
        <v>10</v>
      </c>
      <c r="I1215" s="77" t="s">
        <v>40</v>
      </c>
      <c r="J1215" s="78">
        <f>2400000/10</f>
        <v>240000</v>
      </c>
      <c r="K1215" s="74" t="s">
        <v>40</v>
      </c>
      <c r="L1215" s="79"/>
      <c r="M1215" s="79">
        <v>0.17</v>
      </c>
      <c r="N1215" s="76">
        <v>0</v>
      </c>
      <c r="O1215" s="81" t="s">
        <v>40</v>
      </c>
      <c r="P1215" s="71">
        <f t="shared" si="770"/>
        <v>0</v>
      </c>
      <c r="Q1215" s="77" t="s">
        <v>40</v>
      </c>
      <c r="R1215" s="78">
        <f t="shared" si="771"/>
        <v>0</v>
      </c>
      <c r="S1215" s="78">
        <f t="shared" si="732"/>
        <v>0</v>
      </c>
    </row>
    <row r="1216" spans="1:19" s="64" customFormat="1" x14ac:dyDescent="0.2">
      <c r="A1216" s="63" t="s">
        <v>569</v>
      </c>
      <c r="B1216" s="64" t="s">
        <v>25</v>
      </c>
      <c r="C1216" s="65">
        <v>25</v>
      </c>
      <c r="D1216" s="66" t="s">
        <v>40</v>
      </c>
      <c r="E1216" s="67"/>
      <c r="F1216" s="68">
        <v>1</v>
      </c>
      <c r="G1216" s="69" t="s">
        <v>20</v>
      </c>
      <c r="H1216" s="68">
        <v>40</v>
      </c>
      <c r="I1216" s="69" t="s">
        <v>40</v>
      </c>
      <c r="J1216" s="16">
        <f>2688000/40</f>
        <v>67200</v>
      </c>
      <c r="K1216" s="66" t="s">
        <v>40</v>
      </c>
      <c r="L1216" s="70"/>
      <c r="M1216" s="70">
        <v>0.17</v>
      </c>
      <c r="N1216" s="68">
        <v>25</v>
      </c>
      <c r="O1216" s="69" t="s">
        <v>40</v>
      </c>
      <c r="P1216" s="65">
        <f t="shared" si="770"/>
        <v>0</v>
      </c>
      <c r="Q1216" s="69" t="s">
        <v>40</v>
      </c>
      <c r="R1216" s="16">
        <f t="shared" si="771"/>
        <v>0</v>
      </c>
      <c r="S1216" s="16">
        <f t="shared" si="732"/>
        <v>0</v>
      </c>
    </row>
    <row r="1217" spans="1:19" s="64" customFormat="1" x14ac:dyDescent="0.2">
      <c r="A1217" s="63" t="s">
        <v>570</v>
      </c>
      <c r="B1217" s="64" t="s">
        <v>25</v>
      </c>
      <c r="C1217" s="65"/>
      <c r="D1217" s="66" t="s">
        <v>40</v>
      </c>
      <c r="E1217" s="67"/>
      <c r="F1217" s="68">
        <v>1</v>
      </c>
      <c r="G1217" s="69" t="s">
        <v>20</v>
      </c>
      <c r="H1217" s="68">
        <v>20</v>
      </c>
      <c r="I1217" s="69" t="s">
        <v>40</v>
      </c>
      <c r="J1217" s="16">
        <v>120000</v>
      </c>
      <c r="K1217" s="66" t="s">
        <v>40</v>
      </c>
      <c r="L1217" s="70"/>
      <c r="M1217" s="70">
        <v>0.17</v>
      </c>
      <c r="N1217" s="68">
        <v>0</v>
      </c>
      <c r="O1217" s="69" t="s">
        <v>40</v>
      </c>
      <c r="P1217" s="65">
        <f t="shared" si="770"/>
        <v>0</v>
      </c>
      <c r="Q1217" s="69" t="s">
        <v>40</v>
      </c>
      <c r="R1217" s="16">
        <f t="shared" si="771"/>
        <v>0</v>
      </c>
      <c r="S1217" s="16">
        <f t="shared" si="732"/>
        <v>0</v>
      </c>
    </row>
    <row r="1218" spans="1:19" s="73" customFormat="1" x14ac:dyDescent="0.2">
      <c r="A1218" s="184" t="s">
        <v>571</v>
      </c>
      <c r="B1218" s="73" t="s">
        <v>25</v>
      </c>
      <c r="C1218" s="71"/>
      <c r="D1218" s="74" t="s">
        <v>40</v>
      </c>
      <c r="E1218" s="75">
        <v>8</v>
      </c>
      <c r="F1218" s="76">
        <v>1</v>
      </c>
      <c r="G1218" s="77" t="s">
        <v>20</v>
      </c>
      <c r="H1218" s="76">
        <v>25</v>
      </c>
      <c r="I1218" s="77" t="s">
        <v>40</v>
      </c>
      <c r="J1218" s="78">
        <v>74400</v>
      </c>
      <c r="K1218" s="74" t="s">
        <v>40</v>
      </c>
      <c r="L1218" s="79"/>
      <c r="M1218" s="79">
        <v>0.17</v>
      </c>
      <c r="N1218" s="76">
        <v>200</v>
      </c>
      <c r="O1218" s="77" t="s">
        <v>40</v>
      </c>
      <c r="P1218" s="71">
        <f t="shared" ref="P1218" si="781">(C1218+(E1218*F1218*H1218))-N1218</f>
        <v>0</v>
      </c>
      <c r="Q1218" s="77" t="s">
        <v>40</v>
      </c>
      <c r="R1218" s="78">
        <f t="shared" ref="R1218" si="782">P1218*(J1218-(J1218*L1218)-((J1218-(J1218*L1218))*M1218))</f>
        <v>0</v>
      </c>
      <c r="S1218" s="78">
        <f t="shared" ref="S1218" si="783">R1218/1.11</f>
        <v>0</v>
      </c>
    </row>
    <row r="1219" spans="1:19" s="73" customFormat="1" x14ac:dyDescent="0.2">
      <c r="A1219" s="72" t="s">
        <v>571</v>
      </c>
      <c r="B1219" s="73" t="s">
        <v>25</v>
      </c>
      <c r="C1219" s="71">
        <v>23</v>
      </c>
      <c r="D1219" s="74" t="s">
        <v>40</v>
      </c>
      <c r="E1219" s="75">
        <v>5</v>
      </c>
      <c r="F1219" s="76">
        <v>1</v>
      </c>
      <c r="G1219" s="77" t="s">
        <v>20</v>
      </c>
      <c r="H1219" s="76">
        <v>25</v>
      </c>
      <c r="I1219" s="77" t="s">
        <v>40</v>
      </c>
      <c r="J1219" s="78">
        <f>1740000/25</f>
        <v>69600</v>
      </c>
      <c r="K1219" s="74" t="s">
        <v>40</v>
      </c>
      <c r="L1219" s="79"/>
      <c r="M1219" s="79">
        <v>0.17</v>
      </c>
      <c r="N1219" s="76">
        <v>148</v>
      </c>
      <c r="O1219" s="77" t="s">
        <v>40</v>
      </c>
      <c r="P1219" s="71">
        <f t="shared" si="770"/>
        <v>0</v>
      </c>
      <c r="Q1219" s="77" t="s">
        <v>40</v>
      </c>
      <c r="R1219" s="78">
        <f t="shared" si="771"/>
        <v>0</v>
      </c>
      <c r="S1219" s="78">
        <f t="shared" si="732"/>
        <v>0</v>
      </c>
    </row>
    <row r="1220" spans="1:19" s="73" customFormat="1" x14ac:dyDescent="0.2">
      <c r="A1220" s="72" t="s">
        <v>572</v>
      </c>
      <c r="B1220" s="73" t="s">
        <v>25</v>
      </c>
      <c r="C1220" s="71"/>
      <c r="D1220" s="74" t="s">
        <v>40</v>
      </c>
      <c r="E1220" s="75"/>
      <c r="F1220" s="76">
        <v>1</v>
      </c>
      <c r="G1220" s="77" t="s">
        <v>20</v>
      </c>
      <c r="H1220" s="76">
        <v>10</v>
      </c>
      <c r="I1220" s="77" t="s">
        <v>40</v>
      </c>
      <c r="J1220" s="78">
        <f>2280000/10</f>
        <v>228000</v>
      </c>
      <c r="K1220" s="74" t="s">
        <v>40</v>
      </c>
      <c r="L1220" s="79"/>
      <c r="M1220" s="79">
        <v>0.17</v>
      </c>
      <c r="N1220" s="76">
        <v>0</v>
      </c>
      <c r="O1220" s="77" t="s">
        <v>40</v>
      </c>
      <c r="P1220" s="71">
        <f t="shared" si="770"/>
        <v>0</v>
      </c>
      <c r="Q1220" s="77" t="s">
        <v>40</v>
      </c>
      <c r="R1220" s="78">
        <f t="shared" si="771"/>
        <v>0</v>
      </c>
      <c r="S1220" s="16">
        <f t="shared" si="732"/>
        <v>0</v>
      </c>
    </row>
    <row r="1221" spans="1:19" s="73" customFormat="1" x14ac:dyDescent="0.2">
      <c r="A1221" s="72" t="s">
        <v>573</v>
      </c>
      <c r="B1221" s="73" t="s">
        <v>25</v>
      </c>
      <c r="C1221" s="71">
        <v>57</v>
      </c>
      <c r="D1221" s="74" t="s">
        <v>40</v>
      </c>
      <c r="E1221" s="75">
        <v>40</v>
      </c>
      <c r="F1221" s="76">
        <v>1</v>
      </c>
      <c r="G1221" s="77" t="s">
        <v>20</v>
      </c>
      <c r="H1221" s="76">
        <v>10</v>
      </c>
      <c r="I1221" s="77" t="s">
        <v>40</v>
      </c>
      <c r="J1221" s="78">
        <f>2280000/10</f>
        <v>228000</v>
      </c>
      <c r="K1221" s="74" t="s">
        <v>40</v>
      </c>
      <c r="L1221" s="79"/>
      <c r="M1221" s="79">
        <v>0.17</v>
      </c>
      <c r="N1221" s="76">
        <v>457</v>
      </c>
      <c r="O1221" s="216" t="s">
        <v>40</v>
      </c>
      <c r="P1221" s="71">
        <f t="shared" si="770"/>
        <v>0</v>
      </c>
      <c r="Q1221" s="77" t="s">
        <v>40</v>
      </c>
      <c r="R1221" s="78">
        <f t="shared" si="771"/>
        <v>0</v>
      </c>
      <c r="S1221" s="78">
        <f t="shared" si="732"/>
        <v>0</v>
      </c>
    </row>
    <row r="1222" spans="1:19" s="19" customFormat="1" x14ac:dyDescent="0.2">
      <c r="A1222" s="134" t="s">
        <v>573</v>
      </c>
      <c r="B1222" s="19" t="s">
        <v>25</v>
      </c>
      <c r="C1222" s="20"/>
      <c r="D1222" s="21" t="s">
        <v>40</v>
      </c>
      <c r="E1222" s="26">
        <v>25</v>
      </c>
      <c r="F1222" s="22">
        <v>1</v>
      </c>
      <c r="G1222" s="23" t="s">
        <v>20</v>
      </c>
      <c r="H1222" s="22">
        <v>10</v>
      </c>
      <c r="I1222" s="23" t="s">
        <v>40</v>
      </c>
      <c r="J1222" s="24">
        <f>2280000/10</f>
        <v>228000</v>
      </c>
      <c r="K1222" s="21" t="s">
        <v>40</v>
      </c>
      <c r="L1222" s="25">
        <v>0.05</v>
      </c>
      <c r="M1222" s="25">
        <v>0.17</v>
      </c>
      <c r="N1222" s="22">
        <v>50</v>
      </c>
      <c r="O1222" s="61" t="s">
        <v>40</v>
      </c>
      <c r="P1222" s="20">
        <f t="shared" ref="P1222" si="784">(C1222+(E1222*F1222*H1222))-N1222</f>
        <v>200</v>
      </c>
      <c r="Q1222" s="23" t="s">
        <v>40</v>
      </c>
      <c r="R1222" s="24">
        <f t="shared" ref="R1222" si="785">P1222*(J1222-(J1222*L1222)-((J1222-(J1222*L1222))*M1222))</f>
        <v>35955600</v>
      </c>
      <c r="S1222" s="24">
        <f t="shared" ref="S1222" si="786">R1222/1.11</f>
        <v>32392432.432432428</v>
      </c>
    </row>
    <row r="1223" spans="1:19" s="73" customFormat="1" x14ac:dyDescent="0.2">
      <c r="A1223" s="184" t="s">
        <v>574</v>
      </c>
      <c r="B1223" s="73" t="s">
        <v>25</v>
      </c>
      <c r="C1223" s="71">
        <v>50</v>
      </c>
      <c r="D1223" s="74" t="s">
        <v>40</v>
      </c>
      <c r="E1223" s="75">
        <v>2</v>
      </c>
      <c r="F1223" s="76">
        <v>1</v>
      </c>
      <c r="G1223" s="77" t="s">
        <v>20</v>
      </c>
      <c r="H1223" s="76">
        <v>10</v>
      </c>
      <c r="I1223" s="77" t="s">
        <v>40</v>
      </c>
      <c r="J1223" s="78">
        <v>228000</v>
      </c>
      <c r="K1223" s="74" t="s">
        <v>40</v>
      </c>
      <c r="L1223" s="79"/>
      <c r="M1223" s="79">
        <v>0.17</v>
      </c>
      <c r="N1223" s="76">
        <v>70</v>
      </c>
      <c r="O1223" s="77" t="s">
        <v>40</v>
      </c>
      <c r="P1223" s="71">
        <f t="shared" ref="N1223:P1223" si="787">(C1223+(E1223*F1223*H1223))-N1223</f>
        <v>0</v>
      </c>
      <c r="Q1223" s="77" t="s">
        <v>40</v>
      </c>
      <c r="R1223" s="78">
        <f t="shared" ref="R1223" si="788">P1223*(J1223-(J1223*L1223)-((J1223-(J1223*L1223))*M1223))</f>
        <v>0</v>
      </c>
      <c r="S1223" s="78">
        <f t="shared" ref="S1223" si="789">R1223/1.11</f>
        <v>0</v>
      </c>
    </row>
    <row r="1224" spans="1:19" s="73" customFormat="1" x14ac:dyDescent="0.2">
      <c r="A1224" s="72" t="s">
        <v>574</v>
      </c>
      <c r="B1224" s="73" t="s">
        <v>25</v>
      </c>
      <c r="C1224" s="71">
        <v>50</v>
      </c>
      <c r="D1224" s="74" t="s">
        <v>40</v>
      </c>
      <c r="E1224" s="75"/>
      <c r="F1224" s="76">
        <v>1</v>
      </c>
      <c r="G1224" s="77" t="s">
        <v>20</v>
      </c>
      <c r="H1224" s="76">
        <v>10</v>
      </c>
      <c r="I1224" s="77" t="s">
        <v>40</v>
      </c>
      <c r="J1224" s="78">
        <f>2040000/10</f>
        <v>204000</v>
      </c>
      <c r="K1224" s="74" t="s">
        <v>40</v>
      </c>
      <c r="L1224" s="79"/>
      <c r="M1224" s="79">
        <v>0.17</v>
      </c>
      <c r="N1224" s="76">
        <v>50</v>
      </c>
      <c r="O1224" s="77" t="s">
        <v>40</v>
      </c>
      <c r="P1224" s="71">
        <f t="shared" si="770"/>
        <v>0</v>
      </c>
      <c r="Q1224" s="77" t="s">
        <v>40</v>
      </c>
      <c r="R1224" s="78">
        <f t="shared" si="771"/>
        <v>0</v>
      </c>
      <c r="S1224" s="78">
        <f t="shared" si="732"/>
        <v>0</v>
      </c>
    </row>
    <row r="1225" spans="1:19" s="73" customFormat="1" x14ac:dyDescent="0.2">
      <c r="A1225" s="187" t="s">
        <v>575</v>
      </c>
      <c r="B1225" s="73" t="s">
        <v>25</v>
      </c>
      <c r="C1225" s="71"/>
      <c r="D1225" s="74" t="s">
        <v>40</v>
      </c>
      <c r="E1225" s="75">
        <v>5</v>
      </c>
      <c r="F1225" s="76">
        <v>1</v>
      </c>
      <c r="G1225" s="77" t="s">
        <v>20</v>
      </c>
      <c r="H1225" s="76">
        <v>10</v>
      </c>
      <c r="I1225" s="77" t="s">
        <v>40</v>
      </c>
      <c r="J1225" s="190">
        <v>228000</v>
      </c>
      <c r="K1225" s="74" t="s">
        <v>40</v>
      </c>
      <c r="L1225" s="79"/>
      <c r="M1225" s="79">
        <v>0.17</v>
      </c>
      <c r="N1225" s="76">
        <v>50</v>
      </c>
      <c r="O1225" s="77" t="s">
        <v>40</v>
      </c>
      <c r="P1225" s="71">
        <f t="shared" ref="N1225:P1225" si="790">(C1225+(E1225*F1225*H1225))-N1225</f>
        <v>0</v>
      </c>
      <c r="Q1225" s="77" t="s">
        <v>40</v>
      </c>
      <c r="R1225" s="78">
        <f t="shared" ref="R1225" si="791">P1225*(J1225-(J1225*L1225)-((J1225-(J1225*L1225))*M1225))</f>
        <v>0</v>
      </c>
      <c r="S1225" s="78">
        <f t="shared" ref="S1225" si="792">R1225/1.11</f>
        <v>0</v>
      </c>
    </row>
    <row r="1226" spans="1:19" s="73" customFormat="1" x14ac:dyDescent="0.2">
      <c r="A1226" s="187" t="s">
        <v>575</v>
      </c>
      <c r="B1226" s="73" t="s">
        <v>25</v>
      </c>
      <c r="C1226" s="71">
        <v>40</v>
      </c>
      <c r="D1226" s="74" t="s">
        <v>40</v>
      </c>
      <c r="E1226" s="75"/>
      <c r="F1226" s="76">
        <v>1</v>
      </c>
      <c r="G1226" s="77" t="s">
        <v>20</v>
      </c>
      <c r="H1226" s="76">
        <v>10</v>
      </c>
      <c r="I1226" s="77" t="s">
        <v>40</v>
      </c>
      <c r="J1226" s="190">
        <f>2040000/10</f>
        <v>204000</v>
      </c>
      <c r="K1226" s="74" t="s">
        <v>40</v>
      </c>
      <c r="L1226" s="79"/>
      <c r="M1226" s="79">
        <v>0.17</v>
      </c>
      <c r="N1226" s="76">
        <v>40</v>
      </c>
      <c r="O1226" s="77" t="s">
        <v>40</v>
      </c>
      <c r="P1226" s="71">
        <f t="shared" si="770"/>
        <v>0</v>
      </c>
      <c r="Q1226" s="77" t="s">
        <v>40</v>
      </c>
      <c r="R1226" s="78">
        <f t="shared" si="771"/>
        <v>0</v>
      </c>
      <c r="S1226" s="78">
        <f t="shared" si="732"/>
        <v>0</v>
      </c>
    </row>
    <row r="1227" spans="1:19" s="64" customFormat="1" x14ac:dyDescent="0.2">
      <c r="A1227" s="63" t="s">
        <v>576</v>
      </c>
      <c r="B1227" s="64" t="s">
        <v>25</v>
      </c>
      <c r="C1227" s="65"/>
      <c r="D1227" s="66" t="s">
        <v>19</v>
      </c>
      <c r="E1227" s="67"/>
      <c r="F1227" s="68">
        <v>20</v>
      </c>
      <c r="G1227" s="69" t="s">
        <v>33</v>
      </c>
      <c r="H1227" s="68">
        <v>6</v>
      </c>
      <c r="I1227" s="69" t="s">
        <v>19</v>
      </c>
      <c r="J1227" s="16">
        <v>14500</v>
      </c>
      <c r="K1227" s="66" t="s">
        <v>19</v>
      </c>
      <c r="L1227" s="70"/>
      <c r="M1227" s="70">
        <v>0.17</v>
      </c>
      <c r="N1227" s="68">
        <v>0</v>
      </c>
      <c r="O1227" s="69" t="s">
        <v>19</v>
      </c>
      <c r="P1227" s="65">
        <f t="shared" si="770"/>
        <v>0</v>
      </c>
      <c r="Q1227" s="69" t="s">
        <v>19</v>
      </c>
      <c r="R1227" s="16">
        <f t="shared" si="771"/>
        <v>0</v>
      </c>
      <c r="S1227" s="16">
        <f t="shared" si="732"/>
        <v>0</v>
      </c>
    </row>
    <row r="1228" spans="1:19" s="73" customFormat="1" x14ac:dyDescent="0.2">
      <c r="A1228" s="72" t="s">
        <v>577</v>
      </c>
      <c r="B1228" s="73" t="s">
        <v>25</v>
      </c>
      <c r="C1228" s="71">
        <f>23+3</f>
        <v>26</v>
      </c>
      <c r="D1228" s="74" t="s">
        <v>19</v>
      </c>
      <c r="E1228" s="75">
        <v>4</v>
      </c>
      <c r="F1228" s="76">
        <v>1</v>
      </c>
      <c r="G1228" s="77" t="s">
        <v>20</v>
      </c>
      <c r="H1228" s="76">
        <v>6</v>
      </c>
      <c r="I1228" s="77" t="s">
        <v>19</v>
      </c>
      <c r="J1228" s="78">
        <f>2160000/6</f>
        <v>360000</v>
      </c>
      <c r="K1228" s="74" t="s">
        <v>19</v>
      </c>
      <c r="L1228" s="79"/>
      <c r="M1228" s="79">
        <v>0.17</v>
      </c>
      <c r="N1228" s="76">
        <v>50</v>
      </c>
      <c r="O1228" s="77" t="s">
        <v>19</v>
      </c>
      <c r="P1228" s="71">
        <f t="shared" si="770"/>
        <v>0</v>
      </c>
      <c r="Q1228" s="77" t="s">
        <v>19</v>
      </c>
      <c r="R1228" s="78">
        <f t="shared" si="771"/>
        <v>0</v>
      </c>
      <c r="S1228" s="78">
        <f t="shared" si="732"/>
        <v>0</v>
      </c>
    </row>
    <row r="1229" spans="1:19" s="73" customFormat="1" x14ac:dyDescent="0.2">
      <c r="A1229" s="72" t="s">
        <v>578</v>
      </c>
      <c r="B1229" s="73" t="s">
        <v>25</v>
      </c>
      <c r="C1229" s="71">
        <v>6</v>
      </c>
      <c r="D1229" s="74" t="s">
        <v>19</v>
      </c>
      <c r="E1229" s="75">
        <v>11</v>
      </c>
      <c r="F1229" s="76">
        <v>1</v>
      </c>
      <c r="G1229" s="77" t="s">
        <v>20</v>
      </c>
      <c r="H1229" s="76">
        <v>6</v>
      </c>
      <c r="I1229" s="77" t="s">
        <v>19</v>
      </c>
      <c r="J1229" s="78">
        <f>930000/6</f>
        <v>155000</v>
      </c>
      <c r="K1229" s="74" t="s">
        <v>19</v>
      </c>
      <c r="L1229" s="79"/>
      <c r="M1229" s="79">
        <v>0.17</v>
      </c>
      <c r="N1229" s="76">
        <v>72</v>
      </c>
      <c r="O1229" s="77" t="s">
        <v>19</v>
      </c>
      <c r="P1229" s="71">
        <f t="shared" si="770"/>
        <v>0</v>
      </c>
      <c r="Q1229" s="77" t="s">
        <v>19</v>
      </c>
      <c r="R1229" s="78">
        <f t="shared" si="771"/>
        <v>0</v>
      </c>
      <c r="S1229" s="78">
        <f t="shared" si="732"/>
        <v>0</v>
      </c>
    </row>
    <row r="1230" spans="1:19" s="73" customFormat="1" x14ac:dyDescent="0.2">
      <c r="A1230" s="72" t="s">
        <v>579</v>
      </c>
      <c r="B1230" s="73" t="s">
        <v>25</v>
      </c>
      <c r="C1230" s="71">
        <v>30</v>
      </c>
      <c r="D1230" s="74" t="s">
        <v>19</v>
      </c>
      <c r="E1230" s="75">
        <v>25</v>
      </c>
      <c r="F1230" s="76">
        <v>1</v>
      </c>
      <c r="G1230" s="77" t="s">
        <v>20</v>
      </c>
      <c r="H1230" s="76">
        <v>6</v>
      </c>
      <c r="I1230" s="77" t="s">
        <v>19</v>
      </c>
      <c r="J1230" s="78">
        <f>504000/6</f>
        <v>84000</v>
      </c>
      <c r="K1230" s="74" t="s">
        <v>19</v>
      </c>
      <c r="L1230" s="79"/>
      <c r="M1230" s="79">
        <v>0.17</v>
      </c>
      <c r="N1230" s="76">
        <v>180</v>
      </c>
      <c r="O1230" s="77" t="s">
        <v>19</v>
      </c>
      <c r="P1230" s="71">
        <f t="shared" si="770"/>
        <v>0</v>
      </c>
      <c r="Q1230" s="77" t="s">
        <v>19</v>
      </c>
      <c r="R1230" s="78">
        <f t="shared" si="771"/>
        <v>0</v>
      </c>
      <c r="S1230" s="78">
        <f t="shared" ref="S1230:S1241" si="793">R1230/1.11</f>
        <v>0</v>
      </c>
    </row>
    <row r="1231" spans="1:19" s="64" customFormat="1" x14ac:dyDescent="0.2">
      <c r="A1231" s="63" t="s">
        <v>580</v>
      </c>
      <c r="B1231" s="64" t="s">
        <v>25</v>
      </c>
      <c r="C1231" s="65"/>
      <c r="D1231" s="66" t="s">
        <v>19</v>
      </c>
      <c r="E1231" s="67"/>
      <c r="F1231" s="68">
        <v>1</v>
      </c>
      <c r="G1231" s="69" t="s">
        <v>20</v>
      </c>
      <c r="H1231" s="68">
        <v>6</v>
      </c>
      <c r="I1231" s="69" t="s">
        <v>19</v>
      </c>
      <c r="J1231" s="16">
        <f>990000/6</f>
        <v>165000</v>
      </c>
      <c r="K1231" s="66" t="s">
        <v>19</v>
      </c>
      <c r="L1231" s="70"/>
      <c r="M1231" s="70">
        <v>0.17</v>
      </c>
      <c r="N1231" s="68">
        <v>0</v>
      </c>
      <c r="O1231" s="69" t="s">
        <v>19</v>
      </c>
      <c r="P1231" s="65">
        <f t="shared" si="770"/>
        <v>0</v>
      </c>
      <c r="Q1231" s="69" t="s">
        <v>19</v>
      </c>
      <c r="R1231" s="16">
        <f t="shared" si="771"/>
        <v>0</v>
      </c>
      <c r="S1231" s="16">
        <f t="shared" si="793"/>
        <v>0</v>
      </c>
    </row>
    <row r="1232" spans="1:19" s="64" customFormat="1" x14ac:dyDescent="0.2">
      <c r="A1232" s="63"/>
      <c r="C1232" s="65"/>
      <c r="D1232" s="66"/>
      <c r="E1232" s="67"/>
      <c r="F1232" s="68"/>
      <c r="G1232" s="69"/>
      <c r="H1232" s="68"/>
      <c r="I1232" s="69"/>
      <c r="J1232" s="16"/>
      <c r="K1232" s="66"/>
      <c r="L1232" s="70"/>
      <c r="M1232" s="70"/>
      <c r="N1232" s="68"/>
      <c r="O1232" s="69"/>
      <c r="P1232" s="65"/>
      <c r="Q1232" s="69"/>
      <c r="R1232" s="16"/>
      <c r="S1232" s="16"/>
    </row>
    <row r="1233" spans="1:19" s="64" customFormat="1" x14ac:dyDescent="0.2">
      <c r="A1233" s="217" t="s">
        <v>581</v>
      </c>
      <c r="B1233" s="64" t="s">
        <v>582</v>
      </c>
      <c r="C1233" s="65"/>
      <c r="D1233" s="66" t="s">
        <v>40</v>
      </c>
      <c r="E1233" s="67">
        <v>2</v>
      </c>
      <c r="F1233" s="68">
        <v>1</v>
      </c>
      <c r="G1233" s="69" t="s">
        <v>20</v>
      </c>
      <c r="H1233" s="68">
        <v>30</v>
      </c>
      <c r="I1233" s="69" t="s">
        <v>40</v>
      </c>
      <c r="J1233" s="16">
        <f>124342.32*1.11</f>
        <v>138019.97520000002</v>
      </c>
      <c r="K1233" s="66" t="s">
        <v>40</v>
      </c>
      <c r="L1233" s="70">
        <v>0.17499999999999999</v>
      </c>
      <c r="M1233" s="70">
        <v>0.03</v>
      </c>
      <c r="N1233" s="68">
        <v>60</v>
      </c>
      <c r="O1233" s="69" t="s">
        <v>40</v>
      </c>
      <c r="P1233" s="65">
        <f t="shared" ref="N1233:P1239" si="794">(C1233+(E1233*F1233*H1233))-N1233</f>
        <v>0</v>
      </c>
      <c r="Q1233" s="69" t="s">
        <v>40</v>
      </c>
      <c r="R1233" s="16">
        <f t="shared" ref="R1233:R1239" si="795">P1233*(J1233-(J1233*L1233)-((J1233-(J1233*L1233))*M1233))</f>
        <v>0</v>
      </c>
      <c r="S1233" s="16">
        <f t="shared" ref="S1233" si="796">R1233/1.11</f>
        <v>0</v>
      </c>
    </row>
    <row r="1234" spans="1:19" s="64" customFormat="1" x14ac:dyDescent="0.2">
      <c r="A1234" s="109" t="s">
        <v>581</v>
      </c>
      <c r="B1234" s="64" t="s">
        <v>582</v>
      </c>
      <c r="C1234" s="65">
        <v>167</v>
      </c>
      <c r="D1234" s="66" t="s">
        <v>40</v>
      </c>
      <c r="E1234" s="67"/>
      <c r="F1234" s="68">
        <v>1</v>
      </c>
      <c r="G1234" s="69" t="s">
        <v>20</v>
      </c>
      <c r="H1234" s="68">
        <v>30</v>
      </c>
      <c r="I1234" s="69" t="s">
        <v>40</v>
      </c>
      <c r="J1234" s="16">
        <v>130000</v>
      </c>
      <c r="K1234" s="66" t="s">
        <v>40</v>
      </c>
      <c r="L1234" s="70">
        <v>0.17499999999999999</v>
      </c>
      <c r="M1234" s="70">
        <v>0.03</v>
      </c>
      <c r="N1234" s="68">
        <v>167</v>
      </c>
      <c r="O1234" s="69" t="s">
        <v>40</v>
      </c>
      <c r="P1234" s="65">
        <f t="shared" si="794"/>
        <v>0</v>
      </c>
      <c r="Q1234" s="69" t="s">
        <v>40</v>
      </c>
      <c r="R1234" s="16">
        <f t="shared" si="795"/>
        <v>0</v>
      </c>
      <c r="S1234" s="16">
        <f t="shared" si="793"/>
        <v>0</v>
      </c>
    </row>
    <row r="1235" spans="1:19" s="64" customFormat="1" x14ac:dyDescent="0.2">
      <c r="A1235" s="109" t="s">
        <v>583</v>
      </c>
      <c r="B1235" s="64" t="s">
        <v>582</v>
      </c>
      <c r="C1235" s="65">
        <v>90</v>
      </c>
      <c r="D1235" s="66" t="s">
        <v>40</v>
      </c>
      <c r="E1235" s="67"/>
      <c r="F1235" s="68">
        <v>1</v>
      </c>
      <c r="G1235" s="69" t="s">
        <v>20</v>
      </c>
      <c r="H1235" s="68">
        <v>30</v>
      </c>
      <c r="I1235" s="69" t="s">
        <v>40</v>
      </c>
      <c r="J1235" s="16">
        <v>216000</v>
      </c>
      <c r="K1235" s="66" t="s">
        <v>40</v>
      </c>
      <c r="L1235" s="70"/>
      <c r="M1235" s="70">
        <v>0.15</v>
      </c>
      <c r="N1235" s="68">
        <v>90</v>
      </c>
      <c r="O1235" s="69" t="s">
        <v>40</v>
      </c>
      <c r="P1235" s="65">
        <f t="shared" si="794"/>
        <v>0</v>
      </c>
      <c r="Q1235" s="69" t="s">
        <v>40</v>
      </c>
      <c r="R1235" s="16">
        <f t="shared" si="795"/>
        <v>0</v>
      </c>
      <c r="S1235" s="16">
        <f t="shared" si="793"/>
        <v>0</v>
      </c>
    </row>
    <row r="1236" spans="1:19" s="64" customFormat="1" x14ac:dyDescent="0.2">
      <c r="A1236" s="109" t="s">
        <v>584</v>
      </c>
      <c r="B1236" s="64" t="s">
        <v>582</v>
      </c>
      <c r="C1236" s="65"/>
      <c r="D1236" s="66" t="s">
        <v>40</v>
      </c>
      <c r="E1236" s="67"/>
      <c r="F1236" s="68">
        <v>1</v>
      </c>
      <c r="G1236" s="69" t="s">
        <v>20</v>
      </c>
      <c r="H1236" s="68">
        <v>30</v>
      </c>
      <c r="I1236" s="69" t="s">
        <v>40</v>
      </c>
      <c r="J1236" s="16">
        <v>216000</v>
      </c>
      <c r="K1236" s="66" t="s">
        <v>40</v>
      </c>
      <c r="L1236" s="70"/>
      <c r="M1236" s="70">
        <v>0.15</v>
      </c>
      <c r="N1236" s="68">
        <v>0</v>
      </c>
      <c r="O1236" s="69" t="s">
        <v>40</v>
      </c>
      <c r="P1236" s="65">
        <f t="shared" si="794"/>
        <v>0</v>
      </c>
      <c r="Q1236" s="69" t="s">
        <v>40</v>
      </c>
      <c r="R1236" s="16">
        <f t="shared" si="795"/>
        <v>0</v>
      </c>
      <c r="S1236" s="16">
        <f t="shared" si="793"/>
        <v>0</v>
      </c>
    </row>
    <row r="1237" spans="1:19" s="64" customFormat="1" x14ac:dyDescent="0.2">
      <c r="A1237" s="109" t="s">
        <v>585</v>
      </c>
      <c r="B1237" s="64" t="s">
        <v>582</v>
      </c>
      <c r="C1237" s="65"/>
      <c r="D1237" s="66" t="s">
        <v>40</v>
      </c>
      <c r="E1237" s="67"/>
      <c r="F1237" s="68">
        <v>1</v>
      </c>
      <c r="G1237" s="69" t="s">
        <v>20</v>
      </c>
      <c r="H1237" s="68">
        <v>30</v>
      </c>
      <c r="I1237" s="69" t="s">
        <v>40</v>
      </c>
      <c r="J1237" s="16">
        <v>220000</v>
      </c>
      <c r="K1237" s="66" t="s">
        <v>40</v>
      </c>
      <c r="L1237" s="70"/>
      <c r="M1237" s="70">
        <v>0.15</v>
      </c>
      <c r="N1237" s="68">
        <v>0</v>
      </c>
      <c r="O1237" s="69" t="s">
        <v>40</v>
      </c>
      <c r="P1237" s="65">
        <f t="shared" si="794"/>
        <v>0</v>
      </c>
      <c r="Q1237" s="69" t="s">
        <v>40</v>
      </c>
      <c r="R1237" s="16">
        <f t="shared" si="795"/>
        <v>0</v>
      </c>
      <c r="S1237" s="16">
        <f t="shared" si="793"/>
        <v>0</v>
      </c>
    </row>
    <row r="1238" spans="1:19" s="64" customFormat="1" x14ac:dyDescent="0.2">
      <c r="A1238" s="217" t="s">
        <v>586</v>
      </c>
      <c r="B1238" s="64" t="s">
        <v>582</v>
      </c>
      <c r="C1238" s="65"/>
      <c r="D1238" s="66" t="s">
        <v>40</v>
      </c>
      <c r="E1238" s="67">
        <v>1</v>
      </c>
      <c r="F1238" s="68">
        <v>1</v>
      </c>
      <c r="G1238" s="69" t="s">
        <v>20</v>
      </c>
      <c r="H1238" s="68">
        <v>20</v>
      </c>
      <c r="I1238" s="69" t="s">
        <v>40</v>
      </c>
      <c r="J1238" s="16">
        <f>216283.78*1.11</f>
        <v>240074.99580000003</v>
      </c>
      <c r="K1238" s="66" t="s">
        <v>40</v>
      </c>
      <c r="L1238" s="70">
        <v>0.17499999999999999</v>
      </c>
      <c r="M1238" s="70">
        <v>0.03</v>
      </c>
      <c r="N1238" s="68">
        <v>20</v>
      </c>
      <c r="O1238" s="69" t="s">
        <v>40</v>
      </c>
      <c r="P1238" s="65">
        <f t="shared" si="794"/>
        <v>0</v>
      </c>
      <c r="Q1238" s="69" t="s">
        <v>40</v>
      </c>
      <c r="R1238" s="16">
        <f t="shared" si="795"/>
        <v>0</v>
      </c>
      <c r="S1238" s="16">
        <f t="shared" ref="S1238" si="797">R1238/1.11</f>
        <v>0</v>
      </c>
    </row>
    <row r="1239" spans="1:19" s="64" customFormat="1" x14ac:dyDescent="0.2">
      <c r="A1239" s="109" t="s">
        <v>586</v>
      </c>
      <c r="B1239" s="64" t="s">
        <v>582</v>
      </c>
      <c r="C1239" s="65">
        <v>40</v>
      </c>
      <c r="D1239" s="66" t="s">
        <v>40</v>
      </c>
      <c r="E1239" s="67"/>
      <c r="F1239" s="68">
        <v>1</v>
      </c>
      <c r="G1239" s="69" t="s">
        <v>20</v>
      </c>
      <c r="H1239" s="68">
        <v>20</v>
      </c>
      <c r="I1239" s="69" t="s">
        <v>40</v>
      </c>
      <c r="J1239" s="16">
        <v>285600</v>
      </c>
      <c r="K1239" s="66" t="s">
        <v>40</v>
      </c>
      <c r="L1239" s="70">
        <v>0.17499999999999999</v>
      </c>
      <c r="M1239" s="70">
        <v>0.03</v>
      </c>
      <c r="N1239" s="68">
        <v>40</v>
      </c>
      <c r="O1239" s="69" t="s">
        <v>40</v>
      </c>
      <c r="P1239" s="65">
        <f t="shared" si="794"/>
        <v>0</v>
      </c>
      <c r="Q1239" s="69" t="s">
        <v>40</v>
      </c>
      <c r="R1239" s="16">
        <f t="shared" si="795"/>
        <v>0</v>
      </c>
      <c r="S1239" s="16">
        <f t="shared" si="793"/>
        <v>0</v>
      </c>
    </row>
    <row r="1240" spans="1:19" x14ac:dyDescent="0.2">
      <c r="A1240" s="47"/>
    </row>
    <row r="1241" spans="1:19" x14ac:dyDescent="0.2">
      <c r="A1241" s="47" t="s">
        <v>587</v>
      </c>
      <c r="B1241" s="19" t="s">
        <v>181</v>
      </c>
      <c r="C1241" s="3">
        <v>72</v>
      </c>
      <c r="D1241" s="4" t="s">
        <v>40</v>
      </c>
      <c r="F1241" s="6">
        <v>1</v>
      </c>
      <c r="G1241" s="7" t="s">
        <v>20</v>
      </c>
      <c r="H1241" s="6">
        <v>5</v>
      </c>
      <c r="I1241" s="7" t="s">
        <v>40</v>
      </c>
      <c r="J1241" s="8">
        <v>250000</v>
      </c>
      <c r="K1241" s="4" t="s">
        <v>40</v>
      </c>
      <c r="N1241" s="6">
        <f>72-15</f>
        <v>57</v>
      </c>
      <c r="O1241" s="54" t="s">
        <v>40</v>
      </c>
      <c r="P1241" s="3">
        <f>(C1241+(E1241*F1241*H1241))-N1241</f>
        <v>15</v>
      </c>
      <c r="Q1241" s="7" t="s">
        <v>40</v>
      </c>
      <c r="R1241" s="8">
        <f>P1241*(J1241-(J1241*L1241)-((J1241-(J1241*L1241))*M1241))</f>
        <v>3750000</v>
      </c>
      <c r="S1241" s="8">
        <f t="shared" si="793"/>
        <v>3378378.3783783782</v>
      </c>
    </row>
    <row r="1242" spans="1:19" x14ac:dyDescent="0.2">
      <c r="A1242" s="47"/>
      <c r="B1242" s="19"/>
      <c r="O1242" s="54"/>
    </row>
    <row r="1243" spans="1:19" x14ac:dyDescent="0.2">
      <c r="A1243" s="15" t="s">
        <v>588</v>
      </c>
    </row>
    <row r="1244" spans="1:19" s="19" customFormat="1" x14ac:dyDescent="0.2">
      <c r="A1244" s="18" t="s">
        <v>590</v>
      </c>
      <c r="B1244" s="19" t="s">
        <v>582</v>
      </c>
      <c r="C1244" s="20">
        <v>3324</v>
      </c>
      <c r="D1244" s="21" t="s">
        <v>98</v>
      </c>
      <c r="E1244" s="26">
        <v>290</v>
      </c>
      <c r="F1244" s="22">
        <v>1</v>
      </c>
      <c r="G1244" s="23" t="s">
        <v>20</v>
      </c>
      <c r="H1244" s="22">
        <v>100</v>
      </c>
      <c r="I1244" s="23" t="s">
        <v>98</v>
      </c>
      <c r="J1244" s="24">
        <v>14000</v>
      </c>
      <c r="K1244" s="21" t="s">
        <v>98</v>
      </c>
      <c r="L1244" s="25">
        <v>0.1</v>
      </c>
      <c r="M1244" s="25"/>
      <c r="N1244" s="22">
        <f>32324-800</f>
        <v>31524</v>
      </c>
      <c r="O1244" s="23" t="s">
        <v>98</v>
      </c>
      <c r="P1244" s="20">
        <f>(C1244+(E1244*F1244*H1244))-N1244</f>
        <v>800</v>
      </c>
      <c r="Q1244" s="23" t="s">
        <v>98</v>
      </c>
      <c r="R1244" s="24">
        <f>P1244*(J1244-(J1244*L1244)-((J1244-(J1244*L1244))*M1244))</f>
        <v>10080000</v>
      </c>
      <c r="S1244" s="24">
        <f t="shared" ref="S1244:S1357" si="798">R1244/1.11</f>
        <v>9081081.0810810812</v>
      </c>
    </row>
    <row r="1245" spans="1:19" s="73" customFormat="1" x14ac:dyDescent="0.2">
      <c r="A1245" s="72" t="s">
        <v>591</v>
      </c>
      <c r="B1245" s="73" t="s">
        <v>582</v>
      </c>
      <c r="C1245" s="71">
        <v>834</v>
      </c>
      <c r="D1245" s="74" t="s">
        <v>98</v>
      </c>
      <c r="E1245" s="75">
        <v>44</v>
      </c>
      <c r="F1245" s="76">
        <v>1</v>
      </c>
      <c r="G1245" s="77" t="s">
        <v>20</v>
      </c>
      <c r="H1245" s="76">
        <v>50</v>
      </c>
      <c r="I1245" s="77" t="s">
        <v>98</v>
      </c>
      <c r="J1245" s="78">
        <v>24000</v>
      </c>
      <c r="K1245" s="74" t="s">
        <v>98</v>
      </c>
      <c r="L1245" s="79"/>
      <c r="M1245" s="79"/>
      <c r="N1245" s="76">
        <v>3034</v>
      </c>
      <c r="O1245" s="77" t="s">
        <v>98</v>
      </c>
      <c r="P1245" s="71">
        <f>(C1245+(E1245*F1245*H1245))-N1245</f>
        <v>0</v>
      </c>
      <c r="Q1245" s="77" t="s">
        <v>98</v>
      </c>
      <c r="R1245" s="78">
        <f>P1245*(J1245-(J1245*L1245)-((J1245-(J1245*L1245))*M1245))</f>
        <v>0</v>
      </c>
      <c r="S1245" s="78">
        <f t="shared" si="798"/>
        <v>0</v>
      </c>
    </row>
    <row r="1246" spans="1:19" s="73" customFormat="1" x14ac:dyDescent="0.2">
      <c r="A1246" s="72"/>
      <c r="C1246" s="71"/>
      <c r="D1246" s="74"/>
      <c r="E1246" s="75"/>
      <c r="F1246" s="76"/>
      <c r="G1246" s="77"/>
      <c r="H1246" s="76"/>
      <c r="I1246" s="77"/>
      <c r="J1246" s="78"/>
      <c r="K1246" s="74"/>
      <c r="L1246" s="79"/>
      <c r="M1246" s="79"/>
      <c r="N1246" s="76"/>
      <c r="O1246" s="77"/>
      <c r="P1246" s="71"/>
      <c r="Q1246" s="77"/>
      <c r="R1246" s="78"/>
      <c r="S1246" s="78"/>
    </row>
    <row r="1247" spans="1:19" s="64" customFormat="1" x14ac:dyDescent="0.2">
      <c r="A1247" s="63" t="s">
        <v>589</v>
      </c>
      <c r="B1247" s="64" t="s">
        <v>18</v>
      </c>
      <c r="C1247" s="65">
        <v>32</v>
      </c>
      <c r="D1247" s="66" t="s">
        <v>33</v>
      </c>
      <c r="E1247" s="67"/>
      <c r="F1247" s="68">
        <v>1</v>
      </c>
      <c r="G1247" s="69" t="s">
        <v>20</v>
      </c>
      <c r="H1247" s="68">
        <v>50</v>
      </c>
      <c r="I1247" s="69" t="s">
        <v>33</v>
      </c>
      <c r="J1247" s="16">
        <v>28000</v>
      </c>
      <c r="K1247" s="66" t="s">
        <v>33</v>
      </c>
      <c r="L1247" s="70">
        <v>0.125</v>
      </c>
      <c r="M1247" s="70">
        <v>0.05</v>
      </c>
      <c r="N1247" s="68">
        <v>32</v>
      </c>
      <c r="O1247" s="69" t="s">
        <v>33</v>
      </c>
      <c r="P1247" s="65">
        <f>(C1247+(E1247*F1247*H1247))-N1247</f>
        <v>0</v>
      </c>
      <c r="Q1247" s="69" t="s">
        <v>33</v>
      </c>
      <c r="R1247" s="16">
        <f>P1247*(J1247-(J1247*L1247)-((J1247-(J1247*L1247))*M1247))</f>
        <v>0</v>
      </c>
      <c r="S1247" s="16">
        <f>R1247/1.11</f>
        <v>0</v>
      </c>
    </row>
    <row r="1249" spans="1:19" s="80" customFormat="1" x14ac:dyDescent="0.2">
      <c r="A1249" s="119" t="s">
        <v>592</v>
      </c>
      <c r="B1249" s="80" t="s">
        <v>25</v>
      </c>
      <c r="C1249" s="83"/>
      <c r="D1249" s="84" t="s">
        <v>33</v>
      </c>
      <c r="E1249" s="85">
        <v>10</v>
      </c>
      <c r="F1249" s="86">
        <v>40</v>
      </c>
      <c r="G1249" s="87" t="s">
        <v>98</v>
      </c>
      <c r="H1249" s="86">
        <v>20</v>
      </c>
      <c r="I1249" s="87" t="s">
        <v>33</v>
      </c>
      <c r="J1249" s="88">
        <f>840000/40/20</f>
        <v>1050</v>
      </c>
      <c r="K1249" s="84" t="s">
        <v>33</v>
      </c>
      <c r="L1249" s="89"/>
      <c r="M1249" s="89">
        <v>0.17</v>
      </c>
      <c r="N1249" s="86">
        <f>8000-6400</f>
        <v>1600</v>
      </c>
      <c r="O1249" s="87" t="s">
        <v>33</v>
      </c>
      <c r="P1249" s="83">
        <f>(C1249+(E1249*F1249*H1249))-N1249</f>
        <v>6400</v>
      </c>
      <c r="Q1249" s="87" t="s">
        <v>33</v>
      </c>
      <c r="R1249" s="88">
        <f>P1249*(J1249-(J1249*L1249)-((J1249-(J1249*L1249))*M1249))</f>
        <v>5577600</v>
      </c>
      <c r="S1249" s="88">
        <f t="shared" si="798"/>
        <v>5024864.8648648644</v>
      </c>
    </row>
    <row r="1250" spans="1:19" s="80" customFormat="1" x14ac:dyDescent="0.2">
      <c r="A1250" s="170" t="s">
        <v>592</v>
      </c>
      <c r="B1250" s="80" t="s">
        <v>25</v>
      </c>
      <c r="C1250" s="83"/>
      <c r="D1250" s="84" t="s">
        <v>33</v>
      </c>
      <c r="E1250" s="85">
        <v>4</v>
      </c>
      <c r="F1250" s="86">
        <v>40</v>
      </c>
      <c r="G1250" s="87" t="s">
        <v>98</v>
      </c>
      <c r="H1250" s="86">
        <v>20</v>
      </c>
      <c r="I1250" s="87" t="s">
        <v>33</v>
      </c>
      <c r="J1250" s="88">
        <f>840000/40/20</f>
        <v>1050</v>
      </c>
      <c r="K1250" s="84" t="s">
        <v>33</v>
      </c>
      <c r="L1250" s="89">
        <v>0.05</v>
      </c>
      <c r="M1250" s="89">
        <v>0.17</v>
      </c>
      <c r="N1250" s="86">
        <v>3200</v>
      </c>
      <c r="O1250" s="87" t="s">
        <v>33</v>
      </c>
      <c r="P1250" s="83">
        <f>(C1250+(E1250*F1250*H1250))-N1250</f>
        <v>0</v>
      </c>
      <c r="Q1250" s="87" t="s">
        <v>33</v>
      </c>
      <c r="R1250" s="88">
        <f>P1250*(J1250-(J1250*L1250)-((J1250-(J1250*L1250))*M1250))</f>
        <v>0</v>
      </c>
      <c r="S1250" s="88">
        <f t="shared" ref="S1250" si="799">R1250/1.11</f>
        <v>0</v>
      </c>
    </row>
    <row r="1251" spans="1:19" s="19" customFormat="1" x14ac:dyDescent="0.2">
      <c r="A1251" s="45" t="s">
        <v>593</v>
      </c>
      <c r="B1251" s="19" t="s">
        <v>25</v>
      </c>
      <c r="C1251" s="20">
        <v>10</v>
      </c>
      <c r="D1251" s="21" t="s">
        <v>98</v>
      </c>
      <c r="E1251" s="26">
        <v>26</v>
      </c>
      <c r="F1251" s="22">
        <v>1</v>
      </c>
      <c r="G1251" s="23" t="s">
        <v>20</v>
      </c>
      <c r="H1251" s="22">
        <v>20</v>
      </c>
      <c r="I1251" s="23" t="s">
        <v>98</v>
      </c>
      <c r="J1251" s="24">
        <f>840000/20</f>
        <v>42000</v>
      </c>
      <c r="K1251" s="21" t="s">
        <v>98</v>
      </c>
      <c r="L1251" s="25"/>
      <c r="M1251" s="25">
        <v>0.17</v>
      </c>
      <c r="N1251" s="22"/>
      <c r="O1251" s="23" t="s">
        <v>98</v>
      </c>
      <c r="P1251" s="20">
        <f>(C1251+(E1251*F1251*H1251))-N1251</f>
        <v>530</v>
      </c>
      <c r="Q1251" s="23" t="s">
        <v>98</v>
      </c>
      <c r="R1251" s="24">
        <f>P1251*(J1251-(J1251*L1251)-((J1251-(J1251*L1251))*M1251))</f>
        <v>18475800</v>
      </c>
      <c r="S1251" s="24">
        <f t="shared" si="798"/>
        <v>16644864.864864863</v>
      </c>
    </row>
    <row r="1252" spans="1:19" s="17" customFormat="1" x14ac:dyDescent="0.2">
      <c r="A1252" s="18" t="s">
        <v>594</v>
      </c>
      <c r="B1252" s="17" t="s">
        <v>25</v>
      </c>
      <c r="C1252" s="48">
        <v>75</v>
      </c>
      <c r="D1252" s="49" t="s">
        <v>98</v>
      </c>
      <c r="E1252" s="32"/>
      <c r="F1252" s="50">
        <v>1</v>
      </c>
      <c r="G1252" s="51" t="s">
        <v>20</v>
      </c>
      <c r="H1252" s="50">
        <v>15</v>
      </c>
      <c r="I1252" s="51" t="s">
        <v>98</v>
      </c>
      <c r="J1252" s="52">
        <f>525000/15</f>
        <v>35000</v>
      </c>
      <c r="K1252" s="49" t="s">
        <v>98</v>
      </c>
      <c r="L1252" s="53"/>
      <c r="M1252" s="53">
        <v>0.17</v>
      </c>
      <c r="N1252" s="50"/>
      <c r="O1252" s="51" t="s">
        <v>98</v>
      </c>
      <c r="P1252" s="48">
        <f>(C1252+(E1252*F1252*H1252))-N1252</f>
        <v>75</v>
      </c>
      <c r="Q1252" s="51" t="s">
        <v>98</v>
      </c>
      <c r="R1252" s="52">
        <f>P1252*(J1252-(J1252*L1252)-((J1252-(J1252*L1252))*M1252))</f>
        <v>2178750</v>
      </c>
      <c r="S1252" s="52">
        <f t="shared" si="798"/>
        <v>1962837.8378378376</v>
      </c>
    </row>
    <row r="1253" spans="1:19" s="17" customFormat="1" x14ac:dyDescent="0.2">
      <c r="A1253" s="18"/>
      <c r="C1253" s="48"/>
      <c r="D1253" s="49"/>
      <c r="E1253" s="32"/>
      <c r="F1253" s="50"/>
      <c r="G1253" s="51"/>
      <c r="H1253" s="50"/>
      <c r="I1253" s="51"/>
      <c r="J1253" s="52"/>
      <c r="K1253" s="49"/>
      <c r="L1253" s="53"/>
      <c r="M1253" s="53"/>
      <c r="N1253" s="50"/>
      <c r="O1253" s="51"/>
      <c r="P1253" s="48"/>
      <c r="Q1253" s="51"/>
      <c r="R1253" s="52"/>
      <c r="S1253" s="52"/>
    </row>
    <row r="1254" spans="1:19" s="19" customFormat="1" x14ac:dyDescent="0.2">
      <c r="A1254" s="45" t="s">
        <v>800</v>
      </c>
      <c r="B1254" s="19" t="s">
        <v>596</v>
      </c>
      <c r="C1254" s="20">
        <v>900</v>
      </c>
      <c r="D1254" s="21" t="s">
        <v>33</v>
      </c>
      <c r="E1254" s="26">
        <v>3</v>
      </c>
      <c r="F1254" s="22">
        <v>1</v>
      </c>
      <c r="G1254" s="23" t="s">
        <v>20</v>
      </c>
      <c r="H1254" s="22">
        <v>500</v>
      </c>
      <c r="I1254" s="23" t="s">
        <v>33</v>
      </c>
      <c r="J1254" s="24">
        <v>3000</v>
      </c>
      <c r="K1254" s="21" t="s">
        <v>33</v>
      </c>
      <c r="L1254" s="25">
        <v>0.17499999999999999</v>
      </c>
      <c r="M1254" s="25"/>
      <c r="N1254" s="22">
        <v>1400</v>
      </c>
      <c r="O1254" s="23" t="s">
        <v>33</v>
      </c>
      <c r="P1254" s="20">
        <f>(C1254+(E1254*F1254*H1254))-N1254</f>
        <v>1000</v>
      </c>
      <c r="Q1254" s="23" t="s">
        <v>33</v>
      </c>
      <c r="R1254" s="24">
        <f>P1254*(J1254-(J1254*L1254)-((J1254-(J1254*L1254))*M1254))</f>
        <v>2475000</v>
      </c>
      <c r="S1254" s="8">
        <f t="shared" ref="S1254" si="800">R1254/1.11</f>
        <v>2229729.7297297297</v>
      </c>
    </row>
    <row r="1255" spans="1:19" s="19" customFormat="1" x14ac:dyDescent="0.2">
      <c r="A1255" s="45" t="s">
        <v>595</v>
      </c>
      <c r="B1255" s="19" t="s">
        <v>596</v>
      </c>
      <c r="C1255" s="20">
        <v>991</v>
      </c>
      <c r="D1255" s="21" t="s">
        <v>33</v>
      </c>
      <c r="E1255" s="26"/>
      <c r="F1255" s="22">
        <v>1</v>
      </c>
      <c r="G1255" s="23" t="s">
        <v>20</v>
      </c>
      <c r="H1255" s="22">
        <v>200</v>
      </c>
      <c r="I1255" s="23" t="s">
        <v>33</v>
      </c>
      <c r="J1255" s="24">
        <v>11500</v>
      </c>
      <c r="K1255" s="21" t="s">
        <v>33</v>
      </c>
      <c r="L1255" s="25">
        <v>0.17499999999999999</v>
      </c>
      <c r="M1255" s="25"/>
      <c r="N1255" s="22">
        <v>591</v>
      </c>
      <c r="O1255" s="23" t="s">
        <v>33</v>
      </c>
      <c r="P1255" s="20">
        <f>(C1255+(E1255*F1255*H1255))-N1255</f>
        <v>400</v>
      </c>
      <c r="Q1255" s="23" t="s">
        <v>33</v>
      </c>
      <c r="R1255" s="24">
        <f>P1255*(J1255-(J1255*L1255)-((J1255-(J1255*L1255))*M1255))</f>
        <v>3795000</v>
      </c>
      <c r="S1255" s="8">
        <f t="shared" si="798"/>
        <v>3418918.9189189188</v>
      </c>
    </row>
    <row r="1256" spans="1:19" s="73" customFormat="1" x14ac:dyDescent="0.2">
      <c r="A1256" s="105" t="s">
        <v>660</v>
      </c>
      <c r="B1256" s="73" t="s">
        <v>596</v>
      </c>
      <c r="C1256" s="71">
        <v>340</v>
      </c>
      <c r="D1256" s="74" t="s">
        <v>33</v>
      </c>
      <c r="E1256" s="75"/>
      <c r="F1256" s="76">
        <v>1</v>
      </c>
      <c r="G1256" s="77" t="s">
        <v>20</v>
      </c>
      <c r="H1256" s="76">
        <v>200</v>
      </c>
      <c r="I1256" s="77" t="s">
        <v>33</v>
      </c>
      <c r="J1256" s="78">
        <v>13800</v>
      </c>
      <c r="K1256" s="74" t="s">
        <v>33</v>
      </c>
      <c r="L1256" s="79">
        <v>0.17499999999999999</v>
      </c>
      <c r="M1256" s="79">
        <v>0.03</v>
      </c>
      <c r="N1256" s="76">
        <v>340</v>
      </c>
      <c r="O1256" s="77" t="s">
        <v>33</v>
      </c>
      <c r="P1256" s="71">
        <f>(C1256+(E1256*F1256*H1256))-N1256</f>
        <v>0</v>
      </c>
      <c r="Q1256" s="77" t="s">
        <v>33</v>
      </c>
      <c r="R1256" s="78">
        <f>P1256*(J1256-(J1256*L1256)-((J1256-(J1256*L1256))*M1256))</f>
        <v>0</v>
      </c>
      <c r="S1256" s="16">
        <f t="shared" si="798"/>
        <v>0</v>
      </c>
    </row>
    <row r="1257" spans="1:19" x14ac:dyDescent="0.2">
      <c r="A1257" s="47"/>
      <c r="B1257" s="19"/>
      <c r="O1257" s="54"/>
    </row>
    <row r="1258" spans="1:19" x14ac:dyDescent="0.2">
      <c r="A1258" s="15" t="s">
        <v>736</v>
      </c>
    </row>
    <row r="1259" spans="1:19" s="73" customFormat="1" x14ac:dyDescent="0.2">
      <c r="A1259" s="72" t="s">
        <v>737</v>
      </c>
      <c r="B1259" s="73" t="s">
        <v>582</v>
      </c>
      <c r="C1259" s="71"/>
      <c r="D1259" s="74" t="s">
        <v>40</v>
      </c>
      <c r="E1259" s="75"/>
      <c r="F1259" s="76">
        <v>1</v>
      </c>
      <c r="G1259" s="77" t="s">
        <v>20</v>
      </c>
      <c r="H1259" s="76">
        <v>30</v>
      </c>
      <c r="I1259" s="77" t="s">
        <v>40</v>
      </c>
      <c r="J1259" s="78">
        <v>102000</v>
      </c>
      <c r="K1259" s="74" t="s">
        <v>40</v>
      </c>
      <c r="L1259" s="79">
        <v>0.17499999999999999</v>
      </c>
      <c r="M1259" s="79">
        <v>0.03</v>
      </c>
      <c r="N1259" s="76"/>
      <c r="O1259" s="77" t="s">
        <v>40</v>
      </c>
      <c r="P1259" s="71">
        <f>(C1259+(E1259*F1259*H1259))-N1259</f>
        <v>0</v>
      </c>
      <c r="Q1259" s="77" t="s">
        <v>40</v>
      </c>
      <c r="R1259" s="78">
        <f>P1259*(J1259-(J1259*L1259)-((J1259-(J1259*L1259))*M1259))</f>
        <v>0</v>
      </c>
      <c r="S1259" s="78">
        <f t="shared" ref="S1259" si="801">R1259/1.11</f>
        <v>0</v>
      </c>
    </row>
    <row r="1261" spans="1:19" ht="15.75" x14ac:dyDescent="0.25">
      <c r="A1261" s="14" t="s">
        <v>597</v>
      </c>
    </row>
    <row r="1262" spans="1:19" s="64" customFormat="1" x14ac:dyDescent="0.2">
      <c r="A1262" s="104" t="s">
        <v>598</v>
      </c>
      <c r="B1262" s="64" t="s">
        <v>171</v>
      </c>
      <c r="C1262" s="65">
        <v>383</v>
      </c>
      <c r="D1262" s="66" t="s">
        <v>98</v>
      </c>
      <c r="E1262" s="67"/>
      <c r="F1262" s="68">
        <v>1</v>
      </c>
      <c r="G1262" s="69" t="s">
        <v>20</v>
      </c>
      <c r="H1262" s="68">
        <v>60</v>
      </c>
      <c r="I1262" s="69" t="s">
        <v>98</v>
      </c>
      <c r="J1262" s="16">
        <v>8600</v>
      </c>
      <c r="K1262" s="66" t="s">
        <v>98</v>
      </c>
      <c r="L1262" s="70">
        <v>0.05</v>
      </c>
      <c r="M1262" s="70"/>
      <c r="N1262" s="68">
        <v>383</v>
      </c>
      <c r="O1262" s="69" t="s">
        <v>98</v>
      </c>
      <c r="P1262" s="65">
        <f>(C1262+(E1262*F1262*H1262))-N1262</f>
        <v>0</v>
      </c>
      <c r="Q1262" s="69" t="s">
        <v>98</v>
      </c>
      <c r="R1262" s="16">
        <f>P1262*(J1262-(J1262*L1262)-((J1262-(J1262*L1262))*M1262))</f>
        <v>0</v>
      </c>
      <c r="S1262" s="16">
        <f t="shared" si="798"/>
        <v>0</v>
      </c>
    </row>
    <row r="1263" spans="1:19" x14ac:dyDescent="0.2">
      <c r="A1263" s="135" t="s">
        <v>1050</v>
      </c>
      <c r="B1263" s="2" t="s">
        <v>171</v>
      </c>
      <c r="D1263" s="4" t="s">
        <v>98</v>
      </c>
      <c r="E1263" s="5">
        <v>15</v>
      </c>
      <c r="F1263" s="6">
        <v>1</v>
      </c>
      <c r="G1263" s="7" t="s">
        <v>20</v>
      </c>
      <c r="H1263" s="6">
        <v>60</v>
      </c>
      <c r="I1263" s="7" t="s">
        <v>98</v>
      </c>
      <c r="J1263" s="8">
        <v>8500</v>
      </c>
      <c r="K1263" s="4" t="s">
        <v>98</v>
      </c>
      <c r="L1263" s="9">
        <v>7.0000000000000007E-2</v>
      </c>
      <c r="N1263" s="6">
        <f>900-240</f>
        <v>660</v>
      </c>
      <c r="O1263" s="7" t="s">
        <v>98</v>
      </c>
      <c r="P1263" s="3">
        <f>(C1263+(E1263*F1263*H1263))-N1263</f>
        <v>240</v>
      </c>
      <c r="Q1263" s="7" t="s">
        <v>98</v>
      </c>
      <c r="R1263" s="8">
        <f>P1263*(J1263-(J1263*L1263)-((J1263-(J1263*L1263))*M1263))</f>
        <v>1897200</v>
      </c>
      <c r="S1263" s="8">
        <f t="shared" ref="S1263" si="802">R1263/1.11</f>
        <v>1709189.1891891891</v>
      </c>
    </row>
    <row r="1264" spans="1:19" x14ac:dyDescent="0.2">
      <c r="A1264" s="38"/>
    </row>
    <row r="1265" spans="1:19" s="73" customFormat="1" x14ac:dyDescent="0.2">
      <c r="A1265" s="104" t="s">
        <v>896</v>
      </c>
      <c r="B1265" s="73" t="s">
        <v>18</v>
      </c>
      <c r="C1265" s="71"/>
      <c r="D1265" s="74" t="s">
        <v>33</v>
      </c>
      <c r="E1265" s="75">
        <v>1</v>
      </c>
      <c r="F1265" s="76">
        <v>1</v>
      </c>
      <c r="G1265" s="77" t="s">
        <v>20</v>
      </c>
      <c r="H1265" s="76">
        <v>50</v>
      </c>
      <c r="I1265" s="77" t="s">
        <v>33</v>
      </c>
      <c r="J1265" s="78">
        <v>44800</v>
      </c>
      <c r="K1265" s="74" t="s">
        <v>33</v>
      </c>
      <c r="L1265" s="79">
        <v>0.125</v>
      </c>
      <c r="M1265" s="79">
        <v>0.05</v>
      </c>
      <c r="N1265" s="76">
        <v>50</v>
      </c>
      <c r="O1265" s="77" t="s">
        <v>33</v>
      </c>
      <c r="P1265" s="71">
        <f t="shared" ref="P1265" si="803">(C1265+(E1265*F1265*H1265))-N1265</f>
        <v>0</v>
      </c>
      <c r="Q1265" s="77" t="s">
        <v>33</v>
      </c>
      <c r="R1265" s="78">
        <f t="shared" ref="R1265" si="804">P1265*(J1265-(J1265*L1265)-((J1265-(J1265*L1265))*M1265))</f>
        <v>0</v>
      </c>
      <c r="S1265" s="78">
        <f>R1265/1.11</f>
        <v>0</v>
      </c>
    </row>
    <row r="1266" spans="1:19" s="64" customFormat="1" x14ac:dyDescent="0.2">
      <c r="A1266" s="104" t="s">
        <v>603</v>
      </c>
      <c r="B1266" s="64" t="s">
        <v>18</v>
      </c>
      <c r="C1266" s="65"/>
      <c r="D1266" s="66" t="s">
        <v>33</v>
      </c>
      <c r="E1266" s="67">
        <v>5</v>
      </c>
      <c r="F1266" s="68">
        <v>1</v>
      </c>
      <c r="G1266" s="69" t="s">
        <v>20</v>
      </c>
      <c r="H1266" s="68">
        <v>50</v>
      </c>
      <c r="I1266" s="69" t="s">
        <v>33</v>
      </c>
      <c r="J1266" s="16">
        <v>32300</v>
      </c>
      <c r="K1266" s="66" t="s">
        <v>33</v>
      </c>
      <c r="L1266" s="70">
        <v>0.125</v>
      </c>
      <c r="M1266" s="70">
        <v>0.05</v>
      </c>
      <c r="N1266" s="68">
        <v>250</v>
      </c>
      <c r="O1266" s="69" t="s">
        <v>33</v>
      </c>
      <c r="P1266" s="65">
        <f t="shared" ref="P1266:P1279" si="805">(C1266+(E1266*F1266*H1266))-N1266</f>
        <v>0</v>
      </c>
      <c r="Q1266" s="69" t="s">
        <v>33</v>
      </c>
      <c r="R1266" s="16">
        <f t="shared" ref="R1266:R1279" si="806">P1266*(J1266-(J1266*L1266)-((J1266-(J1266*L1266))*M1266))</f>
        <v>0</v>
      </c>
      <c r="S1266" s="16">
        <f>R1266/1.11</f>
        <v>0</v>
      </c>
    </row>
    <row r="1267" spans="1:19" s="64" customFormat="1" x14ac:dyDescent="0.2">
      <c r="A1267" s="104" t="s">
        <v>604</v>
      </c>
      <c r="B1267" s="64" t="s">
        <v>18</v>
      </c>
      <c r="C1267" s="65"/>
      <c r="D1267" s="66" t="s">
        <v>33</v>
      </c>
      <c r="E1267" s="67"/>
      <c r="F1267" s="68">
        <v>1</v>
      </c>
      <c r="G1267" s="69" t="s">
        <v>20</v>
      </c>
      <c r="H1267" s="68">
        <v>50</v>
      </c>
      <c r="I1267" s="69" t="s">
        <v>33</v>
      </c>
      <c r="J1267" s="16">
        <v>12000</v>
      </c>
      <c r="K1267" s="66" t="s">
        <v>33</v>
      </c>
      <c r="L1267" s="70">
        <v>0.125</v>
      </c>
      <c r="M1267" s="70">
        <v>0.05</v>
      </c>
      <c r="N1267" s="68">
        <v>0</v>
      </c>
      <c r="O1267" s="69" t="s">
        <v>33</v>
      </c>
      <c r="P1267" s="65">
        <f t="shared" si="805"/>
        <v>0</v>
      </c>
      <c r="Q1267" s="69" t="s">
        <v>33</v>
      </c>
      <c r="R1267" s="16">
        <f t="shared" si="806"/>
        <v>0</v>
      </c>
      <c r="S1267" s="16">
        <f>R1267/1.11</f>
        <v>0</v>
      </c>
    </row>
    <row r="1268" spans="1:19" s="64" customFormat="1" x14ac:dyDescent="0.2">
      <c r="A1268" s="104" t="s">
        <v>722</v>
      </c>
      <c r="B1268" s="64" t="s">
        <v>18</v>
      </c>
      <c r="C1268" s="65">
        <v>100</v>
      </c>
      <c r="D1268" s="66" t="s">
        <v>33</v>
      </c>
      <c r="E1268" s="67"/>
      <c r="F1268" s="68">
        <v>1</v>
      </c>
      <c r="G1268" s="69" t="s">
        <v>20</v>
      </c>
      <c r="H1268" s="68">
        <v>50</v>
      </c>
      <c r="I1268" s="69" t="s">
        <v>33</v>
      </c>
      <c r="J1268" s="16">
        <v>29100</v>
      </c>
      <c r="K1268" s="66" t="s">
        <v>33</v>
      </c>
      <c r="L1268" s="70">
        <v>0.125</v>
      </c>
      <c r="M1268" s="70">
        <v>0.05</v>
      </c>
      <c r="N1268" s="68">
        <v>100</v>
      </c>
      <c r="O1268" s="69" t="s">
        <v>33</v>
      </c>
      <c r="P1268" s="65">
        <f t="shared" si="805"/>
        <v>0</v>
      </c>
      <c r="Q1268" s="69" t="s">
        <v>33</v>
      </c>
      <c r="R1268" s="16">
        <f t="shared" si="806"/>
        <v>0</v>
      </c>
      <c r="S1268" s="16">
        <f>R1268/1.11</f>
        <v>0</v>
      </c>
    </row>
    <row r="1269" spans="1:19" s="64" customFormat="1" x14ac:dyDescent="0.2">
      <c r="A1269" s="104" t="s">
        <v>605</v>
      </c>
      <c r="B1269" s="64" t="s">
        <v>18</v>
      </c>
      <c r="C1269" s="65"/>
      <c r="D1269" s="66" t="s">
        <v>33</v>
      </c>
      <c r="E1269" s="67"/>
      <c r="F1269" s="68">
        <v>1</v>
      </c>
      <c r="G1269" s="69" t="s">
        <v>20</v>
      </c>
      <c r="H1269" s="68">
        <v>50</v>
      </c>
      <c r="I1269" s="69" t="s">
        <v>33</v>
      </c>
      <c r="J1269" s="16">
        <v>36200</v>
      </c>
      <c r="K1269" s="66" t="s">
        <v>33</v>
      </c>
      <c r="L1269" s="70">
        <v>0.125</v>
      </c>
      <c r="M1269" s="70">
        <v>0.05</v>
      </c>
      <c r="N1269" s="68">
        <v>0</v>
      </c>
      <c r="O1269" s="69" t="s">
        <v>33</v>
      </c>
      <c r="P1269" s="65">
        <f t="shared" si="805"/>
        <v>0</v>
      </c>
      <c r="Q1269" s="69" t="s">
        <v>33</v>
      </c>
      <c r="R1269" s="16">
        <f t="shared" si="806"/>
        <v>0</v>
      </c>
      <c r="S1269" s="16">
        <f>R1269/1.11</f>
        <v>0</v>
      </c>
    </row>
    <row r="1270" spans="1:19" s="73" customFormat="1" x14ac:dyDescent="0.2">
      <c r="A1270" s="104" t="s">
        <v>599</v>
      </c>
      <c r="B1270" s="73" t="s">
        <v>18</v>
      </c>
      <c r="C1270" s="71">
        <v>93</v>
      </c>
      <c r="D1270" s="74" t="s">
        <v>33</v>
      </c>
      <c r="E1270" s="75">
        <v>148</v>
      </c>
      <c r="F1270" s="76">
        <v>1</v>
      </c>
      <c r="G1270" s="77" t="s">
        <v>20</v>
      </c>
      <c r="H1270" s="76">
        <v>50</v>
      </c>
      <c r="I1270" s="77" t="s">
        <v>33</v>
      </c>
      <c r="J1270" s="78">
        <v>34100</v>
      </c>
      <c r="K1270" s="74" t="s">
        <v>33</v>
      </c>
      <c r="L1270" s="79">
        <v>0.125</v>
      </c>
      <c r="M1270" s="79">
        <v>0.05</v>
      </c>
      <c r="N1270" s="76">
        <v>7493</v>
      </c>
      <c r="O1270" s="77" t="s">
        <v>33</v>
      </c>
      <c r="P1270" s="71">
        <f t="shared" si="805"/>
        <v>0</v>
      </c>
      <c r="Q1270" s="77" t="s">
        <v>33</v>
      </c>
      <c r="R1270" s="78">
        <f t="shared" si="806"/>
        <v>0</v>
      </c>
      <c r="S1270" s="16">
        <f t="shared" si="798"/>
        <v>0</v>
      </c>
    </row>
    <row r="1271" spans="1:19" s="73" customFormat="1" x14ac:dyDescent="0.2">
      <c r="A1271" s="72" t="s">
        <v>600</v>
      </c>
      <c r="B1271" s="73" t="s">
        <v>18</v>
      </c>
      <c r="C1271" s="71">
        <v>100</v>
      </c>
      <c r="D1271" s="74" t="s">
        <v>33</v>
      </c>
      <c r="E1271" s="75">
        <v>52</v>
      </c>
      <c r="F1271" s="76">
        <v>1</v>
      </c>
      <c r="G1271" s="77" t="s">
        <v>20</v>
      </c>
      <c r="H1271" s="76">
        <v>50</v>
      </c>
      <c r="I1271" s="77" t="s">
        <v>33</v>
      </c>
      <c r="J1271" s="78">
        <v>34100</v>
      </c>
      <c r="K1271" s="74" t="s">
        <v>33</v>
      </c>
      <c r="L1271" s="79">
        <v>0.125</v>
      </c>
      <c r="M1271" s="79">
        <v>0.05</v>
      </c>
      <c r="N1271" s="76">
        <v>2700</v>
      </c>
      <c r="O1271" s="77" t="s">
        <v>33</v>
      </c>
      <c r="P1271" s="71">
        <f t="shared" si="805"/>
        <v>0</v>
      </c>
      <c r="Q1271" s="77" t="s">
        <v>33</v>
      </c>
      <c r="R1271" s="78">
        <f t="shared" si="806"/>
        <v>0</v>
      </c>
      <c r="S1271" s="78">
        <f t="shared" si="798"/>
        <v>0</v>
      </c>
    </row>
    <row r="1272" spans="1:19" s="73" customFormat="1" x14ac:dyDescent="0.2">
      <c r="A1272" s="72" t="s">
        <v>601</v>
      </c>
      <c r="B1272" s="73" t="s">
        <v>18</v>
      </c>
      <c r="C1272" s="71">
        <v>13</v>
      </c>
      <c r="D1272" s="74" t="s">
        <v>33</v>
      </c>
      <c r="E1272" s="75">
        <v>25</v>
      </c>
      <c r="F1272" s="76">
        <v>1</v>
      </c>
      <c r="G1272" s="77" t="s">
        <v>20</v>
      </c>
      <c r="H1272" s="76">
        <v>50</v>
      </c>
      <c r="I1272" s="77" t="s">
        <v>33</v>
      </c>
      <c r="J1272" s="78">
        <v>32000</v>
      </c>
      <c r="K1272" s="74" t="s">
        <v>33</v>
      </c>
      <c r="L1272" s="79">
        <v>0.125</v>
      </c>
      <c r="M1272" s="79">
        <v>0.05</v>
      </c>
      <c r="N1272" s="76">
        <v>1263</v>
      </c>
      <c r="O1272" s="77" t="s">
        <v>33</v>
      </c>
      <c r="P1272" s="71">
        <f t="shared" si="805"/>
        <v>0</v>
      </c>
      <c r="Q1272" s="77" t="s">
        <v>33</v>
      </c>
      <c r="R1272" s="78">
        <f t="shared" si="806"/>
        <v>0</v>
      </c>
      <c r="S1272" s="78">
        <f t="shared" si="798"/>
        <v>0</v>
      </c>
    </row>
    <row r="1273" spans="1:19" s="73" customFormat="1" x14ac:dyDescent="0.2">
      <c r="A1273" s="104" t="s">
        <v>602</v>
      </c>
      <c r="B1273" s="73" t="s">
        <v>18</v>
      </c>
      <c r="C1273" s="71"/>
      <c r="D1273" s="74" t="s">
        <v>33</v>
      </c>
      <c r="E1273" s="75">
        <v>60</v>
      </c>
      <c r="F1273" s="76">
        <v>1</v>
      </c>
      <c r="G1273" s="77" t="s">
        <v>20</v>
      </c>
      <c r="H1273" s="76">
        <v>50</v>
      </c>
      <c r="I1273" s="77" t="s">
        <v>33</v>
      </c>
      <c r="J1273" s="78">
        <v>32000</v>
      </c>
      <c r="K1273" s="74" t="s">
        <v>33</v>
      </c>
      <c r="L1273" s="79">
        <v>0.125</v>
      </c>
      <c r="M1273" s="79">
        <v>0.05</v>
      </c>
      <c r="N1273" s="76">
        <v>3000</v>
      </c>
      <c r="O1273" s="77" t="s">
        <v>33</v>
      </c>
      <c r="P1273" s="71">
        <f t="shared" si="805"/>
        <v>0</v>
      </c>
      <c r="Q1273" s="77" t="s">
        <v>33</v>
      </c>
      <c r="R1273" s="78">
        <f t="shared" si="806"/>
        <v>0</v>
      </c>
      <c r="S1273" s="16">
        <f t="shared" si="798"/>
        <v>0</v>
      </c>
    </row>
    <row r="1274" spans="1:19" s="64" customFormat="1" x14ac:dyDescent="0.2">
      <c r="A1274" s="204" t="s">
        <v>971</v>
      </c>
      <c r="B1274" s="64" t="s">
        <v>18</v>
      </c>
      <c r="C1274" s="65"/>
      <c r="D1274" s="66" t="s">
        <v>33</v>
      </c>
      <c r="E1274" s="67">
        <v>3</v>
      </c>
      <c r="F1274" s="68">
        <v>1</v>
      </c>
      <c r="G1274" s="69" t="s">
        <v>20</v>
      </c>
      <c r="H1274" s="68">
        <v>32</v>
      </c>
      <c r="I1274" s="69" t="s">
        <v>33</v>
      </c>
      <c r="J1274" s="16">
        <v>74800</v>
      </c>
      <c r="K1274" s="66" t="s">
        <v>33</v>
      </c>
      <c r="L1274" s="70">
        <v>0.125</v>
      </c>
      <c r="M1274" s="70">
        <v>0.05</v>
      </c>
      <c r="N1274" s="68">
        <v>96</v>
      </c>
      <c r="O1274" s="69" t="s">
        <v>33</v>
      </c>
      <c r="P1274" s="65">
        <f t="shared" ref="P1274:P1275" si="807">(C1274+(E1274*F1274*H1274))-N1274</f>
        <v>0</v>
      </c>
      <c r="Q1274" s="69" t="s">
        <v>33</v>
      </c>
      <c r="R1274" s="16">
        <f t="shared" ref="R1274:R1275" si="808">P1274*(J1274-(J1274*L1274)-((J1274-(J1274*L1274))*M1274))</f>
        <v>0</v>
      </c>
      <c r="S1274" s="16">
        <f>R1274/1.11</f>
        <v>0</v>
      </c>
    </row>
    <row r="1275" spans="1:19" s="64" customFormat="1" x14ac:dyDescent="0.2">
      <c r="A1275" s="204" t="s">
        <v>972</v>
      </c>
      <c r="B1275" s="64" t="s">
        <v>18</v>
      </c>
      <c r="C1275" s="65"/>
      <c r="D1275" s="66" t="s">
        <v>33</v>
      </c>
      <c r="E1275" s="67">
        <v>3</v>
      </c>
      <c r="F1275" s="68">
        <v>1</v>
      </c>
      <c r="G1275" s="69" t="s">
        <v>20</v>
      </c>
      <c r="H1275" s="68">
        <v>32</v>
      </c>
      <c r="I1275" s="69" t="s">
        <v>33</v>
      </c>
      <c r="J1275" s="16">
        <v>70000</v>
      </c>
      <c r="K1275" s="66" t="s">
        <v>33</v>
      </c>
      <c r="L1275" s="70">
        <v>0.125</v>
      </c>
      <c r="M1275" s="70">
        <v>0.05</v>
      </c>
      <c r="N1275" s="68">
        <v>96</v>
      </c>
      <c r="O1275" s="69" t="s">
        <v>33</v>
      </c>
      <c r="P1275" s="65">
        <f t="shared" si="807"/>
        <v>0</v>
      </c>
      <c r="Q1275" s="69" t="s">
        <v>33</v>
      </c>
      <c r="R1275" s="16">
        <f t="shared" si="808"/>
        <v>0</v>
      </c>
      <c r="S1275" s="16">
        <f>R1275/1.11</f>
        <v>0</v>
      </c>
    </row>
    <row r="1276" spans="1:19" s="73" customFormat="1" x14ac:dyDescent="0.2">
      <c r="A1276" s="104" t="s">
        <v>606</v>
      </c>
      <c r="B1276" s="73" t="s">
        <v>18</v>
      </c>
      <c r="C1276" s="71">
        <v>617</v>
      </c>
      <c r="D1276" s="74" t="s">
        <v>33</v>
      </c>
      <c r="E1276" s="75">
        <v>183</v>
      </c>
      <c r="F1276" s="76">
        <v>1</v>
      </c>
      <c r="G1276" s="77" t="s">
        <v>20</v>
      </c>
      <c r="H1276" s="76">
        <v>50</v>
      </c>
      <c r="I1276" s="77" t="s">
        <v>33</v>
      </c>
      <c r="J1276" s="78">
        <v>28300</v>
      </c>
      <c r="K1276" s="74" t="s">
        <v>33</v>
      </c>
      <c r="L1276" s="79">
        <v>0.125</v>
      </c>
      <c r="M1276" s="79">
        <v>0.05</v>
      </c>
      <c r="N1276" s="76">
        <v>9767</v>
      </c>
      <c r="O1276" s="77" t="s">
        <v>33</v>
      </c>
      <c r="P1276" s="71">
        <f t="shared" si="805"/>
        <v>0</v>
      </c>
      <c r="Q1276" s="77" t="s">
        <v>33</v>
      </c>
      <c r="R1276" s="78">
        <f t="shared" si="806"/>
        <v>0</v>
      </c>
      <c r="S1276" s="78">
        <f t="shared" si="798"/>
        <v>0</v>
      </c>
    </row>
    <row r="1277" spans="1:19" s="73" customFormat="1" x14ac:dyDescent="0.2">
      <c r="A1277" s="104" t="s">
        <v>607</v>
      </c>
      <c r="B1277" s="73" t="s">
        <v>18</v>
      </c>
      <c r="C1277" s="71">
        <v>50</v>
      </c>
      <c r="D1277" s="74" t="s">
        <v>33</v>
      </c>
      <c r="E1277" s="75">
        <v>60</v>
      </c>
      <c r="F1277" s="76">
        <v>1</v>
      </c>
      <c r="G1277" s="77" t="s">
        <v>20</v>
      </c>
      <c r="H1277" s="76">
        <v>50</v>
      </c>
      <c r="I1277" s="77" t="s">
        <v>33</v>
      </c>
      <c r="J1277" s="78">
        <v>28300</v>
      </c>
      <c r="K1277" s="74" t="s">
        <v>33</v>
      </c>
      <c r="L1277" s="79">
        <v>0.125</v>
      </c>
      <c r="M1277" s="79">
        <v>0.05</v>
      </c>
      <c r="N1277" s="76">
        <v>3050</v>
      </c>
      <c r="O1277" s="77" t="s">
        <v>33</v>
      </c>
      <c r="P1277" s="71">
        <f t="shared" si="805"/>
        <v>0</v>
      </c>
      <c r="Q1277" s="77" t="s">
        <v>33</v>
      </c>
      <c r="R1277" s="78">
        <f t="shared" si="806"/>
        <v>0</v>
      </c>
      <c r="S1277" s="78">
        <f t="shared" si="798"/>
        <v>0</v>
      </c>
    </row>
    <row r="1278" spans="1:19" s="64" customFormat="1" x14ac:dyDescent="0.2">
      <c r="A1278" s="104" t="s">
        <v>608</v>
      </c>
      <c r="B1278" s="64" t="s">
        <v>18</v>
      </c>
      <c r="C1278" s="65"/>
      <c r="D1278" s="66" t="s">
        <v>33</v>
      </c>
      <c r="E1278" s="67">
        <v>7</v>
      </c>
      <c r="F1278" s="68">
        <v>1</v>
      </c>
      <c r="G1278" s="69" t="s">
        <v>20</v>
      </c>
      <c r="H1278" s="68">
        <v>50</v>
      </c>
      <c r="I1278" s="69" t="s">
        <v>33</v>
      </c>
      <c r="J1278" s="16">
        <v>28600</v>
      </c>
      <c r="K1278" s="66" t="s">
        <v>33</v>
      </c>
      <c r="L1278" s="70">
        <v>0.125</v>
      </c>
      <c r="M1278" s="70">
        <v>0.05</v>
      </c>
      <c r="N1278" s="68">
        <v>350</v>
      </c>
      <c r="O1278" s="69" t="s">
        <v>33</v>
      </c>
      <c r="P1278" s="65">
        <f t="shared" ref="P1278" si="809">(C1278+(E1278*F1278*H1278))-N1278</f>
        <v>0</v>
      </c>
      <c r="Q1278" s="69" t="s">
        <v>33</v>
      </c>
      <c r="R1278" s="16">
        <f t="shared" ref="R1278" si="810">P1278*(J1278-(J1278*L1278)-((J1278-(J1278*L1278))*M1278))</f>
        <v>0</v>
      </c>
      <c r="S1278" s="16">
        <f t="shared" ref="S1278" si="811">R1278/1.11</f>
        <v>0</v>
      </c>
    </row>
    <row r="1279" spans="1:19" s="64" customFormat="1" x14ac:dyDescent="0.2">
      <c r="A1279" s="104" t="s">
        <v>608</v>
      </c>
      <c r="B1279" s="64" t="s">
        <v>18</v>
      </c>
      <c r="C1279" s="65"/>
      <c r="D1279" s="66" t="s">
        <v>33</v>
      </c>
      <c r="E1279" s="67"/>
      <c r="F1279" s="68">
        <v>1</v>
      </c>
      <c r="G1279" s="69" t="s">
        <v>20</v>
      </c>
      <c r="H1279" s="68">
        <v>50</v>
      </c>
      <c r="I1279" s="69" t="s">
        <v>33</v>
      </c>
      <c r="J1279" s="16">
        <v>26500</v>
      </c>
      <c r="K1279" s="66" t="s">
        <v>33</v>
      </c>
      <c r="L1279" s="70">
        <v>0.125</v>
      </c>
      <c r="M1279" s="70">
        <v>0.05</v>
      </c>
      <c r="N1279" s="68">
        <v>0</v>
      </c>
      <c r="O1279" s="69" t="s">
        <v>33</v>
      </c>
      <c r="P1279" s="65">
        <f t="shared" si="805"/>
        <v>0</v>
      </c>
      <c r="Q1279" s="69" t="s">
        <v>33</v>
      </c>
      <c r="R1279" s="16">
        <f t="shared" si="806"/>
        <v>0</v>
      </c>
      <c r="S1279" s="16">
        <f t="shared" si="798"/>
        <v>0</v>
      </c>
    </row>
    <row r="1280" spans="1:19" s="64" customFormat="1" x14ac:dyDescent="0.2">
      <c r="A1280" s="104"/>
      <c r="C1280" s="65"/>
      <c r="D1280" s="66"/>
      <c r="E1280" s="67"/>
      <c r="F1280" s="68"/>
      <c r="G1280" s="69"/>
      <c r="H1280" s="68"/>
      <c r="I1280" s="69"/>
      <c r="J1280" s="16"/>
      <c r="K1280" s="66"/>
      <c r="L1280" s="70"/>
      <c r="M1280" s="70"/>
      <c r="N1280" s="68"/>
      <c r="O1280" s="69"/>
      <c r="P1280" s="65"/>
      <c r="Q1280" s="69"/>
      <c r="R1280" s="16"/>
      <c r="S1280" s="16"/>
    </row>
    <row r="1281" spans="1:19" s="73" customFormat="1" x14ac:dyDescent="0.2">
      <c r="A1281" s="106" t="s">
        <v>609</v>
      </c>
      <c r="B1281" s="73" t="s">
        <v>25</v>
      </c>
      <c r="C1281" s="71">
        <v>101</v>
      </c>
      <c r="D1281" s="74" t="s">
        <v>33</v>
      </c>
      <c r="E1281" s="75">
        <v>27</v>
      </c>
      <c r="F1281" s="76">
        <v>1</v>
      </c>
      <c r="G1281" s="77" t="s">
        <v>20</v>
      </c>
      <c r="H1281" s="76">
        <v>50</v>
      </c>
      <c r="I1281" s="77" t="s">
        <v>33</v>
      </c>
      <c r="J1281" s="78">
        <f>1500000/50</f>
        <v>30000</v>
      </c>
      <c r="K1281" s="74" t="s">
        <v>33</v>
      </c>
      <c r="L1281" s="79"/>
      <c r="M1281" s="79">
        <v>0.17</v>
      </c>
      <c r="N1281" s="76">
        <v>1451</v>
      </c>
      <c r="O1281" s="77" t="s">
        <v>33</v>
      </c>
      <c r="P1281" s="71">
        <f t="shared" ref="P1281:P1286" si="812">(C1281+(E1281*F1281*H1281))-N1281</f>
        <v>0</v>
      </c>
      <c r="Q1281" s="77" t="s">
        <v>33</v>
      </c>
      <c r="R1281" s="78">
        <f t="shared" ref="R1281:R1286" si="813">P1281*(J1281-(J1281*L1281)-((J1281-(J1281*L1281))*M1281))</f>
        <v>0</v>
      </c>
      <c r="S1281" s="78">
        <f t="shared" si="798"/>
        <v>0</v>
      </c>
    </row>
    <row r="1282" spans="1:19" s="73" customFormat="1" x14ac:dyDescent="0.2">
      <c r="A1282" s="106" t="s">
        <v>610</v>
      </c>
      <c r="B1282" s="73" t="s">
        <v>25</v>
      </c>
      <c r="C1282" s="71">
        <v>110</v>
      </c>
      <c r="D1282" s="74" t="s">
        <v>33</v>
      </c>
      <c r="E1282" s="75">
        <v>15</v>
      </c>
      <c r="F1282" s="76">
        <v>1</v>
      </c>
      <c r="G1282" s="77" t="s">
        <v>20</v>
      </c>
      <c r="H1282" s="76">
        <v>50</v>
      </c>
      <c r="I1282" s="77" t="s">
        <v>33</v>
      </c>
      <c r="J1282" s="78">
        <f>1500000/50</f>
        <v>30000</v>
      </c>
      <c r="K1282" s="74" t="s">
        <v>33</v>
      </c>
      <c r="L1282" s="79"/>
      <c r="M1282" s="79">
        <v>0.17</v>
      </c>
      <c r="N1282" s="76">
        <v>860</v>
      </c>
      <c r="O1282" s="77" t="s">
        <v>33</v>
      </c>
      <c r="P1282" s="71">
        <f t="shared" si="812"/>
        <v>0</v>
      </c>
      <c r="Q1282" s="77" t="s">
        <v>33</v>
      </c>
      <c r="R1282" s="78">
        <f t="shared" si="813"/>
        <v>0</v>
      </c>
      <c r="S1282" s="78">
        <f t="shared" si="798"/>
        <v>0</v>
      </c>
    </row>
    <row r="1283" spans="1:19" s="64" customFormat="1" x14ac:dyDescent="0.2">
      <c r="A1283" s="104" t="s">
        <v>725</v>
      </c>
      <c r="B1283" s="64" t="s">
        <v>25</v>
      </c>
      <c r="C1283" s="71"/>
      <c r="D1283" s="66" t="s">
        <v>33</v>
      </c>
      <c r="E1283" s="67"/>
      <c r="F1283" s="68">
        <v>1</v>
      </c>
      <c r="G1283" s="69" t="s">
        <v>20</v>
      </c>
      <c r="H1283" s="68">
        <v>50</v>
      </c>
      <c r="I1283" s="69" t="s">
        <v>33</v>
      </c>
      <c r="J1283" s="16">
        <v>32400</v>
      </c>
      <c r="K1283" s="66" t="s">
        <v>33</v>
      </c>
      <c r="L1283" s="70"/>
      <c r="M1283" s="70">
        <v>0.17</v>
      </c>
      <c r="N1283" s="68">
        <v>0</v>
      </c>
      <c r="O1283" s="69" t="s">
        <v>33</v>
      </c>
      <c r="P1283" s="65">
        <f t="shared" si="812"/>
        <v>0</v>
      </c>
      <c r="Q1283" s="69" t="s">
        <v>33</v>
      </c>
      <c r="R1283" s="16">
        <f t="shared" si="813"/>
        <v>0</v>
      </c>
      <c r="S1283" s="16">
        <f t="shared" si="798"/>
        <v>0</v>
      </c>
    </row>
    <row r="1284" spans="1:19" s="64" customFormat="1" x14ac:dyDescent="0.2">
      <c r="A1284" s="104" t="s">
        <v>611</v>
      </c>
      <c r="B1284" s="64" t="s">
        <v>25</v>
      </c>
      <c r="C1284" s="71"/>
      <c r="D1284" s="66" t="s">
        <v>33</v>
      </c>
      <c r="E1284" s="67"/>
      <c r="F1284" s="68">
        <v>1</v>
      </c>
      <c r="G1284" s="69" t="s">
        <v>20</v>
      </c>
      <c r="H1284" s="68">
        <v>50</v>
      </c>
      <c r="I1284" s="69" t="s">
        <v>33</v>
      </c>
      <c r="J1284" s="16">
        <v>28500</v>
      </c>
      <c r="K1284" s="66" t="s">
        <v>33</v>
      </c>
      <c r="L1284" s="70"/>
      <c r="M1284" s="70">
        <v>0.17</v>
      </c>
      <c r="N1284" s="68">
        <v>0</v>
      </c>
      <c r="O1284" s="69" t="s">
        <v>33</v>
      </c>
      <c r="P1284" s="65">
        <f t="shared" si="812"/>
        <v>0</v>
      </c>
      <c r="Q1284" s="69" t="s">
        <v>33</v>
      </c>
      <c r="R1284" s="16">
        <f t="shared" si="813"/>
        <v>0</v>
      </c>
      <c r="S1284" s="16">
        <f t="shared" si="798"/>
        <v>0</v>
      </c>
    </row>
    <row r="1285" spans="1:19" s="73" customFormat="1" x14ac:dyDescent="0.2">
      <c r="A1285" s="106" t="s">
        <v>612</v>
      </c>
      <c r="B1285" s="73" t="s">
        <v>25</v>
      </c>
      <c r="C1285" s="71">
        <v>346</v>
      </c>
      <c r="D1285" s="74" t="s">
        <v>33</v>
      </c>
      <c r="E1285" s="75">
        <v>33</v>
      </c>
      <c r="F1285" s="76">
        <v>1</v>
      </c>
      <c r="G1285" s="77" t="s">
        <v>20</v>
      </c>
      <c r="H1285" s="76">
        <v>50</v>
      </c>
      <c r="I1285" s="77" t="s">
        <v>33</v>
      </c>
      <c r="J1285" s="78">
        <f>1375000/50</f>
        <v>27500</v>
      </c>
      <c r="K1285" s="74" t="s">
        <v>33</v>
      </c>
      <c r="L1285" s="79"/>
      <c r="M1285" s="79">
        <v>0.17</v>
      </c>
      <c r="N1285" s="76">
        <v>1996</v>
      </c>
      <c r="O1285" s="77" t="s">
        <v>33</v>
      </c>
      <c r="P1285" s="71">
        <f t="shared" si="812"/>
        <v>0</v>
      </c>
      <c r="Q1285" s="77" t="s">
        <v>33</v>
      </c>
      <c r="R1285" s="78">
        <f t="shared" si="813"/>
        <v>0</v>
      </c>
      <c r="S1285" s="78">
        <f t="shared" si="798"/>
        <v>0</v>
      </c>
    </row>
    <row r="1286" spans="1:19" s="73" customFormat="1" x14ac:dyDescent="0.2">
      <c r="A1286" s="106" t="s">
        <v>613</v>
      </c>
      <c r="B1286" s="73" t="s">
        <v>25</v>
      </c>
      <c r="C1286" s="71">
        <v>165</v>
      </c>
      <c r="D1286" s="74" t="s">
        <v>33</v>
      </c>
      <c r="E1286" s="75">
        <v>12</v>
      </c>
      <c r="F1286" s="76">
        <v>1</v>
      </c>
      <c r="G1286" s="77" t="s">
        <v>20</v>
      </c>
      <c r="H1286" s="76">
        <v>50</v>
      </c>
      <c r="I1286" s="77" t="s">
        <v>33</v>
      </c>
      <c r="J1286" s="78">
        <f>1375000/50</f>
        <v>27500</v>
      </c>
      <c r="K1286" s="74" t="s">
        <v>33</v>
      </c>
      <c r="L1286" s="79"/>
      <c r="M1286" s="79">
        <v>0.17</v>
      </c>
      <c r="N1286" s="76">
        <v>765</v>
      </c>
      <c r="O1286" s="77" t="s">
        <v>33</v>
      </c>
      <c r="P1286" s="71">
        <f t="shared" si="812"/>
        <v>0</v>
      </c>
      <c r="Q1286" s="77" t="s">
        <v>33</v>
      </c>
      <c r="R1286" s="78">
        <f t="shared" si="813"/>
        <v>0</v>
      </c>
      <c r="S1286" s="78">
        <f t="shared" si="798"/>
        <v>0</v>
      </c>
    </row>
    <row r="1288" spans="1:19" ht="15.75" x14ac:dyDescent="0.25">
      <c r="A1288" s="14" t="s">
        <v>755</v>
      </c>
    </row>
    <row r="1289" spans="1:19" s="64" customFormat="1" x14ac:dyDescent="0.2">
      <c r="A1289" s="63" t="s">
        <v>757</v>
      </c>
      <c r="B1289" s="64" t="s">
        <v>171</v>
      </c>
      <c r="C1289" s="65"/>
      <c r="D1289" s="66" t="s">
        <v>19</v>
      </c>
      <c r="E1289" s="67"/>
      <c r="F1289" s="68">
        <v>50</v>
      </c>
      <c r="G1289" s="69" t="s">
        <v>98</v>
      </c>
      <c r="H1289" s="68">
        <v>100</v>
      </c>
      <c r="I1289" s="69" t="s">
        <v>19</v>
      </c>
      <c r="J1289" s="16">
        <f>39500/100</f>
        <v>395</v>
      </c>
      <c r="K1289" s="66" t="s">
        <v>19</v>
      </c>
      <c r="L1289" s="70">
        <v>0.05</v>
      </c>
      <c r="M1289" s="70"/>
      <c r="N1289" s="68"/>
      <c r="O1289" s="69" t="s">
        <v>19</v>
      </c>
      <c r="P1289" s="65">
        <f>(C1289+(E1289*F1289*H1289))-N1289</f>
        <v>0</v>
      </c>
      <c r="Q1289" s="69" t="s">
        <v>19</v>
      </c>
      <c r="R1289" s="16">
        <f>P1289*(J1289-(J1289*L1289)-((J1289-(J1289*L1289))*M1289))</f>
        <v>0</v>
      </c>
      <c r="S1289" s="16">
        <f t="shared" ref="S1289" si="814">R1289/1.11</f>
        <v>0</v>
      </c>
    </row>
    <row r="1291" spans="1:19" ht="15.75" x14ac:dyDescent="0.25">
      <c r="A1291" s="14" t="s">
        <v>614</v>
      </c>
    </row>
    <row r="1292" spans="1:19" x14ac:dyDescent="0.2">
      <c r="A1292" s="15" t="s">
        <v>615</v>
      </c>
    </row>
    <row r="1293" spans="1:19" s="73" customFormat="1" x14ac:dyDescent="0.2">
      <c r="A1293" s="106" t="s">
        <v>616</v>
      </c>
      <c r="B1293" s="73" t="s">
        <v>181</v>
      </c>
      <c r="C1293" s="71"/>
      <c r="D1293" s="74" t="s">
        <v>277</v>
      </c>
      <c r="E1293" s="75"/>
      <c r="F1293" s="76">
        <v>1</v>
      </c>
      <c r="G1293" s="77" t="s">
        <v>20</v>
      </c>
      <c r="H1293" s="76">
        <v>720</v>
      </c>
      <c r="I1293" s="77" t="s">
        <v>277</v>
      </c>
      <c r="J1293" s="78">
        <v>3100</v>
      </c>
      <c r="K1293" s="74" t="s">
        <v>277</v>
      </c>
      <c r="L1293" s="79"/>
      <c r="M1293" s="79">
        <v>0.15</v>
      </c>
      <c r="N1293" s="76"/>
      <c r="O1293" s="77" t="s">
        <v>277</v>
      </c>
      <c r="P1293" s="71">
        <f>(C1293+(E1293*F1293*H1293))-N1293</f>
        <v>0</v>
      </c>
      <c r="Q1293" s="77" t="s">
        <v>277</v>
      </c>
      <c r="R1293" s="78">
        <f>P1293*(J1293-(J1293*L1293)-((J1293-(J1293*L1293))*M1293))</f>
        <v>0</v>
      </c>
      <c r="S1293" s="16">
        <f t="shared" si="798"/>
        <v>0</v>
      </c>
    </row>
    <row r="1294" spans="1:19" s="73" customFormat="1" x14ac:dyDescent="0.2">
      <c r="A1294" s="106" t="s">
        <v>617</v>
      </c>
      <c r="B1294" s="73" t="s">
        <v>181</v>
      </c>
      <c r="C1294" s="71"/>
      <c r="D1294" s="74" t="s">
        <v>277</v>
      </c>
      <c r="E1294" s="75"/>
      <c r="F1294" s="76">
        <v>1</v>
      </c>
      <c r="G1294" s="77" t="s">
        <v>20</v>
      </c>
      <c r="H1294" s="76">
        <v>480</v>
      </c>
      <c r="I1294" s="77" t="s">
        <v>277</v>
      </c>
      <c r="J1294" s="78">
        <v>4750</v>
      </c>
      <c r="K1294" s="74" t="s">
        <v>277</v>
      </c>
      <c r="L1294" s="79"/>
      <c r="M1294" s="79">
        <v>0.15</v>
      </c>
      <c r="N1294" s="76"/>
      <c r="O1294" s="77" t="s">
        <v>277</v>
      </c>
      <c r="P1294" s="71">
        <f>(C1294+(E1294*F1294*H1294))-N1294</f>
        <v>0</v>
      </c>
      <c r="Q1294" s="77" t="s">
        <v>277</v>
      </c>
      <c r="R1294" s="78">
        <f>P1294*(J1294-(J1294*L1294)-((J1294-(J1294*L1294))*M1294))</f>
        <v>0</v>
      </c>
      <c r="S1294" s="16">
        <f t="shared" si="798"/>
        <v>0</v>
      </c>
    </row>
    <row r="1295" spans="1:19" s="64" customFormat="1" x14ac:dyDescent="0.2">
      <c r="A1295" s="106" t="s">
        <v>618</v>
      </c>
      <c r="B1295" s="73" t="s">
        <v>181</v>
      </c>
      <c r="C1295" s="71"/>
      <c r="D1295" s="66" t="s">
        <v>277</v>
      </c>
      <c r="E1295" s="67"/>
      <c r="F1295" s="68">
        <v>1</v>
      </c>
      <c r="G1295" s="69" t="s">
        <v>20</v>
      </c>
      <c r="H1295" s="68">
        <v>360</v>
      </c>
      <c r="I1295" s="69" t="s">
        <v>277</v>
      </c>
      <c r="J1295" s="16">
        <v>6000</v>
      </c>
      <c r="K1295" s="66" t="s">
        <v>277</v>
      </c>
      <c r="L1295" s="70"/>
      <c r="M1295" s="70">
        <v>0.15</v>
      </c>
      <c r="N1295" s="76"/>
      <c r="O1295" s="69" t="s">
        <v>277</v>
      </c>
      <c r="P1295" s="65">
        <f>(C1295+(E1295*F1295*H1295))-N1295</f>
        <v>0</v>
      </c>
      <c r="Q1295" s="69" t="s">
        <v>277</v>
      </c>
      <c r="R1295" s="16">
        <f>P1295*(J1295-(J1295*L1295)-((J1295-(J1295*L1295))*M1295))</f>
        <v>0</v>
      </c>
      <c r="S1295" s="16">
        <f t="shared" si="798"/>
        <v>0</v>
      </c>
    </row>
    <row r="1296" spans="1:19" x14ac:dyDescent="0.2">
      <c r="A1296" s="38"/>
      <c r="B1296" s="19"/>
      <c r="C1296" s="20"/>
      <c r="N1296" s="22"/>
    </row>
    <row r="1297" spans="1:19" s="64" customFormat="1" x14ac:dyDescent="0.2">
      <c r="A1297" s="104" t="s">
        <v>619</v>
      </c>
      <c r="B1297" s="64" t="s">
        <v>18</v>
      </c>
      <c r="C1297" s="71"/>
      <c r="D1297" s="66" t="s">
        <v>277</v>
      </c>
      <c r="E1297" s="67"/>
      <c r="F1297" s="68">
        <v>10</v>
      </c>
      <c r="G1297" s="69" t="s">
        <v>98</v>
      </c>
      <c r="H1297" s="68">
        <v>24</v>
      </c>
      <c r="I1297" s="69" t="s">
        <v>277</v>
      </c>
      <c r="J1297" s="16">
        <v>2300</v>
      </c>
      <c r="K1297" s="66" t="s">
        <v>277</v>
      </c>
      <c r="L1297" s="70">
        <v>0.125</v>
      </c>
      <c r="M1297" s="70">
        <v>0.05</v>
      </c>
      <c r="N1297" s="68"/>
      <c r="O1297" s="69" t="s">
        <v>277</v>
      </c>
      <c r="P1297" s="65">
        <f>(C1297+(E1297*F1297*H1297))-N1297</f>
        <v>0</v>
      </c>
      <c r="Q1297" s="69" t="s">
        <v>277</v>
      </c>
      <c r="R1297" s="16">
        <f>P1297*(J1297-(J1297*L1297)-((J1297-(J1297*L1297))*M1297))</f>
        <v>0</v>
      </c>
      <c r="S1297" s="16">
        <f t="shared" si="798"/>
        <v>0</v>
      </c>
    </row>
    <row r="1298" spans="1:19" s="64" customFormat="1" x14ac:dyDescent="0.2">
      <c r="A1298" s="104" t="s">
        <v>620</v>
      </c>
      <c r="B1298" s="64" t="s">
        <v>18</v>
      </c>
      <c r="C1298" s="71"/>
      <c r="D1298" s="66" t="s">
        <v>277</v>
      </c>
      <c r="E1298" s="67"/>
      <c r="F1298" s="68">
        <v>10</v>
      </c>
      <c r="G1298" s="69" t="s">
        <v>98</v>
      </c>
      <c r="H1298" s="68">
        <v>12</v>
      </c>
      <c r="I1298" s="69" t="s">
        <v>277</v>
      </c>
      <c r="J1298" s="16">
        <v>4600</v>
      </c>
      <c r="K1298" s="66" t="s">
        <v>277</v>
      </c>
      <c r="L1298" s="70">
        <v>0.125</v>
      </c>
      <c r="M1298" s="70">
        <v>0.05</v>
      </c>
      <c r="N1298" s="68"/>
      <c r="O1298" s="69" t="s">
        <v>277</v>
      </c>
      <c r="P1298" s="65">
        <f>(C1298+(E1298*F1298*H1298))-N1298</f>
        <v>0</v>
      </c>
      <c r="Q1298" s="69" t="s">
        <v>277</v>
      </c>
      <c r="R1298" s="16">
        <f>P1298*(J1298-(J1298*L1298)-((J1298-(J1298*L1298))*M1298))</f>
        <v>0</v>
      </c>
      <c r="S1298" s="16">
        <f t="shared" si="798"/>
        <v>0</v>
      </c>
    </row>
    <row r="1299" spans="1:19" x14ac:dyDescent="0.2">
      <c r="A1299" s="38"/>
      <c r="C1299" s="20"/>
    </row>
    <row r="1300" spans="1:19" s="64" customFormat="1" x14ac:dyDescent="0.2">
      <c r="A1300" s="105" t="s">
        <v>621</v>
      </c>
      <c r="B1300" s="64" t="s">
        <v>25</v>
      </c>
      <c r="C1300" s="71"/>
      <c r="D1300" s="66" t="s">
        <v>277</v>
      </c>
      <c r="E1300" s="67">
        <v>1</v>
      </c>
      <c r="F1300" s="68">
        <v>1</v>
      </c>
      <c r="G1300" s="69" t="s">
        <v>20</v>
      </c>
      <c r="H1300" s="68">
        <v>480</v>
      </c>
      <c r="I1300" s="69" t="s">
        <v>277</v>
      </c>
      <c r="J1300" s="16">
        <f>588000/480</f>
        <v>1225</v>
      </c>
      <c r="K1300" s="66" t="s">
        <v>277</v>
      </c>
      <c r="L1300" s="70"/>
      <c r="M1300" s="70">
        <v>0.17</v>
      </c>
      <c r="N1300" s="68">
        <v>480</v>
      </c>
      <c r="O1300" s="69" t="s">
        <v>277</v>
      </c>
      <c r="P1300" s="65">
        <f>(C1300+(E1300*F1300*H1300))-N1300</f>
        <v>0</v>
      </c>
      <c r="Q1300" s="69" t="s">
        <v>277</v>
      </c>
      <c r="R1300" s="16">
        <f>P1300*(J1300-(J1300*L1300)-((J1300-(J1300*L1300))*M1300))</f>
        <v>0</v>
      </c>
      <c r="S1300" s="16">
        <f t="shared" si="798"/>
        <v>0</v>
      </c>
    </row>
    <row r="1301" spans="1:19" s="64" customFormat="1" x14ac:dyDescent="0.2">
      <c r="A1301" s="105" t="s">
        <v>622</v>
      </c>
      <c r="B1301" s="64" t="s">
        <v>25</v>
      </c>
      <c r="C1301" s="71"/>
      <c r="D1301" s="66" t="s">
        <v>277</v>
      </c>
      <c r="E1301" s="67">
        <v>2</v>
      </c>
      <c r="F1301" s="68">
        <v>1</v>
      </c>
      <c r="G1301" s="69" t="s">
        <v>20</v>
      </c>
      <c r="H1301" s="68">
        <v>240</v>
      </c>
      <c r="I1301" s="69" t="s">
        <v>277</v>
      </c>
      <c r="J1301" s="16">
        <f>588000/240</f>
        <v>2450</v>
      </c>
      <c r="K1301" s="66" t="s">
        <v>277</v>
      </c>
      <c r="L1301" s="70"/>
      <c r="M1301" s="70">
        <v>0.17</v>
      </c>
      <c r="N1301" s="68">
        <v>480</v>
      </c>
      <c r="O1301" s="69" t="s">
        <v>277</v>
      </c>
      <c r="P1301" s="65">
        <f>(C1301+(E1301*F1301*H1301))-N1301</f>
        <v>0</v>
      </c>
      <c r="Q1301" s="69" t="s">
        <v>277</v>
      </c>
      <c r="R1301" s="16">
        <f>P1301*(J1301-(J1301*L1301)-((J1301-(J1301*L1301))*M1301))</f>
        <v>0</v>
      </c>
      <c r="S1301" s="16">
        <f t="shared" si="798"/>
        <v>0</v>
      </c>
    </row>
    <row r="1302" spans="1:19" s="64" customFormat="1" x14ac:dyDescent="0.2">
      <c r="A1302" s="105" t="s">
        <v>623</v>
      </c>
      <c r="B1302" s="64" t="s">
        <v>25</v>
      </c>
      <c r="C1302" s="71"/>
      <c r="D1302" s="66" t="s">
        <v>277</v>
      </c>
      <c r="E1302" s="67">
        <v>2</v>
      </c>
      <c r="F1302" s="68">
        <v>1</v>
      </c>
      <c r="G1302" s="69" t="s">
        <v>20</v>
      </c>
      <c r="H1302" s="68">
        <v>120</v>
      </c>
      <c r="I1302" s="69" t="s">
        <v>277</v>
      </c>
      <c r="J1302" s="16">
        <v>4800</v>
      </c>
      <c r="K1302" s="66" t="s">
        <v>277</v>
      </c>
      <c r="L1302" s="70"/>
      <c r="M1302" s="70">
        <v>0.17</v>
      </c>
      <c r="N1302" s="68">
        <v>240</v>
      </c>
      <c r="O1302" s="69" t="s">
        <v>277</v>
      </c>
      <c r="P1302" s="65">
        <f>(C1302+(E1302*F1302*H1302))-N1302</f>
        <v>0</v>
      </c>
      <c r="Q1302" s="69" t="s">
        <v>277</v>
      </c>
      <c r="R1302" s="16">
        <f>P1302*(J1302-(J1302*L1302)-((J1302-(J1302*L1302))*M1302))</f>
        <v>0</v>
      </c>
      <c r="S1302" s="16">
        <f t="shared" si="798"/>
        <v>0</v>
      </c>
    </row>
    <row r="1303" spans="1:19" s="64" customFormat="1" x14ac:dyDescent="0.2">
      <c r="A1303" s="105" t="s">
        <v>624</v>
      </c>
      <c r="B1303" s="64" t="s">
        <v>25</v>
      </c>
      <c r="C1303" s="71"/>
      <c r="D1303" s="66" t="s">
        <v>277</v>
      </c>
      <c r="E1303" s="67">
        <v>1</v>
      </c>
      <c r="F1303" s="68">
        <v>1</v>
      </c>
      <c r="G1303" s="69" t="s">
        <v>20</v>
      </c>
      <c r="H1303" s="68">
        <v>60</v>
      </c>
      <c r="I1303" s="69" t="s">
        <v>277</v>
      </c>
      <c r="J1303" s="16">
        <v>9500</v>
      </c>
      <c r="K1303" s="66" t="s">
        <v>277</v>
      </c>
      <c r="L1303" s="70"/>
      <c r="M1303" s="70">
        <v>0.17</v>
      </c>
      <c r="N1303" s="68">
        <v>60</v>
      </c>
      <c r="O1303" s="69" t="s">
        <v>277</v>
      </c>
      <c r="P1303" s="65">
        <f>(C1303+(E1303*F1303*H1303))-N1303</f>
        <v>0</v>
      </c>
      <c r="Q1303" s="69" t="s">
        <v>277</v>
      </c>
      <c r="R1303" s="16">
        <f>P1303*(J1303-(J1303*L1303)-((J1303-(J1303*L1303))*M1303))</f>
        <v>0</v>
      </c>
      <c r="S1303" s="16">
        <f t="shared" si="798"/>
        <v>0</v>
      </c>
    </row>
    <row r="1305" spans="1:19" x14ac:dyDescent="0.2">
      <c r="A1305" s="15" t="s">
        <v>786</v>
      </c>
      <c r="S1305" s="8">
        <f t="shared" ref="S1305:S1306" si="815">R1305/1.11</f>
        <v>0</v>
      </c>
    </row>
    <row r="1306" spans="1:19" s="73" customFormat="1" x14ac:dyDescent="0.2">
      <c r="A1306" s="63" t="s">
        <v>787</v>
      </c>
      <c r="B1306" s="73" t="s">
        <v>18</v>
      </c>
      <c r="C1306" s="71"/>
      <c r="D1306" s="74" t="s">
        <v>277</v>
      </c>
      <c r="E1306" s="75"/>
      <c r="F1306" s="76">
        <v>1</v>
      </c>
      <c r="G1306" s="77" t="s">
        <v>20</v>
      </c>
      <c r="H1306" s="76">
        <v>120</v>
      </c>
      <c r="I1306" s="77" t="s">
        <v>277</v>
      </c>
      <c r="J1306" s="78">
        <v>5500</v>
      </c>
      <c r="K1306" s="74" t="s">
        <v>277</v>
      </c>
      <c r="L1306" s="79">
        <v>0.125</v>
      </c>
      <c r="M1306" s="79">
        <v>0.05</v>
      </c>
      <c r="N1306" s="76"/>
      <c r="O1306" s="77" t="s">
        <v>277</v>
      </c>
      <c r="P1306" s="71">
        <f t="shared" ref="P1306" si="816">(C1306+(E1306*F1306*H1306))-N1306</f>
        <v>0</v>
      </c>
      <c r="Q1306" s="77" t="s">
        <v>277</v>
      </c>
      <c r="R1306" s="78">
        <f t="shared" ref="R1306" si="817">P1306*(J1306-(J1306*L1306)-((J1306-(J1306*L1306))*M1306))</f>
        <v>0</v>
      </c>
      <c r="S1306" s="78">
        <f t="shared" si="815"/>
        <v>0</v>
      </c>
    </row>
    <row r="1307" spans="1:19" x14ac:dyDescent="0.2">
      <c r="A1307" s="37"/>
    </row>
    <row r="1308" spans="1:19" x14ac:dyDescent="0.2">
      <c r="A1308" s="15" t="s">
        <v>625</v>
      </c>
    </row>
    <row r="1309" spans="1:19" s="19" customFormat="1" x14ac:dyDescent="0.2">
      <c r="A1309" s="121" t="s">
        <v>704</v>
      </c>
      <c r="B1309" s="19" t="s">
        <v>25</v>
      </c>
      <c r="C1309" s="20"/>
      <c r="D1309" s="21" t="s">
        <v>277</v>
      </c>
      <c r="E1309" s="26">
        <v>60</v>
      </c>
      <c r="F1309" s="22">
        <v>1</v>
      </c>
      <c r="G1309" s="23" t="s">
        <v>20</v>
      </c>
      <c r="H1309" s="22">
        <v>72</v>
      </c>
      <c r="I1309" s="23" t="s">
        <v>277</v>
      </c>
      <c r="J1309" s="122">
        <v>10000</v>
      </c>
      <c r="K1309" s="21" t="s">
        <v>277</v>
      </c>
      <c r="L1309" s="120">
        <v>0.12</v>
      </c>
      <c r="M1309" s="25">
        <v>0.17</v>
      </c>
      <c r="N1309" s="22">
        <f>4320-1008</f>
        <v>3312</v>
      </c>
      <c r="O1309" s="23" t="s">
        <v>277</v>
      </c>
      <c r="P1309" s="20">
        <f t="shared" ref="P1309:P1314" si="818">(C1309+(E1309*F1309*H1309))-N1309</f>
        <v>1008</v>
      </c>
      <c r="Q1309" s="23" t="s">
        <v>277</v>
      </c>
      <c r="R1309" s="24">
        <f t="shared" ref="R1309:R1314" si="819">P1309*(J1309-(J1309*L1309)-((J1309-(J1309*L1309))*M1309))</f>
        <v>7362432</v>
      </c>
      <c r="S1309" s="24">
        <f t="shared" ref="S1309" si="820">R1309/1.11</f>
        <v>6632821.6216216208</v>
      </c>
    </row>
    <row r="1310" spans="1:19" s="73" customFormat="1" x14ac:dyDescent="0.2">
      <c r="A1310" s="187" t="s">
        <v>704</v>
      </c>
      <c r="B1310" s="73" t="s">
        <v>25</v>
      </c>
      <c r="C1310" s="71">
        <v>144</v>
      </c>
      <c r="D1310" s="74" t="s">
        <v>277</v>
      </c>
      <c r="E1310" s="75"/>
      <c r="F1310" s="76">
        <v>1</v>
      </c>
      <c r="G1310" s="77" t="s">
        <v>20</v>
      </c>
      <c r="H1310" s="76">
        <v>72</v>
      </c>
      <c r="I1310" s="77" t="s">
        <v>277</v>
      </c>
      <c r="J1310" s="190">
        <f>900000/72</f>
        <v>12500</v>
      </c>
      <c r="K1310" s="74" t="s">
        <v>277</v>
      </c>
      <c r="L1310" s="188"/>
      <c r="M1310" s="79">
        <v>0.17</v>
      </c>
      <c r="N1310" s="76">
        <v>144</v>
      </c>
      <c r="O1310" s="77" t="s">
        <v>277</v>
      </c>
      <c r="P1310" s="71">
        <f t="shared" si="818"/>
        <v>0</v>
      </c>
      <c r="Q1310" s="77" t="s">
        <v>277</v>
      </c>
      <c r="R1310" s="78">
        <f t="shared" si="819"/>
        <v>0</v>
      </c>
      <c r="S1310" s="78">
        <f t="shared" si="798"/>
        <v>0</v>
      </c>
    </row>
    <row r="1311" spans="1:19" s="90" customFormat="1" x14ac:dyDescent="0.2">
      <c r="A1311" s="100" t="s">
        <v>626</v>
      </c>
      <c r="B1311" s="90" t="s">
        <v>25</v>
      </c>
      <c r="C1311" s="91"/>
      <c r="D1311" s="92" t="s">
        <v>277</v>
      </c>
      <c r="E1311" s="93">
        <v>40</v>
      </c>
      <c r="F1311" s="94">
        <v>1</v>
      </c>
      <c r="G1311" s="95" t="s">
        <v>20</v>
      </c>
      <c r="H1311" s="94">
        <v>72</v>
      </c>
      <c r="I1311" s="95" t="s">
        <v>277</v>
      </c>
      <c r="J1311" s="96">
        <v>10000</v>
      </c>
      <c r="K1311" s="92" t="s">
        <v>277</v>
      </c>
      <c r="L1311" s="101">
        <v>0.12</v>
      </c>
      <c r="M1311" s="97">
        <v>0.17</v>
      </c>
      <c r="N1311" s="94">
        <f>2880-1872</f>
        <v>1008</v>
      </c>
      <c r="O1311" s="95" t="s">
        <v>277</v>
      </c>
      <c r="P1311" s="91">
        <f t="shared" si="818"/>
        <v>1872</v>
      </c>
      <c r="Q1311" s="95" t="s">
        <v>277</v>
      </c>
      <c r="R1311" s="96">
        <f t="shared" si="819"/>
        <v>13673088</v>
      </c>
      <c r="S1311" s="96">
        <f t="shared" si="798"/>
        <v>12318097.297297297</v>
      </c>
    </row>
    <row r="1312" spans="1:19" s="73" customFormat="1" x14ac:dyDescent="0.2">
      <c r="A1312" s="185" t="s">
        <v>626</v>
      </c>
      <c r="B1312" s="73" t="s">
        <v>25</v>
      </c>
      <c r="C1312" s="71"/>
      <c r="D1312" s="74" t="s">
        <v>277</v>
      </c>
      <c r="E1312" s="75">
        <v>6</v>
      </c>
      <c r="F1312" s="76">
        <v>1</v>
      </c>
      <c r="G1312" s="77" t="s">
        <v>20</v>
      </c>
      <c r="H1312" s="76">
        <v>72</v>
      </c>
      <c r="I1312" s="77" t="s">
        <v>277</v>
      </c>
      <c r="J1312" s="78">
        <v>10000</v>
      </c>
      <c r="K1312" s="74" t="s">
        <v>277</v>
      </c>
      <c r="L1312" s="189">
        <v>0.05</v>
      </c>
      <c r="M1312" s="79">
        <v>0.17</v>
      </c>
      <c r="N1312" s="76">
        <v>432</v>
      </c>
      <c r="O1312" s="77" t="s">
        <v>277</v>
      </c>
      <c r="P1312" s="71">
        <f t="shared" si="818"/>
        <v>0</v>
      </c>
      <c r="Q1312" s="77" t="s">
        <v>277</v>
      </c>
      <c r="R1312" s="78">
        <f t="shared" si="819"/>
        <v>0</v>
      </c>
      <c r="S1312" s="78">
        <f t="shared" ref="S1312" si="821">R1312/1.11</f>
        <v>0</v>
      </c>
    </row>
    <row r="1313" spans="1:19" s="64" customFormat="1" x14ac:dyDescent="0.2">
      <c r="A1313" s="63" t="s">
        <v>803</v>
      </c>
      <c r="B1313" s="64" t="s">
        <v>25</v>
      </c>
      <c r="C1313" s="65">
        <v>210</v>
      </c>
      <c r="D1313" s="66" t="s">
        <v>277</v>
      </c>
      <c r="E1313" s="67"/>
      <c r="F1313" s="68">
        <v>1</v>
      </c>
      <c r="G1313" s="69" t="s">
        <v>20</v>
      </c>
      <c r="H1313" s="68">
        <v>72</v>
      </c>
      <c r="I1313" s="69" t="s">
        <v>277</v>
      </c>
      <c r="J1313" s="16">
        <f>705600/72</f>
        <v>9800</v>
      </c>
      <c r="K1313" s="66" t="s">
        <v>277</v>
      </c>
      <c r="L1313" s="70"/>
      <c r="M1313" s="70">
        <v>0.17</v>
      </c>
      <c r="N1313" s="68">
        <v>210</v>
      </c>
      <c r="O1313" s="69" t="s">
        <v>277</v>
      </c>
      <c r="P1313" s="65">
        <f t="shared" si="818"/>
        <v>0</v>
      </c>
      <c r="Q1313" s="69" t="s">
        <v>277</v>
      </c>
      <c r="R1313" s="16">
        <f t="shared" si="819"/>
        <v>0</v>
      </c>
      <c r="S1313" s="16">
        <f t="shared" si="798"/>
        <v>0</v>
      </c>
    </row>
    <row r="1314" spans="1:19" s="64" customFormat="1" x14ac:dyDescent="0.2">
      <c r="A1314" s="63" t="s">
        <v>804</v>
      </c>
      <c r="B1314" s="64" t="s">
        <v>25</v>
      </c>
      <c r="C1314" s="65">
        <v>36</v>
      </c>
      <c r="D1314" s="66" t="s">
        <v>277</v>
      </c>
      <c r="E1314" s="67"/>
      <c r="F1314" s="68">
        <v>1</v>
      </c>
      <c r="G1314" s="69" t="s">
        <v>20</v>
      </c>
      <c r="H1314" s="68">
        <v>72</v>
      </c>
      <c r="I1314" s="69" t="s">
        <v>277</v>
      </c>
      <c r="J1314" s="16">
        <f>705600/72</f>
        <v>9800</v>
      </c>
      <c r="K1314" s="66" t="s">
        <v>277</v>
      </c>
      <c r="L1314" s="70"/>
      <c r="M1314" s="70">
        <v>0.17</v>
      </c>
      <c r="N1314" s="68">
        <v>36</v>
      </c>
      <c r="O1314" s="69" t="s">
        <v>277</v>
      </c>
      <c r="P1314" s="65">
        <f t="shared" si="818"/>
        <v>0</v>
      </c>
      <c r="Q1314" s="69" t="s">
        <v>277</v>
      </c>
      <c r="R1314" s="16">
        <f t="shared" si="819"/>
        <v>0</v>
      </c>
      <c r="S1314" s="16">
        <f t="shared" si="798"/>
        <v>0</v>
      </c>
    </row>
    <row r="1316" spans="1:19" x14ac:dyDescent="0.2">
      <c r="A1316" s="15" t="s">
        <v>627</v>
      </c>
      <c r="S1316" s="8">
        <f t="shared" si="798"/>
        <v>0</v>
      </c>
    </row>
    <row r="1317" spans="1:19" s="73" customFormat="1" x14ac:dyDescent="0.2">
      <c r="A1317" s="63" t="s">
        <v>784</v>
      </c>
      <c r="B1317" s="73" t="s">
        <v>18</v>
      </c>
      <c r="C1317" s="71">
        <v>120</v>
      </c>
      <c r="D1317" s="74" t="s">
        <v>277</v>
      </c>
      <c r="E1317" s="75"/>
      <c r="F1317" s="76">
        <v>1</v>
      </c>
      <c r="G1317" s="77" t="s">
        <v>20</v>
      </c>
      <c r="H1317" s="76">
        <v>120</v>
      </c>
      <c r="I1317" s="77" t="s">
        <v>277</v>
      </c>
      <c r="J1317" s="78">
        <v>13800</v>
      </c>
      <c r="K1317" s="74" t="s">
        <v>277</v>
      </c>
      <c r="L1317" s="79">
        <v>0.125</v>
      </c>
      <c r="M1317" s="79">
        <v>0.05</v>
      </c>
      <c r="N1317" s="76">
        <v>120</v>
      </c>
      <c r="O1317" s="77" t="s">
        <v>277</v>
      </c>
      <c r="P1317" s="71">
        <f t="shared" ref="P1317" si="822">(C1317+(E1317*F1317*H1317))-N1317</f>
        <v>0</v>
      </c>
      <c r="Q1317" s="77" t="s">
        <v>277</v>
      </c>
      <c r="R1317" s="78">
        <f t="shared" ref="R1317" si="823">P1317*(J1317-(J1317*L1317)-((J1317-(J1317*L1317))*M1317))</f>
        <v>0</v>
      </c>
      <c r="S1317" s="78">
        <f t="shared" si="798"/>
        <v>0</v>
      </c>
    </row>
    <row r="1318" spans="1:19" s="73" customFormat="1" x14ac:dyDescent="0.2">
      <c r="A1318" s="72"/>
      <c r="C1318" s="71"/>
      <c r="D1318" s="74"/>
      <c r="E1318" s="75"/>
      <c r="F1318" s="76"/>
      <c r="G1318" s="77"/>
      <c r="H1318" s="76"/>
      <c r="I1318" s="77"/>
      <c r="J1318" s="78"/>
      <c r="K1318" s="74"/>
      <c r="L1318" s="79"/>
      <c r="M1318" s="79"/>
      <c r="N1318" s="76"/>
      <c r="O1318" s="77"/>
      <c r="P1318" s="71"/>
      <c r="Q1318" s="77"/>
      <c r="R1318" s="78"/>
      <c r="S1318" s="78"/>
    </row>
    <row r="1319" spans="1:19" s="64" customFormat="1" x14ac:dyDescent="0.2">
      <c r="A1319" s="63" t="s">
        <v>805</v>
      </c>
      <c r="B1319" s="64" t="s">
        <v>25</v>
      </c>
      <c r="C1319" s="65"/>
      <c r="D1319" s="66" t="s">
        <v>277</v>
      </c>
      <c r="E1319" s="67">
        <v>1</v>
      </c>
      <c r="F1319" s="68">
        <v>1</v>
      </c>
      <c r="G1319" s="69" t="s">
        <v>20</v>
      </c>
      <c r="H1319" s="68">
        <v>120</v>
      </c>
      <c r="I1319" s="69" t="s">
        <v>277</v>
      </c>
      <c r="J1319" s="16">
        <f>762000/120</f>
        <v>6350</v>
      </c>
      <c r="K1319" s="66" t="s">
        <v>277</v>
      </c>
      <c r="L1319" s="70"/>
      <c r="M1319" s="70">
        <v>0.17</v>
      </c>
      <c r="N1319" s="68">
        <v>120</v>
      </c>
      <c r="O1319" s="69" t="s">
        <v>277</v>
      </c>
      <c r="P1319" s="65">
        <f t="shared" ref="P1319:P1324" si="824">(C1319+(E1319*F1319*H1319))-N1319</f>
        <v>0</v>
      </c>
      <c r="Q1319" s="69" t="s">
        <v>277</v>
      </c>
      <c r="R1319" s="16">
        <f t="shared" ref="R1319:R1324" si="825">P1319*(J1319-(J1319*L1319)-((J1319-(J1319*L1319))*M1319))</f>
        <v>0</v>
      </c>
      <c r="S1319" s="16">
        <f t="shared" si="798"/>
        <v>0</v>
      </c>
    </row>
    <row r="1320" spans="1:19" s="64" customFormat="1" x14ac:dyDescent="0.2">
      <c r="A1320" s="63" t="s">
        <v>628</v>
      </c>
      <c r="B1320" s="64" t="s">
        <v>25</v>
      </c>
      <c r="C1320" s="65"/>
      <c r="D1320" s="66" t="s">
        <v>277</v>
      </c>
      <c r="E1320" s="67">
        <v>3</v>
      </c>
      <c r="F1320" s="68">
        <v>1</v>
      </c>
      <c r="G1320" s="69" t="s">
        <v>20</v>
      </c>
      <c r="H1320" s="68">
        <v>80</v>
      </c>
      <c r="I1320" s="69" t="s">
        <v>277</v>
      </c>
      <c r="J1320" s="16">
        <f>732000/80</f>
        <v>9150</v>
      </c>
      <c r="K1320" s="66" t="s">
        <v>277</v>
      </c>
      <c r="L1320" s="70"/>
      <c r="M1320" s="70">
        <v>0.17</v>
      </c>
      <c r="N1320" s="68">
        <v>240</v>
      </c>
      <c r="O1320" s="69" t="s">
        <v>277</v>
      </c>
      <c r="P1320" s="65">
        <f t="shared" si="824"/>
        <v>0</v>
      </c>
      <c r="Q1320" s="69" t="s">
        <v>277</v>
      </c>
      <c r="R1320" s="16">
        <f t="shared" si="825"/>
        <v>0</v>
      </c>
      <c r="S1320" s="16">
        <f t="shared" si="798"/>
        <v>0</v>
      </c>
    </row>
    <row r="1321" spans="1:19" s="64" customFormat="1" x14ac:dyDescent="0.2">
      <c r="A1321" s="63" t="s">
        <v>806</v>
      </c>
      <c r="B1321" s="64" t="s">
        <v>25</v>
      </c>
      <c r="C1321" s="65"/>
      <c r="D1321" s="66" t="s">
        <v>277</v>
      </c>
      <c r="E1321" s="67">
        <v>13</v>
      </c>
      <c r="F1321" s="68">
        <v>1</v>
      </c>
      <c r="G1321" s="69" t="s">
        <v>20</v>
      </c>
      <c r="H1321" s="68">
        <v>60</v>
      </c>
      <c r="I1321" s="69" t="s">
        <v>277</v>
      </c>
      <c r="J1321" s="16">
        <f>732000/60</f>
        <v>12200</v>
      </c>
      <c r="K1321" s="66" t="s">
        <v>277</v>
      </c>
      <c r="L1321" s="70"/>
      <c r="M1321" s="70">
        <v>0.17</v>
      </c>
      <c r="N1321" s="68">
        <v>780</v>
      </c>
      <c r="O1321" s="69" t="s">
        <v>277</v>
      </c>
      <c r="P1321" s="65">
        <f t="shared" si="824"/>
        <v>0</v>
      </c>
      <c r="Q1321" s="69" t="s">
        <v>277</v>
      </c>
      <c r="R1321" s="16">
        <f t="shared" si="825"/>
        <v>0</v>
      </c>
      <c r="S1321" s="16">
        <f t="shared" si="798"/>
        <v>0</v>
      </c>
    </row>
    <row r="1322" spans="1:19" s="64" customFormat="1" x14ac:dyDescent="0.2">
      <c r="A1322" s="184" t="s">
        <v>652</v>
      </c>
      <c r="B1322" s="64" t="s">
        <v>25</v>
      </c>
      <c r="C1322" s="65"/>
      <c r="D1322" s="66" t="s">
        <v>277</v>
      </c>
      <c r="E1322" s="67">
        <v>1</v>
      </c>
      <c r="F1322" s="68">
        <v>1</v>
      </c>
      <c r="G1322" s="69" t="s">
        <v>20</v>
      </c>
      <c r="H1322" s="68">
        <v>80</v>
      </c>
      <c r="I1322" s="69" t="s">
        <v>277</v>
      </c>
      <c r="J1322" s="16">
        <v>10650</v>
      </c>
      <c r="K1322" s="66" t="s">
        <v>277</v>
      </c>
      <c r="L1322" s="70"/>
      <c r="M1322" s="70">
        <v>0.17</v>
      </c>
      <c r="N1322" s="68">
        <v>80</v>
      </c>
      <c r="O1322" s="69" t="s">
        <v>277</v>
      </c>
      <c r="P1322" s="65">
        <f t="shared" si="824"/>
        <v>0</v>
      </c>
      <c r="Q1322" s="69" t="s">
        <v>277</v>
      </c>
      <c r="R1322" s="16">
        <f t="shared" si="825"/>
        <v>0</v>
      </c>
      <c r="S1322" s="16">
        <f t="shared" ref="S1322" si="826">R1322/1.11</f>
        <v>0</v>
      </c>
    </row>
    <row r="1323" spans="1:19" s="64" customFormat="1" x14ac:dyDescent="0.2">
      <c r="A1323" s="63" t="s">
        <v>652</v>
      </c>
      <c r="B1323" s="64" t="s">
        <v>25</v>
      </c>
      <c r="C1323" s="65"/>
      <c r="D1323" s="66" t="s">
        <v>277</v>
      </c>
      <c r="E1323" s="67"/>
      <c r="F1323" s="68">
        <v>1</v>
      </c>
      <c r="G1323" s="69" t="s">
        <v>20</v>
      </c>
      <c r="H1323" s="68">
        <v>80</v>
      </c>
      <c r="I1323" s="69" t="s">
        <v>277</v>
      </c>
      <c r="J1323" s="16">
        <f>848000/80</f>
        <v>10600</v>
      </c>
      <c r="K1323" s="66" t="s">
        <v>277</v>
      </c>
      <c r="L1323" s="70"/>
      <c r="M1323" s="70">
        <v>0.17</v>
      </c>
      <c r="N1323" s="68">
        <v>0</v>
      </c>
      <c r="O1323" s="69" t="s">
        <v>277</v>
      </c>
      <c r="P1323" s="65">
        <f t="shared" si="824"/>
        <v>0</v>
      </c>
      <c r="Q1323" s="69" t="s">
        <v>277</v>
      </c>
      <c r="R1323" s="16">
        <f t="shared" si="825"/>
        <v>0</v>
      </c>
      <c r="S1323" s="16">
        <f t="shared" si="798"/>
        <v>0</v>
      </c>
    </row>
    <row r="1324" spans="1:19" s="64" customFormat="1" x14ac:dyDescent="0.2">
      <c r="A1324" s="63" t="s">
        <v>629</v>
      </c>
      <c r="B1324" s="64" t="s">
        <v>25</v>
      </c>
      <c r="C1324" s="65"/>
      <c r="D1324" s="66" t="s">
        <v>277</v>
      </c>
      <c r="E1324" s="67">
        <v>1</v>
      </c>
      <c r="F1324" s="68">
        <v>1</v>
      </c>
      <c r="G1324" s="69" t="s">
        <v>20</v>
      </c>
      <c r="H1324" s="68">
        <v>60</v>
      </c>
      <c r="I1324" s="69" t="s">
        <v>277</v>
      </c>
      <c r="J1324" s="16">
        <f>852000/60</f>
        <v>14200</v>
      </c>
      <c r="K1324" s="66" t="s">
        <v>277</v>
      </c>
      <c r="L1324" s="70"/>
      <c r="M1324" s="70">
        <v>0.17</v>
      </c>
      <c r="N1324" s="68">
        <v>60</v>
      </c>
      <c r="O1324" s="69" t="s">
        <v>277</v>
      </c>
      <c r="P1324" s="65">
        <f t="shared" si="824"/>
        <v>0</v>
      </c>
      <c r="Q1324" s="69" t="s">
        <v>277</v>
      </c>
      <c r="R1324" s="16">
        <f t="shared" si="825"/>
        <v>0</v>
      </c>
      <c r="S1324" s="16">
        <f t="shared" si="798"/>
        <v>0</v>
      </c>
    </row>
    <row r="1325" spans="1:19" s="64" customFormat="1" x14ac:dyDescent="0.2">
      <c r="A1325" s="184" t="s">
        <v>629</v>
      </c>
      <c r="B1325" s="64" t="s">
        <v>25</v>
      </c>
      <c r="C1325" s="65"/>
      <c r="D1325" s="66" t="s">
        <v>277</v>
      </c>
      <c r="E1325" s="67">
        <v>4</v>
      </c>
      <c r="F1325" s="68">
        <v>1</v>
      </c>
      <c r="G1325" s="69" t="s">
        <v>20</v>
      </c>
      <c r="H1325" s="68">
        <v>60</v>
      </c>
      <c r="I1325" s="69" t="s">
        <v>277</v>
      </c>
      <c r="J1325" s="16">
        <f>852000/60</f>
        <v>14200</v>
      </c>
      <c r="K1325" s="66" t="s">
        <v>277</v>
      </c>
      <c r="L1325" s="70">
        <v>0.05</v>
      </c>
      <c r="M1325" s="70">
        <v>0.17</v>
      </c>
      <c r="N1325" s="68">
        <v>240</v>
      </c>
      <c r="O1325" s="69" t="s">
        <v>277</v>
      </c>
      <c r="P1325" s="65">
        <f t="shared" ref="P1325" si="827">(C1325+(E1325*F1325*H1325))-N1325</f>
        <v>0</v>
      </c>
      <c r="Q1325" s="69" t="s">
        <v>277</v>
      </c>
      <c r="R1325" s="16">
        <f t="shared" ref="R1325" si="828">P1325*(J1325-(J1325*L1325)-((J1325-(J1325*L1325))*M1325))</f>
        <v>0</v>
      </c>
      <c r="S1325" s="16">
        <f t="shared" ref="S1325" si="829">R1325/1.11</f>
        <v>0</v>
      </c>
    </row>
    <row r="1326" spans="1:19" s="80" customFormat="1" x14ac:dyDescent="0.2">
      <c r="A1326" s="99"/>
      <c r="C1326" s="83"/>
      <c r="D1326" s="84"/>
      <c r="E1326" s="85"/>
      <c r="F1326" s="86"/>
      <c r="G1326" s="87"/>
      <c r="H1326" s="86"/>
      <c r="I1326" s="87"/>
      <c r="J1326" s="88"/>
      <c r="K1326" s="84"/>
      <c r="L1326" s="89"/>
      <c r="M1326" s="89"/>
      <c r="N1326" s="86"/>
      <c r="O1326" s="87"/>
      <c r="P1326" s="83"/>
      <c r="Q1326" s="87"/>
      <c r="R1326" s="88"/>
      <c r="S1326" s="88"/>
    </row>
    <row r="1327" spans="1:19" s="64" customFormat="1" x14ac:dyDescent="0.2">
      <c r="A1327" s="63"/>
      <c r="C1327" s="65"/>
      <c r="D1327" s="66"/>
      <c r="E1327" s="67"/>
      <c r="F1327" s="68"/>
      <c r="G1327" s="69"/>
      <c r="H1327" s="68"/>
      <c r="I1327" s="69"/>
      <c r="J1327" s="16"/>
      <c r="K1327" s="66"/>
      <c r="L1327" s="70"/>
      <c r="M1327" s="70"/>
      <c r="N1327" s="68"/>
      <c r="O1327" s="69"/>
      <c r="P1327" s="65"/>
      <c r="Q1327" s="69"/>
      <c r="R1327" s="16"/>
      <c r="S1327" s="16"/>
    </row>
    <row r="1328" spans="1:19" ht="15.75" x14ac:dyDescent="0.25">
      <c r="A1328" s="14" t="s">
        <v>630</v>
      </c>
    </row>
    <row r="1329" spans="1:19" s="73" customFormat="1" x14ac:dyDescent="0.2">
      <c r="A1329" s="72" t="s">
        <v>632</v>
      </c>
      <c r="B1329" s="73" t="s">
        <v>18</v>
      </c>
      <c r="C1329" s="71"/>
      <c r="D1329" s="74" t="s">
        <v>19</v>
      </c>
      <c r="E1329" s="75">
        <v>6</v>
      </c>
      <c r="F1329" s="76">
        <v>1</v>
      </c>
      <c r="G1329" s="77" t="s">
        <v>20</v>
      </c>
      <c r="H1329" s="76">
        <v>24</v>
      </c>
      <c r="I1329" s="77" t="s">
        <v>19</v>
      </c>
      <c r="J1329" s="78">
        <v>22500</v>
      </c>
      <c r="K1329" s="74" t="s">
        <v>19</v>
      </c>
      <c r="L1329" s="79">
        <v>0.125</v>
      </c>
      <c r="M1329" s="79">
        <v>0.05</v>
      </c>
      <c r="N1329" s="76">
        <v>144</v>
      </c>
      <c r="O1329" s="77" t="s">
        <v>19</v>
      </c>
      <c r="P1329" s="71">
        <f t="shared" ref="P1329" si="830">(C1329+(E1329*F1329*H1329))-N1329</f>
        <v>0</v>
      </c>
      <c r="Q1329" s="77" t="s">
        <v>19</v>
      </c>
      <c r="R1329" s="78">
        <f t="shared" ref="R1329" si="831">P1329*(J1329-(J1329*L1329)-((J1329-(J1329*L1329))*M1329))</f>
        <v>0</v>
      </c>
      <c r="S1329" s="78">
        <f>R1329/1.11</f>
        <v>0</v>
      </c>
    </row>
    <row r="1330" spans="1:19" s="73" customFormat="1" x14ac:dyDescent="0.2">
      <c r="A1330" s="72" t="s">
        <v>633</v>
      </c>
      <c r="B1330" s="73" t="s">
        <v>18</v>
      </c>
      <c r="C1330" s="71"/>
      <c r="D1330" s="74" t="s">
        <v>19</v>
      </c>
      <c r="E1330" s="75">
        <v>4</v>
      </c>
      <c r="F1330" s="76">
        <v>1</v>
      </c>
      <c r="G1330" s="77" t="s">
        <v>20</v>
      </c>
      <c r="H1330" s="76">
        <v>24</v>
      </c>
      <c r="I1330" s="77" t="s">
        <v>19</v>
      </c>
      <c r="J1330" s="78">
        <v>24300</v>
      </c>
      <c r="K1330" s="74" t="s">
        <v>19</v>
      </c>
      <c r="L1330" s="79">
        <v>0.125</v>
      </c>
      <c r="M1330" s="79">
        <v>0.05</v>
      </c>
      <c r="N1330" s="76">
        <v>96</v>
      </c>
      <c r="O1330" s="77" t="s">
        <v>19</v>
      </c>
      <c r="P1330" s="71">
        <f t="shared" ref="P1330:P1331" si="832">(C1330+(E1330*F1330*H1330))-N1330</f>
        <v>0</v>
      </c>
      <c r="Q1330" s="77" t="s">
        <v>19</v>
      </c>
      <c r="R1330" s="78">
        <f t="shared" ref="R1330:R1331" si="833">P1330*(J1330-(J1330*L1330)-((J1330-(J1330*L1330))*M1330))</f>
        <v>0</v>
      </c>
      <c r="S1330" s="78">
        <f t="shared" ref="S1330:S1331" si="834">R1330/1.11</f>
        <v>0</v>
      </c>
    </row>
    <row r="1331" spans="1:19" s="73" customFormat="1" x14ac:dyDescent="0.2">
      <c r="A1331" s="72" t="s">
        <v>634</v>
      </c>
      <c r="B1331" s="73" t="s">
        <v>18</v>
      </c>
      <c r="C1331" s="71"/>
      <c r="D1331" s="74" t="s">
        <v>19</v>
      </c>
      <c r="E1331" s="75">
        <v>39</v>
      </c>
      <c r="F1331" s="76">
        <v>1</v>
      </c>
      <c r="G1331" s="77" t="s">
        <v>20</v>
      </c>
      <c r="H1331" s="76">
        <v>24</v>
      </c>
      <c r="I1331" s="77" t="s">
        <v>19</v>
      </c>
      <c r="J1331" s="78">
        <v>11100</v>
      </c>
      <c r="K1331" s="74" t="s">
        <v>19</v>
      </c>
      <c r="L1331" s="79">
        <v>0.125</v>
      </c>
      <c r="M1331" s="79">
        <v>0.05</v>
      </c>
      <c r="N1331" s="76">
        <v>936</v>
      </c>
      <c r="O1331" s="77" t="s">
        <v>19</v>
      </c>
      <c r="P1331" s="71">
        <f t="shared" si="832"/>
        <v>0</v>
      </c>
      <c r="Q1331" s="77" t="s">
        <v>19</v>
      </c>
      <c r="R1331" s="78">
        <f t="shared" si="833"/>
        <v>0</v>
      </c>
      <c r="S1331" s="78">
        <f t="shared" si="834"/>
        <v>0</v>
      </c>
    </row>
    <row r="1332" spans="1:19" s="73" customFormat="1" x14ac:dyDescent="0.2">
      <c r="A1332" s="72" t="s">
        <v>635</v>
      </c>
      <c r="B1332" s="73" t="s">
        <v>18</v>
      </c>
      <c r="C1332" s="71"/>
      <c r="D1332" s="74" t="s">
        <v>19</v>
      </c>
      <c r="E1332" s="75">
        <v>85</v>
      </c>
      <c r="F1332" s="76">
        <v>1</v>
      </c>
      <c r="G1332" s="77" t="s">
        <v>20</v>
      </c>
      <c r="H1332" s="76">
        <v>24</v>
      </c>
      <c r="I1332" s="77" t="s">
        <v>19</v>
      </c>
      <c r="J1332" s="78">
        <v>19000</v>
      </c>
      <c r="K1332" s="74" t="s">
        <v>19</v>
      </c>
      <c r="L1332" s="79">
        <v>0.125</v>
      </c>
      <c r="M1332" s="79">
        <v>0.05</v>
      </c>
      <c r="N1332" s="76">
        <v>2040</v>
      </c>
      <c r="O1332" s="77" t="s">
        <v>19</v>
      </c>
      <c r="P1332" s="71">
        <f t="shared" ref="P1332:P1345" si="835">(C1332+(E1332*F1332*H1332))-N1332</f>
        <v>0</v>
      </c>
      <c r="Q1332" s="77" t="s">
        <v>19</v>
      </c>
      <c r="R1332" s="78">
        <f t="shared" ref="R1332:R1345" si="836">P1332*(J1332-(J1332*L1332)-((J1332-(J1332*L1332))*M1332))</f>
        <v>0</v>
      </c>
      <c r="S1332" s="78">
        <f t="shared" si="798"/>
        <v>0</v>
      </c>
    </row>
    <row r="1333" spans="1:19" s="73" customFormat="1" x14ac:dyDescent="0.2">
      <c r="A1333" s="72" t="s">
        <v>727</v>
      </c>
      <c r="B1333" s="73" t="s">
        <v>18</v>
      </c>
      <c r="C1333" s="71"/>
      <c r="D1333" s="74" t="s">
        <v>19</v>
      </c>
      <c r="E1333" s="75">
        <v>3</v>
      </c>
      <c r="F1333" s="76">
        <v>1</v>
      </c>
      <c r="G1333" s="77" t="s">
        <v>20</v>
      </c>
      <c r="H1333" s="76">
        <v>12</v>
      </c>
      <c r="I1333" s="77" t="s">
        <v>19</v>
      </c>
      <c r="J1333" s="78">
        <v>31000</v>
      </c>
      <c r="K1333" s="74" t="s">
        <v>19</v>
      </c>
      <c r="L1333" s="79">
        <v>0.125</v>
      </c>
      <c r="M1333" s="79">
        <v>0.05</v>
      </c>
      <c r="N1333" s="76">
        <v>36</v>
      </c>
      <c r="O1333" s="77" t="s">
        <v>19</v>
      </c>
      <c r="P1333" s="71">
        <f t="shared" si="835"/>
        <v>0</v>
      </c>
      <c r="Q1333" s="77" t="s">
        <v>19</v>
      </c>
      <c r="R1333" s="78">
        <f t="shared" si="836"/>
        <v>0</v>
      </c>
      <c r="S1333" s="78">
        <f t="shared" si="798"/>
        <v>0</v>
      </c>
    </row>
    <row r="1334" spans="1:19" s="73" customFormat="1" x14ac:dyDescent="0.2">
      <c r="A1334" s="184" t="s">
        <v>973</v>
      </c>
      <c r="B1334" s="73" t="s">
        <v>18</v>
      </c>
      <c r="C1334" s="71"/>
      <c r="D1334" s="74" t="s">
        <v>19</v>
      </c>
      <c r="E1334" s="75">
        <v>1</v>
      </c>
      <c r="F1334" s="76">
        <v>1</v>
      </c>
      <c r="G1334" s="77" t="s">
        <v>20</v>
      </c>
      <c r="H1334" s="76">
        <v>12</v>
      </c>
      <c r="I1334" s="77" t="s">
        <v>19</v>
      </c>
      <c r="J1334" s="78">
        <v>28500</v>
      </c>
      <c r="K1334" s="74" t="s">
        <v>19</v>
      </c>
      <c r="L1334" s="79">
        <v>0.125</v>
      </c>
      <c r="M1334" s="79">
        <v>0.05</v>
      </c>
      <c r="N1334" s="76">
        <v>12</v>
      </c>
      <c r="O1334" s="77" t="s">
        <v>19</v>
      </c>
      <c r="P1334" s="71">
        <f t="shared" ref="P1334" si="837">(C1334+(E1334*F1334*H1334))-N1334</f>
        <v>0</v>
      </c>
      <c r="Q1334" s="77" t="s">
        <v>19</v>
      </c>
      <c r="R1334" s="78">
        <f t="shared" ref="R1334" si="838">P1334*(J1334-(J1334*L1334)-((J1334-(J1334*L1334))*M1334))</f>
        <v>0</v>
      </c>
      <c r="S1334" s="78">
        <f t="shared" ref="S1334" si="839">R1334/1.11</f>
        <v>0</v>
      </c>
    </row>
    <row r="1335" spans="1:19" s="73" customFormat="1" x14ac:dyDescent="0.2">
      <c r="A1335" s="72" t="s">
        <v>923</v>
      </c>
      <c r="B1335" s="73" t="s">
        <v>18</v>
      </c>
      <c r="C1335" s="71"/>
      <c r="D1335" s="74" t="s">
        <v>19</v>
      </c>
      <c r="E1335" s="75">
        <v>1</v>
      </c>
      <c r="F1335" s="76">
        <v>1</v>
      </c>
      <c r="G1335" s="77" t="s">
        <v>20</v>
      </c>
      <c r="H1335" s="76">
        <v>24</v>
      </c>
      <c r="I1335" s="77" t="s">
        <v>19</v>
      </c>
      <c r="J1335" s="78">
        <v>20400</v>
      </c>
      <c r="K1335" s="74" t="s">
        <v>19</v>
      </c>
      <c r="L1335" s="79">
        <v>0.125</v>
      </c>
      <c r="M1335" s="79">
        <v>0.05</v>
      </c>
      <c r="N1335" s="76">
        <v>24</v>
      </c>
      <c r="O1335" s="77" t="s">
        <v>19</v>
      </c>
      <c r="P1335" s="71">
        <f t="shared" ref="P1335" si="840">(C1335+(E1335*F1335*H1335))-N1335</f>
        <v>0</v>
      </c>
      <c r="Q1335" s="77" t="s">
        <v>19</v>
      </c>
      <c r="R1335" s="78">
        <f t="shared" ref="R1335" si="841">P1335*(J1335-(J1335*L1335)-((J1335-(J1335*L1335))*M1335))</f>
        <v>0</v>
      </c>
      <c r="S1335" s="78">
        <f t="shared" ref="S1335" si="842">R1335/1.11</f>
        <v>0</v>
      </c>
    </row>
    <row r="1336" spans="1:19" s="73" customFormat="1" x14ac:dyDescent="0.2">
      <c r="A1336" s="72" t="s">
        <v>726</v>
      </c>
      <c r="B1336" s="73" t="s">
        <v>18</v>
      </c>
      <c r="C1336" s="71"/>
      <c r="D1336" s="74" t="s">
        <v>19</v>
      </c>
      <c r="E1336" s="75">
        <v>4</v>
      </c>
      <c r="F1336" s="76">
        <v>1</v>
      </c>
      <c r="G1336" s="77" t="s">
        <v>20</v>
      </c>
      <c r="H1336" s="76">
        <v>24</v>
      </c>
      <c r="I1336" s="77" t="s">
        <v>19</v>
      </c>
      <c r="J1336" s="78">
        <v>12300</v>
      </c>
      <c r="K1336" s="74" t="s">
        <v>19</v>
      </c>
      <c r="L1336" s="79">
        <v>0.125</v>
      </c>
      <c r="M1336" s="79">
        <v>0.05</v>
      </c>
      <c r="N1336" s="76">
        <v>96</v>
      </c>
      <c r="O1336" s="77" t="s">
        <v>19</v>
      </c>
      <c r="P1336" s="71">
        <f t="shared" si="835"/>
        <v>0</v>
      </c>
      <c r="Q1336" s="77" t="s">
        <v>19</v>
      </c>
      <c r="R1336" s="78">
        <f t="shared" si="836"/>
        <v>0</v>
      </c>
      <c r="S1336" s="16">
        <f t="shared" si="798"/>
        <v>0</v>
      </c>
    </row>
    <row r="1337" spans="1:19" s="73" customFormat="1" x14ac:dyDescent="0.2">
      <c r="A1337" s="72" t="s">
        <v>823</v>
      </c>
      <c r="B1337" s="73" t="s">
        <v>18</v>
      </c>
      <c r="C1337" s="71"/>
      <c r="D1337" s="74" t="s">
        <v>19</v>
      </c>
      <c r="E1337" s="75">
        <v>4</v>
      </c>
      <c r="F1337" s="76">
        <v>1</v>
      </c>
      <c r="G1337" s="77" t="s">
        <v>20</v>
      </c>
      <c r="H1337" s="76">
        <v>24</v>
      </c>
      <c r="I1337" s="77" t="s">
        <v>19</v>
      </c>
      <c r="J1337" s="78">
        <v>16500</v>
      </c>
      <c r="K1337" s="74" t="s">
        <v>19</v>
      </c>
      <c r="L1337" s="79">
        <v>0.125</v>
      </c>
      <c r="M1337" s="79">
        <v>0.05</v>
      </c>
      <c r="N1337" s="76">
        <v>96</v>
      </c>
      <c r="O1337" s="77" t="s">
        <v>19</v>
      </c>
      <c r="P1337" s="71">
        <f t="shared" si="835"/>
        <v>0</v>
      </c>
      <c r="Q1337" s="77" t="s">
        <v>19</v>
      </c>
      <c r="R1337" s="78">
        <f t="shared" si="836"/>
        <v>0</v>
      </c>
      <c r="S1337" s="16">
        <f t="shared" si="798"/>
        <v>0</v>
      </c>
    </row>
    <row r="1338" spans="1:19" s="64" customFormat="1" x14ac:dyDescent="0.2">
      <c r="A1338" s="63" t="s">
        <v>631</v>
      </c>
      <c r="B1338" s="64" t="s">
        <v>18</v>
      </c>
      <c r="C1338" s="65"/>
      <c r="D1338" s="66" t="s">
        <v>19</v>
      </c>
      <c r="E1338" s="67">
        <v>2</v>
      </c>
      <c r="F1338" s="68">
        <v>1</v>
      </c>
      <c r="G1338" s="69" t="s">
        <v>20</v>
      </c>
      <c r="H1338" s="68">
        <v>24</v>
      </c>
      <c r="I1338" s="69" t="s">
        <v>19</v>
      </c>
      <c r="J1338" s="16">
        <v>17200</v>
      </c>
      <c r="K1338" s="66" t="s">
        <v>19</v>
      </c>
      <c r="L1338" s="70">
        <v>0.125</v>
      </c>
      <c r="M1338" s="70">
        <v>0.05</v>
      </c>
      <c r="N1338" s="68">
        <v>48</v>
      </c>
      <c r="O1338" s="69" t="s">
        <v>19</v>
      </c>
      <c r="P1338" s="65">
        <f t="shared" si="835"/>
        <v>0</v>
      </c>
      <c r="Q1338" s="69" t="s">
        <v>19</v>
      </c>
      <c r="R1338" s="16">
        <f t="shared" si="836"/>
        <v>0</v>
      </c>
      <c r="S1338" s="16">
        <f>R1338/1.11</f>
        <v>0</v>
      </c>
    </row>
    <row r="1339" spans="1:19" s="64" customFormat="1" x14ac:dyDescent="0.2">
      <c r="A1339" s="63" t="s">
        <v>872</v>
      </c>
      <c r="B1339" s="64" t="s">
        <v>18</v>
      </c>
      <c r="C1339" s="65"/>
      <c r="D1339" s="66" t="s">
        <v>19</v>
      </c>
      <c r="E1339" s="67">
        <v>2</v>
      </c>
      <c r="F1339" s="68">
        <v>1</v>
      </c>
      <c r="G1339" s="69" t="s">
        <v>20</v>
      </c>
      <c r="H1339" s="68">
        <v>12</v>
      </c>
      <c r="I1339" s="69" t="s">
        <v>19</v>
      </c>
      <c r="J1339" s="16">
        <v>30500</v>
      </c>
      <c r="K1339" s="66" t="s">
        <v>19</v>
      </c>
      <c r="L1339" s="70">
        <v>0.125</v>
      </c>
      <c r="M1339" s="70">
        <v>0.05</v>
      </c>
      <c r="N1339" s="68">
        <v>24</v>
      </c>
      <c r="O1339" s="69" t="s">
        <v>19</v>
      </c>
      <c r="P1339" s="65">
        <f>(C1339+(E1339*F1339*H1339))-N1339</f>
        <v>0</v>
      </c>
      <c r="Q1339" s="69" t="s">
        <v>19</v>
      </c>
      <c r="R1339" s="16">
        <f t="shared" ref="R1339:R1340" si="843">P1339*(J1339-(J1339*L1339)-((J1339-(J1339*L1339))*M1339))</f>
        <v>0</v>
      </c>
      <c r="S1339" s="16">
        <f>R1339/1.11</f>
        <v>0</v>
      </c>
    </row>
    <row r="1340" spans="1:19" s="73" customFormat="1" x14ac:dyDescent="0.2">
      <c r="A1340" s="184" t="s">
        <v>646</v>
      </c>
      <c r="B1340" s="73" t="s">
        <v>18</v>
      </c>
      <c r="C1340" s="71"/>
      <c r="D1340" s="74" t="s">
        <v>19</v>
      </c>
      <c r="E1340" s="75">
        <v>1</v>
      </c>
      <c r="F1340" s="76">
        <v>12</v>
      </c>
      <c r="G1340" s="77" t="s">
        <v>33</v>
      </c>
      <c r="H1340" s="76">
        <v>20</v>
      </c>
      <c r="I1340" s="77" t="s">
        <v>19</v>
      </c>
      <c r="J1340" s="78">
        <v>5350</v>
      </c>
      <c r="K1340" s="74" t="s">
        <v>19</v>
      </c>
      <c r="L1340" s="79">
        <v>0.125</v>
      </c>
      <c r="M1340" s="79">
        <v>0.05</v>
      </c>
      <c r="N1340" s="76">
        <v>240</v>
      </c>
      <c r="O1340" s="77" t="s">
        <v>19</v>
      </c>
      <c r="P1340" s="71">
        <f t="shared" ref="P1340" si="844">(C1340+(E1340*F1340*H1340))-N1340</f>
        <v>0</v>
      </c>
      <c r="Q1340" s="77" t="s">
        <v>19</v>
      </c>
      <c r="R1340" s="78">
        <f t="shared" si="843"/>
        <v>0</v>
      </c>
      <c r="S1340" s="78">
        <f t="shared" ref="S1340" si="845">R1340/1.11</f>
        <v>0</v>
      </c>
    </row>
    <row r="1341" spans="1:19" s="73" customFormat="1" x14ac:dyDescent="0.2">
      <c r="A1341" s="72" t="s">
        <v>646</v>
      </c>
      <c r="B1341" s="73" t="s">
        <v>18</v>
      </c>
      <c r="C1341" s="71"/>
      <c r="D1341" s="74" t="s">
        <v>19</v>
      </c>
      <c r="E1341" s="75"/>
      <c r="F1341" s="76">
        <v>12</v>
      </c>
      <c r="G1341" s="77" t="s">
        <v>33</v>
      </c>
      <c r="H1341" s="76">
        <v>20</v>
      </c>
      <c r="I1341" s="77" t="s">
        <v>19</v>
      </c>
      <c r="J1341" s="78">
        <v>5150</v>
      </c>
      <c r="K1341" s="74" t="s">
        <v>19</v>
      </c>
      <c r="L1341" s="79">
        <v>0.125</v>
      </c>
      <c r="M1341" s="79">
        <v>0.05</v>
      </c>
      <c r="N1341" s="76">
        <v>0</v>
      </c>
      <c r="O1341" s="77" t="s">
        <v>19</v>
      </c>
      <c r="P1341" s="71">
        <f t="shared" si="835"/>
        <v>0</v>
      </c>
      <c r="Q1341" s="77" t="s">
        <v>19</v>
      </c>
      <c r="R1341" s="78">
        <f t="shared" si="836"/>
        <v>0</v>
      </c>
      <c r="S1341" s="78">
        <f t="shared" ref="S1341" si="846">R1341/1.11</f>
        <v>0</v>
      </c>
    </row>
    <row r="1342" spans="1:19" s="73" customFormat="1" x14ac:dyDescent="0.2">
      <c r="A1342" s="184" t="s">
        <v>1051</v>
      </c>
      <c r="B1342" s="73" t="s">
        <v>18</v>
      </c>
      <c r="C1342" s="71"/>
      <c r="D1342" s="74" t="s">
        <v>19</v>
      </c>
      <c r="E1342" s="75">
        <v>1</v>
      </c>
      <c r="F1342" s="76">
        <v>1</v>
      </c>
      <c r="G1342" s="77" t="s">
        <v>20</v>
      </c>
      <c r="H1342" s="76">
        <v>100</v>
      </c>
      <c r="I1342" s="77" t="s">
        <v>19</v>
      </c>
      <c r="J1342" s="78">
        <v>18400</v>
      </c>
      <c r="K1342" s="74" t="s">
        <v>19</v>
      </c>
      <c r="L1342" s="79">
        <v>0.125</v>
      </c>
      <c r="M1342" s="79">
        <v>0.05</v>
      </c>
      <c r="N1342" s="76">
        <v>100</v>
      </c>
      <c r="O1342" s="77" t="s">
        <v>19</v>
      </c>
      <c r="P1342" s="71">
        <f t="shared" ref="P1342" si="847">(C1342+(E1342*F1342*H1342))-N1342</f>
        <v>0</v>
      </c>
      <c r="Q1342" s="77" t="s">
        <v>19</v>
      </c>
      <c r="R1342" s="78">
        <f t="shared" ref="R1342" si="848">P1342*(J1342-(J1342*L1342)-((J1342-(J1342*L1342))*M1342))</f>
        <v>0</v>
      </c>
      <c r="S1342" s="78">
        <f t="shared" ref="S1342" si="849">R1342/1.11</f>
        <v>0</v>
      </c>
    </row>
    <row r="1343" spans="1:19" s="73" customFormat="1" x14ac:dyDescent="0.2">
      <c r="A1343" s="72" t="s">
        <v>636</v>
      </c>
      <c r="B1343" s="73" t="s">
        <v>18</v>
      </c>
      <c r="C1343" s="71">
        <v>73</v>
      </c>
      <c r="D1343" s="74" t="s">
        <v>19</v>
      </c>
      <c r="E1343" s="75">
        <v>4</v>
      </c>
      <c r="F1343" s="76">
        <v>1</v>
      </c>
      <c r="G1343" s="77" t="s">
        <v>20</v>
      </c>
      <c r="H1343" s="76">
        <v>96</v>
      </c>
      <c r="I1343" s="77" t="s">
        <v>19</v>
      </c>
      <c r="J1343" s="78">
        <v>14200</v>
      </c>
      <c r="K1343" s="74" t="s">
        <v>19</v>
      </c>
      <c r="L1343" s="79">
        <v>0.125</v>
      </c>
      <c r="M1343" s="79">
        <v>0.05</v>
      </c>
      <c r="N1343" s="76">
        <v>457</v>
      </c>
      <c r="O1343" s="77" t="s">
        <v>19</v>
      </c>
      <c r="P1343" s="71">
        <f t="shared" si="835"/>
        <v>0</v>
      </c>
      <c r="Q1343" s="77" t="s">
        <v>19</v>
      </c>
      <c r="R1343" s="78">
        <f t="shared" si="836"/>
        <v>0</v>
      </c>
      <c r="S1343" s="78">
        <f t="shared" si="798"/>
        <v>0</v>
      </c>
    </row>
    <row r="1344" spans="1:19" s="64" customFormat="1" x14ac:dyDescent="0.2">
      <c r="A1344" s="63" t="s">
        <v>637</v>
      </c>
      <c r="B1344" s="64" t="s">
        <v>18</v>
      </c>
      <c r="C1344" s="65"/>
      <c r="D1344" s="66" t="s">
        <v>19</v>
      </c>
      <c r="E1344" s="67">
        <v>7</v>
      </c>
      <c r="F1344" s="68">
        <v>1</v>
      </c>
      <c r="G1344" s="69" t="s">
        <v>20</v>
      </c>
      <c r="H1344" s="68">
        <v>24</v>
      </c>
      <c r="I1344" s="69" t="s">
        <v>19</v>
      </c>
      <c r="J1344" s="16">
        <v>41000</v>
      </c>
      <c r="K1344" s="66" t="s">
        <v>19</v>
      </c>
      <c r="L1344" s="70">
        <v>0.125</v>
      </c>
      <c r="M1344" s="70">
        <v>0.05</v>
      </c>
      <c r="N1344" s="68">
        <v>168</v>
      </c>
      <c r="O1344" s="69" t="s">
        <v>19</v>
      </c>
      <c r="P1344" s="65">
        <f t="shared" si="835"/>
        <v>0</v>
      </c>
      <c r="Q1344" s="69" t="s">
        <v>19</v>
      </c>
      <c r="R1344" s="16">
        <f t="shared" si="836"/>
        <v>0</v>
      </c>
      <c r="S1344" s="16">
        <f t="shared" si="798"/>
        <v>0</v>
      </c>
    </row>
    <row r="1345" spans="1:19" s="64" customFormat="1" x14ac:dyDescent="0.2">
      <c r="A1345" s="63" t="s">
        <v>638</v>
      </c>
      <c r="B1345" s="64" t="s">
        <v>18</v>
      </c>
      <c r="C1345" s="65">
        <v>146</v>
      </c>
      <c r="D1345" s="66" t="s">
        <v>19</v>
      </c>
      <c r="E1345" s="67"/>
      <c r="F1345" s="68">
        <v>1</v>
      </c>
      <c r="G1345" s="69" t="s">
        <v>20</v>
      </c>
      <c r="H1345" s="68">
        <v>100</v>
      </c>
      <c r="I1345" s="69" t="s">
        <v>19</v>
      </c>
      <c r="J1345" s="16">
        <v>15500</v>
      </c>
      <c r="K1345" s="66" t="s">
        <v>19</v>
      </c>
      <c r="L1345" s="70">
        <v>0.125</v>
      </c>
      <c r="M1345" s="70">
        <v>0.05</v>
      </c>
      <c r="N1345" s="68">
        <v>146</v>
      </c>
      <c r="O1345" s="69" t="s">
        <v>19</v>
      </c>
      <c r="P1345" s="65">
        <f t="shared" si="835"/>
        <v>0</v>
      </c>
      <c r="Q1345" s="69" t="s">
        <v>19</v>
      </c>
      <c r="R1345" s="16">
        <f t="shared" si="836"/>
        <v>0</v>
      </c>
      <c r="S1345" s="16">
        <f t="shared" si="798"/>
        <v>0</v>
      </c>
    </row>
    <row r="1346" spans="1:19" s="64" customFormat="1" x14ac:dyDescent="0.2">
      <c r="A1346" s="184" t="s">
        <v>638</v>
      </c>
      <c r="B1346" s="64" t="s">
        <v>18</v>
      </c>
      <c r="C1346" s="65"/>
      <c r="D1346" s="66" t="s">
        <v>19</v>
      </c>
      <c r="E1346" s="67">
        <v>1</v>
      </c>
      <c r="F1346" s="68">
        <v>1</v>
      </c>
      <c r="G1346" s="69" t="s">
        <v>20</v>
      </c>
      <c r="H1346" s="68">
        <v>100</v>
      </c>
      <c r="I1346" s="69" t="s">
        <v>19</v>
      </c>
      <c r="J1346" s="16">
        <v>16400</v>
      </c>
      <c r="K1346" s="66" t="s">
        <v>19</v>
      </c>
      <c r="L1346" s="70">
        <v>0.125</v>
      </c>
      <c r="M1346" s="70">
        <v>0.05</v>
      </c>
      <c r="N1346" s="68">
        <v>100</v>
      </c>
      <c r="O1346" s="69" t="s">
        <v>19</v>
      </c>
      <c r="P1346" s="65">
        <f t="shared" ref="P1346" si="850">(C1346+(E1346*F1346*H1346))-N1346</f>
        <v>0</v>
      </c>
      <c r="Q1346" s="69" t="s">
        <v>19</v>
      </c>
      <c r="R1346" s="16">
        <f t="shared" ref="R1346" si="851">P1346*(J1346-(J1346*L1346)-((J1346-(J1346*L1346))*M1346))</f>
        <v>0</v>
      </c>
      <c r="S1346" s="16">
        <f t="shared" ref="S1346" si="852">R1346/1.11</f>
        <v>0</v>
      </c>
    </row>
    <row r="1347" spans="1:19" s="64" customFormat="1" x14ac:dyDescent="0.2">
      <c r="A1347" s="184" t="s">
        <v>638</v>
      </c>
      <c r="B1347" s="64" t="s">
        <v>18</v>
      </c>
      <c r="C1347" s="65"/>
      <c r="D1347" s="66" t="s">
        <v>19</v>
      </c>
      <c r="E1347" s="67">
        <v>3</v>
      </c>
      <c r="F1347" s="68">
        <v>1</v>
      </c>
      <c r="G1347" s="69" t="s">
        <v>20</v>
      </c>
      <c r="H1347" s="68">
        <v>100</v>
      </c>
      <c r="I1347" s="69" t="s">
        <v>19</v>
      </c>
      <c r="J1347" s="16">
        <v>17000</v>
      </c>
      <c r="K1347" s="66" t="s">
        <v>19</v>
      </c>
      <c r="L1347" s="70">
        <v>0.125</v>
      </c>
      <c r="M1347" s="70">
        <v>0.05</v>
      </c>
      <c r="N1347" s="68">
        <v>300</v>
      </c>
      <c r="O1347" s="69" t="s">
        <v>19</v>
      </c>
      <c r="P1347" s="65">
        <f t="shared" ref="P1347" si="853">(C1347+(E1347*F1347*H1347))-N1347</f>
        <v>0</v>
      </c>
      <c r="Q1347" s="69" t="s">
        <v>19</v>
      </c>
      <c r="R1347" s="16">
        <f t="shared" ref="R1347" si="854">P1347*(J1347-(J1347*L1347)-((J1347-(J1347*L1347))*M1347))</f>
        <v>0</v>
      </c>
      <c r="S1347" s="16">
        <f t="shared" ref="S1347" si="855">R1347/1.11</f>
        <v>0</v>
      </c>
    </row>
    <row r="1348" spans="1:19" s="64" customFormat="1" x14ac:dyDescent="0.2">
      <c r="A1348" s="63"/>
      <c r="C1348" s="65"/>
      <c r="D1348" s="66"/>
      <c r="E1348" s="67"/>
      <c r="F1348" s="68"/>
      <c r="G1348" s="69"/>
      <c r="H1348" s="68"/>
      <c r="I1348" s="69"/>
      <c r="J1348" s="16"/>
      <c r="K1348" s="66"/>
      <c r="L1348" s="70"/>
      <c r="M1348" s="70"/>
      <c r="N1348" s="68"/>
      <c r="O1348" s="69"/>
      <c r="P1348" s="65"/>
      <c r="Q1348" s="69"/>
      <c r="R1348" s="16"/>
      <c r="S1348" s="16"/>
    </row>
    <row r="1349" spans="1:19" s="73" customFormat="1" x14ac:dyDescent="0.2">
      <c r="A1349" s="106" t="s">
        <v>675</v>
      </c>
      <c r="B1349" s="73" t="s">
        <v>25</v>
      </c>
      <c r="C1349" s="71"/>
      <c r="D1349" s="74" t="s">
        <v>19</v>
      </c>
      <c r="E1349" s="75">
        <v>6</v>
      </c>
      <c r="F1349" s="76">
        <v>1</v>
      </c>
      <c r="G1349" s="77" t="s">
        <v>20</v>
      </c>
      <c r="H1349" s="76">
        <v>24</v>
      </c>
      <c r="I1349" s="77" t="s">
        <v>19</v>
      </c>
      <c r="J1349" s="78">
        <f>372000/24</f>
        <v>15500</v>
      </c>
      <c r="K1349" s="74" t="s">
        <v>19</v>
      </c>
      <c r="L1349" s="79"/>
      <c r="M1349" s="79">
        <v>0.17</v>
      </c>
      <c r="N1349" s="76">
        <v>144</v>
      </c>
      <c r="O1349" s="77" t="s">
        <v>19</v>
      </c>
      <c r="P1349" s="71">
        <f t="shared" ref="P1349:P1357" si="856">(C1349+(E1349*F1349*H1349))-N1349</f>
        <v>0</v>
      </c>
      <c r="Q1349" s="77" t="s">
        <v>19</v>
      </c>
      <c r="R1349" s="78">
        <f t="shared" ref="R1349:R1357" si="857">P1349*(J1349-(J1349*L1349)-((J1349-(J1349*L1349))*M1349))</f>
        <v>0</v>
      </c>
      <c r="S1349" s="78">
        <f t="shared" si="798"/>
        <v>0</v>
      </c>
    </row>
    <row r="1350" spans="1:19" s="64" customFormat="1" x14ac:dyDescent="0.2">
      <c r="A1350" s="106" t="s">
        <v>639</v>
      </c>
      <c r="B1350" s="64" t="s">
        <v>25</v>
      </c>
      <c r="C1350" s="65"/>
      <c r="D1350" s="66" t="s">
        <v>19</v>
      </c>
      <c r="E1350" s="67">
        <v>7</v>
      </c>
      <c r="F1350" s="68">
        <v>1</v>
      </c>
      <c r="G1350" s="69" t="s">
        <v>20</v>
      </c>
      <c r="H1350" s="68">
        <v>24</v>
      </c>
      <c r="I1350" s="69" t="s">
        <v>19</v>
      </c>
      <c r="J1350" s="16">
        <f>444000/24</f>
        <v>18500</v>
      </c>
      <c r="K1350" s="66" t="s">
        <v>19</v>
      </c>
      <c r="L1350" s="70"/>
      <c r="M1350" s="70">
        <v>0.17</v>
      </c>
      <c r="N1350" s="68">
        <v>168</v>
      </c>
      <c r="O1350" s="69" t="s">
        <v>19</v>
      </c>
      <c r="P1350" s="65">
        <f t="shared" si="856"/>
        <v>0</v>
      </c>
      <c r="Q1350" s="69" t="s">
        <v>19</v>
      </c>
      <c r="R1350" s="16">
        <f t="shared" si="857"/>
        <v>0</v>
      </c>
      <c r="S1350" s="16">
        <f t="shared" si="798"/>
        <v>0</v>
      </c>
    </row>
    <row r="1351" spans="1:19" s="73" customFormat="1" x14ac:dyDescent="0.2">
      <c r="A1351" s="106" t="s">
        <v>640</v>
      </c>
      <c r="B1351" s="73" t="s">
        <v>25</v>
      </c>
      <c r="C1351" s="71">
        <v>19</v>
      </c>
      <c r="D1351" s="74" t="s">
        <v>19</v>
      </c>
      <c r="E1351" s="75">
        <v>140</v>
      </c>
      <c r="F1351" s="76">
        <v>1</v>
      </c>
      <c r="G1351" s="77" t="s">
        <v>20</v>
      </c>
      <c r="H1351" s="76">
        <v>24</v>
      </c>
      <c r="I1351" s="77" t="s">
        <v>19</v>
      </c>
      <c r="J1351" s="78">
        <f>462000/24</f>
        <v>19250</v>
      </c>
      <c r="K1351" s="74" t="s">
        <v>19</v>
      </c>
      <c r="L1351" s="79"/>
      <c r="M1351" s="79">
        <v>0.17</v>
      </c>
      <c r="N1351" s="76">
        <v>3379</v>
      </c>
      <c r="O1351" s="77" t="s">
        <v>19</v>
      </c>
      <c r="P1351" s="71">
        <f t="shared" si="856"/>
        <v>0</v>
      </c>
      <c r="Q1351" s="77" t="s">
        <v>19</v>
      </c>
      <c r="R1351" s="78">
        <f t="shared" si="857"/>
        <v>0</v>
      </c>
      <c r="S1351" s="16">
        <f t="shared" si="798"/>
        <v>0</v>
      </c>
    </row>
    <row r="1352" spans="1:19" s="73" customFormat="1" x14ac:dyDescent="0.2">
      <c r="A1352" s="106" t="s">
        <v>707</v>
      </c>
      <c r="B1352" s="73" t="s">
        <v>25</v>
      </c>
      <c r="C1352" s="71">
        <v>30</v>
      </c>
      <c r="D1352" s="74" t="s">
        <v>19</v>
      </c>
      <c r="E1352" s="75">
        <v>3</v>
      </c>
      <c r="F1352" s="76">
        <v>1</v>
      </c>
      <c r="G1352" s="77" t="s">
        <v>20</v>
      </c>
      <c r="H1352" s="76">
        <v>24</v>
      </c>
      <c r="I1352" s="77" t="s">
        <v>19</v>
      </c>
      <c r="J1352" s="78">
        <f>462000/24</f>
        <v>19250</v>
      </c>
      <c r="K1352" s="74" t="s">
        <v>19</v>
      </c>
      <c r="L1352" s="79"/>
      <c r="M1352" s="79">
        <v>0.17</v>
      </c>
      <c r="N1352" s="76">
        <v>102</v>
      </c>
      <c r="O1352" s="77" t="s">
        <v>19</v>
      </c>
      <c r="P1352" s="71">
        <f t="shared" si="856"/>
        <v>0</v>
      </c>
      <c r="Q1352" s="77" t="s">
        <v>19</v>
      </c>
      <c r="R1352" s="78">
        <f t="shared" si="857"/>
        <v>0</v>
      </c>
      <c r="S1352" s="16">
        <f t="shared" si="798"/>
        <v>0</v>
      </c>
    </row>
    <row r="1353" spans="1:19" s="64" customFormat="1" x14ac:dyDescent="0.2">
      <c r="A1353" s="106" t="s">
        <v>641</v>
      </c>
      <c r="B1353" s="64" t="s">
        <v>25</v>
      </c>
      <c r="C1353" s="65"/>
      <c r="D1353" s="66" t="s">
        <v>19</v>
      </c>
      <c r="E1353" s="67"/>
      <c r="F1353" s="68">
        <v>1</v>
      </c>
      <c r="G1353" s="69" t="s">
        <v>20</v>
      </c>
      <c r="H1353" s="68">
        <v>24</v>
      </c>
      <c r="I1353" s="69" t="s">
        <v>19</v>
      </c>
      <c r="J1353" s="16">
        <v>17250</v>
      </c>
      <c r="K1353" s="66" t="s">
        <v>19</v>
      </c>
      <c r="L1353" s="70"/>
      <c r="M1353" s="70">
        <v>0.17</v>
      </c>
      <c r="N1353" s="68">
        <v>0</v>
      </c>
      <c r="O1353" s="69" t="s">
        <v>19</v>
      </c>
      <c r="P1353" s="65">
        <f t="shared" si="856"/>
        <v>0</v>
      </c>
      <c r="Q1353" s="69" t="s">
        <v>19</v>
      </c>
      <c r="R1353" s="16">
        <f t="shared" si="857"/>
        <v>0</v>
      </c>
      <c r="S1353" s="16">
        <f t="shared" si="798"/>
        <v>0</v>
      </c>
    </row>
    <row r="1354" spans="1:19" s="64" customFormat="1" x14ac:dyDescent="0.2">
      <c r="A1354" s="106" t="s">
        <v>710</v>
      </c>
      <c r="B1354" s="64" t="s">
        <v>25</v>
      </c>
      <c r="C1354" s="65"/>
      <c r="D1354" s="66" t="s">
        <v>19</v>
      </c>
      <c r="E1354" s="67">
        <v>2</v>
      </c>
      <c r="F1354" s="68">
        <v>1</v>
      </c>
      <c r="G1354" s="69" t="s">
        <v>20</v>
      </c>
      <c r="H1354" s="68">
        <v>24</v>
      </c>
      <c r="I1354" s="69" t="s">
        <v>19</v>
      </c>
      <c r="J1354" s="16">
        <f>420000/24</f>
        <v>17500</v>
      </c>
      <c r="K1354" s="66" t="s">
        <v>19</v>
      </c>
      <c r="L1354" s="70"/>
      <c r="M1354" s="70">
        <v>0.17</v>
      </c>
      <c r="N1354" s="68">
        <v>48</v>
      </c>
      <c r="O1354" s="69" t="s">
        <v>19</v>
      </c>
      <c r="P1354" s="65">
        <f t="shared" si="856"/>
        <v>0</v>
      </c>
      <c r="Q1354" s="69" t="s">
        <v>19</v>
      </c>
      <c r="R1354" s="16">
        <f t="shared" si="857"/>
        <v>0</v>
      </c>
      <c r="S1354" s="16">
        <f t="shared" si="798"/>
        <v>0</v>
      </c>
    </row>
    <row r="1355" spans="1:19" s="64" customFormat="1" x14ac:dyDescent="0.2">
      <c r="A1355" s="106" t="s">
        <v>642</v>
      </c>
      <c r="B1355" s="64" t="s">
        <v>25</v>
      </c>
      <c r="C1355" s="65">
        <v>12</v>
      </c>
      <c r="D1355" s="66" t="s">
        <v>19</v>
      </c>
      <c r="E1355" s="67">
        <v>4</v>
      </c>
      <c r="F1355" s="68">
        <v>1</v>
      </c>
      <c r="G1355" s="69" t="s">
        <v>20</v>
      </c>
      <c r="H1355" s="68">
        <v>12</v>
      </c>
      <c r="I1355" s="69" t="s">
        <v>19</v>
      </c>
      <c r="J1355" s="16">
        <f>342000/12</f>
        <v>28500</v>
      </c>
      <c r="K1355" s="66" t="s">
        <v>19</v>
      </c>
      <c r="L1355" s="70"/>
      <c r="M1355" s="70">
        <v>0.17</v>
      </c>
      <c r="N1355" s="68">
        <v>60</v>
      </c>
      <c r="O1355" s="69" t="s">
        <v>19</v>
      </c>
      <c r="P1355" s="65">
        <f t="shared" si="856"/>
        <v>0</v>
      </c>
      <c r="Q1355" s="69" t="s">
        <v>19</v>
      </c>
      <c r="R1355" s="16">
        <f t="shared" si="857"/>
        <v>0</v>
      </c>
      <c r="S1355" s="16">
        <f t="shared" si="798"/>
        <v>0</v>
      </c>
    </row>
    <row r="1356" spans="1:19" s="64" customFormat="1" x14ac:dyDescent="0.2">
      <c r="A1356" s="106" t="s">
        <v>643</v>
      </c>
      <c r="B1356" s="64" t="s">
        <v>25</v>
      </c>
      <c r="C1356" s="71"/>
      <c r="D1356" s="66" t="s">
        <v>19</v>
      </c>
      <c r="E1356" s="67">
        <v>2</v>
      </c>
      <c r="F1356" s="68">
        <v>1</v>
      </c>
      <c r="G1356" s="69" t="s">
        <v>20</v>
      </c>
      <c r="H1356" s="68">
        <v>12</v>
      </c>
      <c r="I1356" s="69" t="s">
        <v>19</v>
      </c>
      <c r="J1356" s="16">
        <f>348000/12</f>
        <v>29000</v>
      </c>
      <c r="K1356" s="66" t="s">
        <v>19</v>
      </c>
      <c r="L1356" s="70"/>
      <c r="M1356" s="70">
        <v>0.17</v>
      </c>
      <c r="N1356" s="68">
        <v>24</v>
      </c>
      <c r="O1356" s="69" t="s">
        <v>19</v>
      </c>
      <c r="P1356" s="65">
        <f t="shared" si="856"/>
        <v>0</v>
      </c>
      <c r="Q1356" s="69" t="s">
        <v>19</v>
      </c>
      <c r="R1356" s="16">
        <f t="shared" si="857"/>
        <v>0</v>
      </c>
      <c r="S1356" s="16">
        <f t="shared" si="798"/>
        <v>0</v>
      </c>
    </row>
    <row r="1357" spans="1:19" s="64" customFormat="1" x14ac:dyDescent="0.2">
      <c r="A1357" s="106" t="s">
        <v>655</v>
      </c>
      <c r="B1357" s="64" t="s">
        <v>25</v>
      </c>
      <c r="C1357" s="71"/>
      <c r="D1357" s="66" t="s">
        <v>19</v>
      </c>
      <c r="E1357" s="67">
        <v>1</v>
      </c>
      <c r="F1357" s="68">
        <v>8</v>
      </c>
      <c r="G1357" s="69" t="s">
        <v>40</v>
      </c>
      <c r="H1357" s="68">
        <v>12</v>
      </c>
      <c r="I1357" s="69" t="s">
        <v>19</v>
      </c>
      <c r="J1357" s="16">
        <f>2112000/8/12</f>
        <v>22000</v>
      </c>
      <c r="K1357" s="66" t="s">
        <v>19</v>
      </c>
      <c r="L1357" s="70"/>
      <c r="M1357" s="70">
        <v>0.17</v>
      </c>
      <c r="N1357" s="68">
        <v>96</v>
      </c>
      <c r="O1357" s="69" t="s">
        <v>19</v>
      </c>
      <c r="P1357" s="65">
        <f t="shared" si="856"/>
        <v>0</v>
      </c>
      <c r="Q1357" s="69" t="s">
        <v>19</v>
      </c>
      <c r="R1357" s="16">
        <f t="shared" si="857"/>
        <v>0</v>
      </c>
      <c r="S1357" s="16">
        <f t="shared" si="798"/>
        <v>0</v>
      </c>
    </row>
    <row r="1358" spans="1:19" x14ac:dyDescent="0.2">
      <c r="A1358" s="44"/>
      <c r="C1358" s="20"/>
    </row>
    <row r="1359" spans="1:19" s="19" customFormat="1" x14ac:dyDescent="0.2">
      <c r="A1359" s="44" t="s">
        <v>644</v>
      </c>
      <c r="B1359" s="19" t="s">
        <v>181</v>
      </c>
      <c r="C1359" s="20"/>
      <c r="D1359" s="21" t="s">
        <v>40</v>
      </c>
      <c r="E1359" s="26">
        <v>10</v>
      </c>
      <c r="F1359" s="22">
        <v>48</v>
      </c>
      <c r="G1359" s="23" t="s">
        <v>33</v>
      </c>
      <c r="H1359" s="22">
        <v>1</v>
      </c>
      <c r="I1359" s="23" t="s">
        <v>40</v>
      </c>
      <c r="J1359" s="24">
        <v>92000</v>
      </c>
      <c r="K1359" s="21" t="s">
        <v>40</v>
      </c>
      <c r="L1359" s="62">
        <v>0.27927000000000002</v>
      </c>
      <c r="M1359" s="25"/>
      <c r="N1359" s="22">
        <f>480-384</f>
        <v>96</v>
      </c>
      <c r="O1359" s="23" t="s">
        <v>40</v>
      </c>
      <c r="P1359" s="20">
        <f>(C1359+(E1359*F1359*H1359))-N1359</f>
        <v>384</v>
      </c>
      <c r="Q1359" s="23" t="s">
        <v>40</v>
      </c>
      <c r="R1359" s="24">
        <f>P1359*(J1359-(J1359*L1359)-((J1359-(J1359*L1359))*M1359))</f>
        <v>25461949.440000001</v>
      </c>
      <c r="S1359" s="24">
        <f t="shared" ref="S1359" si="858">R1359/1.11</f>
        <v>22938693.189189188</v>
      </c>
    </row>
    <row r="1360" spans="1:19" s="19" customFormat="1" x14ac:dyDescent="0.2">
      <c r="A1360" s="44"/>
      <c r="C1360" s="20"/>
      <c r="D1360" s="21"/>
      <c r="E1360" s="26"/>
      <c r="F1360" s="22"/>
      <c r="G1360" s="23"/>
      <c r="H1360" s="22"/>
      <c r="I1360" s="23"/>
      <c r="J1360" s="24"/>
      <c r="K1360" s="21"/>
      <c r="L1360" s="25"/>
      <c r="M1360" s="25"/>
      <c r="N1360" s="22"/>
      <c r="O1360" s="23"/>
      <c r="P1360" s="20"/>
      <c r="Q1360" s="23"/>
      <c r="R1360" s="24"/>
      <c r="S1360" s="8"/>
    </row>
    <row r="1361" spans="1:19" s="64" customFormat="1" x14ac:dyDescent="0.2">
      <c r="A1361" s="106" t="s">
        <v>645</v>
      </c>
      <c r="B1361" s="64" t="s">
        <v>596</v>
      </c>
      <c r="C1361" s="71"/>
      <c r="D1361" s="66" t="s">
        <v>19</v>
      </c>
      <c r="E1361" s="67"/>
      <c r="F1361" s="68">
        <v>1</v>
      </c>
      <c r="G1361" s="69" t="s">
        <v>20</v>
      </c>
      <c r="H1361" s="68">
        <v>24</v>
      </c>
      <c r="I1361" s="69" t="s">
        <v>19</v>
      </c>
      <c r="J1361" s="16">
        <v>18200</v>
      </c>
      <c r="K1361" s="66" t="s">
        <v>19</v>
      </c>
      <c r="L1361" s="70">
        <v>0.15</v>
      </c>
      <c r="M1361" s="70">
        <v>0.03</v>
      </c>
      <c r="N1361" s="68"/>
      <c r="O1361" s="69" t="s">
        <v>19</v>
      </c>
      <c r="P1361" s="65">
        <f>(C1361+(E1361*F1361*H1361))-N1361</f>
        <v>0</v>
      </c>
      <c r="Q1361" s="69" t="s">
        <v>19</v>
      </c>
      <c r="R1361" s="16">
        <f>P1361*(J1361-(J1361*L1361)-((J1361-(J1361*L1361))*M1361))</f>
        <v>0</v>
      </c>
      <c r="S1361" s="16">
        <f t="shared" ref="S1361" si="859">R1361/1.11</f>
        <v>0</v>
      </c>
    </row>
    <row r="1362" spans="1:19" x14ac:dyDescent="0.2">
      <c r="C1362" s="20"/>
    </row>
    <row r="1363" spans="1:19" ht="15.75" x14ac:dyDescent="0.25">
      <c r="A1363" s="14" t="s">
        <v>649</v>
      </c>
      <c r="C1363" s="20"/>
    </row>
    <row r="1364" spans="1:19" x14ac:dyDescent="0.2">
      <c r="A1364" s="15" t="s">
        <v>1076</v>
      </c>
      <c r="C1364" s="20"/>
    </row>
    <row r="1365" spans="1:19" s="73" customFormat="1" x14ac:dyDescent="0.2">
      <c r="A1365" s="72" t="s">
        <v>650</v>
      </c>
      <c r="B1365" s="73" t="s">
        <v>18</v>
      </c>
      <c r="C1365" s="71"/>
      <c r="D1365" s="74" t="s">
        <v>19</v>
      </c>
      <c r="E1365" s="75"/>
      <c r="F1365" s="76">
        <v>1</v>
      </c>
      <c r="G1365" s="77" t="s">
        <v>20</v>
      </c>
      <c r="H1365" s="76">
        <v>100</v>
      </c>
      <c r="I1365" s="77" t="s">
        <v>19</v>
      </c>
      <c r="J1365" s="78">
        <v>8400</v>
      </c>
      <c r="K1365" s="74" t="s">
        <v>19</v>
      </c>
      <c r="L1365" s="79">
        <v>0.125</v>
      </c>
      <c r="M1365" s="79">
        <v>0.05</v>
      </c>
      <c r="N1365" s="76"/>
      <c r="O1365" s="77" t="s">
        <v>19</v>
      </c>
      <c r="P1365" s="71">
        <f>(C1365+(E1365*F1365*H1365))-N1365</f>
        <v>0</v>
      </c>
      <c r="Q1365" s="77" t="s">
        <v>19</v>
      </c>
      <c r="R1365" s="78">
        <f>P1365*(J1365-(J1365*L1365)-((J1365-(J1365*L1365))*M1365))</f>
        <v>0</v>
      </c>
      <c r="S1365" s="78">
        <f t="shared" ref="S1365" si="860">R1365/1.11</f>
        <v>0</v>
      </c>
    </row>
    <row r="1366" spans="1:19" x14ac:dyDescent="0.2">
      <c r="C1366" s="20"/>
    </row>
    <row r="1367" spans="1:19" x14ac:dyDescent="0.2">
      <c r="A1367" s="15" t="s">
        <v>1052</v>
      </c>
      <c r="C1367" s="20"/>
    </row>
    <row r="1368" spans="1:19" s="90" customFormat="1" x14ac:dyDescent="0.2">
      <c r="A1368" s="82" t="s">
        <v>1053</v>
      </c>
      <c r="B1368" s="90" t="s">
        <v>171</v>
      </c>
      <c r="C1368" s="91"/>
      <c r="D1368" s="92" t="s">
        <v>19</v>
      </c>
      <c r="E1368" s="93">
        <v>5</v>
      </c>
      <c r="F1368" s="94">
        <v>1</v>
      </c>
      <c r="G1368" s="95" t="s">
        <v>20</v>
      </c>
      <c r="H1368" s="94">
        <v>240</v>
      </c>
      <c r="I1368" s="95" t="s">
        <v>19</v>
      </c>
      <c r="J1368" s="96">
        <v>10000</v>
      </c>
      <c r="K1368" s="92" t="s">
        <v>19</v>
      </c>
      <c r="L1368" s="97">
        <v>7.0000000000000007E-2</v>
      </c>
      <c r="M1368" s="97"/>
      <c r="N1368" s="94">
        <f>1200-480</f>
        <v>720</v>
      </c>
      <c r="O1368" s="95" t="s">
        <v>19</v>
      </c>
      <c r="P1368" s="91">
        <f>(C1368+(E1368*F1368*H1368))-N1368</f>
        <v>480</v>
      </c>
      <c r="Q1368" s="95" t="s">
        <v>19</v>
      </c>
      <c r="R1368" s="96">
        <f>P1368*(J1368-(J1368*L1368)-((J1368-(J1368*L1368))*M1368))</f>
        <v>4464000</v>
      </c>
      <c r="S1368" s="96">
        <f t="shared" ref="S1368" si="861">R1368/1.11</f>
        <v>4021621.6216216213</v>
      </c>
    </row>
    <row r="1369" spans="1:19" s="73" customFormat="1" x14ac:dyDescent="0.2">
      <c r="A1369" s="72" t="s">
        <v>1059</v>
      </c>
      <c r="B1369" s="73" t="s">
        <v>171</v>
      </c>
      <c r="C1369" s="71"/>
      <c r="D1369" s="74" t="s">
        <v>19</v>
      </c>
      <c r="E1369" s="75">
        <v>2</v>
      </c>
      <c r="F1369" s="76">
        <v>1</v>
      </c>
      <c r="G1369" s="77" t="s">
        <v>20</v>
      </c>
      <c r="H1369" s="76">
        <v>240</v>
      </c>
      <c r="I1369" s="77" t="s">
        <v>19</v>
      </c>
      <c r="J1369" s="78">
        <v>12500</v>
      </c>
      <c r="K1369" s="74" t="s">
        <v>19</v>
      </c>
      <c r="L1369" s="79">
        <v>7.0000000000000007E-2</v>
      </c>
      <c r="M1369" s="79"/>
      <c r="N1369" s="76">
        <v>480</v>
      </c>
      <c r="O1369" s="77" t="s">
        <v>19</v>
      </c>
      <c r="P1369" s="71">
        <f>(C1369+(E1369*F1369*H1369))-N1369</f>
        <v>0</v>
      </c>
      <c r="Q1369" s="77" t="s">
        <v>19</v>
      </c>
      <c r="R1369" s="78">
        <f>P1369*(J1369-(J1369*L1369)-((J1369-(J1369*L1369))*M1369))</f>
        <v>0</v>
      </c>
      <c r="S1369" s="78">
        <f t="shared" ref="S1369:S1370" si="862">R1369/1.11</f>
        <v>0</v>
      </c>
    </row>
    <row r="1370" spans="1:19" s="90" customFormat="1" x14ac:dyDescent="0.2">
      <c r="A1370" s="82" t="s">
        <v>1060</v>
      </c>
      <c r="B1370" s="90" t="s">
        <v>171</v>
      </c>
      <c r="C1370" s="91"/>
      <c r="D1370" s="92" t="s">
        <v>19</v>
      </c>
      <c r="E1370" s="93">
        <v>5</v>
      </c>
      <c r="F1370" s="94">
        <v>1</v>
      </c>
      <c r="G1370" s="95" t="s">
        <v>20</v>
      </c>
      <c r="H1370" s="94">
        <v>120</v>
      </c>
      <c r="I1370" s="95" t="s">
        <v>19</v>
      </c>
      <c r="J1370" s="96">
        <v>15000</v>
      </c>
      <c r="K1370" s="92" t="s">
        <v>19</v>
      </c>
      <c r="L1370" s="97">
        <v>7.0000000000000007E-2</v>
      </c>
      <c r="M1370" s="97"/>
      <c r="N1370" s="94">
        <f>600-120</f>
        <v>480</v>
      </c>
      <c r="O1370" s="95" t="s">
        <v>19</v>
      </c>
      <c r="P1370" s="91">
        <f>(C1370+(E1370*F1370*H1370))-N1370</f>
        <v>120</v>
      </c>
      <c r="Q1370" s="95" t="s">
        <v>19</v>
      </c>
      <c r="R1370" s="96">
        <f>P1370*(J1370-(J1370*L1370)-((J1370-(J1370*L1370))*M1370))</f>
        <v>1674000</v>
      </c>
      <c r="S1370" s="96">
        <f t="shared" si="862"/>
        <v>1508108.1081081079</v>
      </c>
    </row>
    <row r="1371" spans="1:19" s="73" customFormat="1" x14ac:dyDescent="0.2">
      <c r="A1371" s="72"/>
      <c r="C1371" s="71"/>
      <c r="D1371" s="74"/>
      <c r="E1371" s="75"/>
      <c r="F1371" s="76"/>
      <c r="G1371" s="77"/>
      <c r="H1371" s="76"/>
      <c r="I1371" s="77"/>
      <c r="J1371" s="78"/>
      <c r="K1371" s="74"/>
      <c r="L1371" s="79"/>
      <c r="M1371" s="79"/>
      <c r="N1371" s="76"/>
      <c r="O1371" s="77"/>
      <c r="P1371" s="71"/>
      <c r="Q1371" s="77"/>
      <c r="R1371" s="78"/>
      <c r="S1371" s="78"/>
    </row>
    <row r="1372" spans="1:19" x14ac:dyDescent="0.2">
      <c r="A1372" s="57" t="s">
        <v>799</v>
      </c>
      <c r="C1372" s="20"/>
    </row>
    <row r="1373" spans="1:19" s="73" customFormat="1" x14ac:dyDescent="0.2">
      <c r="A1373" s="72" t="s">
        <v>1095</v>
      </c>
      <c r="B1373" s="73" t="s">
        <v>45</v>
      </c>
      <c r="C1373" s="71">
        <v>14</v>
      </c>
      <c r="D1373" s="74" t="s">
        <v>19</v>
      </c>
      <c r="E1373" s="75"/>
      <c r="F1373" s="76">
        <v>4</v>
      </c>
      <c r="G1373" s="77" t="s">
        <v>33</v>
      </c>
      <c r="H1373" s="76">
        <v>12</v>
      </c>
      <c r="I1373" s="77" t="s">
        <v>19</v>
      </c>
      <c r="J1373" s="78"/>
      <c r="K1373" s="74" t="s">
        <v>19</v>
      </c>
      <c r="L1373" s="79">
        <v>0.1</v>
      </c>
      <c r="M1373" s="79">
        <v>0.05</v>
      </c>
      <c r="N1373" s="76">
        <v>14</v>
      </c>
      <c r="O1373" s="77" t="s">
        <v>19</v>
      </c>
      <c r="P1373" s="71">
        <f>(C1373+(E1373*F1373*H1373))-N1373</f>
        <v>0</v>
      </c>
      <c r="Q1373" s="77" t="s">
        <v>19</v>
      </c>
      <c r="R1373" s="78">
        <f>P1373*(J1373-(J1373*L1373)-((J1373-(J1373*L1373))*M1373))</f>
        <v>0</v>
      </c>
      <c r="S1373" s="78">
        <f t="shared" ref="S1373" si="863">R1373/1.11</f>
        <v>0</v>
      </c>
    </row>
    <row r="1374" spans="1:19" x14ac:dyDescent="0.2">
      <c r="A1374" s="57" t="s">
        <v>1061</v>
      </c>
      <c r="C1374" s="20"/>
    </row>
    <row r="1375" spans="1:19" s="73" customFormat="1" x14ac:dyDescent="0.2">
      <c r="A1375" s="72" t="s">
        <v>1096</v>
      </c>
      <c r="B1375" s="73" t="s">
        <v>45</v>
      </c>
      <c r="C1375" s="71"/>
      <c r="D1375" s="74" t="s">
        <v>19</v>
      </c>
      <c r="E1375" s="75">
        <v>1</v>
      </c>
      <c r="F1375" s="76">
        <v>1</v>
      </c>
      <c r="G1375" s="77" t="s">
        <v>20</v>
      </c>
      <c r="H1375" s="76">
        <v>5</v>
      </c>
      <c r="I1375" s="77" t="s">
        <v>19</v>
      </c>
      <c r="J1375" s="78">
        <v>56000</v>
      </c>
      <c r="K1375" s="74" t="s">
        <v>19</v>
      </c>
      <c r="L1375" s="79">
        <v>0.1</v>
      </c>
      <c r="M1375" s="79">
        <v>0.05</v>
      </c>
      <c r="N1375" s="76">
        <v>5</v>
      </c>
      <c r="O1375" s="77" t="s">
        <v>19</v>
      </c>
      <c r="P1375" s="71">
        <f>(C1375+(E1375*F1375*H1375))-N1375</f>
        <v>0</v>
      </c>
      <c r="Q1375" s="77" t="s">
        <v>19</v>
      </c>
      <c r="R1375" s="78">
        <f>P1375*(J1375-(J1375*L1375)-((J1375-(J1375*L1375))*M1375))</f>
        <v>0</v>
      </c>
      <c r="S1375" s="78">
        <f t="shared" ref="S1375" si="864">R1375/1.11</f>
        <v>0</v>
      </c>
    </row>
    <row r="1376" spans="1:19" x14ac:dyDescent="0.2">
      <c r="A1376" s="15" t="s">
        <v>930</v>
      </c>
      <c r="R1376" s="16"/>
      <c r="S1376" s="16"/>
    </row>
    <row r="1377" spans="1:19" s="64" customFormat="1" x14ac:dyDescent="0.2">
      <c r="A1377" s="63" t="s">
        <v>931</v>
      </c>
      <c r="B1377" s="64" t="s">
        <v>18</v>
      </c>
      <c r="C1377" s="65">
        <v>114</v>
      </c>
      <c r="D1377" s="66" t="s">
        <v>19</v>
      </c>
      <c r="E1377" s="67"/>
      <c r="F1377" s="68">
        <v>1</v>
      </c>
      <c r="G1377" s="69" t="s">
        <v>20</v>
      </c>
      <c r="H1377" s="68">
        <v>50</v>
      </c>
      <c r="I1377" s="69" t="s">
        <v>830</v>
      </c>
      <c r="J1377" s="78">
        <v>40000</v>
      </c>
      <c r="K1377" s="74" t="s">
        <v>19</v>
      </c>
      <c r="L1377" s="79"/>
      <c r="M1377" s="79"/>
      <c r="N1377" s="76">
        <v>114</v>
      </c>
      <c r="O1377" s="77" t="s">
        <v>19</v>
      </c>
      <c r="P1377" s="71">
        <f>(C1377+(E1377*F1377*H1377))-N1377</f>
        <v>0</v>
      </c>
      <c r="Q1377" s="77" t="s">
        <v>19</v>
      </c>
      <c r="R1377" s="78">
        <f>P1377*(J1377-(J1377*L1377)-((J1377-(J1377*L1377))*M1377))</f>
        <v>0</v>
      </c>
      <c r="S1377" s="78">
        <f t="shared" ref="S1377" si="865">R1377/1.11</f>
        <v>0</v>
      </c>
    </row>
    <row r="1378" spans="1:19" x14ac:dyDescent="0.2">
      <c r="A1378" s="15" t="s">
        <v>909</v>
      </c>
      <c r="R1378" s="16"/>
      <c r="S1378" s="16"/>
    </row>
    <row r="1379" spans="1:19" s="64" customFormat="1" x14ac:dyDescent="0.2">
      <c r="A1379" s="63" t="s">
        <v>1097</v>
      </c>
      <c r="B1379" s="73" t="s">
        <v>45</v>
      </c>
      <c r="C1379" s="65">
        <v>5</v>
      </c>
      <c r="D1379" s="66" t="s">
        <v>19</v>
      </c>
      <c r="E1379" s="67"/>
      <c r="F1379" s="68">
        <v>15</v>
      </c>
      <c r="G1379" s="69" t="s">
        <v>33</v>
      </c>
      <c r="H1379" s="68">
        <v>20</v>
      </c>
      <c r="I1379" s="69" t="s">
        <v>830</v>
      </c>
      <c r="J1379" s="78">
        <v>42900</v>
      </c>
      <c r="K1379" s="74" t="s">
        <v>19</v>
      </c>
      <c r="L1379" s="79">
        <v>0.1</v>
      </c>
      <c r="M1379" s="79">
        <v>0.05</v>
      </c>
      <c r="N1379" s="76">
        <v>5</v>
      </c>
      <c r="O1379" s="77" t="s">
        <v>19</v>
      </c>
      <c r="P1379" s="71">
        <f>(C1379+(E1379*F1379*H1379))-N1379</f>
        <v>0</v>
      </c>
      <c r="Q1379" s="77" t="s">
        <v>19</v>
      </c>
      <c r="R1379" s="78">
        <f>P1379*(J1379-(J1379*L1379)-((J1379-(J1379*L1379))*M1379))</f>
        <v>0</v>
      </c>
      <c r="S1379" s="78">
        <f t="shared" ref="S1379" si="866">R1379/1.11</f>
        <v>0</v>
      </c>
    </row>
    <row r="1381" spans="1:19" x14ac:dyDescent="0.2">
      <c r="S1381" s="8">
        <f>SUM(S6:S1380)</f>
        <v>1822168604.5675671</v>
      </c>
    </row>
  </sheetData>
  <sortState ref="A57:U103">
    <sortCondition ref="A57"/>
  </sortState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5"/>
  <sheetViews>
    <sheetView topLeftCell="A214" workbookViewId="0"/>
  </sheetViews>
  <sheetFormatPr defaultRowHeight="16.5" x14ac:dyDescent="0.3"/>
  <cols>
    <col min="1" max="1" width="59" style="167" bestFit="1" customWidth="1"/>
    <col min="2" max="2" width="30.140625" style="141" bestFit="1" customWidth="1"/>
    <col min="3" max="3" width="6.5703125" style="168" bestFit="1" customWidth="1"/>
    <col min="4" max="4" width="5" style="169" bestFit="1" customWidth="1"/>
    <col min="5" max="16384" width="9.140625" style="140"/>
  </cols>
  <sheetData>
    <row r="1" spans="1:4" x14ac:dyDescent="0.3">
      <c r="A1" s="143" t="s">
        <v>16</v>
      </c>
      <c r="B1" s="144"/>
      <c r="C1" s="145"/>
      <c r="D1" s="146"/>
    </row>
    <row r="2" spans="1:4" x14ac:dyDescent="0.3">
      <c r="A2" s="147" t="s">
        <v>17</v>
      </c>
      <c r="B2" s="147" t="s">
        <v>18</v>
      </c>
      <c r="C2" s="148"/>
      <c r="D2" s="149" t="s">
        <v>19</v>
      </c>
    </row>
    <row r="3" spans="1:4" x14ac:dyDescent="0.3">
      <c r="A3" s="147" t="s">
        <v>1037</v>
      </c>
      <c r="B3" s="147" t="s">
        <v>18</v>
      </c>
      <c r="C3" s="148"/>
      <c r="D3" s="149" t="s">
        <v>19</v>
      </c>
    </row>
    <row r="4" spans="1:4" x14ac:dyDescent="0.3">
      <c r="A4" s="150" t="s">
        <v>731</v>
      </c>
      <c r="B4" s="150" t="s">
        <v>18</v>
      </c>
      <c r="C4" s="151"/>
      <c r="D4" s="152" t="s">
        <v>19</v>
      </c>
    </row>
    <row r="5" spans="1:4" x14ac:dyDescent="0.3">
      <c r="A5" s="150" t="s">
        <v>21</v>
      </c>
      <c r="B5" s="150" t="s">
        <v>18</v>
      </c>
      <c r="C5" s="151"/>
      <c r="D5" s="152" t="s">
        <v>19</v>
      </c>
    </row>
    <row r="6" spans="1:4" x14ac:dyDescent="0.3">
      <c r="A6" s="150" t="s">
        <v>22</v>
      </c>
      <c r="B6" s="150" t="s">
        <v>18</v>
      </c>
      <c r="C6" s="151"/>
      <c r="D6" s="152" t="s">
        <v>19</v>
      </c>
    </row>
    <row r="7" spans="1:4" x14ac:dyDescent="0.3">
      <c r="A7" s="150" t="s">
        <v>23</v>
      </c>
      <c r="B7" s="150" t="s">
        <v>18</v>
      </c>
      <c r="C7" s="151"/>
      <c r="D7" s="152" t="s">
        <v>19</v>
      </c>
    </row>
    <row r="8" spans="1:4" x14ac:dyDescent="0.3">
      <c r="A8" s="144" t="s">
        <v>938</v>
      </c>
      <c r="B8" s="147" t="s">
        <v>18</v>
      </c>
      <c r="C8" s="145"/>
      <c r="D8" s="149" t="s">
        <v>19</v>
      </c>
    </row>
    <row r="9" spans="1:4" x14ac:dyDescent="0.3">
      <c r="A9" s="144" t="s">
        <v>939</v>
      </c>
      <c r="B9" s="147" t="s">
        <v>18</v>
      </c>
      <c r="C9" s="145"/>
      <c r="D9" s="149" t="s">
        <v>19</v>
      </c>
    </row>
    <row r="10" spans="1:4" x14ac:dyDescent="0.3">
      <c r="A10" s="144" t="s">
        <v>1007</v>
      </c>
      <c r="B10" s="144" t="s">
        <v>18</v>
      </c>
      <c r="C10" s="145"/>
      <c r="D10" s="146" t="s">
        <v>19</v>
      </c>
    </row>
    <row r="11" spans="1:4" x14ac:dyDescent="0.3">
      <c r="A11" s="144" t="s">
        <v>940</v>
      </c>
      <c r="B11" s="147" t="s">
        <v>18</v>
      </c>
      <c r="C11" s="145"/>
      <c r="D11" s="149" t="s">
        <v>19</v>
      </c>
    </row>
    <row r="12" spans="1:4" x14ac:dyDescent="0.3">
      <c r="A12" s="144" t="s">
        <v>979</v>
      </c>
      <c r="B12" s="147" t="s">
        <v>18</v>
      </c>
      <c r="C12" s="145"/>
      <c r="D12" s="149" t="s">
        <v>19</v>
      </c>
    </row>
    <row r="13" spans="1:4" x14ac:dyDescent="0.3">
      <c r="A13" s="150" t="s">
        <v>24</v>
      </c>
      <c r="B13" s="150" t="s">
        <v>25</v>
      </c>
      <c r="C13" s="151"/>
      <c r="D13" s="152" t="s">
        <v>19</v>
      </c>
    </row>
    <row r="14" spans="1:4" x14ac:dyDescent="0.3">
      <c r="A14" s="144" t="s">
        <v>26</v>
      </c>
      <c r="B14" s="144" t="s">
        <v>25</v>
      </c>
      <c r="C14" s="145"/>
      <c r="D14" s="146" t="s">
        <v>19</v>
      </c>
    </row>
    <row r="15" spans="1:4" x14ac:dyDescent="0.3">
      <c r="A15" s="150" t="s">
        <v>27</v>
      </c>
      <c r="B15" s="150" t="s">
        <v>25</v>
      </c>
      <c r="C15" s="151"/>
      <c r="D15" s="152" t="s">
        <v>19</v>
      </c>
    </row>
    <row r="16" spans="1:4" x14ac:dyDescent="0.3">
      <c r="A16" s="147" t="s">
        <v>705</v>
      </c>
      <c r="B16" s="147" t="s">
        <v>25</v>
      </c>
      <c r="C16" s="148"/>
      <c r="D16" s="149" t="s">
        <v>19</v>
      </c>
    </row>
    <row r="17" spans="1:4" x14ac:dyDescent="0.3">
      <c r="A17" s="150" t="s">
        <v>28</v>
      </c>
      <c r="B17" s="150" t="s">
        <v>25</v>
      </c>
      <c r="C17" s="151"/>
      <c r="D17" s="152" t="s">
        <v>19</v>
      </c>
    </row>
    <row r="18" spans="1:4" x14ac:dyDescent="0.3">
      <c r="A18" s="150" t="s">
        <v>29</v>
      </c>
      <c r="B18" s="150" t="s">
        <v>25</v>
      </c>
      <c r="C18" s="151"/>
      <c r="D18" s="152" t="s">
        <v>19</v>
      </c>
    </row>
    <row r="19" spans="1:4" x14ac:dyDescent="0.3">
      <c r="A19" s="150" t="s">
        <v>30</v>
      </c>
      <c r="B19" s="150" t="s">
        <v>25</v>
      </c>
      <c r="C19" s="151"/>
      <c r="D19" s="152" t="s">
        <v>19</v>
      </c>
    </row>
    <row r="20" spans="1:4" x14ac:dyDescent="0.3">
      <c r="A20" s="147" t="s">
        <v>1038</v>
      </c>
      <c r="B20" s="147" t="s">
        <v>171</v>
      </c>
      <c r="C20" s="148"/>
      <c r="D20" s="149" t="s">
        <v>19</v>
      </c>
    </row>
    <row r="21" spans="1:4" x14ac:dyDescent="0.3">
      <c r="A21" s="143" t="s">
        <v>31</v>
      </c>
      <c r="B21" s="144"/>
      <c r="C21" s="145"/>
      <c r="D21" s="146"/>
    </row>
    <row r="22" spans="1:4" x14ac:dyDescent="0.3">
      <c r="A22" s="144" t="s">
        <v>32</v>
      </c>
      <c r="B22" s="144" t="s">
        <v>18</v>
      </c>
      <c r="C22" s="145"/>
      <c r="D22" s="146" t="s">
        <v>33</v>
      </c>
    </row>
    <row r="23" spans="1:4" x14ac:dyDescent="0.3">
      <c r="A23" s="144" t="s">
        <v>980</v>
      </c>
      <c r="B23" s="144" t="s">
        <v>18</v>
      </c>
      <c r="C23" s="145"/>
      <c r="D23" s="146" t="s">
        <v>33</v>
      </c>
    </row>
    <row r="24" spans="1:4" x14ac:dyDescent="0.3">
      <c r="A24" s="144" t="s">
        <v>824</v>
      </c>
      <c r="B24" s="144" t="s">
        <v>18</v>
      </c>
      <c r="C24" s="145"/>
      <c r="D24" s="146" t="s">
        <v>33</v>
      </c>
    </row>
    <row r="25" spans="1:4" x14ac:dyDescent="0.3">
      <c r="A25" s="147" t="s">
        <v>836</v>
      </c>
      <c r="B25" s="147" t="s">
        <v>18</v>
      </c>
      <c r="C25" s="148"/>
      <c r="D25" s="149" t="s">
        <v>33</v>
      </c>
    </row>
    <row r="26" spans="1:4" x14ac:dyDescent="0.3">
      <c r="A26" s="150" t="s">
        <v>693</v>
      </c>
      <c r="B26" s="150" t="s">
        <v>18</v>
      </c>
      <c r="C26" s="151"/>
      <c r="D26" s="152" t="s">
        <v>33</v>
      </c>
    </row>
    <row r="27" spans="1:4" x14ac:dyDescent="0.3">
      <c r="A27" s="144" t="s">
        <v>832</v>
      </c>
      <c r="B27" s="144" t="s">
        <v>18</v>
      </c>
      <c r="C27" s="145"/>
      <c r="D27" s="146" t="s">
        <v>33</v>
      </c>
    </row>
    <row r="28" spans="1:4" x14ac:dyDescent="0.3">
      <c r="A28" s="147" t="s">
        <v>34</v>
      </c>
      <c r="B28" s="147" t="s">
        <v>18</v>
      </c>
      <c r="C28" s="148"/>
      <c r="D28" s="149" t="s">
        <v>33</v>
      </c>
    </row>
    <row r="29" spans="1:4" x14ac:dyDescent="0.3">
      <c r="A29" s="150" t="s">
        <v>35</v>
      </c>
      <c r="B29" s="150" t="s">
        <v>18</v>
      </c>
      <c r="C29" s="151"/>
      <c r="D29" s="152" t="s">
        <v>33</v>
      </c>
    </row>
    <row r="30" spans="1:4" x14ac:dyDescent="0.3">
      <c r="A30" s="144" t="s">
        <v>761</v>
      </c>
      <c r="B30" s="144" t="s">
        <v>25</v>
      </c>
      <c r="C30" s="145"/>
      <c r="D30" s="146" t="s">
        <v>33</v>
      </c>
    </row>
    <row r="31" spans="1:4" x14ac:dyDescent="0.3">
      <c r="A31" s="147" t="s">
        <v>750</v>
      </c>
      <c r="B31" s="147" t="s">
        <v>25</v>
      </c>
      <c r="C31" s="148"/>
      <c r="D31" s="149" t="s">
        <v>40</v>
      </c>
    </row>
    <row r="32" spans="1:4" x14ac:dyDescent="0.3">
      <c r="A32" s="150" t="s">
        <v>837</v>
      </c>
      <c r="B32" s="150" t="s">
        <v>25</v>
      </c>
      <c r="C32" s="151"/>
      <c r="D32" s="152" t="s">
        <v>40</v>
      </c>
    </row>
    <row r="33" spans="1:4" x14ac:dyDescent="0.3">
      <c r="A33" s="150" t="s">
        <v>838</v>
      </c>
      <c r="B33" s="150" t="s">
        <v>25</v>
      </c>
      <c r="C33" s="151"/>
      <c r="D33" s="152" t="s">
        <v>40</v>
      </c>
    </row>
    <row r="34" spans="1:4" x14ac:dyDescent="0.3">
      <c r="A34" s="150" t="s">
        <v>678</v>
      </c>
      <c r="B34" s="150" t="s">
        <v>25</v>
      </c>
      <c r="C34" s="151"/>
      <c r="D34" s="152" t="s">
        <v>33</v>
      </c>
    </row>
    <row r="35" spans="1:4" x14ac:dyDescent="0.3">
      <c r="A35" s="143" t="s">
        <v>37</v>
      </c>
      <c r="B35" s="144"/>
      <c r="C35" s="145"/>
      <c r="D35" s="146"/>
    </row>
    <row r="36" spans="1:4" x14ac:dyDescent="0.3">
      <c r="A36" s="144" t="s">
        <v>807</v>
      </c>
      <c r="B36" s="144" t="s">
        <v>18</v>
      </c>
      <c r="C36" s="145"/>
      <c r="D36" s="146" t="s">
        <v>19</v>
      </c>
    </row>
    <row r="37" spans="1:4" x14ac:dyDescent="0.3">
      <c r="A37" s="150" t="s">
        <v>38</v>
      </c>
      <c r="B37" s="150" t="s">
        <v>18</v>
      </c>
      <c r="C37" s="151"/>
      <c r="D37" s="152" t="s">
        <v>19</v>
      </c>
    </row>
    <row r="38" spans="1:4" x14ac:dyDescent="0.3">
      <c r="A38" s="147" t="s">
        <v>39</v>
      </c>
      <c r="B38" s="147" t="s">
        <v>25</v>
      </c>
      <c r="C38" s="148"/>
      <c r="D38" s="149" t="s">
        <v>40</v>
      </c>
    </row>
    <row r="39" spans="1:4" s="141" customFormat="1" x14ac:dyDescent="0.3">
      <c r="A39" s="144" t="s">
        <v>41</v>
      </c>
      <c r="B39" s="144" t="s">
        <v>25</v>
      </c>
      <c r="C39" s="145"/>
      <c r="D39" s="146" t="s">
        <v>40</v>
      </c>
    </row>
    <row r="40" spans="1:4" x14ac:dyDescent="0.3">
      <c r="A40" s="147" t="s">
        <v>897</v>
      </c>
      <c r="B40" s="147" t="s">
        <v>25</v>
      </c>
      <c r="C40" s="148"/>
      <c r="D40" s="149" t="s">
        <v>40</v>
      </c>
    </row>
    <row r="41" spans="1:4" x14ac:dyDescent="0.3">
      <c r="A41" s="147" t="s">
        <v>42</v>
      </c>
      <c r="B41" s="147" t="s">
        <v>25</v>
      </c>
      <c r="C41" s="148"/>
      <c r="D41" s="149" t="s">
        <v>40</v>
      </c>
    </row>
    <row r="42" spans="1:4" x14ac:dyDescent="0.3">
      <c r="A42" s="143" t="s">
        <v>696</v>
      </c>
      <c r="B42" s="144"/>
      <c r="C42" s="145"/>
      <c r="D42" s="146"/>
    </row>
    <row r="43" spans="1:4" x14ac:dyDescent="0.3">
      <c r="A43" s="147" t="s">
        <v>839</v>
      </c>
      <c r="B43" s="147" t="s">
        <v>699</v>
      </c>
      <c r="C43" s="148"/>
      <c r="D43" s="149" t="s">
        <v>19</v>
      </c>
    </row>
    <row r="44" spans="1:4" x14ac:dyDescent="0.3">
      <c r="A44" s="144" t="s">
        <v>756</v>
      </c>
      <c r="B44" s="144" t="s">
        <v>699</v>
      </c>
      <c r="C44" s="145"/>
      <c r="D44" s="146" t="s">
        <v>19</v>
      </c>
    </row>
    <row r="45" spans="1:4" x14ac:dyDescent="0.3">
      <c r="A45" s="150" t="s">
        <v>697</v>
      </c>
      <c r="B45" s="150" t="s">
        <v>699</v>
      </c>
      <c r="C45" s="151"/>
      <c r="D45" s="152" t="s">
        <v>19</v>
      </c>
    </row>
    <row r="46" spans="1:4" x14ac:dyDescent="0.3">
      <c r="A46" s="144" t="s">
        <v>698</v>
      </c>
      <c r="B46" s="144" t="s">
        <v>699</v>
      </c>
      <c r="C46" s="145"/>
      <c r="D46" s="146" t="s">
        <v>19</v>
      </c>
    </row>
    <row r="47" spans="1:4" x14ac:dyDescent="0.3">
      <c r="A47" s="143" t="s">
        <v>840</v>
      </c>
      <c r="B47" s="144"/>
      <c r="C47" s="145"/>
      <c r="D47" s="146"/>
    </row>
    <row r="48" spans="1:4" x14ac:dyDescent="0.3">
      <c r="A48" s="147" t="s">
        <v>841</v>
      </c>
      <c r="B48" s="147" t="s">
        <v>699</v>
      </c>
      <c r="C48" s="148"/>
      <c r="D48" s="149" t="s">
        <v>98</v>
      </c>
    </row>
    <row r="49" spans="1:4" x14ac:dyDescent="0.3">
      <c r="A49" s="147" t="s">
        <v>842</v>
      </c>
      <c r="B49" s="147" t="s">
        <v>699</v>
      </c>
      <c r="C49" s="148"/>
      <c r="D49" s="149" t="s">
        <v>98</v>
      </c>
    </row>
    <row r="50" spans="1:4" x14ac:dyDescent="0.3">
      <c r="A50" s="143" t="s">
        <v>1012</v>
      </c>
      <c r="B50" s="147"/>
      <c r="C50" s="148"/>
      <c r="D50" s="149"/>
    </row>
    <row r="51" spans="1:4" x14ac:dyDescent="0.3">
      <c r="A51" s="147" t="s">
        <v>1010</v>
      </c>
      <c r="B51" s="147" t="s">
        <v>171</v>
      </c>
      <c r="C51" s="148"/>
      <c r="D51" s="149"/>
    </row>
    <row r="52" spans="1:4" x14ac:dyDescent="0.3">
      <c r="A52" s="147" t="s">
        <v>1011</v>
      </c>
      <c r="B52" s="147" t="s">
        <v>171</v>
      </c>
      <c r="C52" s="148"/>
      <c r="D52" s="149"/>
    </row>
    <row r="53" spans="1:4" x14ac:dyDescent="0.3">
      <c r="A53" s="143" t="s">
        <v>1013</v>
      </c>
      <c r="B53" s="147"/>
      <c r="C53" s="148"/>
      <c r="D53" s="149"/>
    </row>
    <row r="54" spans="1:4" x14ac:dyDescent="0.3">
      <c r="A54" s="147" t="s">
        <v>1014</v>
      </c>
      <c r="B54" s="147" t="s">
        <v>171</v>
      </c>
      <c r="C54" s="148"/>
      <c r="D54" s="149"/>
    </row>
    <row r="55" spans="1:4" x14ac:dyDescent="0.3">
      <c r="A55" s="147" t="s">
        <v>1015</v>
      </c>
      <c r="B55" s="147" t="s">
        <v>171</v>
      </c>
      <c r="C55" s="148"/>
      <c r="D55" s="149"/>
    </row>
    <row r="56" spans="1:4" x14ac:dyDescent="0.3">
      <c r="A56" s="147" t="s">
        <v>1016</v>
      </c>
      <c r="B56" s="147" t="s">
        <v>171</v>
      </c>
      <c r="C56" s="148"/>
      <c r="D56" s="149"/>
    </row>
    <row r="57" spans="1:4" x14ac:dyDescent="0.3">
      <c r="A57" s="143" t="s">
        <v>43</v>
      </c>
      <c r="B57" s="144"/>
      <c r="C57" s="145"/>
      <c r="D57" s="146"/>
    </row>
    <row r="58" spans="1:4" x14ac:dyDescent="0.3">
      <c r="A58" s="150" t="s">
        <v>44</v>
      </c>
      <c r="B58" s="150" t="s">
        <v>45</v>
      </c>
      <c r="C58" s="151"/>
      <c r="D58" s="152" t="s">
        <v>19</v>
      </c>
    </row>
    <row r="59" spans="1:4" x14ac:dyDescent="0.3">
      <c r="A59" s="144" t="s">
        <v>46</v>
      </c>
      <c r="B59" s="144" t="s">
        <v>45</v>
      </c>
      <c r="C59" s="145"/>
      <c r="D59" s="146" t="s">
        <v>19</v>
      </c>
    </row>
    <row r="60" spans="1:4" s="141" customFormat="1" x14ac:dyDescent="0.3">
      <c r="A60" s="144" t="s">
        <v>47</v>
      </c>
      <c r="B60" s="144" t="s">
        <v>45</v>
      </c>
      <c r="C60" s="145"/>
      <c r="D60" s="146" t="s">
        <v>19</v>
      </c>
    </row>
    <row r="61" spans="1:4" s="141" customFormat="1" x14ac:dyDescent="0.3">
      <c r="A61" s="147" t="s">
        <v>48</v>
      </c>
      <c r="B61" s="147" t="s">
        <v>45</v>
      </c>
      <c r="C61" s="148"/>
      <c r="D61" s="149" t="s">
        <v>19</v>
      </c>
    </row>
    <row r="62" spans="1:4" s="141" customFormat="1" x14ac:dyDescent="0.3">
      <c r="A62" s="147" t="s">
        <v>49</v>
      </c>
      <c r="B62" s="147" t="s">
        <v>45</v>
      </c>
      <c r="C62" s="148"/>
      <c r="D62" s="149" t="s">
        <v>19</v>
      </c>
    </row>
    <row r="63" spans="1:4" s="141" customFormat="1" x14ac:dyDescent="0.3">
      <c r="A63" s="144" t="s">
        <v>50</v>
      </c>
      <c r="B63" s="144" t="s">
        <v>45</v>
      </c>
      <c r="C63" s="145"/>
      <c r="D63" s="146" t="s">
        <v>19</v>
      </c>
    </row>
    <row r="64" spans="1:4" s="141" customFormat="1" x14ac:dyDescent="0.3">
      <c r="A64" s="144" t="s">
        <v>808</v>
      </c>
      <c r="B64" s="144" t="s">
        <v>45</v>
      </c>
      <c r="C64" s="145"/>
      <c r="D64" s="146" t="s">
        <v>19</v>
      </c>
    </row>
    <row r="65" spans="1:4" s="141" customFormat="1" x14ac:dyDescent="0.3">
      <c r="A65" s="150" t="s">
        <v>51</v>
      </c>
      <c r="B65" s="150" t="s">
        <v>45</v>
      </c>
      <c r="C65" s="151"/>
      <c r="D65" s="152" t="s">
        <v>19</v>
      </c>
    </row>
    <row r="66" spans="1:4" s="141" customFormat="1" x14ac:dyDescent="0.3">
      <c r="A66" s="147" t="s">
        <v>52</v>
      </c>
      <c r="B66" s="147" t="s">
        <v>45</v>
      </c>
      <c r="C66" s="148"/>
      <c r="D66" s="149" t="s">
        <v>19</v>
      </c>
    </row>
    <row r="67" spans="1:4" s="141" customFormat="1" x14ac:dyDescent="0.3">
      <c r="A67" s="147" t="s">
        <v>766</v>
      </c>
      <c r="B67" s="147" t="s">
        <v>45</v>
      </c>
      <c r="C67" s="148"/>
      <c r="D67" s="149" t="s">
        <v>19</v>
      </c>
    </row>
    <row r="68" spans="1:4" s="141" customFormat="1" x14ac:dyDescent="0.3">
      <c r="A68" s="144" t="s">
        <v>53</v>
      </c>
      <c r="B68" s="144" t="s">
        <v>45</v>
      </c>
      <c r="C68" s="145"/>
      <c r="D68" s="146" t="s">
        <v>19</v>
      </c>
    </row>
    <row r="69" spans="1:4" s="141" customFormat="1" x14ac:dyDescent="0.3">
      <c r="A69" s="144" t="s">
        <v>902</v>
      </c>
      <c r="B69" s="144" t="s">
        <v>45</v>
      </c>
      <c r="C69" s="145"/>
      <c r="D69" s="146" t="s">
        <v>19</v>
      </c>
    </row>
    <row r="70" spans="1:4" x14ac:dyDescent="0.3">
      <c r="A70" s="150" t="s">
        <v>765</v>
      </c>
      <c r="B70" s="150" t="s">
        <v>45</v>
      </c>
      <c r="C70" s="151"/>
      <c r="D70" s="152" t="s">
        <v>19</v>
      </c>
    </row>
    <row r="71" spans="1:4" x14ac:dyDescent="0.3">
      <c r="A71" s="150" t="s">
        <v>54</v>
      </c>
      <c r="B71" s="150" t="s">
        <v>45</v>
      </c>
      <c r="C71" s="151"/>
      <c r="D71" s="152" t="s">
        <v>19</v>
      </c>
    </row>
    <row r="72" spans="1:4" x14ac:dyDescent="0.3">
      <c r="A72" s="147" t="s">
        <v>55</v>
      </c>
      <c r="B72" s="147" t="s">
        <v>45</v>
      </c>
      <c r="C72" s="148"/>
      <c r="D72" s="149" t="s">
        <v>19</v>
      </c>
    </row>
    <row r="73" spans="1:4" x14ac:dyDescent="0.3">
      <c r="A73" s="144" t="s">
        <v>56</v>
      </c>
      <c r="B73" s="144" t="s">
        <v>45</v>
      </c>
      <c r="C73" s="145"/>
      <c r="D73" s="146" t="s">
        <v>19</v>
      </c>
    </row>
    <row r="74" spans="1:4" s="141" customFormat="1" x14ac:dyDescent="0.3">
      <c r="A74" s="144" t="s">
        <v>57</v>
      </c>
      <c r="B74" s="144" t="s">
        <v>45</v>
      </c>
      <c r="C74" s="145"/>
      <c r="D74" s="146" t="s">
        <v>19</v>
      </c>
    </row>
    <row r="75" spans="1:4" s="141" customFormat="1" x14ac:dyDescent="0.3">
      <c r="A75" s="144" t="s">
        <v>58</v>
      </c>
      <c r="B75" s="144" t="s">
        <v>45</v>
      </c>
      <c r="C75" s="145"/>
      <c r="D75" s="146" t="s">
        <v>19</v>
      </c>
    </row>
    <row r="76" spans="1:4" s="141" customFormat="1" x14ac:dyDescent="0.3">
      <c r="A76" s="144" t="s">
        <v>59</v>
      </c>
      <c r="B76" s="144" t="s">
        <v>45</v>
      </c>
      <c r="C76" s="145"/>
      <c r="D76" s="146" t="s">
        <v>19</v>
      </c>
    </row>
    <row r="77" spans="1:4" s="141" customFormat="1" x14ac:dyDescent="0.3">
      <c r="A77" s="144" t="s">
        <v>60</v>
      </c>
      <c r="B77" s="144" t="s">
        <v>45</v>
      </c>
      <c r="C77" s="145"/>
      <c r="D77" s="146" t="s">
        <v>19</v>
      </c>
    </row>
    <row r="78" spans="1:4" s="141" customFormat="1" x14ac:dyDescent="0.3">
      <c r="A78" s="144" t="s">
        <v>1065</v>
      </c>
      <c r="B78" s="144" t="s">
        <v>45</v>
      </c>
      <c r="C78" s="145"/>
      <c r="D78" s="146" t="s">
        <v>19</v>
      </c>
    </row>
    <row r="79" spans="1:4" s="141" customFormat="1" x14ac:dyDescent="0.3">
      <c r="A79" s="144" t="s">
        <v>61</v>
      </c>
      <c r="B79" s="144" t="s">
        <v>45</v>
      </c>
      <c r="C79" s="145"/>
      <c r="D79" s="146" t="s">
        <v>19</v>
      </c>
    </row>
    <row r="80" spans="1:4" s="141" customFormat="1" x14ac:dyDescent="0.3">
      <c r="A80" s="144" t="s">
        <v>62</v>
      </c>
      <c r="B80" s="144" t="s">
        <v>45</v>
      </c>
      <c r="C80" s="145"/>
      <c r="D80" s="146" t="s">
        <v>19</v>
      </c>
    </row>
    <row r="81" spans="1:4" s="141" customFormat="1" x14ac:dyDescent="0.3">
      <c r="A81" s="144" t="s">
        <v>809</v>
      </c>
      <c r="B81" s="144" t="s">
        <v>45</v>
      </c>
      <c r="C81" s="145"/>
      <c r="D81" s="146" t="s">
        <v>19</v>
      </c>
    </row>
    <row r="82" spans="1:4" s="141" customFormat="1" x14ac:dyDescent="0.3">
      <c r="A82" s="144" t="s">
        <v>810</v>
      </c>
      <c r="B82" s="144" t="s">
        <v>45</v>
      </c>
      <c r="C82" s="145"/>
      <c r="D82" s="146" t="s">
        <v>19</v>
      </c>
    </row>
    <row r="83" spans="1:4" s="141" customFormat="1" x14ac:dyDescent="0.3">
      <c r="A83" s="147" t="s">
        <v>63</v>
      </c>
      <c r="B83" s="147" t="s">
        <v>45</v>
      </c>
      <c r="C83" s="148"/>
      <c r="D83" s="149" t="s">
        <v>19</v>
      </c>
    </row>
    <row r="84" spans="1:4" s="141" customFormat="1" x14ac:dyDescent="0.3">
      <c r="A84" s="144" t="s">
        <v>64</v>
      </c>
      <c r="B84" s="144" t="s">
        <v>45</v>
      </c>
      <c r="C84" s="145"/>
      <c r="D84" s="146" t="s">
        <v>19</v>
      </c>
    </row>
    <row r="85" spans="1:4" s="141" customFormat="1" x14ac:dyDescent="0.3">
      <c r="A85" s="144" t="s">
        <v>65</v>
      </c>
      <c r="B85" s="144" t="s">
        <v>45</v>
      </c>
      <c r="C85" s="145"/>
      <c r="D85" s="146" t="s">
        <v>19</v>
      </c>
    </row>
    <row r="86" spans="1:4" x14ac:dyDescent="0.3">
      <c r="A86" s="144" t="s">
        <v>66</v>
      </c>
      <c r="B86" s="144" t="s">
        <v>45</v>
      </c>
      <c r="C86" s="145"/>
      <c r="D86" s="146" t="s">
        <v>19</v>
      </c>
    </row>
    <row r="87" spans="1:4" x14ac:dyDescent="0.3">
      <c r="A87" s="144" t="s">
        <v>898</v>
      </c>
      <c r="B87" s="144" t="s">
        <v>45</v>
      </c>
      <c r="C87" s="145"/>
      <c r="D87" s="146" t="s">
        <v>19</v>
      </c>
    </row>
    <row r="88" spans="1:4" s="141" customFormat="1" x14ac:dyDescent="0.3">
      <c r="A88" s="144" t="s">
        <v>67</v>
      </c>
      <c r="B88" s="144" t="s">
        <v>45</v>
      </c>
      <c r="C88" s="145"/>
      <c r="D88" s="146" t="s">
        <v>19</v>
      </c>
    </row>
    <row r="89" spans="1:4" s="141" customFormat="1" x14ac:dyDescent="0.3">
      <c r="A89" s="144" t="s">
        <v>68</v>
      </c>
      <c r="B89" s="144" t="s">
        <v>45</v>
      </c>
      <c r="C89" s="145"/>
      <c r="D89" s="146" t="s">
        <v>19</v>
      </c>
    </row>
    <row r="90" spans="1:4" s="141" customFormat="1" x14ac:dyDescent="0.3">
      <c r="A90" s="144" t="s">
        <v>69</v>
      </c>
      <c r="B90" s="144" t="s">
        <v>45</v>
      </c>
      <c r="C90" s="145"/>
      <c r="D90" s="146" t="s">
        <v>19</v>
      </c>
    </row>
    <row r="91" spans="1:4" x14ac:dyDescent="0.3">
      <c r="A91" s="143" t="s">
        <v>70</v>
      </c>
      <c r="B91" s="144"/>
      <c r="C91" s="145"/>
      <c r="D91" s="146"/>
    </row>
    <row r="92" spans="1:4" x14ac:dyDescent="0.3">
      <c r="A92" s="144" t="s">
        <v>825</v>
      </c>
      <c r="B92" s="144" t="s">
        <v>18</v>
      </c>
      <c r="C92" s="145"/>
      <c r="D92" s="146" t="s">
        <v>19</v>
      </c>
    </row>
    <row r="93" spans="1:4" x14ac:dyDescent="0.3">
      <c r="A93" s="144" t="s">
        <v>826</v>
      </c>
      <c r="B93" s="144" t="s">
        <v>18</v>
      </c>
      <c r="C93" s="145"/>
      <c r="D93" s="146" t="s">
        <v>19</v>
      </c>
    </row>
    <row r="94" spans="1:4" x14ac:dyDescent="0.3">
      <c r="A94" s="150" t="s">
        <v>71</v>
      </c>
      <c r="B94" s="150" t="s">
        <v>18</v>
      </c>
      <c r="C94" s="151"/>
      <c r="D94" s="152" t="s">
        <v>19</v>
      </c>
    </row>
    <row r="95" spans="1:4" x14ac:dyDescent="0.3">
      <c r="A95" s="147" t="s">
        <v>72</v>
      </c>
      <c r="B95" s="147" t="s">
        <v>18</v>
      </c>
      <c r="C95" s="148"/>
      <c r="D95" s="149" t="s">
        <v>19</v>
      </c>
    </row>
    <row r="96" spans="1:4" x14ac:dyDescent="0.3">
      <c r="A96" s="143" t="s">
        <v>74</v>
      </c>
      <c r="B96" s="144"/>
      <c r="C96" s="145"/>
      <c r="D96" s="146"/>
    </row>
    <row r="97" spans="1:4" x14ac:dyDescent="0.3">
      <c r="A97" s="153" t="s">
        <v>75</v>
      </c>
      <c r="B97" s="147" t="s">
        <v>18</v>
      </c>
      <c r="C97" s="148"/>
      <c r="D97" s="149" t="s">
        <v>76</v>
      </c>
    </row>
    <row r="98" spans="1:4" x14ac:dyDescent="0.3">
      <c r="A98" s="154" t="s">
        <v>794</v>
      </c>
      <c r="B98" s="150" t="s">
        <v>18</v>
      </c>
      <c r="C98" s="151"/>
      <c r="D98" s="152" t="s">
        <v>76</v>
      </c>
    </row>
    <row r="99" spans="1:4" x14ac:dyDescent="0.3">
      <c r="A99" s="153" t="s">
        <v>77</v>
      </c>
      <c r="B99" s="147" t="s">
        <v>18</v>
      </c>
      <c r="C99" s="148"/>
      <c r="D99" s="149" t="s">
        <v>76</v>
      </c>
    </row>
    <row r="100" spans="1:4" x14ac:dyDescent="0.3">
      <c r="A100" s="154" t="s">
        <v>78</v>
      </c>
      <c r="B100" s="150" t="s">
        <v>18</v>
      </c>
      <c r="C100" s="151"/>
      <c r="D100" s="152" t="s">
        <v>76</v>
      </c>
    </row>
    <row r="101" spans="1:4" x14ac:dyDescent="0.3">
      <c r="A101" s="154" t="s">
        <v>79</v>
      </c>
      <c r="B101" s="150" t="s">
        <v>18</v>
      </c>
      <c r="C101" s="151"/>
      <c r="D101" s="152" t="s">
        <v>76</v>
      </c>
    </row>
    <row r="102" spans="1:4" x14ac:dyDescent="0.3">
      <c r="A102" s="155" t="s">
        <v>80</v>
      </c>
      <c r="B102" s="150" t="s">
        <v>18</v>
      </c>
      <c r="C102" s="151"/>
      <c r="D102" s="152" t="s">
        <v>76</v>
      </c>
    </row>
    <row r="103" spans="1:4" x14ac:dyDescent="0.3">
      <c r="A103" s="156" t="s">
        <v>81</v>
      </c>
      <c r="B103" s="147" t="s">
        <v>18</v>
      </c>
      <c r="C103" s="148"/>
      <c r="D103" s="149" t="s">
        <v>76</v>
      </c>
    </row>
    <row r="104" spans="1:4" x14ac:dyDescent="0.3">
      <c r="A104" s="153" t="s">
        <v>795</v>
      </c>
      <c r="B104" s="147" t="s">
        <v>18</v>
      </c>
      <c r="C104" s="148"/>
      <c r="D104" s="149" t="s">
        <v>76</v>
      </c>
    </row>
    <row r="105" spans="1:4" x14ac:dyDescent="0.3">
      <c r="A105" s="144" t="s">
        <v>82</v>
      </c>
      <c r="B105" s="144" t="s">
        <v>18</v>
      </c>
      <c r="C105" s="145"/>
      <c r="D105" s="146" t="s">
        <v>83</v>
      </c>
    </row>
    <row r="106" spans="1:4" x14ac:dyDescent="0.3">
      <c r="A106" s="147" t="s">
        <v>84</v>
      </c>
      <c r="B106" s="147" t="s">
        <v>18</v>
      </c>
      <c r="C106" s="148"/>
      <c r="D106" s="149" t="s">
        <v>83</v>
      </c>
    </row>
    <row r="107" spans="1:4" x14ac:dyDescent="0.3">
      <c r="A107" s="147" t="s">
        <v>85</v>
      </c>
      <c r="B107" s="147" t="s">
        <v>18</v>
      </c>
      <c r="C107" s="148"/>
      <c r="D107" s="149" t="s">
        <v>83</v>
      </c>
    </row>
    <row r="108" spans="1:4" x14ac:dyDescent="0.3">
      <c r="A108" s="147" t="s">
        <v>1039</v>
      </c>
      <c r="B108" s="147" t="s">
        <v>18</v>
      </c>
      <c r="C108" s="148"/>
      <c r="D108" s="149" t="s">
        <v>76</v>
      </c>
    </row>
    <row r="109" spans="1:4" x14ac:dyDescent="0.3">
      <c r="A109" s="144" t="s">
        <v>86</v>
      </c>
      <c r="B109" s="144" t="s">
        <v>18</v>
      </c>
      <c r="C109" s="145"/>
      <c r="D109" s="146" t="s">
        <v>83</v>
      </c>
    </row>
    <row r="110" spans="1:4" x14ac:dyDescent="0.3">
      <c r="A110" s="147" t="s">
        <v>87</v>
      </c>
      <c r="B110" s="147" t="s">
        <v>18</v>
      </c>
      <c r="C110" s="148"/>
      <c r="D110" s="149" t="s">
        <v>83</v>
      </c>
    </row>
    <row r="111" spans="1:4" x14ac:dyDescent="0.3">
      <c r="A111" s="144" t="s">
        <v>88</v>
      </c>
      <c r="B111" s="144" t="s">
        <v>18</v>
      </c>
      <c r="C111" s="145"/>
      <c r="D111" s="146" t="s">
        <v>83</v>
      </c>
    </row>
    <row r="112" spans="1:4" x14ac:dyDescent="0.3">
      <c r="A112" s="144" t="s">
        <v>89</v>
      </c>
      <c r="B112" s="144" t="s">
        <v>18</v>
      </c>
      <c r="C112" s="145"/>
      <c r="D112" s="146" t="s">
        <v>40</v>
      </c>
    </row>
    <row r="113" spans="1:4" x14ac:dyDescent="0.3">
      <c r="A113" s="144" t="s">
        <v>900</v>
      </c>
      <c r="B113" s="144" t="s">
        <v>18</v>
      </c>
      <c r="C113" s="145"/>
      <c r="D113" s="146" t="s">
        <v>40</v>
      </c>
    </row>
    <row r="114" spans="1:4" x14ac:dyDescent="0.3">
      <c r="A114" s="144" t="s">
        <v>899</v>
      </c>
      <c r="B114" s="144" t="s">
        <v>18</v>
      </c>
      <c r="C114" s="145"/>
      <c r="D114" s="146" t="s">
        <v>40</v>
      </c>
    </row>
    <row r="115" spans="1:4" x14ac:dyDescent="0.3">
      <c r="A115" s="144" t="s">
        <v>90</v>
      </c>
      <c r="B115" s="144" t="s">
        <v>25</v>
      </c>
      <c r="C115" s="145"/>
      <c r="D115" s="146" t="s">
        <v>83</v>
      </c>
    </row>
    <row r="116" spans="1:4" x14ac:dyDescent="0.3">
      <c r="A116" s="144" t="s">
        <v>91</v>
      </c>
      <c r="B116" s="144" t="s">
        <v>25</v>
      </c>
      <c r="C116" s="145"/>
      <c r="D116" s="146" t="s">
        <v>83</v>
      </c>
    </row>
    <row r="117" spans="1:4" x14ac:dyDescent="0.3">
      <c r="A117" s="144" t="s">
        <v>92</v>
      </c>
      <c r="B117" s="144" t="s">
        <v>25</v>
      </c>
      <c r="C117" s="145"/>
      <c r="D117" s="146" t="s">
        <v>83</v>
      </c>
    </row>
    <row r="118" spans="1:4" x14ac:dyDescent="0.3">
      <c r="A118" s="144" t="s">
        <v>93</v>
      </c>
      <c r="B118" s="144" t="s">
        <v>25</v>
      </c>
      <c r="C118" s="145"/>
      <c r="D118" s="146" t="s">
        <v>83</v>
      </c>
    </row>
    <row r="119" spans="1:4" x14ac:dyDescent="0.3">
      <c r="A119" s="144" t="s">
        <v>94</v>
      </c>
      <c r="B119" s="144" t="s">
        <v>25</v>
      </c>
      <c r="C119" s="145"/>
      <c r="D119" s="146" t="s">
        <v>83</v>
      </c>
    </row>
    <row r="120" spans="1:4" x14ac:dyDescent="0.3">
      <c r="A120" s="144" t="s">
        <v>95</v>
      </c>
      <c r="B120" s="144" t="s">
        <v>25</v>
      </c>
      <c r="C120" s="145"/>
      <c r="D120" s="146" t="s">
        <v>83</v>
      </c>
    </row>
    <row r="121" spans="1:4" x14ac:dyDescent="0.3">
      <c r="A121" s="144" t="s">
        <v>901</v>
      </c>
      <c r="B121" s="144" t="s">
        <v>25</v>
      </c>
      <c r="C121" s="145"/>
      <c r="D121" s="146" t="s">
        <v>33</v>
      </c>
    </row>
    <row r="122" spans="1:4" x14ac:dyDescent="0.3">
      <c r="A122" s="144" t="s">
        <v>706</v>
      </c>
      <c r="B122" s="144" t="s">
        <v>25</v>
      </c>
      <c r="C122" s="145"/>
      <c r="D122" s="146" t="s">
        <v>33</v>
      </c>
    </row>
    <row r="123" spans="1:4" x14ac:dyDescent="0.3">
      <c r="A123" s="144" t="s">
        <v>985</v>
      </c>
      <c r="B123" s="144" t="s">
        <v>25</v>
      </c>
      <c r="C123" s="145"/>
      <c r="D123" s="146" t="s">
        <v>33</v>
      </c>
    </row>
    <row r="124" spans="1:4" x14ac:dyDescent="0.3">
      <c r="A124" s="143" t="s">
        <v>96</v>
      </c>
      <c r="B124" s="144"/>
      <c r="C124" s="145"/>
      <c r="D124" s="146"/>
    </row>
    <row r="125" spans="1:4" x14ac:dyDescent="0.3">
      <c r="A125" s="144" t="s">
        <v>97</v>
      </c>
      <c r="B125" s="144" t="s">
        <v>18</v>
      </c>
      <c r="C125" s="145"/>
      <c r="D125" s="146" t="s">
        <v>33</v>
      </c>
    </row>
    <row r="126" spans="1:4" x14ac:dyDescent="0.3">
      <c r="A126" s="144" t="s">
        <v>99</v>
      </c>
      <c r="B126" s="144" t="s">
        <v>18</v>
      </c>
      <c r="C126" s="145"/>
      <c r="D126" s="146" t="s">
        <v>33</v>
      </c>
    </row>
    <row r="127" spans="1:4" x14ac:dyDescent="0.3">
      <c r="A127" s="147" t="s">
        <v>100</v>
      </c>
      <c r="B127" s="147" t="s">
        <v>18</v>
      </c>
      <c r="C127" s="148"/>
      <c r="D127" s="149" t="s">
        <v>33</v>
      </c>
    </row>
    <row r="128" spans="1:4" x14ac:dyDescent="0.3">
      <c r="A128" s="144" t="s">
        <v>101</v>
      </c>
      <c r="B128" s="144" t="s">
        <v>18</v>
      </c>
      <c r="C128" s="145"/>
      <c r="D128" s="146" t="s">
        <v>102</v>
      </c>
    </row>
    <row r="129" spans="1:4" x14ac:dyDescent="0.3">
      <c r="A129" s="144" t="s">
        <v>103</v>
      </c>
      <c r="B129" s="144" t="s">
        <v>25</v>
      </c>
      <c r="C129" s="145"/>
      <c r="D129" s="146" t="s">
        <v>33</v>
      </c>
    </row>
    <row r="130" spans="1:4" x14ac:dyDescent="0.3">
      <c r="A130" s="144" t="s">
        <v>104</v>
      </c>
      <c r="B130" s="144" t="s">
        <v>25</v>
      </c>
      <c r="C130" s="145"/>
      <c r="D130" s="146" t="s">
        <v>33</v>
      </c>
    </row>
    <row r="131" spans="1:4" x14ac:dyDescent="0.3">
      <c r="A131" s="144" t="s">
        <v>105</v>
      </c>
      <c r="B131" s="144" t="s">
        <v>25</v>
      </c>
      <c r="C131" s="145"/>
      <c r="D131" s="146" t="s">
        <v>33</v>
      </c>
    </row>
    <row r="132" spans="1:4" x14ac:dyDescent="0.3">
      <c r="A132" s="144" t="s">
        <v>106</v>
      </c>
      <c r="B132" s="144" t="s">
        <v>25</v>
      </c>
      <c r="C132" s="145"/>
      <c r="D132" s="146" t="s">
        <v>40</v>
      </c>
    </row>
    <row r="133" spans="1:4" x14ac:dyDescent="0.3">
      <c r="A133" s="143" t="s">
        <v>108</v>
      </c>
      <c r="B133" s="144"/>
      <c r="C133" s="145"/>
      <c r="D133" s="146"/>
    </row>
    <row r="134" spans="1:4" s="141" customFormat="1" x14ac:dyDescent="0.3">
      <c r="A134" s="144" t="s">
        <v>109</v>
      </c>
      <c r="B134" s="144" t="s">
        <v>18</v>
      </c>
      <c r="C134" s="145"/>
      <c r="D134" s="146" t="s">
        <v>40</v>
      </c>
    </row>
    <row r="135" spans="1:4" s="141" customFormat="1" x14ac:dyDescent="0.3">
      <c r="A135" s="144" t="s">
        <v>110</v>
      </c>
      <c r="B135" s="144" t="s">
        <v>18</v>
      </c>
      <c r="C135" s="145"/>
      <c r="D135" s="146" t="s">
        <v>40</v>
      </c>
    </row>
    <row r="136" spans="1:4" s="141" customFormat="1" x14ac:dyDescent="0.3">
      <c r="A136" s="144" t="s">
        <v>723</v>
      </c>
      <c r="B136" s="144" t="s">
        <v>18</v>
      </c>
      <c r="C136" s="145"/>
      <c r="D136" s="146" t="s">
        <v>40</v>
      </c>
    </row>
    <row r="137" spans="1:4" s="141" customFormat="1" x14ac:dyDescent="0.3">
      <c r="A137" s="147" t="s">
        <v>111</v>
      </c>
      <c r="B137" s="147" t="s">
        <v>18</v>
      </c>
      <c r="C137" s="148"/>
      <c r="D137" s="149" t="s">
        <v>40</v>
      </c>
    </row>
    <row r="138" spans="1:4" s="141" customFormat="1" x14ac:dyDescent="0.3">
      <c r="A138" s="144" t="s">
        <v>112</v>
      </c>
      <c r="B138" s="144" t="s">
        <v>18</v>
      </c>
      <c r="C138" s="145"/>
      <c r="D138" s="146" t="s">
        <v>40</v>
      </c>
    </row>
    <row r="139" spans="1:4" s="141" customFormat="1" x14ac:dyDescent="0.3">
      <c r="A139" s="144" t="s">
        <v>113</v>
      </c>
      <c r="B139" s="144" t="s">
        <v>18</v>
      </c>
      <c r="C139" s="145"/>
      <c r="D139" s="146" t="s">
        <v>40</v>
      </c>
    </row>
    <row r="140" spans="1:4" s="141" customFormat="1" x14ac:dyDescent="0.3">
      <c r="A140" s="144" t="s">
        <v>691</v>
      </c>
      <c r="B140" s="144" t="s">
        <v>18</v>
      </c>
      <c r="C140" s="145"/>
      <c r="D140" s="146" t="s">
        <v>40</v>
      </c>
    </row>
    <row r="141" spans="1:4" s="141" customFormat="1" x14ac:dyDescent="0.3">
      <c r="A141" s="144" t="s">
        <v>114</v>
      </c>
      <c r="B141" s="144" t="s">
        <v>18</v>
      </c>
      <c r="C141" s="145"/>
      <c r="D141" s="146" t="s">
        <v>40</v>
      </c>
    </row>
    <row r="142" spans="1:4" x14ac:dyDescent="0.3">
      <c r="A142" s="144" t="s">
        <v>115</v>
      </c>
      <c r="B142" s="144" t="s">
        <v>18</v>
      </c>
      <c r="C142" s="145"/>
      <c r="D142" s="146" t="s">
        <v>40</v>
      </c>
    </row>
    <row r="143" spans="1:4" x14ac:dyDescent="0.3">
      <c r="A143" s="144" t="s">
        <v>906</v>
      </c>
      <c r="B143" s="144" t="s">
        <v>18</v>
      </c>
      <c r="C143" s="145"/>
      <c r="D143" s="146" t="s">
        <v>40</v>
      </c>
    </row>
    <row r="144" spans="1:4" x14ac:dyDescent="0.3">
      <c r="A144" s="144" t="s">
        <v>116</v>
      </c>
      <c r="B144" s="144" t="s">
        <v>18</v>
      </c>
      <c r="C144" s="145"/>
      <c r="D144" s="146" t="s">
        <v>40</v>
      </c>
    </row>
    <row r="145" spans="1:4" x14ac:dyDescent="0.3">
      <c r="A145" s="144" t="s">
        <v>117</v>
      </c>
      <c r="B145" s="144" t="s">
        <v>18</v>
      </c>
      <c r="C145" s="145"/>
      <c r="D145" s="146" t="s">
        <v>40</v>
      </c>
    </row>
    <row r="146" spans="1:4" x14ac:dyDescent="0.3">
      <c r="A146" s="144" t="s">
        <v>118</v>
      </c>
      <c r="B146" s="144" t="s">
        <v>18</v>
      </c>
      <c r="C146" s="145"/>
      <c r="D146" s="146" t="s">
        <v>40</v>
      </c>
    </row>
    <row r="147" spans="1:4" x14ac:dyDescent="0.3">
      <c r="A147" s="144" t="s">
        <v>119</v>
      </c>
      <c r="B147" s="144" t="s">
        <v>18</v>
      </c>
      <c r="C147" s="145"/>
      <c r="D147" s="146" t="s">
        <v>40</v>
      </c>
    </row>
    <row r="148" spans="1:4" x14ac:dyDescent="0.3">
      <c r="A148" s="147" t="s">
        <v>947</v>
      </c>
      <c r="B148" s="147" t="s">
        <v>18</v>
      </c>
      <c r="C148" s="148"/>
      <c r="D148" s="149" t="s">
        <v>40</v>
      </c>
    </row>
    <row r="149" spans="1:4" x14ac:dyDescent="0.3">
      <c r="A149" s="147" t="s">
        <v>120</v>
      </c>
      <c r="B149" s="147" t="s">
        <v>18</v>
      </c>
      <c r="C149" s="148"/>
      <c r="D149" s="149" t="s">
        <v>40</v>
      </c>
    </row>
    <row r="150" spans="1:4" x14ac:dyDescent="0.3">
      <c r="A150" s="144" t="s">
        <v>685</v>
      </c>
      <c r="B150" s="144" t="s">
        <v>18</v>
      </c>
      <c r="C150" s="145"/>
      <c r="D150" s="146" t="s">
        <v>40</v>
      </c>
    </row>
    <row r="151" spans="1:4" x14ac:dyDescent="0.3">
      <c r="A151" s="144" t="s">
        <v>944</v>
      </c>
      <c r="B151" s="144" t="s">
        <v>18</v>
      </c>
      <c r="C151" s="144"/>
      <c r="D151" s="146" t="s">
        <v>40</v>
      </c>
    </row>
    <row r="152" spans="1:4" x14ac:dyDescent="0.3">
      <c r="A152" s="144" t="s">
        <v>945</v>
      </c>
      <c r="B152" s="144" t="s">
        <v>18</v>
      </c>
      <c r="C152" s="144"/>
      <c r="D152" s="146" t="s">
        <v>40</v>
      </c>
    </row>
    <row r="153" spans="1:4" x14ac:dyDescent="0.3">
      <c r="A153" s="144" t="s">
        <v>946</v>
      </c>
      <c r="B153" s="144" t="s">
        <v>18</v>
      </c>
      <c r="C153" s="144"/>
      <c r="D153" s="146" t="s">
        <v>40</v>
      </c>
    </row>
    <row r="154" spans="1:4" x14ac:dyDescent="0.3">
      <c r="A154" s="150" t="s">
        <v>121</v>
      </c>
      <c r="B154" s="150" t="s">
        <v>25</v>
      </c>
      <c r="C154" s="151"/>
      <c r="D154" s="152" t="s">
        <v>40</v>
      </c>
    </row>
    <row r="155" spans="1:4" x14ac:dyDescent="0.3">
      <c r="A155" s="147" t="s">
        <v>122</v>
      </c>
      <c r="B155" s="147" t="s">
        <v>25</v>
      </c>
      <c r="C155" s="148"/>
      <c r="D155" s="149" t="s">
        <v>40</v>
      </c>
    </row>
    <row r="156" spans="1:4" x14ac:dyDescent="0.3">
      <c r="A156" s="144" t="s">
        <v>123</v>
      </c>
      <c r="B156" s="144" t="s">
        <v>25</v>
      </c>
      <c r="C156" s="145"/>
      <c r="D156" s="146" t="s">
        <v>40</v>
      </c>
    </row>
    <row r="157" spans="1:4" x14ac:dyDescent="0.3">
      <c r="A157" s="144" t="s">
        <v>124</v>
      </c>
      <c r="B157" s="144" t="s">
        <v>25</v>
      </c>
      <c r="C157" s="145"/>
      <c r="D157" s="146" t="s">
        <v>40</v>
      </c>
    </row>
    <row r="158" spans="1:4" x14ac:dyDescent="0.3">
      <c r="A158" s="144" t="s">
        <v>125</v>
      </c>
      <c r="B158" s="144" t="s">
        <v>25</v>
      </c>
      <c r="C158" s="145"/>
      <c r="D158" s="146" t="s">
        <v>40</v>
      </c>
    </row>
    <row r="159" spans="1:4" x14ac:dyDescent="0.3">
      <c r="A159" s="147" t="s">
        <v>126</v>
      </c>
      <c r="B159" s="147" t="s">
        <v>25</v>
      </c>
      <c r="C159" s="148"/>
      <c r="D159" s="149" t="s">
        <v>40</v>
      </c>
    </row>
    <row r="160" spans="1:4" x14ac:dyDescent="0.3">
      <c r="A160" s="144" t="s">
        <v>127</v>
      </c>
      <c r="B160" s="144" t="s">
        <v>25</v>
      </c>
      <c r="C160" s="145"/>
      <c r="D160" s="146" t="s">
        <v>40</v>
      </c>
    </row>
    <row r="161" spans="1:4" x14ac:dyDescent="0.3">
      <c r="A161" s="144" t="s">
        <v>128</v>
      </c>
      <c r="B161" s="144" t="s">
        <v>25</v>
      </c>
      <c r="C161" s="145"/>
      <c r="D161" s="146" t="s">
        <v>40</v>
      </c>
    </row>
    <row r="162" spans="1:4" x14ac:dyDescent="0.3">
      <c r="A162" s="143" t="s">
        <v>129</v>
      </c>
      <c r="B162" s="144"/>
      <c r="C162" s="145"/>
      <c r="D162" s="146"/>
    </row>
    <row r="163" spans="1:4" x14ac:dyDescent="0.3">
      <c r="A163" s="144" t="s">
        <v>130</v>
      </c>
      <c r="B163" s="144" t="s">
        <v>18</v>
      </c>
      <c r="C163" s="145"/>
      <c r="D163" s="146" t="s">
        <v>40</v>
      </c>
    </row>
    <row r="164" spans="1:4" x14ac:dyDescent="0.3">
      <c r="A164" s="147" t="s">
        <v>131</v>
      </c>
      <c r="B164" s="147" t="s">
        <v>18</v>
      </c>
      <c r="C164" s="148"/>
      <c r="D164" s="149" t="s">
        <v>40</v>
      </c>
    </row>
    <row r="165" spans="1:4" x14ac:dyDescent="0.3">
      <c r="A165" s="150" t="s">
        <v>692</v>
      </c>
      <c r="B165" s="150" t="s">
        <v>18</v>
      </c>
      <c r="C165" s="151"/>
      <c r="D165" s="152" t="s">
        <v>40</v>
      </c>
    </row>
    <row r="166" spans="1:4" x14ac:dyDescent="0.3">
      <c r="A166" s="144" t="s">
        <v>132</v>
      </c>
      <c r="B166" s="144" t="s">
        <v>18</v>
      </c>
      <c r="C166" s="145"/>
      <c r="D166" s="146" t="s">
        <v>40</v>
      </c>
    </row>
    <row r="167" spans="1:4" x14ac:dyDescent="0.3">
      <c r="A167" s="144" t="s">
        <v>717</v>
      </c>
      <c r="B167" s="144" t="s">
        <v>18</v>
      </c>
      <c r="C167" s="145"/>
      <c r="D167" s="146" t="s">
        <v>40</v>
      </c>
    </row>
    <row r="168" spans="1:4" x14ac:dyDescent="0.3">
      <c r="A168" s="144" t="s">
        <v>133</v>
      </c>
      <c r="B168" s="144" t="s">
        <v>18</v>
      </c>
      <c r="C168" s="145"/>
      <c r="D168" s="146" t="s">
        <v>40</v>
      </c>
    </row>
    <row r="169" spans="1:4" x14ac:dyDescent="0.3">
      <c r="A169" s="144" t="s">
        <v>907</v>
      </c>
      <c r="B169" s="144" t="s">
        <v>18</v>
      </c>
      <c r="C169" s="145"/>
      <c r="D169" s="146" t="s">
        <v>40</v>
      </c>
    </row>
    <row r="170" spans="1:4" x14ac:dyDescent="0.3">
      <c r="A170" s="147" t="s">
        <v>843</v>
      </c>
      <c r="B170" s="147" t="s">
        <v>18</v>
      </c>
      <c r="C170" s="148"/>
      <c r="D170" s="149" t="s">
        <v>102</v>
      </c>
    </row>
    <row r="171" spans="1:4" x14ac:dyDescent="0.3">
      <c r="A171" s="150" t="s">
        <v>134</v>
      </c>
      <c r="B171" s="150" t="s">
        <v>18</v>
      </c>
      <c r="C171" s="151"/>
      <c r="D171" s="152" t="s">
        <v>40</v>
      </c>
    </row>
    <row r="172" spans="1:4" x14ac:dyDescent="0.3">
      <c r="A172" s="144" t="s">
        <v>135</v>
      </c>
      <c r="B172" s="144" t="s">
        <v>18</v>
      </c>
      <c r="C172" s="145"/>
      <c r="D172" s="146" t="s">
        <v>40</v>
      </c>
    </row>
    <row r="173" spans="1:4" x14ac:dyDescent="0.3">
      <c r="A173" s="150" t="s">
        <v>844</v>
      </c>
      <c r="B173" s="150" t="s">
        <v>18</v>
      </c>
      <c r="C173" s="151"/>
      <c r="D173" s="152" t="s">
        <v>40</v>
      </c>
    </row>
    <row r="174" spans="1:4" x14ac:dyDescent="0.3">
      <c r="A174" s="147" t="s">
        <v>845</v>
      </c>
      <c r="B174" s="147" t="s">
        <v>18</v>
      </c>
      <c r="C174" s="148"/>
      <c r="D174" s="149" t="s">
        <v>40</v>
      </c>
    </row>
    <row r="175" spans="1:4" x14ac:dyDescent="0.3">
      <c r="A175" s="144" t="s">
        <v>790</v>
      </c>
      <c r="B175" s="144" t="s">
        <v>18</v>
      </c>
      <c r="C175" s="145"/>
      <c r="D175" s="146" t="s">
        <v>40</v>
      </c>
    </row>
    <row r="176" spans="1:4" x14ac:dyDescent="0.3">
      <c r="A176" s="147" t="s">
        <v>846</v>
      </c>
      <c r="B176" s="147" t="s">
        <v>18</v>
      </c>
      <c r="C176" s="148"/>
      <c r="D176" s="149" t="s">
        <v>40</v>
      </c>
    </row>
    <row r="177" spans="1:4" x14ac:dyDescent="0.3">
      <c r="A177" s="150" t="s">
        <v>136</v>
      </c>
      <c r="B177" s="150" t="s">
        <v>18</v>
      </c>
      <c r="C177" s="151"/>
      <c r="D177" s="152" t="s">
        <v>40</v>
      </c>
    </row>
    <row r="178" spans="1:4" x14ac:dyDescent="0.3">
      <c r="A178" s="144" t="s">
        <v>811</v>
      </c>
      <c r="B178" s="144" t="s">
        <v>18</v>
      </c>
      <c r="C178" s="145"/>
      <c r="D178" s="146" t="s">
        <v>40</v>
      </c>
    </row>
    <row r="179" spans="1:4" x14ac:dyDescent="0.3">
      <c r="A179" s="144" t="s">
        <v>892</v>
      </c>
      <c r="B179" s="144" t="s">
        <v>18</v>
      </c>
      <c r="C179" s="145"/>
      <c r="D179" s="146" t="s">
        <v>40</v>
      </c>
    </row>
    <row r="180" spans="1:4" x14ac:dyDescent="0.3">
      <c r="A180" s="147" t="s">
        <v>868</v>
      </c>
      <c r="B180" s="147" t="s">
        <v>18</v>
      </c>
      <c r="C180" s="148"/>
      <c r="D180" s="149" t="s">
        <v>40</v>
      </c>
    </row>
    <row r="181" spans="1:4" x14ac:dyDescent="0.3">
      <c r="A181" s="150" t="s">
        <v>791</v>
      </c>
      <c r="B181" s="150" t="s">
        <v>18</v>
      </c>
      <c r="C181" s="151"/>
      <c r="D181" s="152" t="s">
        <v>40</v>
      </c>
    </row>
    <row r="182" spans="1:4" x14ac:dyDescent="0.3">
      <c r="A182" s="144" t="s">
        <v>792</v>
      </c>
      <c r="B182" s="144" t="s">
        <v>18</v>
      </c>
      <c r="C182" s="145"/>
      <c r="D182" s="146" t="s">
        <v>40</v>
      </c>
    </row>
    <row r="183" spans="1:4" x14ac:dyDescent="0.3">
      <c r="A183" s="150" t="s">
        <v>137</v>
      </c>
      <c r="B183" s="150" t="s">
        <v>25</v>
      </c>
      <c r="C183" s="151"/>
      <c r="D183" s="152" t="s">
        <v>40</v>
      </c>
    </row>
    <row r="184" spans="1:4" x14ac:dyDescent="0.3">
      <c r="A184" s="144" t="s">
        <v>749</v>
      </c>
      <c r="B184" s="144" t="s">
        <v>25</v>
      </c>
      <c r="C184" s="145"/>
      <c r="D184" s="146" t="s">
        <v>40</v>
      </c>
    </row>
    <row r="185" spans="1:4" x14ac:dyDescent="0.3">
      <c r="A185" s="150" t="s">
        <v>138</v>
      </c>
      <c r="B185" s="150" t="s">
        <v>25</v>
      </c>
      <c r="C185" s="151"/>
      <c r="D185" s="152" t="s">
        <v>40</v>
      </c>
    </row>
    <row r="186" spans="1:4" x14ac:dyDescent="0.3">
      <c r="A186" s="144" t="s">
        <v>139</v>
      </c>
      <c r="B186" s="144" t="s">
        <v>25</v>
      </c>
      <c r="C186" s="145"/>
      <c r="D186" s="146" t="s">
        <v>40</v>
      </c>
    </row>
    <row r="187" spans="1:4" x14ac:dyDescent="0.3">
      <c r="A187" s="144" t="s">
        <v>948</v>
      </c>
      <c r="B187" s="144" t="s">
        <v>25</v>
      </c>
      <c r="C187" s="145"/>
      <c r="D187" s="146" t="s">
        <v>40</v>
      </c>
    </row>
    <row r="188" spans="1:4" x14ac:dyDescent="0.3">
      <c r="A188" s="144" t="s">
        <v>748</v>
      </c>
      <c r="B188" s="144" t="s">
        <v>25</v>
      </c>
      <c r="C188" s="145"/>
      <c r="D188" s="146" t="s">
        <v>40</v>
      </c>
    </row>
    <row r="189" spans="1:4" x14ac:dyDescent="0.3">
      <c r="A189" s="150" t="s">
        <v>140</v>
      </c>
      <c r="B189" s="150" t="s">
        <v>25</v>
      </c>
      <c r="C189" s="151"/>
      <c r="D189" s="152" t="s">
        <v>40</v>
      </c>
    </row>
    <row r="190" spans="1:4" x14ac:dyDescent="0.3">
      <c r="A190" s="144" t="s">
        <v>893</v>
      </c>
      <c r="B190" s="144" t="s">
        <v>25</v>
      </c>
      <c r="C190" s="145"/>
      <c r="D190" s="146" t="s">
        <v>40</v>
      </c>
    </row>
    <row r="191" spans="1:4" x14ac:dyDescent="0.3">
      <c r="A191" s="144" t="s">
        <v>894</v>
      </c>
      <c r="B191" s="144" t="s">
        <v>25</v>
      </c>
      <c r="C191" s="145"/>
      <c r="D191" s="146" t="s">
        <v>40</v>
      </c>
    </row>
    <row r="192" spans="1:4" x14ac:dyDescent="0.3">
      <c r="A192" s="144" t="s">
        <v>847</v>
      </c>
      <c r="B192" s="144" t="s">
        <v>25</v>
      </c>
      <c r="C192" s="145"/>
      <c r="D192" s="146" t="s">
        <v>40</v>
      </c>
    </row>
    <row r="193" spans="1:4" x14ac:dyDescent="0.3">
      <c r="A193" s="144" t="s">
        <v>141</v>
      </c>
      <c r="B193" s="144" t="s">
        <v>25</v>
      </c>
      <c r="C193" s="145"/>
      <c r="D193" s="146" t="s">
        <v>40</v>
      </c>
    </row>
    <row r="194" spans="1:4" x14ac:dyDescent="0.3">
      <c r="A194" s="147" t="s">
        <v>848</v>
      </c>
      <c r="B194" s="147" t="s">
        <v>25</v>
      </c>
      <c r="C194" s="148"/>
      <c r="D194" s="149" t="s">
        <v>40</v>
      </c>
    </row>
    <row r="195" spans="1:4" x14ac:dyDescent="0.3">
      <c r="A195" s="144" t="s">
        <v>895</v>
      </c>
      <c r="B195" s="144" t="s">
        <v>25</v>
      </c>
      <c r="C195" s="145"/>
      <c r="D195" s="146" t="s">
        <v>40</v>
      </c>
    </row>
    <row r="196" spans="1:4" x14ac:dyDescent="0.3">
      <c r="A196" s="147" t="s">
        <v>878</v>
      </c>
      <c r="B196" s="147" t="s">
        <v>25</v>
      </c>
      <c r="C196" s="148"/>
      <c r="D196" s="149" t="s">
        <v>40</v>
      </c>
    </row>
    <row r="197" spans="1:4" x14ac:dyDescent="0.3">
      <c r="A197" s="150" t="s">
        <v>142</v>
      </c>
      <c r="B197" s="150" t="s">
        <v>25</v>
      </c>
      <c r="C197" s="151"/>
      <c r="D197" s="152" t="s">
        <v>40</v>
      </c>
    </row>
    <row r="198" spans="1:4" x14ac:dyDescent="0.3">
      <c r="A198" s="150" t="s">
        <v>143</v>
      </c>
      <c r="B198" s="150" t="s">
        <v>25</v>
      </c>
      <c r="C198" s="151"/>
      <c r="D198" s="152" t="s">
        <v>40</v>
      </c>
    </row>
    <row r="199" spans="1:4" x14ac:dyDescent="0.3">
      <c r="A199" s="147" t="s">
        <v>144</v>
      </c>
      <c r="B199" s="147" t="s">
        <v>25</v>
      </c>
      <c r="C199" s="148"/>
      <c r="D199" s="149" t="s">
        <v>40</v>
      </c>
    </row>
    <row r="200" spans="1:4" x14ac:dyDescent="0.3">
      <c r="A200" s="144" t="s">
        <v>849</v>
      </c>
      <c r="B200" s="144" t="s">
        <v>25</v>
      </c>
      <c r="C200" s="145"/>
      <c r="D200" s="146" t="s">
        <v>40</v>
      </c>
    </row>
    <row r="201" spans="1:4" x14ac:dyDescent="0.3">
      <c r="A201" s="144" t="s">
        <v>145</v>
      </c>
      <c r="B201" s="144" t="s">
        <v>25</v>
      </c>
      <c r="C201" s="145"/>
      <c r="D201" s="146" t="s">
        <v>40</v>
      </c>
    </row>
    <row r="202" spans="1:4" x14ac:dyDescent="0.3">
      <c r="A202" s="144" t="s">
        <v>146</v>
      </c>
      <c r="B202" s="144" t="s">
        <v>25</v>
      </c>
      <c r="C202" s="145"/>
      <c r="D202" s="146" t="s">
        <v>40</v>
      </c>
    </row>
    <row r="203" spans="1:4" x14ac:dyDescent="0.3">
      <c r="A203" s="144" t="s">
        <v>147</v>
      </c>
      <c r="B203" s="144" t="s">
        <v>25</v>
      </c>
      <c r="C203" s="145"/>
      <c r="D203" s="146" t="s">
        <v>40</v>
      </c>
    </row>
    <row r="204" spans="1:4" x14ac:dyDescent="0.3">
      <c r="A204" s="144" t="s">
        <v>148</v>
      </c>
      <c r="B204" s="144" t="s">
        <v>25</v>
      </c>
      <c r="C204" s="145"/>
      <c r="D204" s="146" t="s">
        <v>40</v>
      </c>
    </row>
    <row r="205" spans="1:4" x14ac:dyDescent="0.3">
      <c r="A205" s="144" t="s">
        <v>819</v>
      </c>
      <c r="B205" s="144" t="s">
        <v>25</v>
      </c>
      <c r="C205" s="145"/>
      <c r="D205" s="146" t="s">
        <v>40</v>
      </c>
    </row>
    <row r="206" spans="1:4" x14ac:dyDescent="0.3">
      <c r="A206" s="144" t="s">
        <v>879</v>
      </c>
      <c r="B206" s="144" t="s">
        <v>25</v>
      </c>
      <c r="C206" s="145"/>
      <c r="D206" s="146" t="s">
        <v>40</v>
      </c>
    </row>
    <row r="207" spans="1:4" x14ac:dyDescent="0.3">
      <c r="A207" s="144" t="s">
        <v>818</v>
      </c>
      <c r="B207" s="144" t="s">
        <v>25</v>
      </c>
      <c r="C207" s="145"/>
      <c r="D207" s="146" t="s">
        <v>40</v>
      </c>
    </row>
    <row r="208" spans="1:4" x14ac:dyDescent="0.3">
      <c r="A208" s="147" t="s">
        <v>724</v>
      </c>
      <c r="B208" s="147" t="s">
        <v>25</v>
      </c>
      <c r="C208" s="148"/>
      <c r="D208" s="149" t="s">
        <v>40</v>
      </c>
    </row>
    <row r="209" spans="1:4" x14ac:dyDescent="0.3">
      <c r="A209" s="144" t="s">
        <v>781</v>
      </c>
      <c r="B209" s="144" t="s">
        <v>25</v>
      </c>
      <c r="C209" s="145"/>
      <c r="D209" s="146" t="s">
        <v>40</v>
      </c>
    </row>
    <row r="210" spans="1:4" x14ac:dyDescent="0.3">
      <c r="A210" s="143" t="s">
        <v>149</v>
      </c>
      <c r="B210" s="144"/>
      <c r="C210" s="145"/>
      <c r="D210" s="146"/>
    </row>
    <row r="211" spans="1:4" s="141" customFormat="1" x14ac:dyDescent="0.3">
      <c r="A211" s="157" t="s">
        <v>701</v>
      </c>
      <c r="B211" s="147" t="s">
        <v>18</v>
      </c>
      <c r="C211" s="148"/>
      <c r="D211" s="149" t="s">
        <v>151</v>
      </c>
    </row>
    <row r="212" spans="1:4" s="141" customFormat="1" x14ac:dyDescent="0.3">
      <c r="A212" s="157" t="s">
        <v>150</v>
      </c>
      <c r="B212" s="147" t="s">
        <v>18</v>
      </c>
      <c r="C212" s="148"/>
      <c r="D212" s="149" t="s">
        <v>151</v>
      </c>
    </row>
    <row r="213" spans="1:4" s="141" customFormat="1" x14ac:dyDescent="0.3">
      <c r="A213" s="158" t="s">
        <v>152</v>
      </c>
      <c r="B213" s="144" t="s">
        <v>18</v>
      </c>
      <c r="C213" s="145"/>
      <c r="D213" s="146" t="s">
        <v>151</v>
      </c>
    </row>
    <row r="214" spans="1:4" s="141" customFormat="1" x14ac:dyDescent="0.3">
      <c r="A214" s="144" t="s">
        <v>153</v>
      </c>
      <c r="B214" s="144" t="s">
        <v>18</v>
      </c>
      <c r="C214" s="145"/>
      <c r="D214" s="146" t="s">
        <v>151</v>
      </c>
    </row>
    <row r="215" spans="1:4" s="141" customFormat="1" x14ac:dyDescent="0.3">
      <c r="A215" s="144" t="s">
        <v>154</v>
      </c>
      <c r="B215" s="144" t="s">
        <v>18</v>
      </c>
      <c r="C215" s="145"/>
      <c r="D215" s="146" t="s">
        <v>151</v>
      </c>
    </row>
    <row r="216" spans="1:4" s="141" customFormat="1" x14ac:dyDescent="0.3">
      <c r="A216" s="144" t="s">
        <v>155</v>
      </c>
      <c r="B216" s="144" t="s">
        <v>18</v>
      </c>
      <c r="C216" s="145"/>
      <c r="D216" s="146" t="s">
        <v>151</v>
      </c>
    </row>
    <row r="217" spans="1:4" x14ac:dyDescent="0.3">
      <c r="A217" s="144" t="s">
        <v>156</v>
      </c>
      <c r="B217" s="144" t="s">
        <v>18</v>
      </c>
      <c r="C217" s="145"/>
      <c r="D217" s="146" t="s">
        <v>151</v>
      </c>
    </row>
    <row r="218" spans="1:4" x14ac:dyDescent="0.3">
      <c r="A218" s="144" t="s">
        <v>157</v>
      </c>
      <c r="B218" s="144" t="s">
        <v>18</v>
      </c>
      <c r="C218" s="145"/>
      <c r="D218" s="146" t="s">
        <v>151</v>
      </c>
    </row>
    <row r="219" spans="1:4" x14ac:dyDescent="0.3">
      <c r="A219" s="144" t="s">
        <v>158</v>
      </c>
      <c r="B219" s="144" t="s">
        <v>18</v>
      </c>
      <c r="C219" s="145"/>
      <c r="D219" s="146" t="s">
        <v>151</v>
      </c>
    </row>
    <row r="220" spans="1:4" x14ac:dyDescent="0.3">
      <c r="A220" s="144" t="s">
        <v>695</v>
      </c>
      <c r="B220" s="144" t="s">
        <v>18</v>
      </c>
      <c r="C220" s="145"/>
      <c r="D220" s="146" t="s">
        <v>151</v>
      </c>
    </row>
    <row r="221" spans="1:4" x14ac:dyDescent="0.3">
      <c r="A221" s="158" t="s">
        <v>159</v>
      </c>
      <c r="B221" s="144" t="s">
        <v>25</v>
      </c>
      <c r="C221" s="145"/>
      <c r="D221" s="146" t="s">
        <v>151</v>
      </c>
    </row>
    <row r="222" spans="1:4" x14ac:dyDescent="0.3">
      <c r="A222" s="158" t="s">
        <v>160</v>
      </c>
      <c r="B222" s="144" t="s">
        <v>25</v>
      </c>
      <c r="C222" s="145"/>
      <c r="D222" s="146" t="s">
        <v>151</v>
      </c>
    </row>
    <row r="223" spans="1:4" x14ac:dyDescent="0.3">
      <c r="A223" s="158" t="s">
        <v>812</v>
      </c>
      <c r="B223" s="144" t="s">
        <v>25</v>
      </c>
      <c r="C223" s="145"/>
      <c r="D223" s="146" t="s">
        <v>151</v>
      </c>
    </row>
    <row r="224" spans="1:4" x14ac:dyDescent="0.3">
      <c r="A224" s="158" t="s">
        <v>813</v>
      </c>
      <c r="B224" s="144" t="s">
        <v>25</v>
      </c>
      <c r="C224" s="145"/>
      <c r="D224" s="146" t="s">
        <v>151</v>
      </c>
    </row>
    <row r="225" spans="1:4" x14ac:dyDescent="0.3">
      <c r="A225" s="159" t="s">
        <v>161</v>
      </c>
      <c r="B225" s="150" t="s">
        <v>25</v>
      </c>
      <c r="C225" s="151"/>
      <c r="D225" s="152" t="s">
        <v>151</v>
      </c>
    </row>
    <row r="226" spans="1:4" x14ac:dyDescent="0.3">
      <c r="A226" s="159" t="s">
        <v>162</v>
      </c>
      <c r="B226" s="150" t="s">
        <v>25</v>
      </c>
      <c r="C226" s="151"/>
      <c r="D226" s="152" t="s">
        <v>151</v>
      </c>
    </row>
    <row r="227" spans="1:4" x14ac:dyDescent="0.3">
      <c r="A227" s="144" t="s">
        <v>163</v>
      </c>
      <c r="B227" s="144" t="s">
        <v>25</v>
      </c>
      <c r="C227" s="145"/>
      <c r="D227" s="146" t="s">
        <v>151</v>
      </c>
    </row>
    <row r="228" spans="1:4" x14ac:dyDescent="0.3">
      <c r="A228" s="144" t="s">
        <v>164</v>
      </c>
      <c r="B228" s="144" t="s">
        <v>25</v>
      </c>
      <c r="C228" s="145"/>
      <c r="D228" s="146" t="s">
        <v>151</v>
      </c>
    </row>
    <row r="229" spans="1:4" x14ac:dyDescent="0.3">
      <c r="A229" s="144" t="s">
        <v>165</v>
      </c>
      <c r="B229" s="144" t="s">
        <v>25</v>
      </c>
      <c r="C229" s="145"/>
      <c r="D229" s="146" t="s">
        <v>151</v>
      </c>
    </row>
    <row r="230" spans="1:4" x14ac:dyDescent="0.3">
      <c r="A230" s="144" t="s">
        <v>166</v>
      </c>
      <c r="B230" s="144" t="s">
        <v>25</v>
      </c>
      <c r="C230" s="145"/>
      <c r="D230" s="146" t="s">
        <v>151</v>
      </c>
    </row>
    <row r="231" spans="1:4" x14ac:dyDescent="0.3">
      <c r="A231" s="144" t="s">
        <v>167</v>
      </c>
      <c r="B231" s="144" t="s">
        <v>25</v>
      </c>
      <c r="C231" s="145"/>
      <c r="D231" s="146" t="s">
        <v>151</v>
      </c>
    </row>
    <row r="232" spans="1:4" x14ac:dyDescent="0.3">
      <c r="A232" s="144" t="s">
        <v>168</v>
      </c>
      <c r="B232" s="144" t="s">
        <v>25</v>
      </c>
      <c r="C232" s="145"/>
      <c r="D232" s="146" t="s">
        <v>151</v>
      </c>
    </row>
    <row r="233" spans="1:4" x14ac:dyDescent="0.3">
      <c r="A233" s="143" t="s">
        <v>169</v>
      </c>
      <c r="B233" s="144"/>
      <c r="C233" s="145"/>
      <c r="D233" s="146"/>
    </row>
    <row r="234" spans="1:4" x14ac:dyDescent="0.3">
      <c r="A234" s="150" t="s">
        <v>170</v>
      </c>
      <c r="B234" s="150" t="s">
        <v>171</v>
      </c>
      <c r="C234" s="151"/>
      <c r="D234" s="152" t="s">
        <v>151</v>
      </c>
    </row>
    <row r="235" spans="1:4" x14ac:dyDescent="0.3">
      <c r="A235" s="144" t="s">
        <v>172</v>
      </c>
      <c r="B235" s="144" t="s">
        <v>18</v>
      </c>
      <c r="C235" s="145"/>
      <c r="D235" s="146" t="s">
        <v>151</v>
      </c>
    </row>
    <row r="236" spans="1:4" x14ac:dyDescent="0.3">
      <c r="A236" s="144" t="s">
        <v>908</v>
      </c>
      <c r="B236" s="144" t="s">
        <v>18</v>
      </c>
      <c r="C236" s="145"/>
      <c r="D236" s="146" t="s">
        <v>151</v>
      </c>
    </row>
    <row r="237" spans="1:4" x14ac:dyDescent="0.3">
      <c r="A237" s="144" t="s">
        <v>173</v>
      </c>
      <c r="B237" s="144" t="s">
        <v>18</v>
      </c>
      <c r="C237" s="145"/>
      <c r="D237" s="146" t="s">
        <v>151</v>
      </c>
    </row>
    <row r="238" spans="1:4" x14ac:dyDescent="0.3">
      <c r="A238" s="144" t="s">
        <v>174</v>
      </c>
      <c r="B238" s="144" t="s">
        <v>18</v>
      </c>
      <c r="C238" s="145"/>
      <c r="D238" s="146" t="s">
        <v>151</v>
      </c>
    </row>
    <row r="239" spans="1:4" x14ac:dyDescent="0.3">
      <c r="A239" s="150" t="s">
        <v>175</v>
      </c>
      <c r="B239" s="150" t="s">
        <v>25</v>
      </c>
      <c r="C239" s="151"/>
      <c r="D239" s="152" t="s">
        <v>151</v>
      </c>
    </row>
    <row r="240" spans="1:4" x14ac:dyDescent="0.3">
      <c r="A240" s="150" t="s">
        <v>176</v>
      </c>
      <c r="B240" s="150" t="s">
        <v>25</v>
      </c>
      <c r="C240" s="151"/>
      <c r="D240" s="152" t="s">
        <v>151</v>
      </c>
    </row>
    <row r="241" spans="1:4" s="141" customFormat="1" x14ac:dyDescent="0.3">
      <c r="A241" s="144" t="s">
        <v>177</v>
      </c>
      <c r="B241" s="144" t="s">
        <v>25</v>
      </c>
      <c r="C241" s="145"/>
      <c r="D241" s="146" t="s">
        <v>151</v>
      </c>
    </row>
    <row r="242" spans="1:4" x14ac:dyDescent="0.3">
      <c r="A242" s="144" t="s">
        <v>986</v>
      </c>
      <c r="B242" s="144" t="s">
        <v>25</v>
      </c>
      <c r="C242" s="145"/>
      <c r="D242" s="146" t="s">
        <v>151</v>
      </c>
    </row>
    <row r="243" spans="1:4" x14ac:dyDescent="0.3">
      <c r="A243" s="150" t="s">
        <v>178</v>
      </c>
      <c r="B243" s="150" t="s">
        <v>25</v>
      </c>
      <c r="C243" s="151"/>
      <c r="D243" s="152" t="s">
        <v>151</v>
      </c>
    </row>
    <row r="244" spans="1:4" x14ac:dyDescent="0.3">
      <c r="A244" s="143" t="s">
        <v>179</v>
      </c>
      <c r="B244" s="144"/>
      <c r="C244" s="145"/>
      <c r="D244" s="146"/>
    </row>
    <row r="245" spans="1:4" x14ac:dyDescent="0.3">
      <c r="A245" s="150" t="s">
        <v>180</v>
      </c>
      <c r="B245" s="150" t="s">
        <v>181</v>
      </c>
      <c r="C245" s="151"/>
      <c r="D245" s="152" t="s">
        <v>40</v>
      </c>
    </row>
    <row r="246" spans="1:4" x14ac:dyDescent="0.3">
      <c r="A246" s="147" t="s">
        <v>712</v>
      </c>
      <c r="B246" s="147" t="s">
        <v>18</v>
      </c>
      <c r="C246" s="148"/>
      <c r="D246" s="149" t="s">
        <v>151</v>
      </c>
    </row>
    <row r="247" spans="1:4" x14ac:dyDescent="0.3">
      <c r="A247" s="150" t="s">
        <v>182</v>
      </c>
      <c r="B247" s="150" t="s">
        <v>18</v>
      </c>
      <c r="C247" s="151"/>
      <c r="D247" s="152" t="s">
        <v>151</v>
      </c>
    </row>
    <row r="248" spans="1:4" x14ac:dyDescent="0.3">
      <c r="A248" s="147" t="s">
        <v>903</v>
      </c>
      <c r="B248" s="147" t="s">
        <v>18</v>
      </c>
      <c r="C248" s="148"/>
      <c r="D248" s="149" t="s">
        <v>151</v>
      </c>
    </row>
    <row r="249" spans="1:4" x14ac:dyDescent="0.3">
      <c r="A249" s="147" t="s">
        <v>904</v>
      </c>
      <c r="B249" s="147" t="s">
        <v>18</v>
      </c>
      <c r="C249" s="148"/>
      <c r="D249" s="149" t="s">
        <v>151</v>
      </c>
    </row>
    <row r="250" spans="1:4" x14ac:dyDescent="0.3">
      <c r="A250" s="147" t="s">
        <v>1066</v>
      </c>
      <c r="B250" s="147" t="s">
        <v>18</v>
      </c>
      <c r="C250" s="148"/>
      <c r="D250" s="149" t="s">
        <v>151</v>
      </c>
    </row>
    <row r="251" spans="1:4" x14ac:dyDescent="0.3">
      <c r="A251" s="143" t="s">
        <v>184</v>
      </c>
      <c r="B251" s="144"/>
      <c r="C251" s="145"/>
      <c r="D251" s="146"/>
    </row>
    <row r="252" spans="1:4" x14ac:dyDescent="0.3">
      <c r="A252" s="147" t="s">
        <v>690</v>
      </c>
      <c r="B252" s="147" t="s">
        <v>18</v>
      </c>
      <c r="C252" s="148"/>
      <c r="D252" s="149" t="s">
        <v>40</v>
      </c>
    </row>
    <row r="253" spans="1:4" s="141" customFormat="1" x14ac:dyDescent="0.3">
      <c r="A253" s="147" t="s">
        <v>185</v>
      </c>
      <c r="B253" s="147" t="s">
        <v>18</v>
      </c>
      <c r="C253" s="148"/>
      <c r="D253" s="149" t="s">
        <v>40</v>
      </c>
    </row>
    <row r="254" spans="1:4" x14ac:dyDescent="0.3">
      <c r="A254" s="144" t="s">
        <v>186</v>
      </c>
      <c r="B254" s="144" t="s">
        <v>18</v>
      </c>
      <c r="C254" s="145"/>
      <c r="D254" s="146" t="s">
        <v>40</v>
      </c>
    </row>
    <row r="255" spans="1:4" x14ac:dyDescent="0.3">
      <c r="A255" s="144" t="s">
        <v>187</v>
      </c>
      <c r="B255" s="144" t="s">
        <v>18</v>
      </c>
      <c r="C255" s="145"/>
      <c r="D255" s="146" t="s">
        <v>40</v>
      </c>
    </row>
    <row r="256" spans="1:4" x14ac:dyDescent="0.3">
      <c r="A256" s="144" t="s">
        <v>1017</v>
      </c>
      <c r="B256" s="144" t="s">
        <v>18</v>
      </c>
      <c r="C256" s="145"/>
      <c r="D256" s="146" t="s">
        <v>830</v>
      </c>
    </row>
    <row r="257" spans="1:4" x14ac:dyDescent="0.3">
      <c r="A257" s="147" t="s">
        <v>711</v>
      </c>
      <c r="B257" s="147" t="s">
        <v>18</v>
      </c>
      <c r="C257" s="148"/>
      <c r="D257" s="149" t="s">
        <v>40</v>
      </c>
    </row>
    <row r="258" spans="1:4" x14ac:dyDescent="0.3">
      <c r="A258" s="144" t="s">
        <v>188</v>
      </c>
      <c r="B258" s="144" t="s">
        <v>18</v>
      </c>
      <c r="C258" s="145"/>
      <c r="D258" s="146" t="s">
        <v>40</v>
      </c>
    </row>
    <row r="259" spans="1:4" x14ac:dyDescent="0.3">
      <c r="A259" s="144" t="s">
        <v>189</v>
      </c>
      <c r="B259" s="144" t="s">
        <v>25</v>
      </c>
      <c r="C259" s="145"/>
      <c r="D259" s="146" t="s">
        <v>40</v>
      </c>
    </row>
    <row r="260" spans="1:4" x14ac:dyDescent="0.3">
      <c r="A260" s="144" t="s">
        <v>190</v>
      </c>
      <c r="B260" s="144" t="s">
        <v>25</v>
      </c>
      <c r="C260" s="145"/>
      <c r="D260" s="146" t="s">
        <v>40</v>
      </c>
    </row>
    <row r="261" spans="1:4" x14ac:dyDescent="0.3">
      <c r="A261" s="144" t="s">
        <v>191</v>
      </c>
      <c r="B261" s="144" t="s">
        <v>25</v>
      </c>
      <c r="C261" s="145"/>
      <c r="D261" s="146" t="s">
        <v>40</v>
      </c>
    </row>
    <row r="262" spans="1:4" x14ac:dyDescent="0.3">
      <c r="A262" s="144" t="s">
        <v>661</v>
      </c>
      <c r="B262" s="144" t="s">
        <v>596</v>
      </c>
      <c r="C262" s="145"/>
      <c r="D262" s="146" t="s">
        <v>40</v>
      </c>
    </row>
    <row r="263" spans="1:4" x14ac:dyDescent="0.3">
      <c r="A263" s="144" t="s">
        <v>987</v>
      </c>
      <c r="B263" s="144" t="s">
        <v>596</v>
      </c>
      <c r="C263" s="145"/>
      <c r="D263" s="146" t="s">
        <v>40</v>
      </c>
    </row>
    <row r="264" spans="1:4" x14ac:dyDescent="0.3">
      <c r="A264" s="144" t="s">
        <v>767</v>
      </c>
      <c r="B264" s="144" t="s">
        <v>171</v>
      </c>
      <c r="C264" s="145"/>
      <c r="D264" s="146" t="s">
        <v>40</v>
      </c>
    </row>
    <row r="265" spans="1:4" x14ac:dyDescent="0.3">
      <c r="A265" s="144" t="s">
        <v>773</v>
      </c>
      <c r="B265" s="144" t="s">
        <v>171</v>
      </c>
      <c r="C265" s="145"/>
      <c r="D265" s="146" t="s">
        <v>40</v>
      </c>
    </row>
    <row r="266" spans="1:4" x14ac:dyDescent="0.3">
      <c r="A266" s="143" t="s">
        <v>192</v>
      </c>
      <c r="B266" s="144"/>
      <c r="C266" s="145"/>
      <c r="D266" s="146"/>
    </row>
    <row r="267" spans="1:4" x14ac:dyDescent="0.3">
      <c r="A267" s="144" t="s">
        <v>1067</v>
      </c>
      <c r="B267" s="144" t="s">
        <v>18</v>
      </c>
      <c r="C267" s="145"/>
      <c r="D267" s="146" t="s">
        <v>40</v>
      </c>
    </row>
    <row r="268" spans="1:4" s="141" customFormat="1" x14ac:dyDescent="0.3">
      <c r="A268" s="144" t="s">
        <v>728</v>
      </c>
      <c r="B268" s="144" t="s">
        <v>18</v>
      </c>
      <c r="C268" s="145"/>
      <c r="D268" s="146" t="s">
        <v>40</v>
      </c>
    </row>
    <row r="269" spans="1:4" x14ac:dyDescent="0.3">
      <c r="A269" s="144" t="s">
        <v>194</v>
      </c>
      <c r="B269" s="144" t="s">
        <v>25</v>
      </c>
      <c r="C269" s="145"/>
      <c r="D269" s="146" t="s">
        <v>40</v>
      </c>
    </row>
    <row r="270" spans="1:4" s="141" customFormat="1" x14ac:dyDescent="0.3">
      <c r="A270" s="144" t="s">
        <v>195</v>
      </c>
      <c r="B270" s="144" t="s">
        <v>25</v>
      </c>
      <c r="C270" s="145"/>
      <c r="D270" s="146" t="s">
        <v>40</v>
      </c>
    </row>
    <row r="271" spans="1:4" x14ac:dyDescent="0.3">
      <c r="A271" s="143" t="s">
        <v>196</v>
      </c>
      <c r="B271" s="144"/>
      <c r="C271" s="145"/>
      <c r="D271" s="146"/>
    </row>
    <row r="272" spans="1:4" x14ac:dyDescent="0.3">
      <c r="A272" s="150" t="s">
        <v>789</v>
      </c>
      <c r="B272" s="150" t="s">
        <v>18</v>
      </c>
      <c r="C272" s="151"/>
      <c r="D272" s="152" t="s">
        <v>19</v>
      </c>
    </row>
    <row r="273" spans="1:4" x14ac:dyDescent="0.3">
      <c r="A273" s="147" t="s">
        <v>197</v>
      </c>
      <c r="B273" s="147" t="s">
        <v>18</v>
      </c>
      <c r="C273" s="148"/>
      <c r="D273" s="149" t="s">
        <v>19</v>
      </c>
    </row>
    <row r="274" spans="1:4" x14ac:dyDescent="0.3">
      <c r="A274" s="144" t="s">
        <v>198</v>
      </c>
      <c r="B274" s="144" t="s">
        <v>18</v>
      </c>
      <c r="C274" s="145"/>
      <c r="D274" s="146" t="s">
        <v>19</v>
      </c>
    </row>
    <row r="275" spans="1:4" x14ac:dyDescent="0.3">
      <c r="A275" s="150" t="s">
        <v>199</v>
      </c>
      <c r="B275" s="150" t="s">
        <v>18</v>
      </c>
      <c r="C275" s="151"/>
      <c r="D275" s="152" t="s">
        <v>19</v>
      </c>
    </row>
    <row r="276" spans="1:4" x14ac:dyDescent="0.3">
      <c r="A276" s="147" t="s">
        <v>200</v>
      </c>
      <c r="B276" s="147" t="s">
        <v>25</v>
      </c>
      <c r="C276" s="148"/>
      <c r="D276" s="149" t="s">
        <v>19</v>
      </c>
    </row>
    <row r="277" spans="1:4" x14ac:dyDescent="0.3">
      <c r="A277" s="147" t="s">
        <v>201</v>
      </c>
      <c r="B277" s="147" t="s">
        <v>25</v>
      </c>
      <c r="C277" s="148"/>
      <c r="D277" s="149" t="s">
        <v>19</v>
      </c>
    </row>
    <row r="278" spans="1:4" x14ac:dyDescent="0.3">
      <c r="A278" s="147" t="s">
        <v>202</v>
      </c>
      <c r="B278" s="147" t="s">
        <v>25</v>
      </c>
      <c r="C278" s="148"/>
      <c r="D278" s="149" t="s">
        <v>19</v>
      </c>
    </row>
    <row r="279" spans="1:4" x14ac:dyDescent="0.3">
      <c r="A279" s="143" t="s">
        <v>739</v>
      </c>
      <c r="B279" s="144"/>
      <c r="C279" s="145"/>
      <c r="D279" s="146"/>
    </row>
    <row r="280" spans="1:4" x14ac:dyDescent="0.3">
      <c r="A280" s="144" t="s">
        <v>740</v>
      </c>
      <c r="B280" s="144" t="s">
        <v>596</v>
      </c>
      <c r="C280" s="145"/>
      <c r="D280" s="146" t="s">
        <v>19</v>
      </c>
    </row>
    <row r="281" spans="1:4" x14ac:dyDescent="0.3">
      <c r="A281" s="143" t="s">
        <v>203</v>
      </c>
      <c r="B281" s="144"/>
      <c r="C281" s="145"/>
      <c r="D281" s="146"/>
    </row>
    <row r="282" spans="1:4" x14ac:dyDescent="0.3">
      <c r="A282" s="144" t="s">
        <v>798</v>
      </c>
      <c r="B282" s="144" t="s">
        <v>18</v>
      </c>
      <c r="C282" s="145"/>
      <c r="D282" s="146" t="s">
        <v>19</v>
      </c>
    </row>
    <row r="283" spans="1:4" x14ac:dyDescent="0.3">
      <c r="A283" s="144" t="s">
        <v>204</v>
      </c>
      <c r="B283" s="144" t="s">
        <v>18</v>
      </c>
      <c r="C283" s="145"/>
      <c r="D283" s="146" t="s">
        <v>19</v>
      </c>
    </row>
    <row r="284" spans="1:4" x14ac:dyDescent="0.3">
      <c r="A284" s="147" t="s">
        <v>205</v>
      </c>
      <c r="B284" s="147" t="s">
        <v>18</v>
      </c>
      <c r="C284" s="148"/>
      <c r="D284" s="149" t="s">
        <v>19</v>
      </c>
    </row>
    <row r="285" spans="1:4" x14ac:dyDescent="0.3">
      <c r="A285" s="144" t="s">
        <v>833</v>
      </c>
      <c r="B285" s="144" t="s">
        <v>18</v>
      </c>
      <c r="C285" s="145"/>
      <c r="D285" s="146" t="s">
        <v>19</v>
      </c>
    </row>
    <row r="286" spans="1:4" x14ac:dyDescent="0.3">
      <c r="A286" s="150" t="s">
        <v>206</v>
      </c>
      <c r="B286" s="150" t="s">
        <v>25</v>
      </c>
      <c r="C286" s="151"/>
      <c r="D286" s="152" t="s">
        <v>19</v>
      </c>
    </row>
    <row r="287" spans="1:4" x14ac:dyDescent="0.3">
      <c r="A287" s="144" t="s">
        <v>207</v>
      </c>
      <c r="B287" s="144" t="s">
        <v>25</v>
      </c>
      <c r="C287" s="145"/>
      <c r="D287" s="146" t="s">
        <v>19</v>
      </c>
    </row>
    <row r="288" spans="1:4" x14ac:dyDescent="0.3">
      <c r="A288" s="143" t="s">
        <v>759</v>
      </c>
      <c r="B288" s="144"/>
      <c r="C288" s="145"/>
      <c r="D288" s="146"/>
    </row>
    <row r="289" spans="1:4" x14ac:dyDescent="0.3">
      <c r="A289" s="150" t="s">
        <v>760</v>
      </c>
      <c r="B289" s="150" t="s">
        <v>25</v>
      </c>
      <c r="C289" s="151"/>
      <c r="D289" s="152" t="s">
        <v>40</v>
      </c>
    </row>
    <row r="290" spans="1:4" x14ac:dyDescent="0.3">
      <c r="A290" s="143" t="s">
        <v>209</v>
      </c>
      <c r="B290" s="144"/>
      <c r="C290" s="145"/>
      <c r="D290" s="146"/>
    </row>
    <row r="291" spans="1:4" x14ac:dyDescent="0.3">
      <c r="A291" s="150" t="s">
        <v>210</v>
      </c>
      <c r="B291" s="150" t="s">
        <v>18</v>
      </c>
      <c r="C291" s="151"/>
      <c r="D291" s="152" t="s">
        <v>19</v>
      </c>
    </row>
    <row r="292" spans="1:4" x14ac:dyDescent="0.3">
      <c r="A292" s="143" t="s">
        <v>211</v>
      </c>
      <c r="B292" s="144"/>
      <c r="C292" s="145"/>
      <c r="D292" s="146"/>
    </row>
    <row r="293" spans="1:4" x14ac:dyDescent="0.3">
      <c r="A293" s="144" t="s">
        <v>729</v>
      </c>
      <c r="B293" s="144" t="s">
        <v>18</v>
      </c>
      <c r="C293" s="145"/>
      <c r="D293" s="146" t="s">
        <v>19</v>
      </c>
    </row>
    <row r="294" spans="1:4" x14ac:dyDescent="0.3">
      <c r="A294" s="143" t="s">
        <v>213</v>
      </c>
      <c r="B294" s="144"/>
      <c r="C294" s="145"/>
      <c r="D294" s="146"/>
    </row>
    <row r="295" spans="1:4" s="141" customFormat="1" x14ac:dyDescent="0.3">
      <c r="A295" s="144" t="s">
        <v>214</v>
      </c>
      <c r="B295" s="144" t="s">
        <v>25</v>
      </c>
      <c r="C295" s="145"/>
      <c r="D295" s="146" t="s">
        <v>40</v>
      </c>
    </row>
    <row r="296" spans="1:4" s="141" customFormat="1" x14ac:dyDescent="0.3">
      <c r="A296" s="147" t="s">
        <v>747</v>
      </c>
      <c r="B296" s="147" t="s">
        <v>25</v>
      </c>
      <c r="C296" s="148"/>
      <c r="D296" s="149" t="s">
        <v>40</v>
      </c>
    </row>
    <row r="297" spans="1:4" s="141" customFormat="1" x14ac:dyDescent="0.3">
      <c r="A297" s="144" t="s">
        <v>215</v>
      </c>
      <c r="B297" s="144" t="s">
        <v>25</v>
      </c>
      <c r="C297" s="145"/>
      <c r="D297" s="146" t="s">
        <v>40</v>
      </c>
    </row>
    <row r="298" spans="1:4" s="141" customFormat="1" x14ac:dyDescent="0.3">
      <c r="A298" s="144" t="s">
        <v>216</v>
      </c>
      <c r="B298" s="144" t="s">
        <v>25</v>
      </c>
      <c r="C298" s="145"/>
      <c r="D298" s="146" t="s">
        <v>40</v>
      </c>
    </row>
    <row r="299" spans="1:4" s="141" customFormat="1" x14ac:dyDescent="0.3">
      <c r="A299" s="144" t="s">
        <v>217</v>
      </c>
      <c r="B299" s="144" t="s">
        <v>25</v>
      </c>
      <c r="C299" s="145"/>
      <c r="D299" s="146" t="s">
        <v>40</v>
      </c>
    </row>
    <row r="300" spans="1:4" x14ac:dyDescent="0.3">
      <c r="A300" s="144" t="s">
        <v>218</v>
      </c>
      <c r="B300" s="144" t="s">
        <v>25</v>
      </c>
      <c r="C300" s="145"/>
      <c r="D300" s="146" t="s">
        <v>40</v>
      </c>
    </row>
    <row r="301" spans="1:4" x14ac:dyDescent="0.3">
      <c r="A301" s="144" t="s">
        <v>219</v>
      </c>
      <c r="B301" s="144" t="s">
        <v>25</v>
      </c>
      <c r="C301" s="145"/>
      <c r="D301" s="146" t="s">
        <v>19</v>
      </c>
    </row>
    <row r="302" spans="1:4" x14ac:dyDescent="0.3">
      <c r="A302" s="143" t="s">
        <v>663</v>
      </c>
      <c r="B302" s="144"/>
      <c r="C302" s="145"/>
      <c r="D302" s="146"/>
    </row>
    <row r="303" spans="1:4" x14ac:dyDescent="0.3">
      <c r="A303" s="144" t="s">
        <v>758</v>
      </c>
      <c r="B303" s="144"/>
      <c r="C303" s="145"/>
      <c r="D303" s="146" t="s">
        <v>40</v>
      </c>
    </row>
    <row r="304" spans="1:4" x14ac:dyDescent="0.3">
      <c r="A304" s="143" t="s">
        <v>1068</v>
      </c>
      <c r="B304" s="144"/>
      <c r="C304" s="145"/>
      <c r="D304" s="146"/>
    </row>
    <row r="305" spans="1:4" x14ac:dyDescent="0.3">
      <c r="A305" s="144" t="s">
        <v>949</v>
      </c>
      <c r="B305" s="144" t="s">
        <v>171</v>
      </c>
      <c r="C305" s="145"/>
      <c r="D305" s="146" t="s">
        <v>151</v>
      </c>
    </row>
    <row r="306" spans="1:4" x14ac:dyDescent="0.3">
      <c r="A306" s="144" t="s">
        <v>975</v>
      </c>
      <c r="B306" s="144" t="s">
        <v>171</v>
      </c>
      <c r="C306" s="145"/>
      <c r="D306" s="146" t="s">
        <v>151</v>
      </c>
    </row>
    <row r="307" spans="1:4" x14ac:dyDescent="0.3">
      <c r="A307" s="144" t="s">
        <v>1018</v>
      </c>
      <c r="B307" s="144" t="s">
        <v>171</v>
      </c>
      <c r="C307" s="145"/>
      <c r="D307" s="146" t="s">
        <v>151</v>
      </c>
    </row>
    <row r="308" spans="1:4" x14ac:dyDescent="0.3">
      <c r="A308" s="144" t="s">
        <v>1019</v>
      </c>
      <c r="B308" s="144" t="s">
        <v>171</v>
      </c>
      <c r="C308" s="145"/>
      <c r="D308" s="146" t="s">
        <v>151</v>
      </c>
    </row>
    <row r="309" spans="1:4" x14ac:dyDescent="0.3">
      <c r="A309" s="144" t="s">
        <v>975</v>
      </c>
      <c r="B309" s="144" t="s">
        <v>171</v>
      </c>
      <c r="C309" s="145"/>
      <c r="D309" s="146" t="s">
        <v>151</v>
      </c>
    </row>
    <row r="310" spans="1:4" x14ac:dyDescent="0.3">
      <c r="A310" s="144" t="s">
        <v>1020</v>
      </c>
      <c r="B310" s="144" t="s">
        <v>171</v>
      </c>
      <c r="C310" s="145"/>
      <c r="D310" s="146" t="s">
        <v>151</v>
      </c>
    </row>
    <row r="311" spans="1:4" x14ac:dyDescent="0.3">
      <c r="A311" s="144" t="s">
        <v>1021</v>
      </c>
      <c r="B311" s="144" t="s">
        <v>171</v>
      </c>
      <c r="C311" s="145"/>
      <c r="D311" s="146" t="s">
        <v>151</v>
      </c>
    </row>
    <row r="312" spans="1:4" x14ac:dyDescent="0.3">
      <c r="A312" s="143" t="s">
        <v>220</v>
      </c>
      <c r="B312" s="144"/>
      <c r="C312" s="145"/>
      <c r="D312" s="146"/>
    </row>
    <row r="313" spans="1:4" x14ac:dyDescent="0.3">
      <c r="A313" s="150" t="s">
        <v>221</v>
      </c>
      <c r="B313" s="150" t="s">
        <v>18</v>
      </c>
      <c r="C313" s="151"/>
      <c r="D313" s="152" t="s">
        <v>19</v>
      </c>
    </row>
    <row r="314" spans="1:4" x14ac:dyDescent="0.3">
      <c r="A314" s="144" t="s">
        <v>820</v>
      </c>
      <c r="B314" s="144" t="s">
        <v>18</v>
      </c>
      <c r="C314" s="145"/>
      <c r="D314" s="146" t="s">
        <v>19</v>
      </c>
    </row>
    <row r="315" spans="1:4" x14ac:dyDescent="0.3">
      <c r="A315" s="144" t="s">
        <v>222</v>
      </c>
      <c r="B315" s="144" t="s">
        <v>18</v>
      </c>
      <c r="C315" s="145"/>
      <c r="D315" s="146" t="s">
        <v>19</v>
      </c>
    </row>
    <row r="316" spans="1:4" x14ac:dyDescent="0.3">
      <c r="A316" s="144" t="s">
        <v>223</v>
      </c>
      <c r="B316" s="144" t="s">
        <v>18</v>
      </c>
      <c r="C316" s="145"/>
      <c r="D316" s="146" t="s">
        <v>19</v>
      </c>
    </row>
    <row r="317" spans="1:4" x14ac:dyDescent="0.3">
      <c r="A317" s="144" t="s">
        <v>224</v>
      </c>
      <c r="B317" s="144" t="s">
        <v>18</v>
      </c>
      <c r="C317" s="145"/>
      <c r="D317" s="146" t="s">
        <v>19</v>
      </c>
    </row>
    <row r="318" spans="1:4" x14ac:dyDescent="0.3">
      <c r="A318" s="144" t="s">
        <v>225</v>
      </c>
      <c r="B318" s="144" t="s">
        <v>18</v>
      </c>
      <c r="C318" s="145"/>
      <c r="D318" s="146" t="s">
        <v>19</v>
      </c>
    </row>
    <row r="319" spans="1:4" x14ac:dyDescent="0.3">
      <c r="A319" s="144" t="s">
        <v>226</v>
      </c>
      <c r="B319" s="144" t="s">
        <v>18</v>
      </c>
      <c r="C319" s="145"/>
      <c r="D319" s="146" t="s">
        <v>19</v>
      </c>
    </row>
    <row r="320" spans="1:4" x14ac:dyDescent="0.3">
      <c r="A320" s="147" t="s">
        <v>911</v>
      </c>
      <c r="B320" s="147" t="s">
        <v>18</v>
      </c>
      <c r="C320" s="148"/>
      <c r="D320" s="149" t="s">
        <v>19</v>
      </c>
    </row>
    <row r="321" spans="1:4" x14ac:dyDescent="0.3">
      <c r="A321" s="150" t="s">
        <v>227</v>
      </c>
      <c r="B321" s="150" t="s">
        <v>18</v>
      </c>
      <c r="C321" s="151"/>
      <c r="D321" s="152" t="s">
        <v>19</v>
      </c>
    </row>
    <row r="322" spans="1:4" x14ac:dyDescent="0.3">
      <c r="A322" s="144" t="s">
        <v>228</v>
      </c>
      <c r="B322" s="144" t="s">
        <v>18</v>
      </c>
      <c r="C322" s="145"/>
      <c r="D322" s="146" t="s">
        <v>19</v>
      </c>
    </row>
    <row r="323" spans="1:4" x14ac:dyDescent="0.3">
      <c r="A323" s="144" t="s">
        <v>229</v>
      </c>
      <c r="B323" s="144" t="s">
        <v>18</v>
      </c>
      <c r="C323" s="145"/>
      <c r="D323" s="146" t="s">
        <v>19</v>
      </c>
    </row>
    <row r="324" spans="1:4" x14ac:dyDescent="0.3">
      <c r="A324" s="147" t="s">
        <v>230</v>
      </c>
      <c r="B324" s="147" t="s">
        <v>18</v>
      </c>
      <c r="C324" s="142"/>
      <c r="D324" s="149" t="s">
        <v>19</v>
      </c>
    </row>
    <row r="325" spans="1:4" x14ac:dyDescent="0.3">
      <c r="A325" s="144" t="s">
        <v>231</v>
      </c>
      <c r="B325" s="144" t="s">
        <v>18</v>
      </c>
      <c r="C325" s="145"/>
      <c r="D325" s="146" t="s">
        <v>19</v>
      </c>
    </row>
    <row r="326" spans="1:4" x14ac:dyDescent="0.3">
      <c r="A326" s="150" t="s">
        <v>232</v>
      </c>
      <c r="B326" s="150" t="s">
        <v>18</v>
      </c>
      <c r="C326" s="151"/>
      <c r="D326" s="152" t="s">
        <v>19</v>
      </c>
    </row>
    <row r="327" spans="1:4" x14ac:dyDescent="0.3">
      <c r="A327" s="144" t="s">
        <v>233</v>
      </c>
      <c r="B327" s="144" t="s">
        <v>25</v>
      </c>
      <c r="C327" s="145"/>
      <c r="D327" s="146" t="s">
        <v>40</v>
      </c>
    </row>
    <row r="328" spans="1:4" x14ac:dyDescent="0.3">
      <c r="A328" s="144" t="s">
        <v>234</v>
      </c>
      <c r="B328" s="144" t="s">
        <v>25</v>
      </c>
      <c r="C328" s="145"/>
      <c r="D328" s="146" t="s">
        <v>40</v>
      </c>
    </row>
    <row r="329" spans="1:4" x14ac:dyDescent="0.3">
      <c r="A329" s="144" t="s">
        <v>235</v>
      </c>
      <c r="B329" s="144" t="s">
        <v>25</v>
      </c>
      <c r="C329" s="145"/>
      <c r="D329" s="146" t="s">
        <v>40</v>
      </c>
    </row>
    <row r="330" spans="1:4" x14ac:dyDescent="0.3">
      <c r="A330" s="144" t="s">
        <v>677</v>
      </c>
      <c r="B330" s="144" t="s">
        <v>25</v>
      </c>
      <c r="C330" s="145"/>
      <c r="D330" s="146" t="s">
        <v>40</v>
      </c>
    </row>
    <row r="331" spans="1:4" x14ac:dyDescent="0.3">
      <c r="A331" s="144" t="s">
        <v>236</v>
      </c>
      <c r="B331" s="144" t="s">
        <v>25</v>
      </c>
      <c r="C331" s="145"/>
      <c r="D331" s="146" t="s">
        <v>40</v>
      </c>
    </row>
    <row r="332" spans="1:4" x14ac:dyDescent="0.3">
      <c r="A332" s="143" t="s">
        <v>237</v>
      </c>
      <c r="B332" s="144"/>
      <c r="C332" s="145"/>
      <c r="D332" s="146"/>
    </row>
    <row r="333" spans="1:4" x14ac:dyDescent="0.3">
      <c r="A333" s="158" t="s">
        <v>238</v>
      </c>
      <c r="B333" s="144" t="s">
        <v>25</v>
      </c>
      <c r="C333" s="145"/>
      <c r="D333" s="146" t="s">
        <v>19</v>
      </c>
    </row>
    <row r="334" spans="1:4" x14ac:dyDescent="0.3">
      <c r="A334" s="158" t="s">
        <v>239</v>
      </c>
      <c r="B334" s="144" t="s">
        <v>25</v>
      </c>
      <c r="C334" s="145"/>
      <c r="D334" s="146" t="s">
        <v>19</v>
      </c>
    </row>
    <row r="335" spans="1:4" x14ac:dyDescent="0.3">
      <c r="A335" s="143" t="s">
        <v>240</v>
      </c>
      <c r="B335" s="144"/>
      <c r="C335" s="145"/>
      <c r="D335" s="146"/>
    </row>
    <row r="336" spans="1:4" x14ac:dyDescent="0.3">
      <c r="A336" s="160" t="s">
        <v>915</v>
      </c>
      <c r="B336" s="144" t="s">
        <v>18</v>
      </c>
      <c r="C336" s="145"/>
      <c r="D336" s="146" t="s">
        <v>40</v>
      </c>
    </row>
    <row r="337" spans="1:4" s="141" customFormat="1" x14ac:dyDescent="0.3">
      <c r="A337" s="160" t="s">
        <v>241</v>
      </c>
      <c r="B337" s="144" t="s">
        <v>18</v>
      </c>
      <c r="C337" s="145"/>
      <c r="D337" s="146" t="s">
        <v>40</v>
      </c>
    </row>
    <row r="338" spans="1:4" s="141" customFormat="1" x14ac:dyDescent="0.3">
      <c r="A338" s="144" t="s">
        <v>654</v>
      </c>
      <c r="B338" s="144" t="s">
        <v>18</v>
      </c>
      <c r="C338" s="145"/>
      <c r="D338" s="146" t="s">
        <v>40</v>
      </c>
    </row>
    <row r="339" spans="1:4" s="141" customFormat="1" x14ac:dyDescent="0.3">
      <c r="A339" s="144" t="s">
        <v>242</v>
      </c>
      <c r="B339" s="144" t="s">
        <v>18</v>
      </c>
      <c r="C339" s="145"/>
      <c r="D339" s="146" t="s">
        <v>40</v>
      </c>
    </row>
    <row r="340" spans="1:4" s="141" customFormat="1" x14ac:dyDescent="0.3">
      <c r="A340" s="144" t="s">
        <v>243</v>
      </c>
      <c r="B340" s="144" t="s">
        <v>18</v>
      </c>
      <c r="C340" s="145"/>
      <c r="D340" s="146" t="s">
        <v>40</v>
      </c>
    </row>
    <row r="341" spans="1:4" x14ac:dyDescent="0.3">
      <c r="A341" s="160" t="s">
        <v>916</v>
      </c>
      <c r="B341" s="144" t="s">
        <v>18</v>
      </c>
      <c r="C341" s="145"/>
      <c r="D341" s="146" t="s">
        <v>40</v>
      </c>
    </row>
    <row r="342" spans="1:4" x14ac:dyDescent="0.3">
      <c r="A342" s="160" t="s">
        <v>917</v>
      </c>
      <c r="B342" s="144" t="s">
        <v>18</v>
      </c>
      <c r="C342" s="145"/>
      <c r="D342" s="146" t="s">
        <v>40</v>
      </c>
    </row>
    <row r="343" spans="1:4" x14ac:dyDescent="0.3">
      <c r="A343" s="144" t="s">
        <v>934</v>
      </c>
      <c r="B343" s="144" t="s">
        <v>18</v>
      </c>
      <c r="C343" s="145"/>
      <c r="D343" s="146" t="s">
        <v>151</v>
      </c>
    </row>
    <row r="344" spans="1:4" x14ac:dyDescent="0.3">
      <c r="A344" s="144" t="s">
        <v>244</v>
      </c>
      <c r="B344" s="144" t="s">
        <v>18</v>
      </c>
      <c r="C344" s="145"/>
      <c r="D344" s="146" t="s">
        <v>151</v>
      </c>
    </row>
    <row r="345" spans="1:4" x14ac:dyDescent="0.3">
      <c r="A345" s="150" t="s">
        <v>245</v>
      </c>
      <c r="B345" s="150" t="s">
        <v>18</v>
      </c>
      <c r="C345" s="151"/>
      <c r="D345" s="152" t="s">
        <v>151</v>
      </c>
    </row>
    <row r="346" spans="1:4" x14ac:dyDescent="0.3">
      <c r="A346" s="150" t="s">
        <v>246</v>
      </c>
      <c r="B346" s="150" t="s">
        <v>18</v>
      </c>
      <c r="C346" s="151"/>
      <c r="D346" s="152" t="s">
        <v>151</v>
      </c>
    </row>
    <row r="347" spans="1:4" x14ac:dyDescent="0.3">
      <c r="A347" s="150" t="s">
        <v>247</v>
      </c>
      <c r="B347" s="150" t="s">
        <v>18</v>
      </c>
      <c r="C347" s="151"/>
      <c r="D347" s="152" t="s">
        <v>151</v>
      </c>
    </row>
    <row r="348" spans="1:4" x14ac:dyDescent="0.3">
      <c r="A348" s="150" t="s">
        <v>248</v>
      </c>
      <c r="B348" s="150" t="s">
        <v>18</v>
      </c>
      <c r="C348" s="151"/>
      <c r="D348" s="152" t="s">
        <v>151</v>
      </c>
    </row>
    <row r="349" spans="1:4" x14ac:dyDescent="0.3">
      <c r="A349" s="150" t="s">
        <v>249</v>
      </c>
      <c r="B349" s="150" t="s">
        <v>18</v>
      </c>
      <c r="C349" s="151"/>
      <c r="D349" s="152" t="s">
        <v>151</v>
      </c>
    </row>
    <row r="350" spans="1:4" x14ac:dyDescent="0.3">
      <c r="A350" s="157" t="s">
        <v>250</v>
      </c>
      <c r="B350" s="147" t="s">
        <v>25</v>
      </c>
      <c r="C350" s="148"/>
      <c r="D350" s="149" t="s">
        <v>19</v>
      </c>
    </row>
    <row r="351" spans="1:4" x14ac:dyDescent="0.3">
      <c r="A351" s="157" t="s">
        <v>251</v>
      </c>
      <c r="B351" s="147" t="s">
        <v>25</v>
      </c>
      <c r="C351" s="148"/>
      <c r="D351" s="149" t="s">
        <v>19</v>
      </c>
    </row>
    <row r="352" spans="1:4" x14ac:dyDescent="0.3">
      <c r="A352" s="158" t="s">
        <v>782</v>
      </c>
      <c r="B352" s="144" t="s">
        <v>25</v>
      </c>
      <c r="C352" s="145"/>
      <c r="D352" s="146" t="s">
        <v>19</v>
      </c>
    </row>
    <row r="353" spans="1:4" x14ac:dyDescent="0.3">
      <c r="A353" s="158" t="s">
        <v>783</v>
      </c>
      <c r="B353" s="144" t="s">
        <v>25</v>
      </c>
      <c r="C353" s="145"/>
      <c r="D353" s="146" t="s">
        <v>19</v>
      </c>
    </row>
    <row r="354" spans="1:4" x14ac:dyDescent="0.3">
      <c r="A354" s="143" t="s">
        <v>252</v>
      </c>
      <c r="B354" s="144"/>
      <c r="C354" s="145"/>
      <c r="D354" s="146"/>
    </row>
    <row r="355" spans="1:4" x14ac:dyDescent="0.3">
      <c r="A355" s="150" t="s">
        <v>253</v>
      </c>
      <c r="B355" s="150" t="s">
        <v>18</v>
      </c>
      <c r="C355" s="151"/>
      <c r="D355" s="152" t="s">
        <v>33</v>
      </c>
    </row>
    <row r="356" spans="1:4" x14ac:dyDescent="0.3">
      <c r="A356" s="150" t="s">
        <v>254</v>
      </c>
      <c r="B356" s="150" t="s">
        <v>18</v>
      </c>
      <c r="C356" s="151"/>
      <c r="D356" s="152" t="s">
        <v>33</v>
      </c>
    </row>
    <row r="357" spans="1:4" x14ac:dyDescent="0.3">
      <c r="A357" s="147" t="s">
        <v>866</v>
      </c>
      <c r="B357" s="147" t="s">
        <v>18</v>
      </c>
      <c r="C357" s="148"/>
      <c r="D357" s="149" t="s">
        <v>33</v>
      </c>
    </row>
    <row r="358" spans="1:4" x14ac:dyDescent="0.3">
      <c r="A358" s="143" t="s">
        <v>256</v>
      </c>
      <c r="B358" s="144"/>
      <c r="C358" s="145"/>
      <c r="D358" s="146"/>
    </row>
    <row r="359" spans="1:4" x14ac:dyDescent="0.3">
      <c r="A359" s="150" t="s">
        <v>257</v>
      </c>
      <c r="B359" s="150" t="s">
        <v>25</v>
      </c>
      <c r="C359" s="151"/>
      <c r="D359" s="152" t="s">
        <v>98</v>
      </c>
    </row>
    <row r="360" spans="1:4" x14ac:dyDescent="0.3">
      <c r="A360" s="143" t="s">
        <v>258</v>
      </c>
      <c r="B360" s="144"/>
      <c r="C360" s="145"/>
      <c r="D360" s="146"/>
    </row>
    <row r="361" spans="1:4" x14ac:dyDescent="0.3">
      <c r="A361" s="144" t="s">
        <v>259</v>
      </c>
      <c r="B361" s="144" t="s">
        <v>260</v>
      </c>
      <c r="C361" s="145"/>
      <c r="D361" s="146" t="s">
        <v>98</v>
      </c>
    </row>
    <row r="362" spans="1:4" x14ac:dyDescent="0.3">
      <c r="A362" s="143" t="s">
        <v>1033</v>
      </c>
      <c r="B362" s="144"/>
      <c r="C362" s="145"/>
      <c r="D362" s="146"/>
    </row>
    <row r="363" spans="1:4" s="141" customFormat="1" x14ac:dyDescent="0.3">
      <c r="A363" s="144" t="s">
        <v>1034</v>
      </c>
      <c r="B363" s="144" t="s">
        <v>1002</v>
      </c>
      <c r="C363" s="145"/>
      <c r="D363" s="146" t="s">
        <v>830</v>
      </c>
    </row>
    <row r="364" spans="1:4" s="141" customFormat="1" x14ac:dyDescent="0.3">
      <c r="A364" s="144" t="s">
        <v>1035</v>
      </c>
      <c r="B364" s="144" t="s">
        <v>1002</v>
      </c>
      <c r="C364" s="145"/>
      <c r="D364" s="146" t="s">
        <v>830</v>
      </c>
    </row>
    <row r="365" spans="1:4" x14ac:dyDescent="0.3">
      <c r="A365" s="143" t="s">
        <v>261</v>
      </c>
      <c r="B365" s="144"/>
      <c r="C365" s="145"/>
      <c r="D365" s="146"/>
    </row>
    <row r="366" spans="1:4" x14ac:dyDescent="0.3">
      <c r="A366" s="147" t="s">
        <v>262</v>
      </c>
      <c r="B366" s="147" t="s">
        <v>18</v>
      </c>
      <c r="C366" s="148"/>
      <c r="D366" s="149" t="s">
        <v>102</v>
      </c>
    </row>
    <row r="367" spans="1:4" x14ac:dyDescent="0.3">
      <c r="A367" s="147" t="s">
        <v>263</v>
      </c>
      <c r="B367" s="147" t="s">
        <v>18</v>
      </c>
      <c r="C367" s="148"/>
      <c r="D367" s="149" t="s">
        <v>76</v>
      </c>
    </row>
    <row r="368" spans="1:4" x14ac:dyDescent="0.3">
      <c r="A368" s="147" t="s">
        <v>264</v>
      </c>
      <c r="B368" s="147" t="s">
        <v>18</v>
      </c>
      <c r="C368" s="148"/>
      <c r="D368" s="149" t="s">
        <v>76</v>
      </c>
    </row>
    <row r="369" spans="1:4" x14ac:dyDescent="0.3">
      <c r="A369" s="150" t="s">
        <v>265</v>
      </c>
      <c r="B369" s="150" t="s">
        <v>25</v>
      </c>
      <c r="C369" s="151"/>
      <c r="D369" s="152" t="s">
        <v>102</v>
      </c>
    </row>
    <row r="370" spans="1:4" x14ac:dyDescent="0.3">
      <c r="A370" s="150" t="s">
        <v>266</v>
      </c>
      <c r="B370" s="150" t="s">
        <v>25</v>
      </c>
      <c r="C370" s="151"/>
      <c r="D370" s="152" t="s">
        <v>76</v>
      </c>
    </row>
    <row r="371" spans="1:4" x14ac:dyDescent="0.3">
      <c r="A371" s="143" t="s">
        <v>267</v>
      </c>
      <c r="B371" s="144"/>
      <c r="C371" s="145"/>
      <c r="D371" s="146"/>
    </row>
    <row r="372" spans="1:4" x14ac:dyDescent="0.3">
      <c r="A372" s="144" t="s">
        <v>268</v>
      </c>
      <c r="B372" s="144" t="s">
        <v>18</v>
      </c>
      <c r="C372" s="145"/>
      <c r="D372" s="146" t="s">
        <v>151</v>
      </c>
    </row>
    <row r="373" spans="1:4" x14ac:dyDescent="0.3">
      <c r="A373" s="150" t="s">
        <v>269</v>
      </c>
      <c r="B373" s="150" t="s">
        <v>18</v>
      </c>
      <c r="C373" s="151"/>
      <c r="D373" s="152" t="s">
        <v>151</v>
      </c>
    </row>
    <row r="374" spans="1:4" x14ac:dyDescent="0.3">
      <c r="A374" s="150" t="s">
        <v>270</v>
      </c>
      <c r="B374" s="150" t="s">
        <v>18</v>
      </c>
      <c r="C374" s="151"/>
      <c r="D374" s="152" t="s">
        <v>151</v>
      </c>
    </row>
    <row r="375" spans="1:4" x14ac:dyDescent="0.3">
      <c r="A375" s="144" t="s">
        <v>271</v>
      </c>
      <c r="B375" s="144" t="s">
        <v>18</v>
      </c>
      <c r="C375" s="145"/>
      <c r="D375" s="146" t="s">
        <v>151</v>
      </c>
    </row>
    <row r="376" spans="1:4" x14ac:dyDescent="0.3">
      <c r="A376" s="147" t="s">
        <v>272</v>
      </c>
      <c r="B376" s="147" t="s">
        <v>18</v>
      </c>
      <c r="C376" s="148"/>
      <c r="D376" s="149" t="s">
        <v>151</v>
      </c>
    </row>
    <row r="377" spans="1:4" x14ac:dyDescent="0.3">
      <c r="A377" s="144" t="s">
        <v>273</v>
      </c>
      <c r="B377" s="144" t="s">
        <v>18</v>
      </c>
      <c r="C377" s="145"/>
      <c r="D377" s="146" t="s">
        <v>151</v>
      </c>
    </row>
    <row r="378" spans="1:4" x14ac:dyDescent="0.3">
      <c r="A378" s="144" t="s">
        <v>273</v>
      </c>
      <c r="B378" s="144" t="s">
        <v>18</v>
      </c>
      <c r="C378" s="145"/>
      <c r="D378" s="146" t="s">
        <v>151</v>
      </c>
    </row>
    <row r="379" spans="1:4" x14ac:dyDescent="0.3">
      <c r="A379" s="144" t="s">
        <v>735</v>
      </c>
      <c r="B379" s="144" t="s">
        <v>18</v>
      </c>
      <c r="C379" s="145"/>
      <c r="D379" s="146" t="s">
        <v>151</v>
      </c>
    </row>
    <row r="380" spans="1:4" x14ac:dyDescent="0.3">
      <c r="A380" s="147" t="s">
        <v>918</v>
      </c>
      <c r="B380" s="147" t="s">
        <v>18</v>
      </c>
      <c r="C380" s="148"/>
      <c r="D380" s="149" t="s">
        <v>151</v>
      </c>
    </row>
    <row r="381" spans="1:4" x14ac:dyDescent="0.3">
      <c r="A381" s="150" t="s">
        <v>850</v>
      </c>
      <c r="B381" s="150" t="s">
        <v>18</v>
      </c>
      <c r="C381" s="151"/>
      <c r="D381" s="152" t="s">
        <v>151</v>
      </c>
    </row>
    <row r="382" spans="1:4" x14ac:dyDescent="0.3">
      <c r="A382" s="150" t="s">
        <v>851</v>
      </c>
      <c r="B382" s="150" t="s">
        <v>18</v>
      </c>
      <c r="C382" s="151"/>
      <c r="D382" s="152" t="s">
        <v>151</v>
      </c>
    </row>
    <row r="383" spans="1:4" x14ac:dyDescent="0.3">
      <c r="A383" s="150" t="s">
        <v>852</v>
      </c>
      <c r="B383" s="150" t="s">
        <v>18</v>
      </c>
      <c r="C383" s="151"/>
      <c r="D383" s="152" t="s">
        <v>151</v>
      </c>
    </row>
    <row r="384" spans="1:4" x14ac:dyDescent="0.3">
      <c r="A384" s="150" t="s">
        <v>853</v>
      </c>
      <c r="B384" s="150" t="s">
        <v>18</v>
      </c>
      <c r="C384" s="151"/>
      <c r="D384" s="152" t="s">
        <v>151</v>
      </c>
    </row>
    <row r="385" spans="1:4" x14ac:dyDescent="0.3">
      <c r="A385" s="147" t="s">
        <v>854</v>
      </c>
      <c r="B385" s="147" t="s">
        <v>18</v>
      </c>
      <c r="C385" s="148"/>
      <c r="D385" s="149" t="s">
        <v>151</v>
      </c>
    </row>
    <row r="386" spans="1:4" x14ac:dyDescent="0.3">
      <c r="A386" s="150" t="s">
        <v>855</v>
      </c>
      <c r="B386" s="150" t="s">
        <v>18</v>
      </c>
      <c r="C386" s="151"/>
      <c r="D386" s="152" t="s">
        <v>151</v>
      </c>
    </row>
    <row r="387" spans="1:4" x14ac:dyDescent="0.3">
      <c r="A387" s="150" t="s">
        <v>856</v>
      </c>
      <c r="B387" s="150" t="s">
        <v>18</v>
      </c>
      <c r="C387" s="151"/>
      <c r="D387" s="152" t="s">
        <v>151</v>
      </c>
    </row>
    <row r="388" spans="1:4" x14ac:dyDescent="0.3">
      <c r="A388" s="150" t="s">
        <v>857</v>
      </c>
      <c r="B388" s="150" t="s">
        <v>18</v>
      </c>
      <c r="C388" s="151"/>
      <c r="D388" s="152" t="s">
        <v>151</v>
      </c>
    </row>
    <row r="389" spans="1:4" x14ac:dyDescent="0.3">
      <c r="A389" s="150" t="s">
        <v>858</v>
      </c>
      <c r="B389" s="150" t="s">
        <v>18</v>
      </c>
      <c r="C389" s="151"/>
      <c r="D389" s="152" t="s">
        <v>151</v>
      </c>
    </row>
    <row r="390" spans="1:4" x14ac:dyDescent="0.3">
      <c r="A390" s="150" t="s">
        <v>859</v>
      </c>
      <c r="B390" s="150" t="s">
        <v>18</v>
      </c>
      <c r="C390" s="151"/>
      <c r="D390" s="152" t="s">
        <v>151</v>
      </c>
    </row>
    <row r="391" spans="1:4" x14ac:dyDescent="0.3">
      <c r="A391" s="150" t="s">
        <v>860</v>
      </c>
      <c r="B391" s="150" t="s">
        <v>18</v>
      </c>
      <c r="C391" s="151"/>
      <c r="D391" s="152" t="s">
        <v>151</v>
      </c>
    </row>
    <row r="392" spans="1:4" x14ac:dyDescent="0.3">
      <c r="A392" s="150" t="s">
        <v>861</v>
      </c>
      <c r="B392" s="150" t="s">
        <v>18</v>
      </c>
      <c r="C392" s="151"/>
      <c r="D392" s="152" t="s">
        <v>151</v>
      </c>
    </row>
    <row r="393" spans="1:4" x14ac:dyDescent="0.3">
      <c r="A393" s="150" t="s">
        <v>862</v>
      </c>
      <c r="B393" s="150" t="s">
        <v>18</v>
      </c>
      <c r="C393" s="151"/>
      <c r="D393" s="152" t="s">
        <v>151</v>
      </c>
    </row>
    <row r="394" spans="1:4" x14ac:dyDescent="0.3">
      <c r="A394" s="143" t="s">
        <v>275</v>
      </c>
      <c r="B394" s="144"/>
      <c r="C394" s="145"/>
      <c r="D394" s="146"/>
    </row>
    <row r="395" spans="1:4" x14ac:dyDescent="0.3">
      <c r="A395" s="144" t="s">
        <v>276</v>
      </c>
      <c r="B395" s="144" t="s">
        <v>18</v>
      </c>
      <c r="C395" s="145"/>
      <c r="D395" s="146" t="s">
        <v>277</v>
      </c>
    </row>
    <row r="396" spans="1:4" x14ac:dyDescent="0.3">
      <c r="A396" s="144" t="s">
        <v>278</v>
      </c>
      <c r="B396" s="144" t="s">
        <v>18</v>
      </c>
      <c r="C396" s="145"/>
      <c r="D396" s="146" t="s">
        <v>277</v>
      </c>
    </row>
    <row r="397" spans="1:4" x14ac:dyDescent="0.3">
      <c r="A397" s="144" t="s">
        <v>876</v>
      </c>
      <c r="B397" s="144" t="s">
        <v>18</v>
      </c>
      <c r="C397" s="145"/>
      <c r="D397" s="146" t="s">
        <v>277</v>
      </c>
    </row>
    <row r="398" spans="1:4" x14ac:dyDescent="0.3">
      <c r="A398" s="144" t="s">
        <v>279</v>
      </c>
      <c r="B398" s="144" t="s">
        <v>18</v>
      </c>
      <c r="C398" s="145"/>
      <c r="D398" s="146" t="s">
        <v>277</v>
      </c>
    </row>
    <row r="399" spans="1:4" x14ac:dyDescent="0.3">
      <c r="A399" s="144" t="s">
        <v>280</v>
      </c>
      <c r="B399" s="144" t="s">
        <v>18</v>
      </c>
      <c r="C399" s="145"/>
      <c r="D399" s="146" t="s">
        <v>277</v>
      </c>
    </row>
    <row r="400" spans="1:4" x14ac:dyDescent="0.3">
      <c r="A400" s="161" t="s">
        <v>281</v>
      </c>
      <c r="B400" s="144" t="s">
        <v>18</v>
      </c>
      <c r="C400" s="145"/>
      <c r="D400" s="146" t="s">
        <v>277</v>
      </c>
    </row>
    <row r="401" spans="1:4" x14ac:dyDescent="0.3">
      <c r="A401" s="155" t="s">
        <v>282</v>
      </c>
      <c r="B401" s="150" t="s">
        <v>18</v>
      </c>
      <c r="C401" s="151"/>
      <c r="D401" s="152" t="s">
        <v>277</v>
      </c>
    </row>
    <row r="402" spans="1:4" x14ac:dyDescent="0.3">
      <c r="A402" s="155" t="s">
        <v>283</v>
      </c>
      <c r="B402" s="150" t="s">
        <v>18</v>
      </c>
      <c r="C402" s="151"/>
      <c r="D402" s="152" t="s">
        <v>277</v>
      </c>
    </row>
    <row r="403" spans="1:4" x14ac:dyDescent="0.3">
      <c r="A403" s="155" t="s">
        <v>284</v>
      </c>
      <c r="B403" s="150" t="s">
        <v>18</v>
      </c>
      <c r="C403" s="151"/>
      <c r="D403" s="152" t="s">
        <v>277</v>
      </c>
    </row>
    <row r="404" spans="1:4" x14ac:dyDescent="0.3">
      <c r="A404" s="156" t="s">
        <v>285</v>
      </c>
      <c r="B404" s="147" t="s">
        <v>18</v>
      </c>
      <c r="C404" s="148"/>
      <c r="D404" s="149" t="s">
        <v>98</v>
      </c>
    </row>
    <row r="405" spans="1:4" x14ac:dyDescent="0.3">
      <c r="A405" s="144" t="s">
        <v>286</v>
      </c>
      <c r="B405" s="144" t="s">
        <v>25</v>
      </c>
      <c r="C405" s="145"/>
      <c r="D405" s="146" t="s">
        <v>287</v>
      </c>
    </row>
    <row r="406" spans="1:4" x14ac:dyDescent="0.3">
      <c r="A406" s="144" t="s">
        <v>288</v>
      </c>
      <c r="B406" s="144" t="s">
        <v>25</v>
      </c>
      <c r="C406" s="145"/>
      <c r="D406" s="146" t="s">
        <v>287</v>
      </c>
    </row>
    <row r="407" spans="1:4" x14ac:dyDescent="0.3">
      <c r="A407" s="143" t="s">
        <v>289</v>
      </c>
      <c r="B407" s="144"/>
      <c r="C407" s="145"/>
      <c r="D407" s="146"/>
    </row>
    <row r="408" spans="1:4" x14ac:dyDescent="0.3">
      <c r="A408" s="144" t="s">
        <v>290</v>
      </c>
      <c r="B408" s="144" t="s">
        <v>18</v>
      </c>
      <c r="C408" s="145"/>
      <c r="D408" s="146" t="s">
        <v>19</v>
      </c>
    </row>
    <row r="409" spans="1:4" x14ac:dyDescent="0.3">
      <c r="A409" s="147" t="s">
        <v>863</v>
      </c>
      <c r="B409" s="147" t="s">
        <v>18</v>
      </c>
      <c r="C409" s="148"/>
      <c r="D409" s="149" t="s">
        <v>19</v>
      </c>
    </row>
    <row r="410" spans="1:4" x14ac:dyDescent="0.3">
      <c r="A410" s="147" t="s">
        <v>1043</v>
      </c>
      <c r="B410" s="147" t="s">
        <v>18</v>
      </c>
      <c r="C410" s="148"/>
      <c r="D410" s="149" t="s">
        <v>19</v>
      </c>
    </row>
    <row r="411" spans="1:4" x14ac:dyDescent="0.3">
      <c r="A411" s="144" t="s">
        <v>291</v>
      </c>
      <c r="B411" s="144" t="s">
        <v>25</v>
      </c>
      <c r="C411" s="145"/>
      <c r="D411" s="146" t="s">
        <v>19</v>
      </c>
    </row>
    <row r="412" spans="1:4" x14ac:dyDescent="0.3">
      <c r="A412" s="144" t="s">
        <v>292</v>
      </c>
      <c r="B412" s="144" t="s">
        <v>25</v>
      </c>
      <c r="C412" s="145"/>
      <c r="D412" s="146" t="s">
        <v>19</v>
      </c>
    </row>
    <row r="413" spans="1:4" x14ac:dyDescent="0.3">
      <c r="A413" s="158" t="s">
        <v>293</v>
      </c>
      <c r="B413" s="144" t="s">
        <v>25</v>
      </c>
      <c r="C413" s="145"/>
      <c r="D413" s="146" t="s">
        <v>19</v>
      </c>
    </row>
    <row r="414" spans="1:4" x14ac:dyDescent="0.3">
      <c r="A414" s="143" t="s">
        <v>294</v>
      </c>
      <c r="B414" s="144"/>
      <c r="C414" s="145"/>
      <c r="D414" s="146"/>
    </row>
    <row r="415" spans="1:4" x14ac:dyDescent="0.3">
      <c r="A415" s="150" t="s">
        <v>785</v>
      </c>
      <c r="B415" s="150" t="s">
        <v>18</v>
      </c>
      <c r="C415" s="151"/>
      <c r="D415" s="152" t="s">
        <v>98</v>
      </c>
    </row>
    <row r="416" spans="1:4" x14ac:dyDescent="0.3">
      <c r="A416" s="147" t="s">
        <v>295</v>
      </c>
      <c r="B416" s="147" t="s">
        <v>18</v>
      </c>
      <c r="C416" s="148"/>
      <c r="D416" s="149" t="s">
        <v>98</v>
      </c>
    </row>
    <row r="417" spans="1:4" x14ac:dyDescent="0.3">
      <c r="A417" s="144" t="s">
        <v>296</v>
      </c>
      <c r="B417" s="144" t="s">
        <v>25</v>
      </c>
      <c r="C417" s="145"/>
      <c r="D417" s="146" t="s">
        <v>98</v>
      </c>
    </row>
    <row r="418" spans="1:4" s="141" customFormat="1" x14ac:dyDescent="0.3">
      <c r="A418" s="144" t="s">
        <v>1044</v>
      </c>
      <c r="B418" s="144" t="s">
        <v>171</v>
      </c>
      <c r="C418" s="145"/>
      <c r="D418" s="146" t="s">
        <v>98</v>
      </c>
    </row>
    <row r="419" spans="1:4" x14ac:dyDescent="0.3">
      <c r="A419" s="143" t="s">
        <v>298</v>
      </c>
      <c r="B419" s="144"/>
      <c r="C419" s="145"/>
      <c r="D419" s="146"/>
    </row>
    <row r="420" spans="1:4" x14ac:dyDescent="0.3">
      <c r="A420" s="147" t="s">
        <v>299</v>
      </c>
      <c r="B420" s="147" t="s">
        <v>18</v>
      </c>
      <c r="C420" s="148"/>
      <c r="D420" s="149" t="s">
        <v>40</v>
      </c>
    </row>
    <row r="421" spans="1:4" x14ac:dyDescent="0.3">
      <c r="A421" s="144" t="s">
        <v>721</v>
      </c>
      <c r="B421" s="144" t="s">
        <v>18</v>
      </c>
      <c r="C421" s="145"/>
      <c r="D421" s="146" t="s">
        <v>40</v>
      </c>
    </row>
    <row r="422" spans="1:4" x14ac:dyDescent="0.3">
      <c r="A422" s="161" t="s">
        <v>300</v>
      </c>
      <c r="B422" s="144" t="s">
        <v>18</v>
      </c>
      <c r="C422" s="145"/>
      <c r="D422" s="146" t="s">
        <v>40</v>
      </c>
    </row>
    <row r="423" spans="1:4" x14ac:dyDescent="0.3">
      <c r="A423" s="161" t="s">
        <v>301</v>
      </c>
      <c r="B423" s="144" t="s">
        <v>18</v>
      </c>
      <c r="C423" s="145"/>
      <c r="D423" s="146" t="s">
        <v>40</v>
      </c>
    </row>
    <row r="424" spans="1:4" x14ac:dyDescent="0.3">
      <c r="A424" s="161" t="s">
        <v>821</v>
      </c>
      <c r="B424" s="144" t="s">
        <v>18</v>
      </c>
      <c r="C424" s="145"/>
      <c r="D424" s="146" t="s">
        <v>40</v>
      </c>
    </row>
    <row r="425" spans="1:4" x14ac:dyDescent="0.3">
      <c r="A425" s="150" t="s">
        <v>302</v>
      </c>
      <c r="B425" s="150" t="s">
        <v>18</v>
      </c>
      <c r="C425" s="151"/>
      <c r="D425" s="152" t="s">
        <v>40</v>
      </c>
    </row>
    <row r="426" spans="1:4" x14ac:dyDescent="0.3">
      <c r="A426" s="144" t="s">
        <v>303</v>
      </c>
      <c r="B426" s="144" t="s">
        <v>25</v>
      </c>
      <c r="C426" s="145"/>
      <c r="D426" s="146" t="s">
        <v>40</v>
      </c>
    </row>
    <row r="427" spans="1:4" x14ac:dyDescent="0.3">
      <c r="A427" s="144" t="s">
        <v>304</v>
      </c>
      <c r="B427" s="144" t="s">
        <v>25</v>
      </c>
      <c r="C427" s="145"/>
      <c r="D427" s="146" t="s">
        <v>40</v>
      </c>
    </row>
    <row r="428" spans="1:4" x14ac:dyDescent="0.3">
      <c r="A428" s="150" t="s">
        <v>305</v>
      </c>
      <c r="B428" s="150" t="s">
        <v>25</v>
      </c>
      <c r="C428" s="151"/>
      <c r="D428" s="152" t="s">
        <v>40</v>
      </c>
    </row>
    <row r="429" spans="1:4" x14ac:dyDescent="0.3">
      <c r="A429" s="144" t="s">
        <v>988</v>
      </c>
      <c r="B429" s="144" t="s">
        <v>25</v>
      </c>
      <c r="C429" s="145"/>
      <c r="D429" s="146" t="s">
        <v>40</v>
      </c>
    </row>
    <row r="430" spans="1:4" x14ac:dyDescent="0.3">
      <c r="A430" s="144" t="s">
        <v>835</v>
      </c>
      <c r="B430" s="144" t="s">
        <v>171</v>
      </c>
      <c r="C430" s="145"/>
      <c r="D430" s="146" t="s">
        <v>830</v>
      </c>
    </row>
    <row r="431" spans="1:4" x14ac:dyDescent="0.3">
      <c r="A431" s="143" t="s">
        <v>306</v>
      </c>
      <c r="B431" s="144"/>
      <c r="C431" s="145"/>
      <c r="D431" s="146"/>
    </row>
    <row r="432" spans="1:4" x14ac:dyDescent="0.3">
      <c r="A432" s="144" t="s">
        <v>307</v>
      </c>
      <c r="B432" s="144" t="s">
        <v>18</v>
      </c>
      <c r="C432" s="145"/>
      <c r="D432" s="146" t="s">
        <v>33</v>
      </c>
    </row>
    <row r="433" spans="1:4" x14ac:dyDescent="0.3">
      <c r="A433" s="144" t="s">
        <v>309</v>
      </c>
      <c r="B433" s="144" t="s">
        <v>18</v>
      </c>
      <c r="C433" s="145"/>
      <c r="D433" s="146" t="s">
        <v>33</v>
      </c>
    </row>
    <row r="434" spans="1:4" x14ac:dyDescent="0.3">
      <c r="A434" s="157" t="s">
        <v>720</v>
      </c>
      <c r="B434" s="147" t="s">
        <v>18</v>
      </c>
      <c r="C434" s="148"/>
      <c r="D434" s="149" t="s">
        <v>33</v>
      </c>
    </row>
    <row r="435" spans="1:4" x14ac:dyDescent="0.3">
      <c r="A435" s="150" t="s">
        <v>719</v>
      </c>
      <c r="B435" s="150" t="s">
        <v>18</v>
      </c>
      <c r="C435" s="151"/>
      <c r="D435" s="152" t="s">
        <v>33</v>
      </c>
    </row>
    <row r="436" spans="1:4" s="141" customFormat="1" x14ac:dyDescent="0.3">
      <c r="A436" s="144" t="s">
        <v>308</v>
      </c>
      <c r="B436" s="144" t="s">
        <v>18</v>
      </c>
      <c r="C436" s="145"/>
      <c r="D436" s="146" t="s">
        <v>33</v>
      </c>
    </row>
    <row r="437" spans="1:4" x14ac:dyDescent="0.3">
      <c r="A437" s="157" t="s">
        <v>762</v>
      </c>
      <c r="B437" s="147" t="s">
        <v>18</v>
      </c>
      <c r="C437" s="148"/>
      <c r="D437" s="149" t="s">
        <v>33</v>
      </c>
    </row>
    <row r="438" spans="1:4" x14ac:dyDescent="0.3">
      <c r="A438" s="158" t="s">
        <v>310</v>
      </c>
      <c r="B438" s="144" t="s">
        <v>18</v>
      </c>
      <c r="C438" s="145"/>
      <c r="D438" s="146" t="s">
        <v>33</v>
      </c>
    </row>
    <row r="439" spans="1:4" x14ac:dyDescent="0.3">
      <c r="A439" s="158" t="s">
        <v>919</v>
      </c>
      <c r="B439" s="144" t="s">
        <v>18</v>
      </c>
      <c r="C439" s="145"/>
      <c r="D439" s="146" t="s">
        <v>33</v>
      </c>
    </row>
    <row r="440" spans="1:4" x14ac:dyDescent="0.3">
      <c r="A440" s="147" t="s">
        <v>716</v>
      </c>
      <c r="B440" s="147" t="s">
        <v>18</v>
      </c>
      <c r="C440" s="148"/>
      <c r="D440" s="149" t="s">
        <v>33</v>
      </c>
    </row>
    <row r="441" spans="1:4" x14ac:dyDescent="0.3">
      <c r="A441" s="144" t="s">
        <v>311</v>
      </c>
      <c r="B441" s="144" t="s">
        <v>25</v>
      </c>
      <c r="C441" s="145"/>
      <c r="D441" s="146" t="s">
        <v>33</v>
      </c>
    </row>
    <row r="442" spans="1:4" x14ac:dyDescent="0.3">
      <c r="A442" s="144" t="s">
        <v>312</v>
      </c>
      <c r="B442" s="144" t="s">
        <v>25</v>
      </c>
      <c r="C442" s="145"/>
      <c r="D442" s="146" t="s">
        <v>33</v>
      </c>
    </row>
    <row r="443" spans="1:4" x14ac:dyDescent="0.3">
      <c r="A443" s="144" t="s">
        <v>313</v>
      </c>
      <c r="B443" s="144" t="s">
        <v>25</v>
      </c>
      <c r="C443" s="145"/>
      <c r="D443" s="146" t="s">
        <v>33</v>
      </c>
    </row>
    <row r="444" spans="1:4" x14ac:dyDescent="0.3">
      <c r="A444" s="143" t="s">
        <v>768</v>
      </c>
      <c r="B444" s="144"/>
      <c r="C444" s="145"/>
      <c r="D444" s="146"/>
    </row>
    <row r="445" spans="1:4" x14ac:dyDescent="0.3">
      <c r="A445" s="150" t="s">
        <v>314</v>
      </c>
      <c r="B445" s="150" t="s">
        <v>25</v>
      </c>
      <c r="C445" s="151"/>
      <c r="D445" s="152" t="s">
        <v>102</v>
      </c>
    </row>
    <row r="446" spans="1:4" x14ac:dyDescent="0.3">
      <c r="A446" s="144" t="s">
        <v>769</v>
      </c>
      <c r="B446" s="144" t="s">
        <v>171</v>
      </c>
      <c r="C446" s="145"/>
      <c r="D446" s="146" t="s">
        <v>40</v>
      </c>
    </row>
    <row r="447" spans="1:4" x14ac:dyDescent="0.3">
      <c r="A447" s="143" t="s">
        <v>315</v>
      </c>
      <c r="B447" s="144"/>
      <c r="C447" s="145"/>
      <c r="D447" s="146"/>
    </row>
    <row r="448" spans="1:4" x14ac:dyDescent="0.3">
      <c r="A448" s="144" t="s">
        <v>316</v>
      </c>
      <c r="B448" s="144" t="s">
        <v>317</v>
      </c>
      <c r="C448" s="145"/>
      <c r="D448" s="146" t="s">
        <v>318</v>
      </c>
    </row>
    <row r="449" spans="1:4" x14ac:dyDescent="0.3">
      <c r="A449" s="143" t="s">
        <v>319</v>
      </c>
      <c r="B449" s="144"/>
      <c r="C449" s="145"/>
      <c r="D449" s="146"/>
    </row>
    <row r="450" spans="1:4" x14ac:dyDescent="0.3">
      <c r="A450" s="150" t="s">
        <v>320</v>
      </c>
      <c r="B450" s="150" t="s">
        <v>18</v>
      </c>
      <c r="C450" s="151"/>
      <c r="D450" s="152" t="s">
        <v>98</v>
      </c>
    </row>
    <row r="451" spans="1:4" x14ac:dyDescent="0.3">
      <c r="A451" s="150" t="s">
        <v>321</v>
      </c>
      <c r="B451" s="150" t="s">
        <v>18</v>
      </c>
      <c r="C451" s="151"/>
      <c r="D451" s="152" t="s">
        <v>98</v>
      </c>
    </row>
    <row r="452" spans="1:4" x14ac:dyDescent="0.3">
      <c r="A452" s="144" t="s">
        <v>322</v>
      </c>
      <c r="B452" s="144" t="s">
        <v>18</v>
      </c>
      <c r="C452" s="145"/>
      <c r="D452" s="146" t="s">
        <v>98</v>
      </c>
    </row>
    <row r="453" spans="1:4" x14ac:dyDescent="0.3">
      <c r="A453" s="144" t="s">
        <v>323</v>
      </c>
      <c r="B453" s="144" t="s">
        <v>18</v>
      </c>
      <c r="C453" s="145"/>
      <c r="D453" s="146" t="s">
        <v>98</v>
      </c>
    </row>
    <row r="454" spans="1:4" x14ac:dyDescent="0.3">
      <c r="A454" s="150" t="s">
        <v>753</v>
      </c>
      <c r="B454" s="150" t="s">
        <v>18</v>
      </c>
      <c r="C454" s="151"/>
      <c r="D454" s="152" t="s">
        <v>98</v>
      </c>
    </row>
    <row r="455" spans="1:4" x14ac:dyDescent="0.3">
      <c r="A455" s="147" t="s">
        <v>324</v>
      </c>
      <c r="B455" s="147" t="s">
        <v>18</v>
      </c>
      <c r="C455" s="148"/>
      <c r="D455" s="149" t="s">
        <v>98</v>
      </c>
    </row>
    <row r="456" spans="1:4" x14ac:dyDescent="0.3">
      <c r="A456" s="144" t="s">
        <v>325</v>
      </c>
      <c r="B456" s="144" t="s">
        <v>25</v>
      </c>
      <c r="C456" s="145"/>
      <c r="D456" s="146" t="s">
        <v>98</v>
      </c>
    </row>
    <row r="457" spans="1:4" x14ac:dyDescent="0.3">
      <c r="A457" s="144" t="s">
        <v>326</v>
      </c>
      <c r="B457" s="144" t="s">
        <v>25</v>
      </c>
      <c r="C457" s="145"/>
      <c r="D457" s="146" t="s">
        <v>98</v>
      </c>
    </row>
    <row r="458" spans="1:4" x14ac:dyDescent="0.3">
      <c r="A458" s="144" t="s">
        <v>327</v>
      </c>
      <c r="B458" s="144" t="s">
        <v>25</v>
      </c>
      <c r="C458" s="145"/>
      <c r="D458" s="146" t="s">
        <v>98</v>
      </c>
    </row>
    <row r="459" spans="1:4" x14ac:dyDescent="0.3">
      <c r="A459" s="144" t="s">
        <v>328</v>
      </c>
      <c r="B459" s="144" t="s">
        <v>25</v>
      </c>
      <c r="C459" s="145"/>
      <c r="D459" s="146" t="s">
        <v>98</v>
      </c>
    </row>
    <row r="460" spans="1:4" x14ac:dyDescent="0.3">
      <c r="A460" s="143" t="s">
        <v>774</v>
      </c>
      <c r="B460" s="144"/>
      <c r="C460" s="145"/>
      <c r="D460" s="146"/>
    </row>
    <row r="461" spans="1:4" x14ac:dyDescent="0.3">
      <c r="A461" s="144" t="s">
        <v>775</v>
      </c>
      <c r="B461" s="144" t="s">
        <v>171</v>
      </c>
      <c r="C461" s="145"/>
      <c r="D461" s="146" t="s">
        <v>19</v>
      </c>
    </row>
    <row r="462" spans="1:4" x14ac:dyDescent="0.3">
      <c r="A462" s="143" t="s">
        <v>330</v>
      </c>
      <c r="B462" s="144"/>
      <c r="C462" s="145"/>
      <c r="D462" s="146"/>
    </row>
    <row r="463" spans="1:4" x14ac:dyDescent="0.3">
      <c r="A463" s="150" t="s">
        <v>331</v>
      </c>
      <c r="B463" s="150" t="s">
        <v>18</v>
      </c>
      <c r="C463" s="151"/>
      <c r="D463" s="152" t="s">
        <v>19</v>
      </c>
    </row>
    <row r="464" spans="1:4" x14ac:dyDescent="0.3">
      <c r="A464" s="144" t="s">
        <v>332</v>
      </c>
      <c r="B464" s="144" t="s">
        <v>18</v>
      </c>
      <c r="C464" s="145"/>
      <c r="D464" s="146" t="s">
        <v>19</v>
      </c>
    </row>
    <row r="465" spans="1:4" x14ac:dyDescent="0.3">
      <c r="A465" s="144" t="s">
        <v>333</v>
      </c>
      <c r="B465" s="144" t="s">
        <v>18</v>
      </c>
      <c r="C465" s="145"/>
      <c r="D465" s="146" t="s">
        <v>19</v>
      </c>
    </row>
    <row r="466" spans="1:4" x14ac:dyDescent="0.3">
      <c r="A466" s="147" t="s">
        <v>334</v>
      </c>
      <c r="B466" s="147" t="s">
        <v>18</v>
      </c>
      <c r="C466" s="148"/>
      <c r="D466" s="149" t="s">
        <v>19</v>
      </c>
    </row>
    <row r="467" spans="1:4" x14ac:dyDescent="0.3">
      <c r="A467" s="144" t="s">
        <v>335</v>
      </c>
      <c r="B467" s="144" t="s">
        <v>18</v>
      </c>
      <c r="C467" s="145"/>
      <c r="D467" s="146" t="s">
        <v>19</v>
      </c>
    </row>
    <row r="468" spans="1:4" x14ac:dyDescent="0.3">
      <c r="A468" s="144" t="s">
        <v>942</v>
      </c>
      <c r="B468" s="144" t="s">
        <v>18</v>
      </c>
      <c r="C468" s="145"/>
      <c r="D468" s="146" t="s">
        <v>19</v>
      </c>
    </row>
    <row r="469" spans="1:4" x14ac:dyDescent="0.3">
      <c r="A469" s="147" t="s">
        <v>336</v>
      </c>
      <c r="B469" s="147" t="s">
        <v>25</v>
      </c>
      <c r="C469" s="148"/>
      <c r="D469" s="149" t="s">
        <v>19</v>
      </c>
    </row>
    <row r="470" spans="1:4" x14ac:dyDescent="0.3">
      <c r="A470" s="144" t="s">
        <v>337</v>
      </c>
      <c r="B470" s="144" t="s">
        <v>25</v>
      </c>
      <c r="C470" s="145"/>
      <c r="D470" s="146" t="s">
        <v>19</v>
      </c>
    </row>
    <row r="471" spans="1:4" x14ac:dyDescent="0.3">
      <c r="A471" s="150" t="s">
        <v>780</v>
      </c>
      <c r="B471" s="150" t="s">
        <v>25</v>
      </c>
      <c r="C471" s="151"/>
      <c r="D471" s="152" t="s">
        <v>19</v>
      </c>
    </row>
    <row r="472" spans="1:4" x14ac:dyDescent="0.3">
      <c r="A472" s="150" t="s">
        <v>338</v>
      </c>
      <c r="B472" s="150" t="s">
        <v>25</v>
      </c>
      <c r="C472" s="151"/>
      <c r="D472" s="152" t="s">
        <v>19</v>
      </c>
    </row>
    <row r="473" spans="1:4" x14ac:dyDescent="0.3">
      <c r="A473" s="143" t="s">
        <v>339</v>
      </c>
      <c r="B473" s="144"/>
      <c r="C473" s="145"/>
      <c r="D473" s="146"/>
    </row>
    <row r="474" spans="1:4" x14ac:dyDescent="0.3">
      <c r="A474" s="150" t="s">
        <v>340</v>
      </c>
      <c r="B474" s="150" t="s">
        <v>18</v>
      </c>
      <c r="C474" s="151"/>
      <c r="D474" s="152" t="s">
        <v>19</v>
      </c>
    </row>
    <row r="475" spans="1:4" x14ac:dyDescent="0.3">
      <c r="A475" s="150" t="s">
        <v>730</v>
      </c>
      <c r="B475" s="150" t="s">
        <v>18</v>
      </c>
      <c r="C475" s="151"/>
      <c r="D475" s="152" t="s">
        <v>19</v>
      </c>
    </row>
    <row r="476" spans="1:4" x14ac:dyDescent="0.3">
      <c r="A476" s="144" t="s">
        <v>341</v>
      </c>
      <c r="B476" s="144" t="s">
        <v>25</v>
      </c>
      <c r="C476" s="145"/>
      <c r="D476" s="146" t="s">
        <v>40</v>
      </c>
    </row>
    <row r="477" spans="1:4" x14ac:dyDescent="0.3">
      <c r="A477" s="144" t="s">
        <v>342</v>
      </c>
      <c r="B477" s="144" t="s">
        <v>25</v>
      </c>
      <c r="C477" s="145"/>
      <c r="D477" s="146" t="s">
        <v>40</v>
      </c>
    </row>
    <row r="478" spans="1:4" x14ac:dyDescent="0.3">
      <c r="A478" s="147" t="s">
        <v>343</v>
      </c>
      <c r="B478" s="147" t="s">
        <v>25</v>
      </c>
      <c r="C478" s="148"/>
      <c r="D478" s="149" t="s">
        <v>40</v>
      </c>
    </row>
    <row r="479" spans="1:4" x14ac:dyDescent="0.3">
      <c r="A479" s="143" t="s">
        <v>344</v>
      </c>
      <c r="B479" s="144"/>
      <c r="C479" s="145"/>
      <c r="D479" s="146"/>
    </row>
    <row r="480" spans="1:4" x14ac:dyDescent="0.3">
      <c r="A480" s="150" t="s">
        <v>345</v>
      </c>
      <c r="B480" s="150" t="s">
        <v>18</v>
      </c>
      <c r="C480" s="151"/>
      <c r="D480" s="152" t="s">
        <v>151</v>
      </c>
    </row>
    <row r="481" spans="1:4" x14ac:dyDescent="0.3">
      <c r="A481" s="150" t="s">
        <v>346</v>
      </c>
      <c r="B481" s="150" t="s">
        <v>18</v>
      </c>
      <c r="C481" s="151"/>
      <c r="D481" s="152" t="s">
        <v>151</v>
      </c>
    </row>
    <row r="482" spans="1:4" x14ac:dyDescent="0.3">
      <c r="A482" s="143" t="s">
        <v>347</v>
      </c>
      <c r="B482" s="144"/>
      <c r="C482" s="145"/>
      <c r="D482" s="146"/>
    </row>
    <row r="483" spans="1:4" x14ac:dyDescent="0.3">
      <c r="A483" s="158" t="s">
        <v>350</v>
      </c>
      <c r="B483" s="144" t="s">
        <v>18</v>
      </c>
      <c r="C483" s="145"/>
      <c r="D483" s="146" t="s">
        <v>98</v>
      </c>
    </row>
    <row r="484" spans="1:4" x14ac:dyDescent="0.3">
      <c r="A484" s="158" t="s">
        <v>351</v>
      </c>
      <c r="B484" s="144" t="s">
        <v>18</v>
      </c>
      <c r="C484" s="145"/>
      <c r="D484" s="146" t="s">
        <v>98</v>
      </c>
    </row>
    <row r="485" spans="1:4" x14ac:dyDescent="0.3">
      <c r="A485" s="158" t="s">
        <v>348</v>
      </c>
      <c r="B485" s="144" t="s">
        <v>25</v>
      </c>
      <c r="C485" s="145"/>
      <c r="D485" s="146" t="s">
        <v>33</v>
      </c>
    </row>
    <row r="486" spans="1:4" x14ac:dyDescent="0.3">
      <c r="A486" s="157" t="s">
        <v>349</v>
      </c>
      <c r="B486" s="147" t="s">
        <v>25</v>
      </c>
      <c r="C486" s="148"/>
      <c r="D486" s="149" t="s">
        <v>33</v>
      </c>
    </row>
    <row r="487" spans="1:4" x14ac:dyDescent="0.3">
      <c r="A487" s="143" t="s">
        <v>353</v>
      </c>
      <c r="B487" s="144"/>
      <c r="C487" s="145"/>
      <c r="D487" s="146"/>
    </row>
    <row r="488" spans="1:4" x14ac:dyDescent="0.3">
      <c r="A488" s="150" t="s">
        <v>354</v>
      </c>
      <c r="B488" s="150" t="s">
        <v>18</v>
      </c>
      <c r="C488" s="151"/>
      <c r="D488" s="152" t="s">
        <v>40</v>
      </c>
    </row>
    <row r="489" spans="1:4" x14ac:dyDescent="0.3">
      <c r="A489" s="144" t="s">
        <v>1032</v>
      </c>
      <c r="B489" s="144" t="s">
        <v>18</v>
      </c>
      <c r="C489" s="162"/>
      <c r="D489" s="146" t="s">
        <v>40</v>
      </c>
    </row>
    <row r="490" spans="1:4" x14ac:dyDescent="0.3">
      <c r="A490" s="144" t="s">
        <v>355</v>
      </c>
      <c r="B490" s="144" t="s">
        <v>18</v>
      </c>
      <c r="C490" s="162"/>
      <c r="D490" s="146" t="s">
        <v>40</v>
      </c>
    </row>
    <row r="491" spans="1:4" x14ac:dyDescent="0.3">
      <c r="A491" s="144" t="s">
        <v>356</v>
      </c>
      <c r="B491" s="144" t="s">
        <v>18</v>
      </c>
      <c r="C491" s="145"/>
      <c r="D491" s="146" t="s">
        <v>40</v>
      </c>
    </row>
    <row r="492" spans="1:4" x14ac:dyDescent="0.3">
      <c r="A492" s="147" t="s">
        <v>752</v>
      </c>
      <c r="B492" s="147" t="s">
        <v>18</v>
      </c>
      <c r="C492" s="148"/>
      <c r="D492" s="149" t="s">
        <v>40</v>
      </c>
    </row>
    <row r="493" spans="1:4" x14ac:dyDescent="0.3">
      <c r="A493" s="147" t="s">
        <v>357</v>
      </c>
      <c r="B493" s="147" t="s">
        <v>18</v>
      </c>
      <c r="C493" s="148"/>
      <c r="D493" s="149" t="s">
        <v>40</v>
      </c>
    </row>
    <row r="494" spans="1:4" x14ac:dyDescent="0.3">
      <c r="A494" s="150" t="s">
        <v>718</v>
      </c>
      <c r="B494" s="150" t="s">
        <v>18</v>
      </c>
      <c r="C494" s="151"/>
      <c r="D494" s="152" t="s">
        <v>40</v>
      </c>
    </row>
    <row r="495" spans="1:4" x14ac:dyDescent="0.3">
      <c r="A495" s="144" t="s">
        <v>648</v>
      </c>
      <c r="B495" s="144" t="s">
        <v>18</v>
      </c>
      <c r="C495" s="145"/>
      <c r="D495" s="146" t="s">
        <v>40</v>
      </c>
    </row>
    <row r="496" spans="1:4" x14ac:dyDescent="0.3">
      <c r="A496" s="150" t="s">
        <v>694</v>
      </c>
      <c r="B496" s="150" t="s">
        <v>18</v>
      </c>
      <c r="C496" s="151"/>
      <c r="D496" s="152" t="s">
        <v>40</v>
      </c>
    </row>
    <row r="497" spans="1:4" x14ac:dyDescent="0.3">
      <c r="A497" s="147" t="s">
        <v>941</v>
      </c>
      <c r="B497" s="147" t="s">
        <v>18</v>
      </c>
      <c r="C497" s="148"/>
      <c r="D497" s="149" t="s">
        <v>40</v>
      </c>
    </row>
    <row r="498" spans="1:4" x14ac:dyDescent="0.3">
      <c r="A498" s="144" t="s">
        <v>981</v>
      </c>
      <c r="B498" s="144" t="s">
        <v>18</v>
      </c>
      <c r="C498" s="162"/>
      <c r="D498" s="146" t="s">
        <v>40</v>
      </c>
    </row>
    <row r="499" spans="1:4" x14ac:dyDescent="0.3">
      <c r="A499" s="144" t="s">
        <v>358</v>
      </c>
      <c r="B499" s="144" t="s">
        <v>18</v>
      </c>
      <c r="C499" s="145"/>
      <c r="D499" s="146" t="s">
        <v>40</v>
      </c>
    </row>
    <row r="500" spans="1:4" s="141" customFormat="1" x14ac:dyDescent="0.3">
      <c r="A500" s="144" t="s">
        <v>359</v>
      </c>
      <c r="B500" s="144" t="s">
        <v>18</v>
      </c>
      <c r="C500" s="162"/>
      <c r="D500" s="146" t="s">
        <v>40</v>
      </c>
    </row>
    <row r="501" spans="1:4" s="141" customFormat="1" x14ac:dyDescent="0.3">
      <c r="A501" s="144" t="s">
        <v>982</v>
      </c>
      <c r="B501" s="144" t="s">
        <v>18</v>
      </c>
      <c r="C501" s="162"/>
      <c r="D501" s="146" t="s">
        <v>40</v>
      </c>
    </row>
    <row r="502" spans="1:4" s="141" customFormat="1" x14ac:dyDescent="0.3">
      <c r="A502" s="144" t="s">
        <v>1069</v>
      </c>
      <c r="B502" s="144" t="s">
        <v>18</v>
      </c>
      <c r="C502" s="162"/>
      <c r="D502" s="146" t="s">
        <v>40</v>
      </c>
    </row>
    <row r="503" spans="1:4" x14ac:dyDescent="0.3">
      <c r="A503" s="144" t="s">
        <v>983</v>
      </c>
      <c r="B503" s="144" t="s">
        <v>18</v>
      </c>
      <c r="C503" s="162"/>
      <c r="D503" s="146" t="s">
        <v>40</v>
      </c>
    </row>
    <row r="504" spans="1:4" x14ac:dyDescent="0.3">
      <c r="A504" s="157" t="s">
        <v>360</v>
      </c>
      <c r="B504" s="147" t="s">
        <v>25</v>
      </c>
      <c r="C504" s="148"/>
      <c r="D504" s="149" t="s">
        <v>40</v>
      </c>
    </row>
    <row r="505" spans="1:4" x14ac:dyDescent="0.3">
      <c r="A505" s="157" t="s">
        <v>361</v>
      </c>
      <c r="B505" s="147" t="s">
        <v>25</v>
      </c>
      <c r="C505" s="148"/>
      <c r="D505" s="149" t="s">
        <v>40</v>
      </c>
    </row>
    <row r="506" spans="1:4" x14ac:dyDescent="0.3">
      <c r="A506" s="159" t="s">
        <v>362</v>
      </c>
      <c r="B506" s="150" t="s">
        <v>25</v>
      </c>
      <c r="C506" s="151"/>
      <c r="D506" s="152" t="s">
        <v>40</v>
      </c>
    </row>
    <row r="507" spans="1:4" x14ac:dyDescent="0.3">
      <c r="A507" s="159" t="s">
        <v>363</v>
      </c>
      <c r="B507" s="150" t="s">
        <v>25</v>
      </c>
      <c r="C507" s="151"/>
      <c r="D507" s="152" t="s">
        <v>40</v>
      </c>
    </row>
    <row r="508" spans="1:4" x14ac:dyDescent="0.3">
      <c r="A508" s="159" t="s">
        <v>364</v>
      </c>
      <c r="B508" s="150" t="s">
        <v>25</v>
      </c>
      <c r="C508" s="151"/>
      <c r="D508" s="152" t="s">
        <v>40</v>
      </c>
    </row>
    <row r="509" spans="1:4" x14ac:dyDescent="0.3">
      <c r="A509" s="159" t="s">
        <v>365</v>
      </c>
      <c r="B509" s="150" t="s">
        <v>25</v>
      </c>
      <c r="C509" s="151"/>
      <c r="D509" s="152" t="s">
        <v>40</v>
      </c>
    </row>
    <row r="510" spans="1:4" x14ac:dyDescent="0.3">
      <c r="A510" s="158" t="s">
        <v>366</v>
      </c>
      <c r="B510" s="144" t="s">
        <v>25</v>
      </c>
      <c r="C510" s="145"/>
      <c r="D510" s="146" t="s">
        <v>40</v>
      </c>
    </row>
    <row r="511" spans="1:4" x14ac:dyDescent="0.3">
      <c r="A511" s="158" t="s">
        <v>984</v>
      </c>
      <c r="B511" s="144" t="s">
        <v>25</v>
      </c>
      <c r="C511" s="145"/>
      <c r="D511" s="146" t="s">
        <v>40</v>
      </c>
    </row>
    <row r="512" spans="1:4" x14ac:dyDescent="0.3">
      <c r="A512" s="158" t="s">
        <v>1008</v>
      </c>
      <c r="B512" s="144" t="s">
        <v>25</v>
      </c>
      <c r="C512" s="145"/>
      <c r="D512" s="146" t="s">
        <v>40</v>
      </c>
    </row>
    <row r="513" spans="1:4" x14ac:dyDescent="0.3">
      <c r="A513" s="144" t="s">
        <v>1036</v>
      </c>
      <c r="B513" s="144" t="s">
        <v>171</v>
      </c>
      <c r="C513" s="145"/>
      <c r="D513" s="146" t="s">
        <v>40</v>
      </c>
    </row>
    <row r="514" spans="1:4" x14ac:dyDescent="0.3">
      <c r="A514" s="143" t="s">
        <v>367</v>
      </c>
      <c r="B514" s="144"/>
      <c r="C514" s="145"/>
      <c r="D514" s="146"/>
    </row>
    <row r="515" spans="1:4" x14ac:dyDescent="0.3">
      <c r="A515" s="144" t="s">
        <v>368</v>
      </c>
      <c r="B515" s="144" t="s">
        <v>181</v>
      </c>
      <c r="C515" s="145"/>
      <c r="D515" s="146" t="s">
        <v>40</v>
      </c>
    </row>
    <row r="516" spans="1:4" x14ac:dyDescent="0.3">
      <c r="A516" s="144" t="s">
        <v>369</v>
      </c>
      <c r="B516" s="144" t="s">
        <v>181</v>
      </c>
      <c r="C516" s="145"/>
      <c r="D516" s="146" t="s">
        <v>40</v>
      </c>
    </row>
    <row r="517" spans="1:4" x14ac:dyDescent="0.3">
      <c r="A517" s="144" t="s">
        <v>370</v>
      </c>
      <c r="B517" s="144" t="s">
        <v>181</v>
      </c>
      <c r="C517" s="145"/>
      <c r="D517" s="146" t="s">
        <v>40</v>
      </c>
    </row>
    <row r="518" spans="1:4" x14ac:dyDescent="0.3">
      <c r="A518" s="144" t="s">
        <v>371</v>
      </c>
      <c r="B518" s="144" t="s">
        <v>181</v>
      </c>
      <c r="C518" s="145"/>
      <c r="D518" s="146" t="s">
        <v>40</v>
      </c>
    </row>
    <row r="519" spans="1:4" x14ac:dyDescent="0.3">
      <c r="A519" s="150" t="s">
        <v>401</v>
      </c>
      <c r="B519" s="150" t="s">
        <v>260</v>
      </c>
      <c r="C519" s="151"/>
      <c r="D519" s="152" t="s">
        <v>40</v>
      </c>
    </row>
    <row r="520" spans="1:4" x14ac:dyDescent="0.3">
      <c r="A520" s="150" t="s">
        <v>741</v>
      </c>
      <c r="B520" s="150" t="s">
        <v>260</v>
      </c>
      <c r="C520" s="151"/>
      <c r="D520" s="152" t="s">
        <v>40</v>
      </c>
    </row>
    <row r="521" spans="1:4" x14ac:dyDescent="0.3">
      <c r="A521" s="147" t="s">
        <v>950</v>
      </c>
      <c r="B521" s="147" t="s">
        <v>260</v>
      </c>
      <c r="C521" s="148"/>
      <c r="D521" s="149" t="s">
        <v>40</v>
      </c>
    </row>
    <row r="522" spans="1:4" s="141" customFormat="1" x14ac:dyDescent="0.3">
      <c r="A522" s="147" t="s">
        <v>1040</v>
      </c>
      <c r="B522" s="147" t="s">
        <v>260</v>
      </c>
      <c r="C522" s="148"/>
      <c r="D522" s="149" t="s">
        <v>40</v>
      </c>
    </row>
    <row r="523" spans="1:4" x14ac:dyDescent="0.3">
      <c r="A523" s="150" t="s">
        <v>372</v>
      </c>
      <c r="B523" s="150" t="s">
        <v>18</v>
      </c>
      <c r="C523" s="151"/>
      <c r="D523" s="152" t="s">
        <v>40</v>
      </c>
    </row>
    <row r="524" spans="1:4" x14ac:dyDescent="0.3">
      <c r="A524" s="150" t="s">
        <v>373</v>
      </c>
      <c r="B524" s="150" t="s">
        <v>18</v>
      </c>
      <c r="C524" s="151"/>
      <c r="D524" s="152" t="s">
        <v>40</v>
      </c>
    </row>
    <row r="525" spans="1:4" x14ac:dyDescent="0.3">
      <c r="A525" s="159" t="s">
        <v>657</v>
      </c>
      <c r="B525" s="150" t="s">
        <v>18</v>
      </c>
      <c r="C525" s="151"/>
      <c r="D525" s="152" t="s">
        <v>40</v>
      </c>
    </row>
    <row r="526" spans="1:4" x14ac:dyDescent="0.3">
      <c r="A526" s="159" t="s">
        <v>788</v>
      </c>
      <c r="B526" s="150" t="s">
        <v>18</v>
      </c>
      <c r="C526" s="151"/>
      <c r="D526" s="152" t="s">
        <v>40</v>
      </c>
    </row>
    <row r="527" spans="1:4" x14ac:dyDescent="0.3">
      <c r="A527" s="158" t="s">
        <v>910</v>
      </c>
      <c r="B527" s="144" t="s">
        <v>18</v>
      </c>
      <c r="C527" s="145"/>
      <c r="D527" s="146" t="s">
        <v>40</v>
      </c>
    </row>
    <row r="528" spans="1:4" x14ac:dyDescent="0.3">
      <c r="A528" s="159" t="s">
        <v>374</v>
      </c>
      <c r="B528" s="150" t="s">
        <v>18</v>
      </c>
      <c r="C528" s="151"/>
      <c r="D528" s="152" t="s">
        <v>40</v>
      </c>
    </row>
    <row r="529" spans="1:4" x14ac:dyDescent="0.3">
      <c r="A529" s="157" t="s">
        <v>713</v>
      </c>
      <c r="B529" s="147" t="s">
        <v>18</v>
      </c>
      <c r="C529" s="148"/>
      <c r="D529" s="149" t="s">
        <v>40</v>
      </c>
    </row>
    <row r="530" spans="1:4" x14ac:dyDescent="0.3">
      <c r="A530" s="157" t="s">
        <v>375</v>
      </c>
      <c r="B530" s="147" t="s">
        <v>18</v>
      </c>
      <c r="C530" s="148"/>
      <c r="D530" s="149" t="s">
        <v>40</v>
      </c>
    </row>
    <row r="531" spans="1:4" x14ac:dyDescent="0.3">
      <c r="A531" s="157" t="s">
        <v>376</v>
      </c>
      <c r="B531" s="147" t="s">
        <v>18</v>
      </c>
      <c r="C531" s="148"/>
      <c r="D531" s="149" t="s">
        <v>40</v>
      </c>
    </row>
    <row r="532" spans="1:4" x14ac:dyDescent="0.3">
      <c r="A532" s="158" t="s">
        <v>377</v>
      </c>
      <c r="B532" s="144" t="s">
        <v>18</v>
      </c>
      <c r="C532" s="145"/>
      <c r="D532" s="146" t="s">
        <v>40</v>
      </c>
    </row>
    <row r="533" spans="1:4" x14ac:dyDescent="0.3">
      <c r="A533" s="158" t="s">
        <v>378</v>
      </c>
      <c r="B533" s="144" t="s">
        <v>18</v>
      </c>
      <c r="C533" s="145"/>
      <c r="D533" s="146" t="s">
        <v>40</v>
      </c>
    </row>
    <row r="534" spans="1:4" x14ac:dyDescent="0.3">
      <c r="A534" s="159" t="s">
        <v>379</v>
      </c>
      <c r="B534" s="150" t="s">
        <v>18</v>
      </c>
      <c r="C534" s="151"/>
      <c r="D534" s="152" t="s">
        <v>40</v>
      </c>
    </row>
    <row r="535" spans="1:4" x14ac:dyDescent="0.3">
      <c r="A535" s="144" t="s">
        <v>912</v>
      </c>
      <c r="B535" s="144" t="s">
        <v>18</v>
      </c>
      <c r="C535" s="145"/>
      <c r="D535" s="146" t="s">
        <v>40</v>
      </c>
    </row>
    <row r="536" spans="1:4" x14ac:dyDescent="0.3">
      <c r="A536" s="144" t="s">
        <v>380</v>
      </c>
      <c r="B536" s="144" t="s">
        <v>18</v>
      </c>
      <c r="C536" s="145"/>
      <c r="D536" s="146" t="s">
        <v>40</v>
      </c>
    </row>
    <row r="537" spans="1:4" x14ac:dyDescent="0.3">
      <c r="A537" s="150" t="s">
        <v>700</v>
      </c>
      <c r="B537" s="150" t="s">
        <v>18</v>
      </c>
      <c r="C537" s="151"/>
      <c r="D537" s="152" t="s">
        <v>40</v>
      </c>
    </row>
    <row r="538" spans="1:4" x14ac:dyDescent="0.3">
      <c r="A538" s="144" t="s">
        <v>1024</v>
      </c>
      <c r="B538" s="144" t="s">
        <v>18</v>
      </c>
      <c r="C538" s="145"/>
      <c r="D538" s="146" t="s">
        <v>40</v>
      </c>
    </row>
    <row r="539" spans="1:4" x14ac:dyDescent="0.3">
      <c r="A539" s="144" t="s">
        <v>381</v>
      </c>
      <c r="B539" s="144" t="s">
        <v>18</v>
      </c>
      <c r="C539" s="145"/>
      <c r="D539" s="146" t="s">
        <v>40</v>
      </c>
    </row>
    <row r="540" spans="1:4" x14ac:dyDescent="0.3">
      <c r="A540" s="150" t="s">
        <v>796</v>
      </c>
      <c r="B540" s="150" t="s">
        <v>18</v>
      </c>
      <c r="C540" s="151"/>
      <c r="D540" s="152" t="s">
        <v>40</v>
      </c>
    </row>
    <row r="541" spans="1:4" x14ac:dyDescent="0.3">
      <c r="A541" s="150" t="s">
        <v>382</v>
      </c>
      <c r="B541" s="150" t="s">
        <v>25</v>
      </c>
      <c r="C541" s="151"/>
      <c r="D541" s="152" t="s">
        <v>40</v>
      </c>
    </row>
    <row r="542" spans="1:4" x14ac:dyDescent="0.3">
      <c r="A542" s="144" t="s">
        <v>673</v>
      </c>
      <c r="B542" s="144" t="s">
        <v>25</v>
      </c>
      <c r="C542" s="145"/>
      <c r="D542" s="146" t="s">
        <v>40</v>
      </c>
    </row>
    <row r="543" spans="1:4" x14ac:dyDescent="0.3">
      <c r="A543" s="144" t="s">
        <v>383</v>
      </c>
      <c r="B543" s="144" t="s">
        <v>25</v>
      </c>
      <c r="C543" s="145"/>
      <c r="D543" s="146" t="s">
        <v>40</v>
      </c>
    </row>
    <row r="544" spans="1:4" x14ac:dyDescent="0.3">
      <c r="A544" s="150" t="s">
        <v>394</v>
      </c>
      <c r="B544" s="150" t="s">
        <v>25</v>
      </c>
      <c r="C544" s="151"/>
      <c r="D544" s="152" t="s">
        <v>40</v>
      </c>
    </row>
    <row r="545" spans="1:4" x14ac:dyDescent="0.3">
      <c r="A545" s="158" t="s">
        <v>777</v>
      </c>
      <c r="B545" s="144" t="s">
        <v>25</v>
      </c>
      <c r="C545" s="145"/>
      <c r="D545" s="146" t="s">
        <v>40</v>
      </c>
    </row>
    <row r="546" spans="1:4" x14ac:dyDescent="0.3">
      <c r="A546" s="158" t="s">
        <v>384</v>
      </c>
      <c r="B546" s="144" t="s">
        <v>25</v>
      </c>
      <c r="C546" s="145"/>
      <c r="D546" s="146" t="s">
        <v>40</v>
      </c>
    </row>
    <row r="547" spans="1:4" x14ac:dyDescent="0.3">
      <c r="A547" s="157" t="s">
        <v>385</v>
      </c>
      <c r="B547" s="147" t="s">
        <v>25</v>
      </c>
      <c r="C547" s="148"/>
      <c r="D547" s="149" t="s">
        <v>40</v>
      </c>
    </row>
    <row r="548" spans="1:4" x14ac:dyDescent="0.3">
      <c r="A548" s="159" t="s">
        <v>386</v>
      </c>
      <c r="B548" s="150" t="s">
        <v>25</v>
      </c>
      <c r="C548" s="151"/>
      <c r="D548" s="152" t="s">
        <v>40</v>
      </c>
    </row>
    <row r="549" spans="1:4" x14ac:dyDescent="0.3">
      <c r="A549" s="150" t="s">
        <v>864</v>
      </c>
      <c r="B549" s="150" t="s">
        <v>25</v>
      </c>
      <c r="C549" s="163"/>
      <c r="D549" s="152" t="s">
        <v>40</v>
      </c>
    </row>
    <row r="550" spans="1:4" s="141" customFormat="1" x14ac:dyDescent="0.3">
      <c r="A550" s="144" t="s">
        <v>387</v>
      </c>
      <c r="B550" s="144" t="s">
        <v>25</v>
      </c>
      <c r="C550" s="145"/>
      <c r="D550" s="146" t="s">
        <v>40</v>
      </c>
    </row>
    <row r="551" spans="1:4" s="141" customFormat="1" x14ac:dyDescent="0.3">
      <c r="A551" s="147" t="s">
        <v>388</v>
      </c>
      <c r="B551" s="147" t="s">
        <v>25</v>
      </c>
      <c r="C551" s="148"/>
      <c r="D551" s="149" t="s">
        <v>40</v>
      </c>
    </row>
    <row r="552" spans="1:4" s="141" customFormat="1" x14ac:dyDescent="0.3">
      <c r="A552" s="147" t="s">
        <v>865</v>
      </c>
      <c r="B552" s="147" t="s">
        <v>25</v>
      </c>
      <c r="C552" s="148"/>
      <c r="D552" s="149" t="s">
        <v>40</v>
      </c>
    </row>
    <row r="553" spans="1:4" s="141" customFormat="1" x14ac:dyDescent="0.3">
      <c r="A553" s="147" t="s">
        <v>913</v>
      </c>
      <c r="B553" s="147" t="s">
        <v>25</v>
      </c>
      <c r="C553" s="148"/>
      <c r="D553" s="149" t="s">
        <v>40</v>
      </c>
    </row>
    <row r="554" spans="1:4" s="141" customFormat="1" x14ac:dyDescent="0.3">
      <c r="A554" s="144" t="s">
        <v>389</v>
      </c>
      <c r="B554" s="144" t="s">
        <v>25</v>
      </c>
      <c r="C554" s="145"/>
      <c r="D554" s="146" t="s">
        <v>40</v>
      </c>
    </row>
    <row r="555" spans="1:4" s="141" customFormat="1" x14ac:dyDescent="0.3">
      <c r="A555" s="144" t="s">
        <v>389</v>
      </c>
      <c r="B555" s="144" t="s">
        <v>25</v>
      </c>
      <c r="C555" s="145"/>
      <c r="D555" s="146" t="s">
        <v>40</v>
      </c>
    </row>
    <row r="556" spans="1:4" s="141" customFormat="1" x14ac:dyDescent="0.3">
      <c r="A556" s="144" t="s">
        <v>745</v>
      </c>
      <c r="B556" s="144" t="s">
        <v>25</v>
      </c>
      <c r="C556" s="145"/>
      <c r="D556" s="146" t="s">
        <v>40</v>
      </c>
    </row>
    <row r="557" spans="1:4" x14ac:dyDescent="0.3">
      <c r="A557" s="144" t="s">
        <v>746</v>
      </c>
      <c r="B557" s="144" t="s">
        <v>25</v>
      </c>
      <c r="C557" s="162"/>
      <c r="D557" s="146" t="s">
        <v>40</v>
      </c>
    </row>
    <row r="558" spans="1:4" x14ac:dyDescent="0.3">
      <c r="A558" s="144" t="s">
        <v>390</v>
      </c>
      <c r="B558" s="144" t="s">
        <v>25</v>
      </c>
      <c r="C558" s="145"/>
      <c r="D558" s="146" t="s">
        <v>40</v>
      </c>
    </row>
    <row r="559" spans="1:4" x14ac:dyDescent="0.3">
      <c r="A559" s="144" t="s">
        <v>914</v>
      </c>
      <c r="B559" s="144" t="s">
        <v>25</v>
      </c>
      <c r="C559" s="145"/>
      <c r="D559" s="146" t="s">
        <v>40</v>
      </c>
    </row>
    <row r="560" spans="1:4" x14ac:dyDescent="0.3">
      <c r="A560" s="144" t="s">
        <v>391</v>
      </c>
      <c r="B560" s="144" t="s">
        <v>25</v>
      </c>
      <c r="C560" s="145"/>
      <c r="D560" s="146" t="s">
        <v>40</v>
      </c>
    </row>
    <row r="561" spans="1:4" x14ac:dyDescent="0.3">
      <c r="A561" s="150" t="s">
        <v>392</v>
      </c>
      <c r="B561" s="150" t="s">
        <v>25</v>
      </c>
      <c r="C561" s="151"/>
      <c r="D561" s="152" t="s">
        <v>40</v>
      </c>
    </row>
    <row r="562" spans="1:4" x14ac:dyDescent="0.3">
      <c r="A562" s="150" t="s">
        <v>393</v>
      </c>
      <c r="B562" s="150" t="s">
        <v>25</v>
      </c>
      <c r="C562" s="151"/>
      <c r="D562" s="152" t="s">
        <v>40</v>
      </c>
    </row>
    <row r="563" spans="1:4" x14ac:dyDescent="0.3">
      <c r="A563" s="144" t="s">
        <v>395</v>
      </c>
      <c r="B563" s="144" t="s">
        <v>25</v>
      </c>
      <c r="C563" s="145"/>
      <c r="D563" s="146" t="s">
        <v>40</v>
      </c>
    </row>
    <row r="564" spans="1:4" x14ac:dyDescent="0.3">
      <c r="A564" s="144" t="s">
        <v>396</v>
      </c>
      <c r="B564" s="144" t="s">
        <v>25</v>
      </c>
      <c r="C564" s="145"/>
      <c r="D564" s="146" t="s">
        <v>40</v>
      </c>
    </row>
    <row r="565" spans="1:4" x14ac:dyDescent="0.3">
      <c r="A565" s="144" t="s">
        <v>779</v>
      </c>
      <c r="B565" s="144" t="s">
        <v>25</v>
      </c>
      <c r="C565" s="145"/>
      <c r="D565" s="146" t="s">
        <v>40</v>
      </c>
    </row>
    <row r="566" spans="1:4" x14ac:dyDescent="0.3">
      <c r="A566" s="144" t="s">
        <v>397</v>
      </c>
      <c r="B566" s="144" t="s">
        <v>25</v>
      </c>
      <c r="C566" s="145"/>
      <c r="D566" s="146" t="s">
        <v>40</v>
      </c>
    </row>
    <row r="567" spans="1:4" x14ac:dyDescent="0.3">
      <c r="A567" s="144" t="s">
        <v>708</v>
      </c>
      <c r="B567" s="144" t="s">
        <v>25</v>
      </c>
      <c r="C567" s="145"/>
      <c r="D567" s="146" t="s">
        <v>40</v>
      </c>
    </row>
    <row r="568" spans="1:4" x14ac:dyDescent="0.3">
      <c r="A568" s="144" t="s">
        <v>398</v>
      </c>
      <c r="B568" s="144" t="s">
        <v>25</v>
      </c>
      <c r="C568" s="145"/>
      <c r="D568" s="146" t="s">
        <v>40</v>
      </c>
    </row>
    <row r="569" spans="1:4" x14ac:dyDescent="0.3">
      <c r="A569" s="150" t="s">
        <v>399</v>
      </c>
      <c r="B569" s="150" t="s">
        <v>25</v>
      </c>
      <c r="C569" s="151"/>
      <c r="D569" s="152" t="s">
        <v>40</v>
      </c>
    </row>
    <row r="570" spans="1:4" x14ac:dyDescent="0.3">
      <c r="A570" s="144" t="s">
        <v>400</v>
      </c>
      <c r="B570" s="144" t="s">
        <v>25</v>
      </c>
      <c r="C570" s="145"/>
      <c r="D570" s="146" t="s">
        <v>40</v>
      </c>
    </row>
    <row r="571" spans="1:4" x14ac:dyDescent="0.3">
      <c r="A571" s="144" t="s">
        <v>402</v>
      </c>
      <c r="B571" s="144" t="s">
        <v>260</v>
      </c>
      <c r="C571" s="145"/>
      <c r="D571" s="146" t="s">
        <v>40</v>
      </c>
    </row>
    <row r="572" spans="1:4" x14ac:dyDescent="0.3">
      <c r="A572" s="150" t="s">
        <v>403</v>
      </c>
      <c r="B572" s="150" t="s">
        <v>260</v>
      </c>
      <c r="C572" s="151"/>
      <c r="D572" s="152" t="s">
        <v>40</v>
      </c>
    </row>
    <row r="573" spans="1:4" x14ac:dyDescent="0.3">
      <c r="A573" s="144" t="s">
        <v>404</v>
      </c>
      <c r="B573" s="144" t="s">
        <v>260</v>
      </c>
      <c r="C573" s="145"/>
      <c r="D573" s="146" t="s">
        <v>40</v>
      </c>
    </row>
    <row r="574" spans="1:4" x14ac:dyDescent="0.3">
      <c r="A574" s="150" t="s">
        <v>714</v>
      </c>
      <c r="B574" s="150" t="s">
        <v>260</v>
      </c>
      <c r="C574" s="151"/>
      <c r="D574" s="152" t="s">
        <v>40</v>
      </c>
    </row>
    <row r="575" spans="1:4" x14ac:dyDescent="0.3">
      <c r="A575" s="144" t="s">
        <v>828</v>
      </c>
      <c r="B575" s="144" t="s">
        <v>260</v>
      </c>
      <c r="C575" s="145"/>
      <c r="D575" s="146" t="s">
        <v>40</v>
      </c>
    </row>
    <row r="576" spans="1:4" x14ac:dyDescent="0.3">
      <c r="A576" s="144" t="s">
        <v>877</v>
      </c>
      <c r="B576" s="144" t="s">
        <v>260</v>
      </c>
      <c r="C576" s="145"/>
      <c r="D576" s="146" t="s">
        <v>40</v>
      </c>
    </row>
    <row r="577" spans="1:4" x14ac:dyDescent="0.3">
      <c r="A577" s="144" t="s">
        <v>877</v>
      </c>
      <c r="B577" s="144" t="s">
        <v>260</v>
      </c>
      <c r="C577" s="145"/>
      <c r="D577" s="146" t="s">
        <v>40</v>
      </c>
    </row>
    <row r="578" spans="1:4" x14ac:dyDescent="0.3">
      <c r="A578" s="144" t="s">
        <v>814</v>
      </c>
      <c r="B578" s="144" t="s">
        <v>260</v>
      </c>
      <c r="C578" s="145"/>
      <c r="D578" s="146" t="s">
        <v>40</v>
      </c>
    </row>
    <row r="579" spans="1:4" x14ac:dyDescent="0.3">
      <c r="A579" s="144" t="s">
        <v>815</v>
      </c>
      <c r="B579" s="144" t="s">
        <v>260</v>
      </c>
      <c r="C579" s="145"/>
      <c r="D579" s="146" t="s">
        <v>40</v>
      </c>
    </row>
    <row r="580" spans="1:4" x14ac:dyDescent="0.3">
      <c r="A580" s="144" t="s">
        <v>816</v>
      </c>
      <c r="B580" s="144" t="s">
        <v>260</v>
      </c>
      <c r="C580" s="145"/>
      <c r="D580" s="146" t="s">
        <v>40</v>
      </c>
    </row>
    <row r="581" spans="1:4" x14ac:dyDescent="0.3">
      <c r="A581" s="144" t="s">
        <v>817</v>
      </c>
      <c r="B581" s="144" t="s">
        <v>260</v>
      </c>
      <c r="C581" s="145"/>
      <c r="D581" s="146" t="s">
        <v>40</v>
      </c>
    </row>
    <row r="582" spans="1:4" x14ac:dyDescent="0.3">
      <c r="A582" s="144" t="s">
        <v>880</v>
      </c>
      <c r="B582" s="144" t="s">
        <v>260</v>
      </c>
      <c r="C582" s="145"/>
      <c r="D582" s="146" t="s">
        <v>40</v>
      </c>
    </row>
    <row r="583" spans="1:4" x14ac:dyDescent="0.3">
      <c r="A583" s="144" t="s">
        <v>881</v>
      </c>
      <c r="B583" s="144" t="s">
        <v>260</v>
      </c>
      <c r="C583" s="145"/>
      <c r="D583" s="146" t="s">
        <v>40</v>
      </c>
    </row>
    <row r="584" spans="1:4" x14ac:dyDescent="0.3">
      <c r="A584" s="144" t="s">
        <v>882</v>
      </c>
      <c r="B584" s="144" t="s">
        <v>260</v>
      </c>
      <c r="C584" s="145"/>
      <c r="D584" s="146" t="s">
        <v>40</v>
      </c>
    </row>
    <row r="585" spans="1:4" x14ac:dyDescent="0.3">
      <c r="A585" s="144" t="s">
        <v>883</v>
      </c>
      <c r="B585" s="144" t="s">
        <v>260</v>
      </c>
      <c r="C585" s="145"/>
      <c r="D585" s="146" t="s">
        <v>40</v>
      </c>
    </row>
    <row r="586" spans="1:4" x14ac:dyDescent="0.3">
      <c r="A586" s="144" t="s">
        <v>884</v>
      </c>
      <c r="B586" s="144" t="s">
        <v>260</v>
      </c>
      <c r="C586" s="145"/>
      <c r="D586" s="146" t="s">
        <v>40</v>
      </c>
    </row>
    <row r="587" spans="1:4" x14ac:dyDescent="0.3">
      <c r="A587" s="144" t="s">
        <v>885</v>
      </c>
      <c r="B587" s="144" t="s">
        <v>260</v>
      </c>
      <c r="C587" s="145"/>
      <c r="D587" s="146" t="s">
        <v>40</v>
      </c>
    </row>
    <row r="588" spans="1:4" x14ac:dyDescent="0.3">
      <c r="A588" s="144" t="s">
        <v>886</v>
      </c>
      <c r="B588" s="144" t="s">
        <v>260</v>
      </c>
      <c r="C588" s="145"/>
      <c r="D588" s="146" t="s">
        <v>40</v>
      </c>
    </row>
    <row r="589" spans="1:4" x14ac:dyDescent="0.3">
      <c r="A589" s="144" t="s">
        <v>887</v>
      </c>
      <c r="B589" s="144" t="s">
        <v>260</v>
      </c>
      <c r="C589" s="145"/>
      <c r="D589" s="146" t="s">
        <v>40</v>
      </c>
    </row>
    <row r="590" spans="1:4" x14ac:dyDescent="0.3">
      <c r="A590" s="144" t="s">
        <v>888</v>
      </c>
      <c r="B590" s="144" t="s">
        <v>260</v>
      </c>
      <c r="C590" s="145"/>
      <c r="D590" s="146" t="s">
        <v>40</v>
      </c>
    </row>
    <row r="591" spans="1:4" x14ac:dyDescent="0.3">
      <c r="A591" s="144" t="s">
        <v>937</v>
      </c>
      <c r="B591" s="144" t="s">
        <v>260</v>
      </c>
      <c r="C591" s="145"/>
      <c r="D591" s="146" t="s">
        <v>40</v>
      </c>
    </row>
    <row r="592" spans="1:4" x14ac:dyDescent="0.3">
      <c r="A592" s="144" t="s">
        <v>951</v>
      </c>
      <c r="B592" s="144" t="s">
        <v>260</v>
      </c>
      <c r="C592" s="145"/>
      <c r="D592" s="146" t="s">
        <v>40</v>
      </c>
    </row>
    <row r="593" spans="1:4" x14ac:dyDescent="0.3">
      <c r="A593" s="144" t="s">
        <v>703</v>
      </c>
      <c r="B593" s="144" t="s">
        <v>689</v>
      </c>
      <c r="C593" s="145"/>
      <c r="D593" s="146" t="s">
        <v>40</v>
      </c>
    </row>
    <row r="594" spans="1:4" s="141" customFormat="1" x14ac:dyDescent="0.3">
      <c r="A594" s="144" t="s">
        <v>1041</v>
      </c>
      <c r="B594" s="144" t="s">
        <v>689</v>
      </c>
      <c r="C594" s="145"/>
      <c r="D594" s="146" t="s">
        <v>40</v>
      </c>
    </row>
    <row r="595" spans="1:4" x14ac:dyDescent="0.3">
      <c r="A595" s="144" t="s">
        <v>742</v>
      </c>
      <c r="B595" s="144" t="s">
        <v>171</v>
      </c>
      <c r="C595" s="145"/>
      <c r="D595" s="146" t="s">
        <v>40</v>
      </c>
    </row>
    <row r="596" spans="1:4" x14ac:dyDescent="0.3">
      <c r="A596" s="144" t="s">
        <v>405</v>
      </c>
      <c r="B596" s="144" t="s">
        <v>171</v>
      </c>
      <c r="C596" s="145"/>
      <c r="D596" s="146" t="s">
        <v>40</v>
      </c>
    </row>
    <row r="597" spans="1:4" x14ac:dyDescent="0.3">
      <c r="A597" s="144" t="s">
        <v>952</v>
      </c>
      <c r="B597" s="144" t="s">
        <v>171</v>
      </c>
      <c r="C597" s="145"/>
      <c r="D597" s="146" t="s">
        <v>40</v>
      </c>
    </row>
    <row r="598" spans="1:4" s="141" customFormat="1" x14ac:dyDescent="0.3">
      <c r="A598" s="144" t="s">
        <v>1022</v>
      </c>
      <c r="B598" s="144" t="s">
        <v>171</v>
      </c>
      <c r="C598" s="145"/>
      <c r="D598" s="146" t="s">
        <v>40</v>
      </c>
    </row>
    <row r="599" spans="1:4" s="141" customFormat="1" x14ac:dyDescent="0.3">
      <c r="A599" s="144" t="s">
        <v>1023</v>
      </c>
      <c r="B599" s="144" t="s">
        <v>171</v>
      </c>
      <c r="C599" s="145"/>
      <c r="D599" s="146" t="s">
        <v>40</v>
      </c>
    </row>
    <row r="600" spans="1:4" s="141" customFormat="1" x14ac:dyDescent="0.3">
      <c r="A600" s="144" t="s">
        <v>1025</v>
      </c>
      <c r="B600" s="144" t="s">
        <v>171</v>
      </c>
      <c r="C600" s="145"/>
      <c r="D600" s="146" t="s">
        <v>151</v>
      </c>
    </row>
    <row r="601" spans="1:4" x14ac:dyDescent="0.3">
      <c r="A601" s="143" t="s">
        <v>406</v>
      </c>
      <c r="B601" s="144"/>
      <c r="C601" s="145"/>
      <c r="D601" s="146"/>
    </row>
    <row r="602" spans="1:4" x14ac:dyDescent="0.3">
      <c r="A602" s="164" t="s">
        <v>407</v>
      </c>
      <c r="B602" s="150" t="s">
        <v>18</v>
      </c>
      <c r="C602" s="151"/>
      <c r="D602" s="152" t="s">
        <v>151</v>
      </c>
    </row>
    <row r="603" spans="1:4" x14ac:dyDescent="0.3">
      <c r="A603" s="164" t="s">
        <v>797</v>
      </c>
      <c r="B603" s="150" t="s">
        <v>18</v>
      </c>
      <c r="C603" s="151"/>
      <c r="D603" s="152" t="s">
        <v>151</v>
      </c>
    </row>
    <row r="604" spans="1:4" x14ac:dyDescent="0.3">
      <c r="A604" s="165" t="s">
        <v>408</v>
      </c>
      <c r="B604" s="144" t="s">
        <v>18</v>
      </c>
      <c r="C604" s="145"/>
      <c r="D604" s="146" t="s">
        <v>151</v>
      </c>
    </row>
    <row r="605" spans="1:4" x14ac:dyDescent="0.3">
      <c r="A605" s="164" t="s">
        <v>409</v>
      </c>
      <c r="B605" s="150" t="s">
        <v>18</v>
      </c>
      <c r="C605" s="151"/>
      <c r="D605" s="152" t="s">
        <v>151</v>
      </c>
    </row>
    <row r="606" spans="1:4" x14ac:dyDescent="0.3">
      <c r="A606" s="166" t="s">
        <v>410</v>
      </c>
      <c r="B606" s="147" t="s">
        <v>18</v>
      </c>
      <c r="C606" s="148"/>
      <c r="D606" s="149" t="s">
        <v>151</v>
      </c>
    </row>
    <row r="607" spans="1:4" x14ac:dyDescent="0.3">
      <c r="A607" s="164" t="s">
        <v>411</v>
      </c>
      <c r="B607" s="150" t="s">
        <v>18</v>
      </c>
      <c r="C607" s="151"/>
      <c r="D607" s="152" t="s">
        <v>151</v>
      </c>
    </row>
    <row r="608" spans="1:4" x14ac:dyDescent="0.3">
      <c r="A608" s="150" t="s">
        <v>412</v>
      </c>
      <c r="B608" s="150" t="s">
        <v>25</v>
      </c>
      <c r="C608" s="151"/>
      <c r="D608" s="152" t="s">
        <v>151</v>
      </c>
    </row>
    <row r="609" spans="1:4" x14ac:dyDescent="0.3">
      <c r="A609" s="150" t="s">
        <v>674</v>
      </c>
      <c r="B609" s="150" t="s">
        <v>25</v>
      </c>
      <c r="C609" s="151"/>
      <c r="D609" s="152" t="s">
        <v>151</v>
      </c>
    </row>
    <row r="610" spans="1:4" x14ac:dyDescent="0.3">
      <c r="A610" s="143" t="s">
        <v>413</v>
      </c>
      <c r="B610" s="144"/>
      <c r="C610" s="145"/>
      <c r="D610" s="146"/>
    </row>
    <row r="611" spans="1:4" x14ac:dyDescent="0.3">
      <c r="A611" s="147" t="s">
        <v>414</v>
      </c>
      <c r="B611" s="147" t="s">
        <v>18</v>
      </c>
      <c r="C611" s="148"/>
      <c r="D611" s="149" t="s">
        <v>40</v>
      </c>
    </row>
    <row r="612" spans="1:4" x14ac:dyDescent="0.3">
      <c r="A612" s="147" t="s">
        <v>969</v>
      </c>
      <c r="B612" s="147" t="s">
        <v>18</v>
      </c>
      <c r="C612" s="148"/>
      <c r="D612" s="149" t="s">
        <v>40</v>
      </c>
    </row>
    <row r="613" spans="1:4" x14ac:dyDescent="0.3">
      <c r="A613" s="165" t="s">
        <v>770</v>
      </c>
      <c r="B613" s="144" t="s">
        <v>25</v>
      </c>
      <c r="C613" s="145"/>
      <c r="D613" s="146" t="s">
        <v>19</v>
      </c>
    </row>
    <row r="614" spans="1:4" x14ac:dyDescent="0.3">
      <c r="A614" s="165" t="s">
        <v>771</v>
      </c>
      <c r="B614" s="144" t="s">
        <v>25</v>
      </c>
      <c r="C614" s="145"/>
      <c r="D614" s="146" t="s">
        <v>40</v>
      </c>
    </row>
    <row r="615" spans="1:4" x14ac:dyDescent="0.3">
      <c r="A615" s="165" t="s">
        <v>772</v>
      </c>
      <c r="B615" s="144" t="s">
        <v>25</v>
      </c>
      <c r="C615" s="145"/>
      <c r="D615" s="146" t="s">
        <v>19</v>
      </c>
    </row>
    <row r="616" spans="1:4" x14ac:dyDescent="0.3">
      <c r="A616" s="143" t="s">
        <v>1054</v>
      </c>
      <c r="B616" s="144"/>
      <c r="C616" s="145"/>
      <c r="D616" s="146"/>
    </row>
    <row r="617" spans="1:4" x14ac:dyDescent="0.3">
      <c r="A617" s="165" t="s">
        <v>1055</v>
      </c>
      <c r="B617" s="144" t="s">
        <v>25</v>
      </c>
      <c r="C617" s="145"/>
      <c r="D617" s="146" t="s">
        <v>40</v>
      </c>
    </row>
    <row r="618" spans="1:4" x14ac:dyDescent="0.3">
      <c r="A618" s="165" t="s">
        <v>1056</v>
      </c>
      <c r="B618" s="144" t="s">
        <v>25</v>
      </c>
      <c r="C618" s="145"/>
      <c r="D618" s="146" t="s">
        <v>40</v>
      </c>
    </row>
    <row r="619" spans="1:4" x14ac:dyDescent="0.3">
      <c r="A619" s="165" t="s">
        <v>1057</v>
      </c>
      <c r="B619" s="144" t="s">
        <v>25</v>
      </c>
      <c r="C619" s="145"/>
      <c r="D619" s="146" t="s">
        <v>40</v>
      </c>
    </row>
    <row r="620" spans="1:4" x14ac:dyDescent="0.3">
      <c r="A620" s="165" t="s">
        <v>1058</v>
      </c>
      <c r="B620" s="144" t="s">
        <v>25</v>
      </c>
      <c r="C620" s="145"/>
      <c r="D620" s="146" t="s">
        <v>40</v>
      </c>
    </row>
    <row r="621" spans="1:4" x14ac:dyDescent="0.3">
      <c r="A621" s="143" t="s">
        <v>415</v>
      </c>
      <c r="B621" s="144"/>
      <c r="C621" s="145"/>
      <c r="D621" s="146"/>
    </row>
    <row r="622" spans="1:4" x14ac:dyDescent="0.3">
      <c r="A622" s="150" t="s">
        <v>416</v>
      </c>
      <c r="B622" s="150" t="s">
        <v>18</v>
      </c>
      <c r="C622" s="151"/>
      <c r="D622" s="152" t="s">
        <v>98</v>
      </c>
    </row>
    <row r="623" spans="1:4" x14ac:dyDescent="0.3">
      <c r="A623" s="150" t="s">
        <v>417</v>
      </c>
      <c r="B623" s="150" t="s">
        <v>18</v>
      </c>
      <c r="C623" s="151"/>
      <c r="D623" s="152" t="s">
        <v>40</v>
      </c>
    </row>
    <row r="624" spans="1:4" x14ac:dyDescent="0.3">
      <c r="A624" s="150" t="s">
        <v>418</v>
      </c>
      <c r="B624" s="150" t="s">
        <v>260</v>
      </c>
      <c r="C624" s="151"/>
      <c r="D624" s="152" t="s">
        <v>40</v>
      </c>
    </row>
    <row r="625" spans="1:4" x14ac:dyDescent="0.3">
      <c r="A625" s="147" t="s">
        <v>871</v>
      </c>
      <c r="B625" s="147" t="s">
        <v>260</v>
      </c>
      <c r="C625" s="148"/>
      <c r="D625" s="149" t="s">
        <v>98</v>
      </c>
    </row>
    <row r="626" spans="1:4" x14ac:dyDescent="0.3">
      <c r="A626" s="147" t="s">
        <v>1063</v>
      </c>
      <c r="B626" s="147" t="s">
        <v>1064</v>
      </c>
      <c r="C626" s="148"/>
      <c r="D626" s="149" t="s">
        <v>19</v>
      </c>
    </row>
    <row r="627" spans="1:4" x14ac:dyDescent="0.3">
      <c r="A627" s="144" t="s">
        <v>419</v>
      </c>
      <c r="B627" s="144" t="s">
        <v>25</v>
      </c>
      <c r="C627" s="145"/>
      <c r="D627" s="146" t="s">
        <v>19</v>
      </c>
    </row>
    <row r="628" spans="1:4" x14ac:dyDescent="0.3">
      <c r="A628" s="147" t="s">
        <v>420</v>
      </c>
      <c r="B628" s="147" t="s">
        <v>25</v>
      </c>
      <c r="C628" s="148"/>
      <c r="D628" s="149" t="s">
        <v>33</v>
      </c>
    </row>
    <row r="629" spans="1:4" x14ac:dyDescent="0.3">
      <c r="A629" s="144" t="s">
        <v>421</v>
      </c>
      <c r="B629" s="144" t="s">
        <v>181</v>
      </c>
      <c r="C629" s="145"/>
      <c r="D629" s="146" t="s">
        <v>33</v>
      </c>
    </row>
    <row r="630" spans="1:4" x14ac:dyDescent="0.3">
      <c r="A630" s="143" t="s">
        <v>511</v>
      </c>
      <c r="B630" s="144"/>
      <c r="C630" s="145"/>
      <c r="D630" s="146"/>
    </row>
    <row r="631" spans="1:4" s="141" customFormat="1" x14ac:dyDescent="0.3">
      <c r="A631" s="144" t="s">
        <v>1070</v>
      </c>
      <c r="B631" s="144" t="s">
        <v>18</v>
      </c>
      <c r="C631" s="145"/>
      <c r="D631" s="146" t="s">
        <v>19</v>
      </c>
    </row>
    <row r="632" spans="1:4" x14ac:dyDescent="0.3">
      <c r="A632" s="157" t="s">
        <v>512</v>
      </c>
      <c r="B632" s="147" t="s">
        <v>25</v>
      </c>
      <c r="C632" s="148"/>
      <c r="D632" s="149" t="s">
        <v>40</v>
      </c>
    </row>
    <row r="633" spans="1:4" x14ac:dyDescent="0.3">
      <c r="A633" s="158" t="s">
        <v>513</v>
      </c>
      <c r="B633" s="144" t="s">
        <v>25</v>
      </c>
      <c r="C633" s="145"/>
      <c r="D633" s="146" t="s">
        <v>40</v>
      </c>
    </row>
    <row r="634" spans="1:4" x14ac:dyDescent="0.3">
      <c r="A634" s="158" t="s">
        <v>1005</v>
      </c>
      <c r="B634" s="144" t="s">
        <v>596</v>
      </c>
      <c r="C634" s="145"/>
      <c r="D634" s="146" t="s">
        <v>151</v>
      </c>
    </row>
    <row r="635" spans="1:4" x14ac:dyDescent="0.3">
      <c r="A635" s="143" t="s">
        <v>514</v>
      </c>
      <c r="B635" s="144"/>
      <c r="C635" s="145"/>
      <c r="D635" s="146"/>
    </row>
    <row r="636" spans="1:4" x14ac:dyDescent="0.3">
      <c r="A636" s="157" t="s">
        <v>515</v>
      </c>
      <c r="B636" s="147" t="s">
        <v>25</v>
      </c>
      <c r="C636" s="148"/>
      <c r="D636" s="149" t="s">
        <v>40</v>
      </c>
    </row>
    <row r="637" spans="1:4" s="141" customFormat="1" x14ac:dyDescent="0.3">
      <c r="A637" s="157" t="s">
        <v>1071</v>
      </c>
      <c r="B637" s="147" t="s">
        <v>18</v>
      </c>
      <c r="C637" s="148"/>
      <c r="D637" s="149" t="s">
        <v>830</v>
      </c>
    </row>
    <row r="638" spans="1:4" s="141" customFormat="1" x14ac:dyDescent="0.3">
      <c r="A638" s="144" t="s">
        <v>738</v>
      </c>
      <c r="B638" s="144" t="s">
        <v>596</v>
      </c>
      <c r="C638" s="145"/>
      <c r="D638" s="146" t="s">
        <v>151</v>
      </c>
    </row>
    <row r="639" spans="1:4" x14ac:dyDescent="0.3">
      <c r="A639" s="143" t="s">
        <v>516</v>
      </c>
      <c r="B639" s="144"/>
      <c r="C639" s="145"/>
      <c r="D639" s="146"/>
    </row>
    <row r="640" spans="1:4" x14ac:dyDescent="0.3">
      <c r="A640" s="147" t="s">
        <v>517</v>
      </c>
      <c r="B640" s="147" t="s">
        <v>18</v>
      </c>
      <c r="C640" s="148"/>
      <c r="D640" s="149" t="s">
        <v>151</v>
      </c>
    </row>
    <row r="641" spans="1:4" x14ac:dyDescent="0.3">
      <c r="A641" s="150" t="s">
        <v>518</v>
      </c>
      <c r="B641" s="150" t="s">
        <v>18</v>
      </c>
      <c r="C641" s="151"/>
      <c r="D641" s="152" t="s">
        <v>151</v>
      </c>
    </row>
    <row r="642" spans="1:4" s="141" customFormat="1" x14ac:dyDescent="0.3">
      <c r="A642" s="144" t="s">
        <v>519</v>
      </c>
      <c r="B642" s="144" t="s">
        <v>18</v>
      </c>
      <c r="C642" s="145"/>
      <c r="D642" s="146" t="s">
        <v>151</v>
      </c>
    </row>
    <row r="643" spans="1:4" x14ac:dyDescent="0.3">
      <c r="A643" s="150" t="s">
        <v>520</v>
      </c>
      <c r="B643" s="150" t="s">
        <v>18</v>
      </c>
      <c r="C643" s="151"/>
      <c r="D643" s="152" t="s">
        <v>151</v>
      </c>
    </row>
    <row r="644" spans="1:4" x14ac:dyDescent="0.3">
      <c r="A644" s="150" t="s">
        <v>521</v>
      </c>
      <c r="B644" s="150" t="s">
        <v>18</v>
      </c>
      <c r="C644" s="151"/>
      <c r="D644" s="152" t="s">
        <v>151</v>
      </c>
    </row>
    <row r="645" spans="1:4" x14ac:dyDescent="0.3">
      <c r="A645" s="147" t="s">
        <v>867</v>
      </c>
      <c r="B645" s="147" t="s">
        <v>25</v>
      </c>
      <c r="C645" s="148"/>
      <c r="D645" s="149" t="s">
        <v>151</v>
      </c>
    </row>
    <row r="646" spans="1:4" x14ac:dyDescent="0.3">
      <c r="A646" s="147" t="s">
        <v>905</v>
      </c>
      <c r="B646" s="147" t="s">
        <v>25</v>
      </c>
      <c r="C646" s="148"/>
      <c r="D646" s="149" t="s">
        <v>151</v>
      </c>
    </row>
    <row r="647" spans="1:4" x14ac:dyDescent="0.3">
      <c r="A647" s="143" t="s">
        <v>422</v>
      </c>
      <c r="B647" s="144"/>
      <c r="C647" s="145"/>
      <c r="D647" s="146"/>
    </row>
    <row r="648" spans="1:4" x14ac:dyDescent="0.3">
      <c r="A648" s="144" t="s">
        <v>423</v>
      </c>
      <c r="B648" s="144" t="s">
        <v>18</v>
      </c>
      <c r="C648" s="145"/>
      <c r="D648" s="146" t="s">
        <v>83</v>
      </c>
    </row>
    <row r="649" spans="1:4" x14ac:dyDescent="0.3">
      <c r="A649" s="150" t="s">
        <v>653</v>
      </c>
      <c r="B649" s="150" t="s">
        <v>18</v>
      </c>
      <c r="C649" s="151"/>
      <c r="D649" s="152" t="s">
        <v>83</v>
      </c>
    </row>
    <row r="650" spans="1:4" x14ac:dyDescent="0.3">
      <c r="A650" s="147" t="s">
        <v>653</v>
      </c>
      <c r="B650" s="147" t="s">
        <v>18</v>
      </c>
      <c r="C650" s="148"/>
      <c r="D650" s="149" t="s">
        <v>83</v>
      </c>
    </row>
    <row r="651" spans="1:4" x14ac:dyDescent="0.3">
      <c r="A651" s="147" t="s">
        <v>424</v>
      </c>
      <c r="B651" s="147" t="s">
        <v>18</v>
      </c>
      <c r="C651" s="148"/>
      <c r="D651" s="149" t="s">
        <v>83</v>
      </c>
    </row>
    <row r="652" spans="1:4" x14ac:dyDescent="0.3">
      <c r="A652" s="144" t="s">
        <v>967</v>
      </c>
      <c r="B652" s="144" t="s">
        <v>18</v>
      </c>
      <c r="C652" s="145"/>
      <c r="D652" s="146" t="s">
        <v>83</v>
      </c>
    </row>
    <row r="653" spans="1:4" x14ac:dyDescent="0.3">
      <c r="A653" s="144" t="s">
        <v>425</v>
      </c>
      <c r="B653" s="144" t="s">
        <v>18</v>
      </c>
      <c r="C653" s="145"/>
      <c r="D653" s="146" t="s">
        <v>83</v>
      </c>
    </row>
    <row r="654" spans="1:4" x14ac:dyDescent="0.3">
      <c r="A654" s="150" t="s">
        <v>426</v>
      </c>
      <c r="B654" s="150" t="s">
        <v>18</v>
      </c>
      <c r="C654" s="151"/>
      <c r="D654" s="152" t="s">
        <v>83</v>
      </c>
    </row>
    <row r="655" spans="1:4" x14ac:dyDescent="0.3">
      <c r="A655" s="147" t="s">
        <v>1046</v>
      </c>
      <c r="B655" s="147" t="s">
        <v>18</v>
      </c>
      <c r="C655" s="148"/>
      <c r="D655" s="149" t="s">
        <v>83</v>
      </c>
    </row>
    <row r="656" spans="1:4" x14ac:dyDescent="0.3">
      <c r="A656" s="147" t="s">
        <v>732</v>
      </c>
      <c r="B656" s="147" t="s">
        <v>18</v>
      </c>
      <c r="C656" s="148"/>
      <c r="D656" s="149" t="s">
        <v>83</v>
      </c>
    </row>
    <row r="657" spans="1:4" x14ac:dyDescent="0.3">
      <c r="A657" s="147" t="s">
        <v>921</v>
      </c>
      <c r="B657" s="147" t="s">
        <v>18</v>
      </c>
      <c r="C657" s="148"/>
      <c r="D657" s="149" t="s">
        <v>83</v>
      </c>
    </row>
    <row r="658" spans="1:4" x14ac:dyDescent="0.3">
      <c r="A658" s="158" t="s">
        <v>751</v>
      </c>
      <c r="B658" s="144" t="s">
        <v>25</v>
      </c>
      <c r="C658" s="145"/>
      <c r="D658" s="146" t="s">
        <v>83</v>
      </c>
    </row>
    <row r="659" spans="1:4" x14ac:dyDescent="0.3">
      <c r="A659" s="158" t="s">
        <v>427</v>
      </c>
      <c r="B659" s="144" t="s">
        <v>25</v>
      </c>
      <c r="C659" s="145"/>
      <c r="D659" s="146" t="s">
        <v>83</v>
      </c>
    </row>
    <row r="660" spans="1:4" x14ac:dyDescent="0.3">
      <c r="A660" s="159" t="s">
        <v>743</v>
      </c>
      <c r="B660" s="150" t="s">
        <v>25</v>
      </c>
      <c r="C660" s="151"/>
      <c r="D660" s="152" t="s">
        <v>83</v>
      </c>
    </row>
    <row r="661" spans="1:4" x14ac:dyDescent="0.3">
      <c r="A661" s="157" t="s">
        <v>1048</v>
      </c>
      <c r="B661" s="147" t="s">
        <v>25</v>
      </c>
      <c r="C661" s="148"/>
      <c r="D661" s="149" t="s">
        <v>83</v>
      </c>
    </row>
    <row r="662" spans="1:4" x14ac:dyDescent="0.3">
      <c r="A662" s="158" t="s">
        <v>656</v>
      </c>
      <c r="B662" s="144" t="s">
        <v>25</v>
      </c>
      <c r="C662" s="145"/>
      <c r="D662" s="146" t="s">
        <v>83</v>
      </c>
    </row>
    <row r="663" spans="1:4" x14ac:dyDescent="0.3">
      <c r="A663" s="158" t="s">
        <v>428</v>
      </c>
      <c r="B663" s="144" t="s">
        <v>25</v>
      </c>
      <c r="C663" s="145"/>
      <c r="D663" s="146" t="s">
        <v>83</v>
      </c>
    </row>
    <row r="664" spans="1:4" x14ac:dyDescent="0.3">
      <c r="A664" s="158" t="s">
        <v>429</v>
      </c>
      <c r="B664" s="144" t="s">
        <v>25</v>
      </c>
      <c r="C664" s="145"/>
      <c r="D664" s="146" t="s">
        <v>83</v>
      </c>
    </row>
    <row r="665" spans="1:4" x14ac:dyDescent="0.3">
      <c r="A665" s="158" t="s">
        <v>430</v>
      </c>
      <c r="B665" s="144" t="s">
        <v>25</v>
      </c>
      <c r="C665" s="145"/>
      <c r="D665" s="146" t="s">
        <v>83</v>
      </c>
    </row>
    <row r="666" spans="1:4" x14ac:dyDescent="0.3">
      <c r="A666" s="158" t="s">
        <v>431</v>
      </c>
      <c r="B666" s="144" t="s">
        <v>25</v>
      </c>
      <c r="C666" s="145"/>
      <c r="D666" s="146" t="s">
        <v>83</v>
      </c>
    </row>
    <row r="667" spans="1:4" x14ac:dyDescent="0.3">
      <c r="A667" s="158" t="s">
        <v>999</v>
      </c>
      <c r="B667" s="144" t="s">
        <v>25</v>
      </c>
      <c r="C667" s="145"/>
      <c r="D667" s="146" t="s">
        <v>83</v>
      </c>
    </row>
    <row r="668" spans="1:4" x14ac:dyDescent="0.3">
      <c r="A668" s="159" t="s">
        <v>432</v>
      </c>
      <c r="B668" s="150" t="s">
        <v>25</v>
      </c>
      <c r="C668" s="151"/>
      <c r="D668" s="152" t="s">
        <v>83</v>
      </c>
    </row>
    <row r="669" spans="1:4" x14ac:dyDescent="0.3">
      <c r="A669" s="150" t="s">
        <v>433</v>
      </c>
      <c r="B669" s="150" t="s">
        <v>25</v>
      </c>
      <c r="C669" s="151"/>
      <c r="D669" s="152" t="s">
        <v>83</v>
      </c>
    </row>
    <row r="670" spans="1:4" x14ac:dyDescent="0.3">
      <c r="A670" s="158" t="s">
        <v>434</v>
      </c>
      <c r="B670" s="144" t="s">
        <v>25</v>
      </c>
      <c r="C670" s="145"/>
      <c r="D670" s="146" t="s">
        <v>83</v>
      </c>
    </row>
    <row r="671" spans="1:4" x14ac:dyDescent="0.3">
      <c r="A671" s="158" t="s">
        <v>435</v>
      </c>
      <c r="B671" s="144" t="s">
        <v>25</v>
      </c>
      <c r="C671" s="145"/>
      <c r="D671" s="146" t="s">
        <v>83</v>
      </c>
    </row>
    <row r="672" spans="1:4" s="141" customFormat="1" x14ac:dyDescent="0.3">
      <c r="A672" s="158" t="s">
        <v>1047</v>
      </c>
      <c r="B672" s="144" t="s">
        <v>25</v>
      </c>
      <c r="C672" s="145"/>
      <c r="D672" s="146" t="s">
        <v>83</v>
      </c>
    </row>
    <row r="673" spans="1:4" x14ac:dyDescent="0.3">
      <c r="A673" s="157" t="s">
        <v>436</v>
      </c>
      <c r="B673" s="147" t="s">
        <v>25</v>
      </c>
      <c r="C673" s="148"/>
      <c r="D673" s="149" t="s">
        <v>83</v>
      </c>
    </row>
    <row r="674" spans="1:4" x14ac:dyDescent="0.3">
      <c r="A674" s="158" t="s">
        <v>437</v>
      </c>
      <c r="B674" s="144" t="s">
        <v>25</v>
      </c>
      <c r="C674" s="145"/>
      <c r="D674" s="146" t="s">
        <v>83</v>
      </c>
    </row>
    <row r="675" spans="1:4" x14ac:dyDescent="0.3">
      <c r="A675" s="157" t="s">
        <v>709</v>
      </c>
      <c r="B675" s="147" t="s">
        <v>25</v>
      </c>
      <c r="C675" s="148"/>
      <c r="D675" s="149" t="s">
        <v>83</v>
      </c>
    </row>
    <row r="676" spans="1:4" x14ac:dyDescent="0.3">
      <c r="A676" s="157" t="s">
        <v>1000</v>
      </c>
      <c r="B676" s="147" t="s">
        <v>25</v>
      </c>
      <c r="C676" s="148"/>
      <c r="D676" s="149" t="s">
        <v>83</v>
      </c>
    </row>
    <row r="677" spans="1:4" x14ac:dyDescent="0.3">
      <c r="A677" s="158" t="s">
        <v>438</v>
      </c>
      <c r="B677" s="144" t="s">
        <v>25</v>
      </c>
      <c r="C677" s="145"/>
      <c r="D677" s="146" t="s">
        <v>83</v>
      </c>
    </row>
    <row r="678" spans="1:4" x14ac:dyDescent="0.3">
      <c r="A678" s="159" t="s">
        <v>439</v>
      </c>
      <c r="B678" s="150" t="s">
        <v>25</v>
      </c>
      <c r="C678" s="151"/>
      <c r="D678" s="152" t="s">
        <v>83</v>
      </c>
    </row>
    <row r="679" spans="1:4" x14ac:dyDescent="0.3">
      <c r="A679" s="158" t="s">
        <v>744</v>
      </c>
      <c r="B679" s="144" t="s">
        <v>25</v>
      </c>
      <c r="C679" s="145"/>
      <c r="D679" s="146" t="s">
        <v>83</v>
      </c>
    </row>
    <row r="680" spans="1:4" x14ac:dyDescent="0.3">
      <c r="A680" s="158" t="s">
        <v>440</v>
      </c>
      <c r="B680" s="144" t="s">
        <v>181</v>
      </c>
      <c r="C680" s="145"/>
      <c r="D680" s="146" t="s">
        <v>83</v>
      </c>
    </row>
    <row r="681" spans="1:4" x14ac:dyDescent="0.3">
      <c r="A681" s="158" t="s">
        <v>936</v>
      </c>
      <c r="B681" s="144" t="s">
        <v>181</v>
      </c>
      <c r="C681" s="145"/>
      <c r="D681" s="146" t="s">
        <v>33</v>
      </c>
    </row>
    <row r="682" spans="1:4" x14ac:dyDescent="0.3">
      <c r="A682" s="158" t="s">
        <v>936</v>
      </c>
      <c r="B682" s="144" t="s">
        <v>181</v>
      </c>
      <c r="C682" s="145"/>
      <c r="D682" s="146" t="s">
        <v>33</v>
      </c>
    </row>
    <row r="683" spans="1:4" x14ac:dyDescent="0.3">
      <c r="A683" s="143" t="s">
        <v>441</v>
      </c>
      <c r="B683" s="144"/>
      <c r="C683" s="145"/>
      <c r="D683" s="146"/>
    </row>
    <row r="684" spans="1:4" x14ac:dyDescent="0.3">
      <c r="A684" s="144" t="s">
        <v>442</v>
      </c>
      <c r="B684" s="144" t="s">
        <v>181</v>
      </c>
      <c r="C684" s="145"/>
      <c r="D684" s="146" t="s">
        <v>33</v>
      </c>
    </row>
    <row r="685" spans="1:4" x14ac:dyDescent="0.3">
      <c r="A685" s="144" t="s">
        <v>443</v>
      </c>
      <c r="B685" s="144" t="s">
        <v>181</v>
      </c>
      <c r="C685" s="145"/>
      <c r="D685" s="146" t="s">
        <v>33</v>
      </c>
    </row>
    <row r="686" spans="1:4" x14ac:dyDescent="0.3">
      <c r="A686" s="144" t="s">
        <v>444</v>
      </c>
      <c r="B686" s="144" t="s">
        <v>181</v>
      </c>
      <c r="C686" s="145"/>
      <c r="D686" s="146" t="s">
        <v>33</v>
      </c>
    </row>
    <row r="687" spans="1:4" x14ac:dyDescent="0.3">
      <c r="A687" s="150" t="s">
        <v>445</v>
      </c>
      <c r="B687" s="150" t="s">
        <v>181</v>
      </c>
      <c r="C687" s="151"/>
      <c r="D687" s="152" t="s">
        <v>33</v>
      </c>
    </row>
    <row r="688" spans="1:4" x14ac:dyDescent="0.3">
      <c r="A688" s="150" t="s">
        <v>446</v>
      </c>
      <c r="B688" s="150" t="s">
        <v>181</v>
      </c>
      <c r="C688" s="151"/>
      <c r="D688" s="152" t="s">
        <v>33</v>
      </c>
    </row>
    <row r="689" spans="1:4" x14ac:dyDescent="0.3">
      <c r="A689" s="143" t="s">
        <v>447</v>
      </c>
      <c r="B689" s="144"/>
      <c r="C689" s="145"/>
      <c r="D689" s="146"/>
    </row>
    <row r="690" spans="1:4" x14ac:dyDescent="0.3">
      <c r="A690" s="165" t="s">
        <v>448</v>
      </c>
      <c r="B690" s="144" t="s">
        <v>18</v>
      </c>
      <c r="C690" s="145"/>
      <c r="D690" s="146" t="s">
        <v>83</v>
      </c>
    </row>
    <row r="691" spans="1:4" x14ac:dyDescent="0.3">
      <c r="A691" s="164" t="s">
        <v>449</v>
      </c>
      <c r="B691" s="150" t="s">
        <v>25</v>
      </c>
      <c r="C691" s="151"/>
      <c r="D691" s="152" t="s">
        <v>40</v>
      </c>
    </row>
    <row r="692" spans="1:4" x14ac:dyDescent="0.3">
      <c r="A692" s="143" t="s">
        <v>450</v>
      </c>
      <c r="B692" s="144"/>
      <c r="C692" s="145"/>
      <c r="D692" s="146"/>
    </row>
    <row r="693" spans="1:4" x14ac:dyDescent="0.3">
      <c r="A693" s="164" t="s">
        <v>451</v>
      </c>
      <c r="B693" s="150" t="s">
        <v>18</v>
      </c>
      <c r="C693" s="151"/>
      <c r="D693" s="152" t="s">
        <v>40</v>
      </c>
    </row>
    <row r="694" spans="1:4" x14ac:dyDescent="0.3">
      <c r="A694" s="164" t="s">
        <v>452</v>
      </c>
      <c r="B694" s="150" t="s">
        <v>18</v>
      </c>
      <c r="C694" s="151"/>
      <c r="D694" s="152" t="s">
        <v>40</v>
      </c>
    </row>
    <row r="695" spans="1:4" x14ac:dyDescent="0.3">
      <c r="A695" s="165" t="s">
        <v>453</v>
      </c>
      <c r="B695" s="144" t="s">
        <v>18</v>
      </c>
      <c r="C695" s="145"/>
      <c r="D695" s="146" t="s">
        <v>40</v>
      </c>
    </row>
    <row r="696" spans="1:4" x14ac:dyDescent="0.3">
      <c r="A696" s="166" t="s">
        <v>454</v>
      </c>
      <c r="B696" s="147" t="s">
        <v>18</v>
      </c>
      <c r="C696" s="148"/>
      <c r="D696" s="149" t="s">
        <v>40</v>
      </c>
    </row>
    <row r="697" spans="1:4" x14ac:dyDescent="0.3">
      <c r="A697" s="165" t="s">
        <v>733</v>
      </c>
      <c r="B697" s="144" t="s">
        <v>18</v>
      </c>
      <c r="C697" s="145"/>
      <c r="D697" s="146" t="s">
        <v>40</v>
      </c>
    </row>
    <row r="698" spans="1:4" x14ac:dyDescent="0.3">
      <c r="A698" s="165" t="s">
        <v>455</v>
      </c>
      <c r="B698" s="144" t="s">
        <v>18</v>
      </c>
      <c r="C698" s="145"/>
      <c r="D698" s="146" t="s">
        <v>40</v>
      </c>
    </row>
    <row r="699" spans="1:4" x14ac:dyDescent="0.3">
      <c r="A699" s="164" t="s">
        <v>793</v>
      </c>
      <c r="B699" s="150" t="s">
        <v>18</v>
      </c>
      <c r="C699" s="151"/>
      <c r="D699" s="152" t="s">
        <v>40</v>
      </c>
    </row>
    <row r="700" spans="1:4" x14ac:dyDescent="0.3">
      <c r="A700" s="144" t="s">
        <v>456</v>
      </c>
      <c r="B700" s="144" t="s">
        <v>25</v>
      </c>
      <c r="C700" s="145"/>
      <c r="D700" s="146" t="s">
        <v>40</v>
      </c>
    </row>
    <row r="701" spans="1:4" x14ac:dyDescent="0.3">
      <c r="A701" s="144" t="s">
        <v>457</v>
      </c>
      <c r="B701" s="144" t="s">
        <v>25</v>
      </c>
      <c r="C701" s="145"/>
      <c r="D701" s="146" t="s">
        <v>40</v>
      </c>
    </row>
    <row r="702" spans="1:4" x14ac:dyDescent="0.3">
      <c r="A702" s="150" t="s">
        <v>458</v>
      </c>
      <c r="B702" s="150" t="s">
        <v>25</v>
      </c>
      <c r="C702" s="151"/>
      <c r="D702" s="152" t="s">
        <v>40</v>
      </c>
    </row>
    <row r="703" spans="1:4" s="141" customFormat="1" x14ac:dyDescent="0.3">
      <c r="A703" s="147" t="s">
        <v>459</v>
      </c>
      <c r="B703" s="147" t="s">
        <v>25</v>
      </c>
      <c r="C703" s="148"/>
      <c r="D703" s="149" t="s">
        <v>40</v>
      </c>
    </row>
    <row r="704" spans="1:4" x14ac:dyDescent="0.3">
      <c r="A704" s="150" t="s">
        <v>460</v>
      </c>
      <c r="B704" s="150" t="s">
        <v>25</v>
      </c>
      <c r="C704" s="151"/>
      <c r="D704" s="152" t="s">
        <v>40</v>
      </c>
    </row>
    <row r="705" spans="1:4" x14ac:dyDescent="0.3">
      <c r="A705" s="150" t="s">
        <v>461</v>
      </c>
      <c r="B705" s="150" t="s">
        <v>260</v>
      </c>
      <c r="C705" s="151"/>
      <c r="D705" s="152" t="s">
        <v>40</v>
      </c>
    </row>
    <row r="706" spans="1:4" x14ac:dyDescent="0.3">
      <c r="A706" s="150" t="s">
        <v>462</v>
      </c>
      <c r="B706" s="150" t="s">
        <v>260</v>
      </c>
      <c r="C706" s="151"/>
      <c r="D706" s="152" t="s">
        <v>40</v>
      </c>
    </row>
    <row r="707" spans="1:4" x14ac:dyDescent="0.3">
      <c r="A707" s="144" t="s">
        <v>955</v>
      </c>
      <c r="B707" s="144" t="s">
        <v>260</v>
      </c>
      <c r="C707" s="145"/>
      <c r="D707" s="146" t="s">
        <v>40</v>
      </c>
    </row>
    <row r="708" spans="1:4" x14ac:dyDescent="0.3">
      <c r="A708" s="144" t="s">
        <v>1042</v>
      </c>
      <c r="B708" s="144" t="s">
        <v>260</v>
      </c>
      <c r="C708" s="145"/>
      <c r="D708" s="146" t="s">
        <v>40</v>
      </c>
    </row>
    <row r="709" spans="1:4" x14ac:dyDescent="0.3">
      <c r="A709" s="144" t="s">
        <v>956</v>
      </c>
      <c r="B709" s="144" t="s">
        <v>260</v>
      </c>
      <c r="C709" s="145"/>
      <c r="D709" s="146" t="s">
        <v>40</v>
      </c>
    </row>
    <row r="710" spans="1:4" x14ac:dyDescent="0.3">
      <c r="A710" s="143" t="s">
        <v>664</v>
      </c>
      <c r="B710" s="144"/>
      <c r="C710" s="145"/>
      <c r="D710" s="146"/>
    </row>
    <row r="711" spans="1:4" x14ac:dyDescent="0.3">
      <c r="A711" s="165" t="s">
        <v>665</v>
      </c>
      <c r="B711" s="144" t="s">
        <v>18</v>
      </c>
      <c r="C711" s="145"/>
      <c r="D711" s="146" t="s">
        <v>83</v>
      </c>
    </row>
    <row r="712" spans="1:4" x14ac:dyDescent="0.3">
      <c r="A712" s="166" t="s">
        <v>666</v>
      </c>
      <c r="B712" s="147" t="s">
        <v>18</v>
      </c>
      <c r="C712" s="148"/>
      <c r="D712" s="149" t="s">
        <v>83</v>
      </c>
    </row>
    <row r="713" spans="1:4" x14ac:dyDescent="0.3">
      <c r="A713" s="165" t="s">
        <v>667</v>
      </c>
      <c r="B713" s="144" t="s">
        <v>18</v>
      </c>
      <c r="C713" s="145"/>
      <c r="D713" s="146" t="s">
        <v>40</v>
      </c>
    </row>
    <row r="714" spans="1:4" x14ac:dyDescent="0.3">
      <c r="A714" s="165" t="s">
        <v>668</v>
      </c>
      <c r="B714" s="144" t="s">
        <v>18</v>
      </c>
      <c r="C714" s="145"/>
      <c r="D714" s="146" t="s">
        <v>40</v>
      </c>
    </row>
    <row r="715" spans="1:4" x14ac:dyDescent="0.3">
      <c r="A715" s="165" t="s">
        <v>669</v>
      </c>
      <c r="B715" s="144" t="s">
        <v>18</v>
      </c>
      <c r="C715" s="145"/>
      <c r="D715" s="146" t="s">
        <v>83</v>
      </c>
    </row>
    <row r="716" spans="1:4" x14ac:dyDescent="0.3">
      <c r="A716" s="165" t="s">
        <v>734</v>
      </c>
      <c r="B716" s="144" t="s">
        <v>18</v>
      </c>
      <c r="C716" s="145"/>
      <c r="D716" s="146" t="s">
        <v>40</v>
      </c>
    </row>
    <row r="717" spans="1:4" x14ac:dyDescent="0.3">
      <c r="A717" s="165" t="s">
        <v>670</v>
      </c>
      <c r="B717" s="144" t="s">
        <v>25</v>
      </c>
      <c r="C717" s="145"/>
      <c r="D717" s="146" t="s">
        <v>83</v>
      </c>
    </row>
    <row r="718" spans="1:4" x14ac:dyDescent="0.3">
      <c r="A718" s="147" t="s">
        <v>671</v>
      </c>
      <c r="B718" s="147" t="s">
        <v>25</v>
      </c>
      <c r="C718" s="148"/>
      <c r="D718" s="149" t="s">
        <v>40</v>
      </c>
    </row>
    <row r="719" spans="1:4" x14ac:dyDescent="0.3">
      <c r="A719" s="144" t="s">
        <v>672</v>
      </c>
      <c r="B719" s="144" t="s">
        <v>25</v>
      </c>
      <c r="C719" s="145"/>
      <c r="D719" s="146" t="s">
        <v>40</v>
      </c>
    </row>
    <row r="720" spans="1:4" x14ac:dyDescent="0.3">
      <c r="A720" s="144" t="s">
        <v>776</v>
      </c>
      <c r="B720" s="144" t="s">
        <v>181</v>
      </c>
      <c r="C720" s="145"/>
      <c r="D720" s="146" t="s">
        <v>151</v>
      </c>
    </row>
    <row r="721" spans="1:4" x14ac:dyDescent="0.3">
      <c r="A721" s="143" t="s">
        <v>464</v>
      </c>
      <c r="B721" s="144"/>
      <c r="C721" s="145"/>
      <c r="D721" s="146"/>
    </row>
    <row r="722" spans="1:4" x14ac:dyDescent="0.3">
      <c r="A722" s="144" t="s">
        <v>922</v>
      </c>
      <c r="B722" s="144" t="s">
        <v>18</v>
      </c>
      <c r="C722" s="145"/>
      <c r="D722" s="146" t="s">
        <v>151</v>
      </c>
    </row>
    <row r="723" spans="1:4" x14ac:dyDescent="0.3">
      <c r="A723" s="144" t="s">
        <v>465</v>
      </c>
      <c r="B723" s="144" t="s">
        <v>18</v>
      </c>
      <c r="C723" s="145"/>
      <c r="D723" s="146" t="s">
        <v>151</v>
      </c>
    </row>
    <row r="724" spans="1:4" x14ac:dyDescent="0.3">
      <c r="A724" s="144" t="s">
        <v>466</v>
      </c>
      <c r="B724" s="144" t="s">
        <v>18</v>
      </c>
      <c r="C724" s="145"/>
      <c r="D724" s="146" t="s">
        <v>151</v>
      </c>
    </row>
    <row r="725" spans="1:4" x14ac:dyDescent="0.3">
      <c r="A725" s="144" t="s">
        <v>467</v>
      </c>
      <c r="B725" s="144" t="s">
        <v>18</v>
      </c>
      <c r="C725" s="145"/>
      <c r="D725" s="146" t="s">
        <v>151</v>
      </c>
    </row>
    <row r="726" spans="1:4" x14ac:dyDescent="0.3">
      <c r="A726" s="144" t="s">
        <v>468</v>
      </c>
      <c r="B726" s="144" t="s">
        <v>18</v>
      </c>
      <c r="C726" s="145"/>
      <c r="D726" s="146" t="s">
        <v>151</v>
      </c>
    </row>
    <row r="727" spans="1:4" x14ac:dyDescent="0.3">
      <c r="A727" s="147" t="s">
        <v>469</v>
      </c>
      <c r="B727" s="147" t="s">
        <v>18</v>
      </c>
      <c r="C727" s="148"/>
      <c r="D727" s="149" t="s">
        <v>151</v>
      </c>
    </row>
    <row r="728" spans="1:4" x14ac:dyDescent="0.3">
      <c r="A728" s="144" t="s">
        <v>470</v>
      </c>
      <c r="B728" s="144" t="s">
        <v>18</v>
      </c>
      <c r="C728" s="145"/>
      <c r="D728" s="146" t="s">
        <v>151</v>
      </c>
    </row>
    <row r="729" spans="1:4" x14ac:dyDescent="0.3">
      <c r="A729" s="147" t="s">
        <v>471</v>
      </c>
      <c r="B729" s="147" t="s">
        <v>18</v>
      </c>
      <c r="C729" s="148"/>
      <c r="D729" s="149" t="s">
        <v>151</v>
      </c>
    </row>
    <row r="730" spans="1:4" x14ac:dyDescent="0.3">
      <c r="A730" s="150" t="s">
        <v>472</v>
      </c>
      <c r="B730" s="150" t="s">
        <v>18</v>
      </c>
      <c r="C730" s="151"/>
      <c r="D730" s="152" t="s">
        <v>151</v>
      </c>
    </row>
    <row r="731" spans="1:4" x14ac:dyDescent="0.3">
      <c r="A731" s="144" t="s">
        <v>473</v>
      </c>
      <c r="B731" s="144" t="s">
        <v>18</v>
      </c>
      <c r="C731" s="145"/>
      <c r="D731" s="146" t="s">
        <v>151</v>
      </c>
    </row>
    <row r="732" spans="1:4" x14ac:dyDescent="0.3">
      <c r="A732" s="144" t="s">
        <v>801</v>
      </c>
      <c r="B732" s="144" t="s">
        <v>18</v>
      </c>
      <c r="C732" s="145"/>
      <c r="D732" s="146" t="s">
        <v>151</v>
      </c>
    </row>
    <row r="733" spans="1:4" x14ac:dyDescent="0.3">
      <c r="A733" s="144" t="s">
        <v>474</v>
      </c>
      <c r="B733" s="144" t="s">
        <v>18</v>
      </c>
      <c r="C733" s="145"/>
      <c r="D733" s="146" t="s">
        <v>151</v>
      </c>
    </row>
    <row r="734" spans="1:4" x14ac:dyDescent="0.3">
      <c r="A734" s="144" t="s">
        <v>475</v>
      </c>
      <c r="B734" s="144" t="s">
        <v>18</v>
      </c>
      <c r="C734" s="145"/>
      <c r="D734" s="146" t="s">
        <v>151</v>
      </c>
    </row>
    <row r="735" spans="1:4" x14ac:dyDescent="0.3">
      <c r="A735" s="144" t="s">
        <v>1031</v>
      </c>
      <c r="B735" s="144" t="s">
        <v>18</v>
      </c>
      <c r="C735" s="145"/>
      <c r="D735" s="146" t="s">
        <v>151</v>
      </c>
    </row>
    <row r="736" spans="1:4" x14ac:dyDescent="0.3">
      <c r="A736" s="150" t="s">
        <v>476</v>
      </c>
      <c r="B736" s="150" t="s">
        <v>18</v>
      </c>
      <c r="C736" s="151"/>
      <c r="D736" s="152" t="s">
        <v>151</v>
      </c>
    </row>
    <row r="737" spans="1:4" x14ac:dyDescent="0.3">
      <c r="A737" s="150" t="s">
        <v>477</v>
      </c>
      <c r="B737" s="150" t="s">
        <v>18</v>
      </c>
      <c r="C737" s="151"/>
      <c r="D737" s="152" t="s">
        <v>151</v>
      </c>
    </row>
    <row r="738" spans="1:4" x14ac:dyDescent="0.3">
      <c r="A738" s="144" t="s">
        <v>478</v>
      </c>
      <c r="B738" s="144" t="s">
        <v>25</v>
      </c>
      <c r="C738" s="145"/>
      <c r="D738" s="146" t="s">
        <v>40</v>
      </c>
    </row>
    <row r="739" spans="1:4" s="141" customFormat="1" x14ac:dyDescent="0.3">
      <c r="A739" s="144" t="s">
        <v>479</v>
      </c>
      <c r="B739" s="144" t="s">
        <v>25</v>
      </c>
      <c r="C739" s="145"/>
      <c r="D739" s="146" t="s">
        <v>40</v>
      </c>
    </row>
    <row r="740" spans="1:4" s="141" customFormat="1" x14ac:dyDescent="0.3">
      <c r="A740" s="144" t="s">
        <v>480</v>
      </c>
      <c r="B740" s="144" t="s">
        <v>25</v>
      </c>
      <c r="C740" s="145"/>
      <c r="D740" s="146" t="s">
        <v>40</v>
      </c>
    </row>
    <row r="741" spans="1:4" x14ac:dyDescent="0.3">
      <c r="A741" s="144" t="s">
        <v>676</v>
      </c>
      <c r="B741" s="144" t="s">
        <v>25</v>
      </c>
      <c r="C741" s="145"/>
      <c r="D741" s="146" t="s">
        <v>151</v>
      </c>
    </row>
    <row r="742" spans="1:4" x14ac:dyDescent="0.3">
      <c r="A742" s="147" t="s">
        <v>481</v>
      </c>
      <c r="B742" s="147" t="s">
        <v>25</v>
      </c>
      <c r="C742" s="148"/>
      <c r="D742" s="149" t="s">
        <v>40</v>
      </c>
    </row>
    <row r="743" spans="1:4" x14ac:dyDescent="0.3">
      <c r="A743" s="144" t="s">
        <v>482</v>
      </c>
      <c r="B743" s="144" t="s">
        <v>25</v>
      </c>
      <c r="C743" s="145"/>
      <c r="D743" s="146" t="s">
        <v>40</v>
      </c>
    </row>
    <row r="744" spans="1:4" x14ac:dyDescent="0.3">
      <c r="A744" s="147" t="s">
        <v>679</v>
      </c>
      <c r="B744" s="147" t="s">
        <v>25</v>
      </c>
      <c r="C744" s="148"/>
      <c r="D744" s="149" t="s">
        <v>151</v>
      </c>
    </row>
    <row r="745" spans="1:4" x14ac:dyDescent="0.3">
      <c r="A745" s="144" t="s">
        <v>483</v>
      </c>
      <c r="B745" s="144" t="s">
        <v>25</v>
      </c>
      <c r="C745" s="145"/>
      <c r="D745" s="146" t="s">
        <v>151</v>
      </c>
    </row>
    <row r="746" spans="1:4" x14ac:dyDescent="0.3">
      <c r="A746" s="147" t="s">
        <v>484</v>
      </c>
      <c r="B746" s="147" t="s">
        <v>25</v>
      </c>
      <c r="C746" s="148"/>
      <c r="D746" s="149" t="s">
        <v>151</v>
      </c>
    </row>
    <row r="747" spans="1:4" x14ac:dyDescent="0.3">
      <c r="A747" s="147" t="s">
        <v>485</v>
      </c>
      <c r="B747" s="147" t="s">
        <v>25</v>
      </c>
      <c r="C747" s="148"/>
      <c r="D747" s="149" t="s">
        <v>151</v>
      </c>
    </row>
    <row r="748" spans="1:4" x14ac:dyDescent="0.3">
      <c r="A748" s="147" t="s">
        <v>486</v>
      </c>
      <c r="B748" s="147" t="s">
        <v>25</v>
      </c>
      <c r="C748" s="148"/>
      <c r="D748" s="149" t="s">
        <v>151</v>
      </c>
    </row>
    <row r="749" spans="1:4" x14ac:dyDescent="0.3">
      <c r="A749" s="150" t="s">
        <v>487</v>
      </c>
      <c r="B749" s="150" t="s">
        <v>25</v>
      </c>
      <c r="C749" s="151"/>
      <c r="D749" s="152" t="s">
        <v>151</v>
      </c>
    </row>
    <row r="750" spans="1:4" x14ac:dyDescent="0.3">
      <c r="A750" s="144" t="s">
        <v>873</v>
      </c>
      <c r="B750" s="144" t="s">
        <v>260</v>
      </c>
      <c r="C750" s="145"/>
      <c r="D750" s="146" t="s">
        <v>151</v>
      </c>
    </row>
    <row r="751" spans="1:4" x14ac:dyDescent="0.3">
      <c r="A751" s="144" t="s">
        <v>874</v>
      </c>
      <c r="B751" s="144" t="s">
        <v>260</v>
      </c>
      <c r="C751" s="145"/>
      <c r="D751" s="146" t="s">
        <v>151</v>
      </c>
    </row>
    <row r="752" spans="1:4" x14ac:dyDescent="0.3">
      <c r="A752" s="144" t="s">
        <v>875</v>
      </c>
      <c r="B752" s="144" t="s">
        <v>260</v>
      </c>
      <c r="C752" s="145"/>
      <c r="D752" s="146" t="s">
        <v>151</v>
      </c>
    </row>
    <row r="753" spans="1:4" x14ac:dyDescent="0.3">
      <c r="A753" s="144" t="s">
        <v>993</v>
      </c>
      <c r="B753" s="144" t="s">
        <v>260</v>
      </c>
      <c r="C753" s="145"/>
      <c r="D753" s="146" t="s">
        <v>151</v>
      </c>
    </row>
    <row r="754" spans="1:4" x14ac:dyDescent="0.3">
      <c r="A754" s="144" t="s">
        <v>994</v>
      </c>
      <c r="B754" s="144" t="s">
        <v>260</v>
      </c>
      <c r="C754" s="145"/>
      <c r="D754" s="146" t="s">
        <v>151</v>
      </c>
    </row>
    <row r="755" spans="1:4" x14ac:dyDescent="0.3">
      <c r="A755" s="144" t="s">
        <v>995</v>
      </c>
      <c r="B755" s="144" t="s">
        <v>260</v>
      </c>
      <c r="C755" s="145"/>
      <c r="D755" s="146" t="s">
        <v>151</v>
      </c>
    </row>
    <row r="756" spans="1:4" x14ac:dyDescent="0.3">
      <c r="A756" s="144" t="s">
        <v>996</v>
      </c>
      <c r="B756" s="144" t="s">
        <v>260</v>
      </c>
      <c r="C756" s="145"/>
      <c r="D756" s="146" t="s">
        <v>151</v>
      </c>
    </row>
    <row r="757" spans="1:4" x14ac:dyDescent="0.3">
      <c r="A757" s="144" t="s">
        <v>997</v>
      </c>
      <c r="B757" s="144" t="s">
        <v>260</v>
      </c>
      <c r="C757" s="145"/>
      <c r="D757" s="146" t="s">
        <v>151</v>
      </c>
    </row>
    <row r="758" spans="1:4" x14ac:dyDescent="0.3">
      <c r="A758" s="144" t="s">
        <v>998</v>
      </c>
      <c r="B758" s="144" t="s">
        <v>260</v>
      </c>
      <c r="C758" s="145"/>
      <c r="D758" s="146" t="s">
        <v>151</v>
      </c>
    </row>
    <row r="759" spans="1:4" x14ac:dyDescent="0.3">
      <c r="A759" s="144" t="s">
        <v>968</v>
      </c>
      <c r="B759" s="144" t="s">
        <v>171</v>
      </c>
      <c r="C759" s="145"/>
      <c r="D759" s="146" t="s">
        <v>151</v>
      </c>
    </row>
    <row r="760" spans="1:4" x14ac:dyDescent="0.3">
      <c r="A760" s="143" t="s">
        <v>488</v>
      </c>
      <c r="B760" s="144"/>
      <c r="C760" s="145"/>
      <c r="D760" s="146"/>
    </row>
    <row r="761" spans="1:4" x14ac:dyDescent="0.3">
      <c r="A761" s="144" t="s">
        <v>489</v>
      </c>
      <c r="B761" s="144" t="s">
        <v>18</v>
      </c>
      <c r="C761" s="145"/>
      <c r="D761" s="146" t="s">
        <v>19</v>
      </c>
    </row>
    <row r="762" spans="1:4" x14ac:dyDescent="0.3">
      <c r="A762" s="144" t="s">
        <v>822</v>
      </c>
      <c r="B762" s="144" t="s">
        <v>18</v>
      </c>
      <c r="C762" s="145"/>
      <c r="D762" s="146" t="s">
        <v>19</v>
      </c>
    </row>
    <row r="763" spans="1:4" x14ac:dyDescent="0.3">
      <c r="A763" s="144" t="s">
        <v>490</v>
      </c>
      <c r="B763" s="144" t="s">
        <v>18</v>
      </c>
      <c r="C763" s="145"/>
      <c r="D763" s="146" t="s">
        <v>19</v>
      </c>
    </row>
    <row r="764" spans="1:4" x14ac:dyDescent="0.3">
      <c r="A764" s="144" t="s">
        <v>491</v>
      </c>
      <c r="B764" s="144" t="s">
        <v>18</v>
      </c>
      <c r="C764" s="145"/>
      <c r="D764" s="146" t="s">
        <v>19</v>
      </c>
    </row>
    <row r="765" spans="1:4" x14ac:dyDescent="0.3">
      <c r="A765" s="144" t="s">
        <v>920</v>
      </c>
      <c r="B765" s="144" t="s">
        <v>18</v>
      </c>
      <c r="C765" s="145"/>
      <c r="D765" s="146" t="s">
        <v>19</v>
      </c>
    </row>
    <row r="766" spans="1:4" x14ac:dyDescent="0.3">
      <c r="A766" s="144" t="s">
        <v>492</v>
      </c>
      <c r="B766" s="144" t="s">
        <v>25</v>
      </c>
      <c r="C766" s="145"/>
      <c r="D766" s="146" t="s">
        <v>40</v>
      </c>
    </row>
    <row r="767" spans="1:4" x14ac:dyDescent="0.3">
      <c r="A767" s="161" t="s">
        <v>493</v>
      </c>
      <c r="B767" s="144" t="s">
        <v>171</v>
      </c>
      <c r="C767" s="145"/>
      <c r="D767" s="146" t="s">
        <v>19</v>
      </c>
    </row>
    <row r="768" spans="1:4" x14ac:dyDescent="0.3">
      <c r="A768" s="161" t="s">
        <v>715</v>
      </c>
      <c r="B768" s="144" t="s">
        <v>171</v>
      </c>
      <c r="C768" s="145"/>
      <c r="D768" s="146" t="s">
        <v>19</v>
      </c>
    </row>
    <row r="769" spans="1:4" x14ac:dyDescent="0.3">
      <c r="A769" s="161" t="s">
        <v>494</v>
      </c>
      <c r="B769" s="144" t="s">
        <v>171</v>
      </c>
      <c r="C769" s="145"/>
      <c r="D769" s="146" t="s">
        <v>19</v>
      </c>
    </row>
    <row r="770" spans="1:4" x14ac:dyDescent="0.3">
      <c r="A770" s="155" t="s">
        <v>686</v>
      </c>
      <c r="B770" s="150" t="s">
        <v>171</v>
      </c>
      <c r="C770" s="151"/>
      <c r="D770" s="152" t="s">
        <v>19</v>
      </c>
    </row>
    <row r="771" spans="1:4" x14ac:dyDescent="0.3">
      <c r="A771" s="161" t="s">
        <v>687</v>
      </c>
      <c r="B771" s="144" t="s">
        <v>171</v>
      </c>
      <c r="C771" s="145"/>
      <c r="D771" s="146" t="s">
        <v>19</v>
      </c>
    </row>
    <row r="772" spans="1:4" x14ac:dyDescent="0.3">
      <c r="A772" s="161" t="s">
        <v>688</v>
      </c>
      <c r="B772" s="144" t="s">
        <v>171</v>
      </c>
      <c r="C772" s="145"/>
      <c r="D772" s="146" t="s">
        <v>19</v>
      </c>
    </row>
    <row r="773" spans="1:4" x14ac:dyDescent="0.3">
      <c r="A773" s="161" t="s">
        <v>831</v>
      </c>
      <c r="B773" s="144" t="s">
        <v>171</v>
      </c>
      <c r="C773" s="145"/>
      <c r="D773" s="146" t="s">
        <v>19</v>
      </c>
    </row>
    <row r="774" spans="1:4" x14ac:dyDescent="0.3">
      <c r="A774" s="161" t="s">
        <v>827</v>
      </c>
      <c r="B774" s="144" t="s">
        <v>171</v>
      </c>
      <c r="C774" s="145"/>
      <c r="D774" s="146" t="s">
        <v>19</v>
      </c>
    </row>
    <row r="775" spans="1:4" x14ac:dyDescent="0.3">
      <c r="A775" s="161" t="s">
        <v>889</v>
      </c>
      <c r="B775" s="144" t="s">
        <v>171</v>
      </c>
      <c r="C775" s="145"/>
      <c r="D775" s="146" t="s">
        <v>19</v>
      </c>
    </row>
    <row r="776" spans="1:4" x14ac:dyDescent="0.3">
      <c r="A776" s="161" t="s">
        <v>890</v>
      </c>
      <c r="B776" s="144" t="s">
        <v>171</v>
      </c>
      <c r="C776" s="145"/>
      <c r="D776" s="146" t="s">
        <v>19</v>
      </c>
    </row>
    <row r="777" spans="1:4" x14ac:dyDescent="0.3">
      <c r="A777" s="161" t="s">
        <v>925</v>
      </c>
      <c r="B777" s="144" t="s">
        <v>171</v>
      </c>
      <c r="C777" s="145"/>
      <c r="D777" s="146" t="s">
        <v>19</v>
      </c>
    </row>
    <row r="778" spans="1:4" x14ac:dyDescent="0.3">
      <c r="A778" s="161" t="s">
        <v>926</v>
      </c>
      <c r="B778" s="144" t="s">
        <v>171</v>
      </c>
      <c r="C778" s="145"/>
      <c r="D778" s="146" t="s">
        <v>19</v>
      </c>
    </row>
    <row r="779" spans="1:4" x14ac:dyDescent="0.3">
      <c r="A779" s="161" t="s">
        <v>927</v>
      </c>
      <c r="B779" s="144" t="s">
        <v>171</v>
      </c>
      <c r="C779" s="145"/>
      <c r="D779" s="146" t="s">
        <v>19</v>
      </c>
    </row>
    <row r="780" spans="1:4" x14ac:dyDescent="0.3">
      <c r="A780" s="161" t="s">
        <v>928</v>
      </c>
      <c r="B780" s="144" t="s">
        <v>171</v>
      </c>
      <c r="C780" s="145"/>
      <c r="D780" s="146" t="s">
        <v>19</v>
      </c>
    </row>
    <row r="781" spans="1:4" x14ac:dyDescent="0.3">
      <c r="A781" s="161" t="s">
        <v>957</v>
      </c>
      <c r="B781" s="144" t="s">
        <v>171</v>
      </c>
      <c r="C781" s="145"/>
      <c r="D781" s="146" t="s">
        <v>19</v>
      </c>
    </row>
    <row r="782" spans="1:4" x14ac:dyDescent="0.3">
      <c r="A782" s="161" t="s">
        <v>958</v>
      </c>
      <c r="B782" s="144" t="s">
        <v>171</v>
      </c>
      <c r="C782" s="145"/>
      <c r="D782" s="146" t="s">
        <v>19</v>
      </c>
    </row>
    <row r="783" spans="1:4" x14ac:dyDescent="0.3">
      <c r="A783" s="161" t="s">
        <v>959</v>
      </c>
      <c r="B783" s="144" t="s">
        <v>171</v>
      </c>
      <c r="C783" s="145"/>
      <c r="D783" s="146" t="s">
        <v>19</v>
      </c>
    </row>
    <row r="784" spans="1:4" x14ac:dyDescent="0.3">
      <c r="A784" s="161" t="s">
        <v>960</v>
      </c>
      <c r="B784" s="144" t="s">
        <v>171</v>
      </c>
      <c r="C784" s="145"/>
      <c r="D784" s="146" t="s">
        <v>19</v>
      </c>
    </row>
    <row r="785" spans="1:4" x14ac:dyDescent="0.3">
      <c r="A785" s="161" t="s">
        <v>827</v>
      </c>
      <c r="B785" s="144" t="s">
        <v>171</v>
      </c>
      <c r="C785" s="145"/>
      <c r="D785" s="146" t="s">
        <v>19</v>
      </c>
    </row>
    <row r="786" spans="1:4" x14ac:dyDescent="0.3">
      <c r="A786" s="161" t="s">
        <v>990</v>
      </c>
      <c r="B786" s="144" t="s">
        <v>171</v>
      </c>
      <c r="C786" s="145"/>
      <c r="D786" s="146" t="s">
        <v>19</v>
      </c>
    </row>
    <row r="787" spans="1:4" x14ac:dyDescent="0.3">
      <c r="A787" s="161" t="s">
        <v>889</v>
      </c>
      <c r="B787" s="144" t="s">
        <v>171</v>
      </c>
      <c r="C787" s="145"/>
      <c r="D787" s="146" t="s">
        <v>19</v>
      </c>
    </row>
    <row r="788" spans="1:4" x14ac:dyDescent="0.3">
      <c r="A788" s="161" t="s">
        <v>890</v>
      </c>
      <c r="B788" s="144" t="s">
        <v>171</v>
      </c>
      <c r="C788" s="145"/>
      <c r="D788" s="146" t="s">
        <v>19</v>
      </c>
    </row>
    <row r="789" spans="1:4" x14ac:dyDescent="0.3">
      <c r="A789" s="161" t="s">
        <v>927</v>
      </c>
      <c r="B789" s="144" t="s">
        <v>171</v>
      </c>
      <c r="C789" s="145"/>
      <c r="D789" s="146" t="s">
        <v>19</v>
      </c>
    </row>
    <row r="790" spans="1:4" x14ac:dyDescent="0.3">
      <c r="A790" s="161" t="s">
        <v>961</v>
      </c>
      <c r="B790" s="144" t="s">
        <v>171</v>
      </c>
      <c r="C790" s="145"/>
      <c r="D790" s="146" t="s">
        <v>19</v>
      </c>
    </row>
    <row r="791" spans="1:4" x14ac:dyDescent="0.3">
      <c r="A791" s="161" t="s">
        <v>962</v>
      </c>
      <c r="B791" s="144" t="s">
        <v>171</v>
      </c>
      <c r="C791" s="145"/>
      <c r="D791" s="146" t="s">
        <v>19</v>
      </c>
    </row>
    <row r="792" spans="1:4" x14ac:dyDescent="0.3">
      <c r="A792" s="161" t="s">
        <v>963</v>
      </c>
      <c r="B792" s="144" t="s">
        <v>171</v>
      </c>
      <c r="C792" s="145"/>
      <c r="D792" s="146" t="s">
        <v>19</v>
      </c>
    </row>
    <row r="793" spans="1:4" x14ac:dyDescent="0.3">
      <c r="A793" s="161" t="s">
        <v>964</v>
      </c>
      <c r="B793" s="144" t="s">
        <v>171</v>
      </c>
      <c r="C793" s="145"/>
      <c r="D793" s="146" t="s">
        <v>19</v>
      </c>
    </row>
    <row r="794" spans="1:4" x14ac:dyDescent="0.3">
      <c r="A794" s="161" t="s">
        <v>965</v>
      </c>
      <c r="B794" s="144" t="s">
        <v>171</v>
      </c>
      <c r="C794" s="145"/>
      <c r="D794" s="146" t="s">
        <v>19</v>
      </c>
    </row>
    <row r="795" spans="1:4" x14ac:dyDescent="0.3">
      <c r="A795" s="161" t="s">
        <v>991</v>
      </c>
      <c r="B795" s="144" t="s">
        <v>171</v>
      </c>
      <c r="C795" s="145"/>
      <c r="D795" s="146" t="s">
        <v>19</v>
      </c>
    </row>
    <row r="796" spans="1:4" x14ac:dyDescent="0.3">
      <c r="A796" s="161" t="s">
        <v>966</v>
      </c>
      <c r="B796" s="144" t="s">
        <v>171</v>
      </c>
      <c r="C796" s="145"/>
      <c r="D796" s="146" t="s">
        <v>19</v>
      </c>
    </row>
    <row r="797" spans="1:4" x14ac:dyDescent="0.3">
      <c r="A797" s="161" t="s">
        <v>992</v>
      </c>
      <c r="B797" s="144" t="s">
        <v>171</v>
      </c>
      <c r="C797" s="145"/>
      <c r="D797" s="146" t="s">
        <v>19</v>
      </c>
    </row>
    <row r="798" spans="1:4" x14ac:dyDescent="0.3">
      <c r="A798" s="161" t="s">
        <v>974</v>
      </c>
      <c r="B798" s="144" t="s">
        <v>171</v>
      </c>
      <c r="C798" s="145"/>
      <c r="D798" s="146" t="s">
        <v>19</v>
      </c>
    </row>
    <row r="799" spans="1:4" x14ac:dyDescent="0.3">
      <c r="A799" s="144" t="s">
        <v>682</v>
      </c>
      <c r="B799" s="144" t="s">
        <v>260</v>
      </c>
      <c r="C799" s="145"/>
      <c r="D799" s="146" t="s">
        <v>19</v>
      </c>
    </row>
    <row r="800" spans="1:4" x14ac:dyDescent="0.3">
      <c r="A800" s="144" t="s">
        <v>684</v>
      </c>
      <c r="B800" s="144" t="s">
        <v>260</v>
      </c>
      <c r="C800" s="145"/>
      <c r="D800" s="146" t="s">
        <v>19</v>
      </c>
    </row>
    <row r="801" spans="1:4" x14ac:dyDescent="0.3">
      <c r="A801" s="144" t="s">
        <v>680</v>
      </c>
      <c r="B801" s="144" t="s">
        <v>260</v>
      </c>
      <c r="C801" s="145"/>
      <c r="D801" s="146" t="s">
        <v>19</v>
      </c>
    </row>
    <row r="802" spans="1:4" x14ac:dyDescent="0.3">
      <c r="A802" s="144" t="s">
        <v>683</v>
      </c>
      <c r="B802" s="144" t="s">
        <v>260</v>
      </c>
      <c r="C802" s="145"/>
      <c r="D802" s="146" t="s">
        <v>19</v>
      </c>
    </row>
    <row r="803" spans="1:4" x14ac:dyDescent="0.3">
      <c r="A803" s="144" t="s">
        <v>681</v>
      </c>
      <c r="B803" s="144" t="s">
        <v>260</v>
      </c>
      <c r="C803" s="145"/>
      <c r="D803" s="146" t="s">
        <v>19</v>
      </c>
    </row>
    <row r="804" spans="1:4" x14ac:dyDescent="0.3">
      <c r="A804" s="143" t="s">
        <v>496</v>
      </c>
      <c r="B804" s="144"/>
      <c r="C804" s="145"/>
      <c r="D804" s="146"/>
    </row>
    <row r="805" spans="1:4" x14ac:dyDescent="0.3">
      <c r="A805" s="144" t="s">
        <v>763</v>
      </c>
      <c r="B805" s="144" t="s">
        <v>18</v>
      </c>
      <c r="C805" s="145"/>
      <c r="D805" s="146" t="s">
        <v>33</v>
      </c>
    </row>
    <row r="806" spans="1:4" x14ac:dyDescent="0.3">
      <c r="A806" s="158" t="s">
        <v>764</v>
      </c>
      <c r="B806" s="144" t="s">
        <v>25</v>
      </c>
      <c r="C806" s="145"/>
      <c r="D806" s="146" t="s">
        <v>40</v>
      </c>
    </row>
    <row r="807" spans="1:4" x14ac:dyDescent="0.3">
      <c r="A807" s="158" t="s">
        <v>1045</v>
      </c>
      <c r="B807" s="144" t="s">
        <v>18</v>
      </c>
      <c r="C807" s="145"/>
      <c r="D807" s="146" t="s">
        <v>33</v>
      </c>
    </row>
    <row r="808" spans="1:4" x14ac:dyDescent="0.3">
      <c r="A808" s="143" t="s">
        <v>497</v>
      </c>
      <c r="B808" s="144"/>
      <c r="C808" s="145"/>
      <c r="D808" s="146"/>
    </row>
    <row r="809" spans="1:4" s="141" customFormat="1" x14ac:dyDescent="0.3">
      <c r="A809" s="144" t="s">
        <v>658</v>
      </c>
      <c r="B809" s="144" t="s">
        <v>18</v>
      </c>
      <c r="C809" s="145"/>
      <c r="D809" s="146" t="s">
        <v>19</v>
      </c>
    </row>
    <row r="810" spans="1:4" x14ac:dyDescent="0.3">
      <c r="A810" s="144" t="s">
        <v>659</v>
      </c>
      <c r="B810" s="144" t="s">
        <v>18</v>
      </c>
      <c r="C810" s="145"/>
      <c r="D810" s="146" t="s">
        <v>19</v>
      </c>
    </row>
    <row r="811" spans="1:4" x14ac:dyDescent="0.3">
      <c r="A811" s="144" t="s">
        <v>498</v>
      </c>
      <c r="B811" s="144" t="s">
        <v>18</v>
      </c>
      <c r="C811" s="145"/>
      <c r="D811" s="146" t="s">
        <v>19</v>
      </c>
    </row>
    <row r="812" spans="1:4" x14ac:dyDescent="0.3">
      <c r="A812" s="144" t="s">
        <v>499</v>
      </c>
      <c r="B812" s="144" t="s">
        <v>18</v>
      </c>
      <c r="C812" s="145"/>
      <c r="D812" s="146" t="s">
        <v>19</v>
      </c>
    </row>
    <row r="813" spans="1:4" x14ac:dyDescent="0.3">
      <c r="A813" s="144" t="s">
        <v>500</v>
      </c>
      <c r="B813" s="144" t="s">
        <v>18</v>
      </c>
      <c r="C813" s="145"/>
      <c r="D813" s="146" t="s">
        <v>19</v>
      </c>
    </row>
    <row r="814" spans="1:4" x14ac:dyDescent="0.3">
      <c r="A814" s="147" t="s">
        <v>501</v>
      </c>
      <c r="B814" s="147" t="s">
        <v>18</v>
      </c>
      <c r="C814" s="148"/>
      <c r="D814" s="149" t="s">
        <v>19</v>
      </c>
    </row>
    <row r="815" spans="1:4" x14ac:dyDescent="0.3">
      <c r="A815" s="150" t="s">
        <v>502</v>
      </c>
      <c r="B815" s="150" t="s">
        <v>25</v>
      </c>
      <c r="C815" s="151"/>
      <c r="D815" s="152" t="s">
        <v>19</v>
      </c>
    </row>
    <row r="816" spans="1:4" x14ac:dyDescent="0.3">
      <c r="A816" s="144" t="s">
        <v>503</v>
      </c>
      <c r="B816" s="144" t="s">
        <v>25</v>
      </c>
      <c r="C816" s="145"/>
      <c r="D816" s="146" t="s">
        <v>40</v>
      </c>
    </row>
    <row r="817" spans="1:4" x14ac:dyDescent="0.3">
      <c r="A817" s="150" t="s">
        <v>504</v>
      </c>
      <c r="B817" s="150" t="s">
        <v>25</v>
      </c>
      <c r="C817" s="151"/>
      <c r="D817" s="152" t="s">
        <v>19</v>
      </c>
    </row>
    <row r="818" spans="1:4" x14ac:dyDescent="0.3">
      <c r="A818" s="144" t="s">
        <v>505</v>
      </c>
      <c r="B818" s="144" t="s">
        <v>25</v>
      </c>
      <c r="C818" s="145"/>
      <c r="D818" s="146" t="s">
        <v>40</v>
      </c>
    </row>
    <row r="819" spans="1:4" x14ac:dyDescent="0.3">
      <c r="A819" s="144" t="s">
        <v>506</v>
      </c>
      <c r="B819" s="144" t="s">
        <v>25</v>
      </c>
      <c r="C819" s="145"/>
      <c r="D819" s="146" t="s">
        <v>40</v>
      </c>
    </row>
    <row r="820" spans="1:4" s="141" customFormat="1" x14ac:dyDescent="0.3">
      <c r="A820" s="144" t="s">
        <v>507</v>
      </c>
      <c r="B820" s="144" t="s">
        <v>25</v>
      </c>
      <c r="C820" s="145"/>
      <c r="D820" s="146" t="s">
        <v>40</v>
      </c>
    </row>
    <row r="821" spans="1:4" x14ac:dyDescent="0.3">
      <c r="A821" s="147" t="s">
        <v>508</v>
      </c>
      <c r="B821" s="147" t="s">
        <v>25</v>
      </c>
      <c r="C821" s="148"/>
      <c r="D821" s="149" t="s">
        <v>19</v>
      </c>
    </row>
    <row r="822" spans="1:4" x14ac:dyDescent="0.3">
      <c r="A822" s="144" t="s">
        <v>509</v>
      </c>
      <c r="B822" s="144" t="s">
        <v>25</v>
      </c>
      <c r="C822" s="145"/>
      <c r="D822" s="146" t="s">
        <v>19</v>
      </c>
    </row>
    <row r="823" spans="1:4" x14ac:dyDescent="0.3">
      <c r="A823" s="144" t="s">
        <v>510</v>
      </c>
      <c r="B823" s="144" t="s">
        <v>25</v>
      </c>
      <c r="C823" s="145"/>
      <c r="D823" s="146" t="s">
        <v>19</v>
      </c>
    </row>
    <row r="824" spans="1:4" x14ac:dyDescent="0.3">
      <c r="A824" s="143" t="s">
        <v>909</v>
      </c>
      <c r="B824" s="144"/>
      <c r="C824" s="145"/>
      <c r="D824" s="146"/>
    </row>
    <row r="825" spans="1:4" x14ac:dyDescent="0.3">
      <c r="A825" s="144" t="s">
        <v>1072</v>
      </c>
      <c r="B825" s="144" t="s">
        <v>45</v>
      </c>
      <c r="C825" s="145"/>
      <c r="D825" s="146" t="s">
        <v>19</v>
      </c>
    </row>
    <row r="826" spans="1:4" x14ac:dyDescent="0.3">
      <c r="A826" s="143" t="s">
        <v>522</v>
      </c>
      <c r="B826" s="144"/>
      <c r="C826" s="145"/>
      <c r="D826" s="146"/>
    </row>
    <row r="827" spans="1:4" x14ac:dyDescent="0.3">
      <c r="A827" s="144" t="s">
        <v>523</v>
      </c>
      <c r="B827" s="144" t="s">
        <v>18</v>
      </c>
      <c r="C827" s="145"/>
      <c r="D827" s="146" t="s">
        <v>19</v>
      </c>
    </row>
    <row r="828" spans="1:4" x14ac:dyDescent="0.3">
      <c r="A828" s="144" t="s">
        <v>989</v>
      </c>
      <c r="B828" s="144" t="s">
        <v>18</v>
      </c>
      <c r="C828" s="145"/>
      <c r="D828" s="146" t="s">
        <v>19</v>
      </c>
    </row>
    <row r="829" spans="1:4" x14ac:dyDescent="0.3">
      <c r="A829" s="150" t="s">
        <v>524</v>
      </c>
      <c r="B829" s="150" t="s">
        <v>18</v>
      </c>
      <c r="C829" s="151"/>
      <c r="D829" s="152" t="s">
        <v>151</v>
      </c>
    </row>
    <row r="830" spans="1:4" x14ac:dyDescent="0.3">
      <c r="A830" s="144" t="s">
        <v>525</v>
      </c>
      <c r="B830" s="144" t="s">
        <v>25</v>
      </c>
      <c r="C830" s="145"/>
      <c r="D830" s="146" t="s">
        <v>19</v>
      </c>
    </row>
    <row r="831" spans="1:4" x14ac:dyDescent="0.3">
      <c r="A831" s="144" t="s">
        <v>526</v>
      </c>
      <c r="B831" s="144" t="s">
        <v>25</v>
      </c>
      <c r="C831" s="145"/>
      <c r="D831" s="146" t="s">
        <v>19</v>
      </c>
    </row>
    <row r="832" spans="1:4" x14ac:dyDescent="0.3">
      <c r="A832" s="144" t="s">
        <v>527</v>
      </c>
      <c r="B832" s="144" t="s">
        <v>25</v>
      </c>
      <c r="C832" s="145"/>
      <c r="D832" s="146" t="s">
        <v>40</v>
      </c>
    </row>
    <row r="833" spans="1:4" x14ac:dyDescent="0.3">
      <c r="A833" s="144" t="s">
        <v>953</v>
      </c>
      <c r="B833" s="144" t="s">
        <v>25</v>
      </c>
      <c r="C833" s="145"/>
      <c r="D833" s="146" t="s">
        <v>19</v>
      </c>
    </row>
    <row r="834" spans="1:4" x14ac:dyDescent="0.3">
      <c r="A834" s="144" t="s">
        <v>528</v>
      </c>
      <c r="B834" s="144" t="s">
        <v>260</v>
      </c>
      <c r="C834" s="145"/>
      <c r="D834" s="146" t="s">
        <v>98</v>
      </c>
    </row>
    <row r="835" spans="1:4" x14ac:dyDescent="0.3">
      <c r="A835" s="144" t="s">
        <v>870</v>
      </c>
      <c r="B835" s="144" t="s">
        <v>260</v>
      </c>
      <c r="C835" s="145"/>
      <c r="D835" s="146" t="s">
        <v>98</v>
      </c>
    </row>
    <row r="836" spans="1:4" x14ac:dyDescent="0.3">
      <c r="A836" s="144" t="s">
        <v>529</v>
      </c>
      <c r="B836" s="144" t="s">
        <v>171</v>
      </c>
      <c r="C836" s="145"/>
      <c r="D836" s="146" t="s">
        <v>40</v>
      </c>
    </row>
    <row r="837" spans="1:4" x14ac:dyDescent="0.3">
      <c r="A837" s="144" t="s">
        <v>829</v>
      </c>
      <c r="B837" s="144" t="s">
        <v>171</v>
      </c>
      <c r="C837" s="145"/>
      <c r="D837" s="146" t="s">
        <v>40</v>
      </c>
    </row>
    <row r="838" spans="1:4" x14ac:dyDescent="0.3">
      <c r="A838" s="144" t="s">
        <v>829</v>
      </c>
      <c r="B838" s="144" t="s">
        <v>171</v>
      </c>
      <c r="C838" s="145"/>
      <c r="D838" s="146" t="s">
        <v>40</v>
      </c>
    </row>
    <row r="839" spans="1:4" x14ac:dyDescent="0.3">
      <c r="A839" s="144" t="s">
        <v>1026</v>
      </c>
      <c r="B839" s="144" t="s">
        <v>171</v>
      </c>
      <c r="C839" s="145"/>
      <c r="D839" s="146" t="s">
        <v>40</v>
      </c>
    </row>
    <row r="840" spans="1:4" s="141" customFormat="1" x14ac:dyDescent="0.3">
      <c r="A840" s="144" t="s">
        <v>662</v>
      </c>
      <c r="B840" s="144" t="s">
        <v>596</v>
      </c>
      <c r="C840" s="145"/>
      <c r="D840" s="146" t="s">
        <v>19</v>
      </c>
    </row>
    <row r="841" spans="1:4" x14ac:dyDescent="0.3">
      <c r="A841" s="143" t="s">
        <v>531</v>
      </c>
      <c r="B841" s="144"/>
      <c r="C841" s="145"/>
      <c r="D841" s="146"/>
    </row>
    <row r="842" spans="1:4" x14ac:dyDescent="0.3">
      <c r="A842" s="150" t="s">
        <v>532</v>
      </c>
      <c r="B842" s="150" t="s">
        <v>18</v>
      </c>
      <c r="C842" s="151"/>
      <c r="D842" s="152" t="s">
        <v>19</v>
      </c>
    </row>
    <row r="843" spans="1:4" x14ac:dyDescent="0.3">
      <c r="A843" s="147" t="s">
        <v>869</v>
      </c>
      <c r="B843" s="147" t="s">
        <v>18</v>
      </c>
      <c r="C843" s="148"/>
      <c r="D843" s="149" t="s">
        <v>19</v>
      </c>
    </row>
    <row r="844" spans="1:4" x14ac:dyDescent="0.3">
      <c r="A844" s="144" t="s">
        <v>533</v>
      </c>
      <c r="B844" s="144" t="s">
        <v>18</v>
      </c>
      <c r="C844" s="145"/>
      <c r="D844" s="146" t="s">
        <v>19</v>
      </c>
    </row>
    <row r="845" spans="1:4" x14ac:dyDescent="0.3">
      <c r="A845" s="157" t="s">
        <v>534</v>
      </c>
      <c r="B845" s="147" t="s">
        <v>25</v>
      </c>
      <c r="C845" s="148"/>
      <c r="D845" s="149" t="s">
        <v>40</v>
      </c>
    </row>
    <row r="846" spans="1:4" x14ac:dyDescent="0.3">
      <c r="A846" s="158" t="s">
        <v>535</v>
      </c>
      <c r="B846" s="144" t="s">
        <v>25</v>
      </c>
      <c r="C846" s="145"/>
      <c r="D846" s="146" t="s">
        <v>40</v>
      </c>
    </row>
    <row r="847" spans="1:4" x14ac:dyDescent="0.3">
      <c r="A847" s="159" t="s">
        <v>536</v>
      </c>
      <c r="B847" s="150" t="s">
        <v>25</v>
      </c>
      <c r="C847" s="151"/>
      <c r="D847" s="152" t="s">
        <v>19</v>
      </c>
    </row>
    <row r="848" spans="1:4" x14ac:dyDescent="0.3">
      <c r="A848" s="159" t="s">
        <v>537</v>
      </c>
      <c r="B848" s="150" t="s">
        <v>25</v>
      </c>
      <c r="C848" s="151"/>
      <c r="D848" s="152" t="s">
        <v>19</v>
      </c>
    </row>
    <row r="849" spans="1:4" x14ac:dyDescent="0.3">
      <c r="A849" s="158" t="s">
        <v>538</v>
      </c>
      <c r="B849" s="144" t="s">
        <v>25</v>
      </c>
      <c r="C849" s="145"/>
      <c r="D849" s="146" t="s">
        <v>40</v>
      </c>
    </row>
    <row r="850" spans="1:4" x14ac:dyDescent="0.3">
      <c r="A850" s="157" t="s">
        <v>539</v>
      </c>
      <c r="B850" s="147" t="s">
        <v>25</v>
      </c>
      <c r="C850" s="148"/>
      <c r="D850" s="149" t="s">
        <v>40</v>
      </c>
    </row>
    <row r="851" spans="1:4" x14ac:dyDescent="0.3">
      <c r="A851" s="143" t="s">
        <v>540</v>
      </c>
      <c r="B851" s="144"/>
      <c r="C851" s="145"/>
      <c r="D851" s="146"/>
    </row>
    <row r="852" spans="1:4" x14ac:dyDescent="0.3">
      <c r="A852" s="147" t="s">
        <v>541</v>
      </c>
      <c r="B852" s="147" t="s">
        <v>18</v>
      </c>
      <c r="C852" s="148"/>
      <c r="D852" s="149" t="s">
        <v>40</v>
      </c>
    </row>
    <row r="853" spans="1:4" s="141" customFormat="1" x14ac:dyDescent="0.3">
      <c r="A853" s="147" t="s">
        <v>542</v>
      </c>
      <c r="B853" s="147" t="s">
        <v>18</v>
      </c>
      <c r="C853" s="148"/>
      <c r="D853" s="149" t="s">
        <v>40</v>
      </c>
    </row>
    <row r="854" spans="1:4" x14ac:dyDescent="0.3">
      <c r="A854" s="144" t="s">
        <v>543</v>
      </c>
      <c r="B854" s="144" t="s">
        <v>18</v>
      </c>
      <c r="C854" s="145"/>
      <c r="D854" s="146" t="s">
        <v>40</v>
      </c>
    </row>
    <row r="855" spans="1:4" x14ac:dyDescent="0.3">
      <c r="A855" s="150" t="s">
        <v>544</v>
      </c>
      <c r="B855" s="150" t="s">
        <v>18</v>
      </c>
      <c r="C855" s="151"/>
      <c r="D855" s="152" t="s">
        <v>40</v>
      </c>
    </row>
    <row r="856" spans="1:4" x14ac:dyDescent="0.3">
      <c r="A856" s="144" t="s">
        <v>545</v>
      </c>
      <c r="B856" s="144" t="s">
        <v>25</v>
      </c>
      <c r="C856" s="145"/>
      <c r="D856" s="146" t="s">
        <v>40</v>
      </c>
    </row>
    <row r="857" spans="1:4" x14ac:dyDescent="0.3">
      <c r="A857" s="147" t="s">
        <v>546</v>
      </c>
      <c r="B857" s="147" t="s">
        <v>25</v>
      </c>
      <c r="C857" s="148"/>
      <c r="D857" s="149" t="s">
        <v>40</v>
      </c>
    </row>
    <row r="858" spans="1:4" x14ac:dyDescent="0.3">
      <c r="A858" s="143" t="s">
        <v>547</v>
      </c>
      <c r="B858" s="144"/>
      <c r="C858" s="145"/>
      <c r="D858" s="146"/>
    </row>
    <row r="859" spans="1:4" x14ac:dyDescent="0.3">
      <c r="A859" s="143" t="s">
        <v>548</v>
      </c>
      <c r="B859" s="144"/>
      <c r="C859" s="145"/>
      <c r="D859" s="146"/>
    </row>
    <row r="860" spans="1:4" x14ac:dyDescent="0.3">
      <c r="A860" s="144" t="s">
        <v>702</v>
      </c>
      <c r="B860" s="144" t="s">
        <v>18</v>
      </c>
      <c r="C860" s="145"/>
      <c r="D860" s="146" t="s">
        <v>19</v>
      </c>
    </row>
    <row r="861" spans="1:4" x14ac:dyDescent="0.3">
      <c r="A861" s="147" t="s">
        <v>549</v>
      </c>
      <c r="B861" s="147" t="s">
        <v>18</v>
      </c>
      <c r="C861" s="148"/>
      <c r="D861" s="149" t="s">
        <v>19</v>
      </c>
    </row>
    <row r="862" spans="1:4" x14ac:dyDescent="0.3">
      <c r="A862" s="150" t="s">
        <v>550</v>
      </c>
      <c r="B862" s="150" t="s">
        <v>25</v>
      </c>
      <c r="C862" s="151"/>
      <c r="D862" s="152" t="s">
        <v>40</v>
      </c>
    </row>
    <row r="863" spans="1:4" x14ac:dyDescent="0.3">
      <c r="A863" s="143" t="s">
        <v>551</v>
      </c>
      <c r="B863" s="144"/>
      <c r="C863" s="145"/>
      <c r="D863" s="146"/>
    </row>
    <row r="864" spans="1:4" x14ac:dyDescent="0.3">
      <c r="A864" s="144" t="s">
        <v>552</v>
      </c>
      <c r="B864" s="144" t="s">
        <v>18</v>
      </c>
      <c r="C864" s="145"/>
      <c r="D864" s="146" t="s">
        <v>40</v>
      </c>
    </row>
    <row r="865" spans="1:4" x14ac:dyDescent="0.3">
      <c r="A865" s="147" t="s">
        <v>553</v>
      </c>
      <c r="B865" s="147" t="s">
        <v>18</v>
      </c>
      <c r="C865" s="148"/>
      <c r="D865" s="149" t="s">
        <v>19</v>
      </c>
    </row>
    <row r="866" spans="1:4" x14ac:dyDescent="0.3">
      <c r="A866" s="144" t="s">
        <v>554</v>
      </c>
      <c r="B866" s="144" t="s">
        <v>18</v>
      </c>
      <c r="C866" s="145"/>
      <c r="D866" s="146" t="s">
        <v>40</v>
      </c>
    </row>
    <row r="867" spans="1:4" x14ac:dyDescent="0.3">
      <c r="A867" s="144" t="s">
        <v>834</v>
      </c>
      <c r="B867" s="144" t="s">
        <v>18</v>
      </c>
      <c r="C867" s="145"/>
      <c r="D867" s="146" t="s">
        <v>40</v>
      </c>
    </row>
    <row r="868" spans="1:4" s="141" customFormat="1" x14ac:dyDescent="0.3">
      <c r="A868" s="144" t="s">
        <v>555</v>
      </c>
      <c r="B868" s="144" t="s">
        <v>18</v>
      </c>
      <c r="C868" s="145"/>
      <c r="D868" s="146" t="s">
        <v>40</v>
      </c>
    </row>
    <row r="869" spans="1:4" x14ac:dyDescent="0.3">
      <c r="A869" s="144" t="s">
        <v>970</v>
      </c>
      <c r="B869" s="144" t="s">
        <v>18</v>
      </c>
      <c r="C869" s="145"/>
      <c r="D869" s="146" t="s">
        <v>19</v>
      </c>
    </row>
    <row r="870" spans="1:4" x14ac:dyDescent="0.3">
      <c r="A870" s="144" t="s">
        <v>556</v>
      </c>
      <c r="B870" s="144" t="s">
        <v>18</v>
      </c>
      <c r="C870" s="145"/>
      <c r="D870" s="146" t="s">
        <v>19</v>
      </c>
    </row>
    <row r="871" spans="1:4" x14ac:dyDescent="0.3">
      <c r="A871" s="144" t="s">
        <v>557</v>
      </c>
      <c r="B871" s="144" t="s">
        <v>18</v>
      </c>
      <c r="C871" s="145"/>
      <c r="D871" s="146" t="s">
        <v>19</v>
      </c>
    </row>
    <row r="872" spans="1:4" x14ac:dyDescent="0.3">
      <c r="A872" s="150" t="s">
        <v>558</v>
      </c>
      <c r="B872" s="150" t="s">
        <v>18</v>
      </c>
      <c r="C872" s="151"/>
      <c r="D872" s="152" t="s">
        <v>19</v>
      </c>
    </row>
    <row r="873" spans="1:4" s="141" customFormat="1" x14ac:dyDescent="0.3">
      <c r="A873" s="144" t="s">
        <v>754</v>
      </c>
      <c r="B873" s="144" t="s">
        <v>18</v>
      </c>
      <c r="C873" s="145"/>
      <c r="D873" s="146" t="s">
        <v>19</v>
      </c>
    </row>
    <row r="874" spans="1:4" x14ac:dyDescent="0.3">
      <c r="A874" s="144" t="s">
        <v>559</v>
      </c>
      <c r="B874" s="144" t="s">
        <v>18</v>
      </c>
      <c r="C874" s="145"/>
      <c r="D874" s="146" t="s">
        <v>19</v>
      </c>
    </row>
    <row r="875" spans="1:4" x14ac:dyDescent="0.3">
      <c r="A875" s="144" t="s">
        <v>560</v>
      </c>
      <c r="B875" s="144" t="s">
        <v>18</v>
      </c>
      <c r="C875" s="145"/>
      <c r="D875" s="146" t="s">
        <v>19</v>
      </c>
    </row>
    <row r="876" spans="1:4" x14ac:dyDescent="0.3">
      <c r="A876" s="144" t="s">
        <v>561</v>
      </c>
      <c r="B876" s="144" t="s">
        <v>18</v>
      </c>
      <c r="C876" s="145"/>
      <c r="D876" s="146" t="s">
        <v>19</v>
      </c>
    </row>
    <row r="877" spans="1:4" x14ac:dyDescent="0.3">
      <c r="A877" s="144" t="s">
        <v>562</v>
      </c>
      <c r="B877" s="144" t="s">
        <v>18</v>
      </c>
      <c r="C877" s="145"/>
      <c r="D877" s="146" t="s">
        <v>19</v>
      </c>
    </row>
    <row r="878" spans="1:4" x14ac:dyDescent="0.3">
      <c r="A878" s="144" t="s">
        <v>563</v>
      </c>
      <c r="B878" s="144" t="s">
        <v>18</v>
      </c>
      <c r="C878" s="145"/>
      <c r="D878" s="146" t="s">
        <v>19</v>
      </c>
    </row>
    <row r="879" spans="1:4" s="141" customFormat="1" x14ac:dyDescent="0.3">
      <c r="A879" s="144" t="s">
        <v>564</v>
      </c>
      <c r="B879" s="144" t="s">
        <v>25</v>
      </c>
      <c r="C879" s="145"/>
      <c r="D879" s="146" t="s">
        <v>40</v>
      </c>
    </row>
    <row r="880" spans="1:4" s="141" customFormat="1" x14ac:dyDescent="0.3">
      <c r="A880" s="144" t="s">
        <v>565</v>
      </c>
      <c r="B880" s="144" t="s">
        <v>25</v>
      </c>
      <c r="C880" s="145"/>
      <c r="D880" s="146" t="s">
        <v>40</v>
      </c>
    </row>
    <row r="881" spans="1:4" s="141" customFormat="1" x14ac:dyDescent="0.3">
      <c r="A881" s="144" t="s">
        <v>566</v>
      </c>
      <c r="B881" s="144" t="s">
        <v>25</v>
      </c>
      <c r="C881" s="145"/>
      <c r="D881" s="146" t="s">
        <v>40</v>
      </c>
    </row>
    <row r="882" spans="1:4" x14ac:dyDescent="0.3">
      <c r="A882" s="144" t="s">
        <v>567</v>
      </c>
      <c r="B882" s="144" t="s">
        <v>25</v>
      </c>
      <c r="C882" s="145"/>
      <c r="D882" s="146" t="s">
        <v>40</v>
      </c>
    </row>
    <row r="883" spans="1:4" x14ac:dyDescent="0.3">
      <c r="A883" s="144" t="s">
        <v>651</v>
      </c>
      <c r="B883" s="144" t="s">
        <v>25</v>
      </c>
      <c r="C883" s="145"/>
      <c r="D883" s="146" t="s">
        <v>40</v>
      </c>
    </row>
    <row r="884" spans="1:4" x14ac:dyDescent="0.3">
      <c r="A884" s="144" t="s">
        <v>568</v>
      </c>
      <c r="B884" s="144" t="s">
        <v>25</v>
      </c>
      <c r="C884" s="145"/>
      <c r="D884" s="146" t="s">
        <v>40</v>
      </c>
    </row>
    <row r="885" spans="1:4" x14ac:dyDescent="0.3">
      <c r="A885" s="150" t="s">
        <v>778</v>
      </c>
      <c r="B885" s="150" t="s">
        <v>25</v>
      </c>
      <c r="C885" s="151"/>
      <c r="D885" s="152" t="s">
        <v>40</v>
      </c>
    </row>
    <row r="886" spans="1:4" x14ac:dyDescent="0.3">
      <c r="A886" s="144" t="s">
        <v>569</v>
      </c>
      <c r="B886" s="144" t="s">
        <v>25</v>
      </c>
      <c r="C886" s="145"/>
      <c r="D886" s="146" t="s">
        <v>40</v>
      </c>
    </row>
    <row r="887" spans="1:4" x14ac:dyDescent="0.3">
      <c r="A887" s="150" t="s">
        <v>570</v>
      </c>
      <c r="B887" s="150" t="s">
        <v>25</v>
      </c>
      <c r="C887" s="151"/>
      <c r="D887" s="152" t="s">
        <v>40</v>
      </c>
    </row>
    <row r="888" spans="1:4" x14ac:dyDescent="0.3">
      <c r="A888" s="144" t="s">
        <v>571</v>
      </c>
      <c r="B888" s="144" t="s">
        <v>25</v>
      </c>
      <c r="C888" s="145"/>
      <c r="D888" s="146" t="s">
        <v>40</v>
      </c>
    </row>
    <row r="889" spans="1:4" x14ac:dyDescent="0.3">
      <c r="A889" s="150" t="s">
        <v>572</v>
      </c>
      <c r="B889" s="150" t="s">
        <v>25</v>
      </c>
      <c r="C889" s="151"/>
      <c r="D889" s="152" t="s">
        <v>40</v>
      </c>
    </row>
    <row r="890" spans="1:4" x14ac:dyDescent="0.3">
      <c r="A890" s="144" t="s">
        <v>573</v>
      </c>
      <c r="B890" s="144" t="s">
        <v>25</v>
      </c>
      <c r="C890" s="145"/>
      <c r="D890" s="146" t="s">
        <v>40</v>
      </c>
    </row>
    <row r="891" spans="1:4" s="141" customFormat="1" x14ac:dyDescent="0.3">
      <c r="A891" s="144" t="s">
        <v>574</v>
      </c>
      <c r="B891" s="144" t="s">
        <v>25</v>
      </c>
      <c r="C891" s="145"/>
      <c r="D891" s="146" t="s">
        <v>40</v>
      </c>
    </row>
    <row r="892" spans="1:4" s="141" customFormat="1" x14ac:dyDescent="0.3">
      <c r="A892" s="144" t="s">
        <v>575</v>
      </c>
      <c r="B892" s="144" t="s">
        <v>25</v>
      </c>
      <c r="C892" s="145"/>
      <c r="D892" s="146" t="s">
        <v>40</v>
      </c>
    </row>
    <row r="893" spans="1:4" s="141" customFormat="1" x14ac:dyDescent="0.3">
      <c r="A893" s="150" t="s">
        <v>576</v>
      </c>
      <c r="B893" s="150" t="s">
        <v>25</v>
      </c>
      <c r="C893" s="151"/>
      <c r="D893" s="152" t="s">
        <v>19</v>
      </c>
    </row>
    <row r="894" spans="1:4" x14ac:dyDescent="0.3">
      <c r="A894" s="144" t="s">
        <v>577</v>
      </c>
      <c r="B894" s="144" t="s">
        <v>25</v>
      </c>
      <c r="C894" s="145"/>
      <c r="D894" s="146" t="s">
        <v>19</v>
      </c>
    </row>
    <row r="895" spans="1:4" x14ac:dyDescent="0.3">
      <c r="A895" s="144" t="s">
        <v>578</v>
      </c>
      <c r="B895" s="144" t="s">
        <v>25</v>
      </c>
      <c r="C895" s="145"/>
      <c r="D895" s="146" t="s">
        <v>19</v>
      </c>
    </row>
    <row r="896" spans="1:4" x14ac:dyDescent="0.3">
      <c r="A896" s="144" t="s">
        <v>579</v>
      </c>
      <c r="B896" s="144" t="s">
        <v>25</v>
      </c>
      <c r="C896" s="145"/>
      <c r="D896" s="146" t="s">
        <v>19</v>
      </c>
    </row>
    <row r="897" spans="1:4" x14ac:dyDescent="0.3">
      <c r="A897" s="150" t="s">
        <v>580</v>
      </c>
      <c r="B897" s="150" t="s">
        <v>25</v>
      </c>
      <c r="C897" s="151"/>
      <c r="D897" s="152" t="s">
        <v>19</v>
      </c>
    </row>
    <row r="898" spans="1:4" s="141" customFormat="1" x14ac:dyDescent="0.3">
      <c r="A898" s="165" t="s">
        <v>581</v>
      </c>
      <c r="B898" s="144" t="s">
        <v>582</v>
      </c>
      <c r="C898" s="145"/>
      <c r="D898" s="146" t="s">
        <v>40</v>
      </c>
    </row>
    <row r="899" spans="1:4" s="141" customFormat="1" x14ac:dyDescent="0.3">
      <c r="A899" s="165" t="s">
        <v>583</v>
      </c>
      <c r="B899" s="144" t="s">
        <v>582</v>
      </c>
      <c r="C899" s="145"/>
      <c r="D899" s="146" t="s">
        <v>40</v>
      </c>
    </row>
    <row r="900" spans="1:4" x14ac:dyDescent="0.3">
      <c r="A900" s="164" t="s">
        <v>584</v>
      </c>
      <c r="B900" s="150" t="s">
        <v>582</v>
      </c>
      <c r="C900" s="151"/>
      <c r="D900" s="152" t="s">
        <v>40</v>
      </c>
    </row>
    <row r="901" spans="1:4" x14ac:dyDescent="0.3">
      <c r="A901" s="164" t="s">
        <v>585</v>
      </c>
      <c r="B901" s="150" t="s">
        <v>582</v>
      </c>
      <c r="C901" s="151"/>
      <c r="D901" s="152" t="s">
        <v>40</v>
      </c>
    </row>
    <row r="902" spans="1:4" x14ac:dyDescent="0.3">
      <c r="A902" s="165" t="s">
        <v>586</v>
      </c>
      <c r="B902" s="144" t="s">
        <v>582</v>
      </c>
      <c r="C902" s="145"/>
      <c r="D902" s="146" t="s">
        <v>40</v>
      </c>
    </row>
    <row r="903" spans="1:4" x14ac:dyDescent="0.3">
      <c r="A903" s="165" t="s">
        <v>587</v>
      </c>
      <c r="B903" s="144" t="s">
        <v>181</v>
      </c>
      <c r="C903" s="145"/>
      <c r="D903" s="146" t="s">
        <v>40</v>
      </c>
    </row>
    <row r="904" spans="1:4" x14ac:dyDescent="0.3">
      <c r="A904" s="143" t="s">
        <v>588</v>
      </c>
      <c r="B904" s="144"/>
      <c r="C904" s="145"/>
      <c r="D904" s="146"/>
    </row>
    <row r="905" spans="1:4" x14ac:dyDescent="0.3">
      <c r="A905" s="144" t="s">
        <v>590</v>
      </c>
      <c r="B905" s="144" t="s">
        <v>582</v>
      </c>
      <c r="C905" s="145"/>
      <c r="D905" s="146" t="s">
        <v>98</v>
      </c>
    </row>
    <row r="906" spans="1:4" x14ac:dyDescent="0.3">
      <c r="A906" s="144" t="s">
        <v>591</v>
      </c>
      <c r="B906" s="144" t="s">
        <v>582</v>
      </c>
      <c r="C906" s="145"/>
      <c r="D906" s="146" t="s">
        <v>98</v>
      </c>
    </row>
    <row r="907" spans="1:4" x14ac:dyDescent="0.3">
      <c r="A907" s="144" t="s">
        <v>589</v>
      </c>
      <c r="B907" s="144" t="s">
        <v>18</v>
      </c>
      <c r="C907" s="145"/>
      <c r="D907" s="146" t="s">
        <v>33</v>
      </c>
    </row>
    <row r="908" spans="1:4" x14ac:dyDescent="0.3">
      <c r="A908" s="156" t="s">
        <v>592</v>
      </c>
      <c r="B908" s="147" t="s">
        <v>25</v>
      </c>
      <c r="C908" s="148"/>
      <c r="D908" s="149" t="s">
        <v>33</v>
      </c>
    </row>
    <row r="909" spans="1:4" x14ac:dyDescent="0.3">
      <c r="A909" s="161" t="s">
        <v>593</v>
      </c>
      <c r="B909" s="144" t="s">
        <v>25</v>
      </c>
      <c r="C909" s="145"/>
      <c r="D909" s="146" t="s">
        <v>98</v>
      </c>
    </row>
    <row r="910" spans="1:4" x14ac:dyDescent="0.3">
      <c r="A910" s="144" t="s">
        <v>594</v>
      </c>
      <c r="B910" s="144" t="s">
        <v>25</v>
      </c>
      <c r="C910" s="145"/>
      <c r="D910" s="146" t="s">
        <v>98</v>
      </c>
    </row>
    <row r="911" spans="1:4" x14ac:dyDescent="0.3">
      <c r="A911" s="161" t="s">
        <v>800</v>
      </c>
      <c r="B911" s="144" t="s">
        <v>596</v>
      </c>
      <c r="C911" s="145"/>
      <c r="D911" s="146" t="s">
        <v>33</v>
      </c>
    </row>
    <row r="912" spans="1:4" x14ac:dyDescent="0.3">
      <c r="A912" s="161" t="s">
        <v>595</v>
      </c>
      <c r="B912" s="144" t="s">
        <v>596</v>
      </c>
      <c r="C912" s="145"/>
      <c r="D912" s="146" t="s">
        <v>33</v>
      </c>
    </row>
    <row r="913" spans="1:4" x14ac:dyDescent="0.3">
      <c r="A913" s="161" t="s">
        <v>660</v>
      </c>
      <c r="B913" s="144" t="s">
        <v>596</v>
      </c>
      <c r="C913" s="145"/>
      <c r="D913" s="146" t="s">
        <v>33</v>
      </c>
    </row>
    <row r="914" spans="1:4" x14ac:dyDescent="0.3">
      <c r="A914" s="143" t="s">
        <v>736</v>
      </c>
      <c r="B914" s="144"/>
      <c r="C914" s="145"/>
      <c r="D914" s="146"/>
    </row>
    <row r="915" spans="1:4" x14ac:dyDescent="0.3">
      <c r="A915" s="150" t="s">
        <v>737</v>
      </c>
      <c r="B915" s="150" t="s">
        <v>582</v>
      </c>
      <c r="C915" s="151"/>
      <c r="D915" s="152" t="s">
        <v>40</v>
      </c>
    </row>
    <row r="916" spans="1:4" x14ac:dyDescent="0.3">
      <c r="A916" s="143" t="s">
        <v>597</v>
      </c>
      <c r="B916" s="144"/>
      <c r="C916" s="145"/>
      <c r="D916" s="146"/>
    </row>
    <row r="917" spans="1:4" x14ac:dyDescent="0.3">
      <c r="A917" s="158" t="s">
        <v>598</v>
      </c>
      <c r="B917" s="144" t="s">
        <v>171</v>
      </c>
      <c r="C917" s="145"/>
      <c r="D917" s="146" t="s">
        <v>98</v>
      </c>
    </row>
    <row r="918" spans="1:4" x14ac:dyDescent="0.3">
      <c r="A918" s="158" t="s">
        <v>1050</v>
      </c>
      <c r="B918" s="144" t="s">
        <v>171</v>
      </c>
      <c r="C918" s="145"/>
      <c r="D918" s="146" t="s">
        <v>98</v>
      </c>
    </row>
    <row r="919" spans="1:4" x14ac:dyDescent="0.3">
      <c r="A919" s="157" t="s">
        <v>896</v>
      </c>
      <c r="B919" s="147" t="s">
        <v>18</v>
      </c>
      <c r="C919" s="148"/>
      <c r="D919" s="149" t="s">
        <v>33</v>
      </c>
    </row>
    <row r="920" spans="1:4" x14ac:dyDescent="0.3">
      <c r="A920" s="157" t="s">
        <v>603</v>
      </c>
      <c r="B920" s="147" t="s">
        <v>18</v>
      </c>
      <c r="C920" s="148"/>
      <c r="D920" s="149" t="s">
        <v>33</v>
      </c>
    </row>
    <row r="921" spans="1:4" x14ac:dyDescent="0.3">
      <c r="A921" s="159" t="s">
        <v>604</v>
      </c>
      <c r="B921" s="150" t="s">
        <v>18</v>
      </c>
      <c r="C921" s="151"/>
      <c r="D921" s="152" t="s">
        <v>33</v>
      </c>
    </row>
    <row r="922" spans="1:4" x14ac:dyDescent="0.3">
      <c r="A922" s="158" t="s">
        <v>722</v>
      </c>
      <c r="B922" s="144" t="s">
        <v>18</v>
      </c>
      <c r="C922" s="145"/>
      <c r="D922" s="146" t="s">
        <v>33</v>
      </c>
    </row>
    <row r="923" spans="1:4" x14ac:dyDescent="0.3">
      <c r="A923" s="159" t="s">
        <v>605</v>
      </c>
      <c r="B923" s="150" t="s">
        <v>18</v>
      </c>
      <c r="C923" s="151"/>
      <c r="D923" s="152" t="s">
        <v>33</v>
      </c>
    </row>
    <row r="924" spans="1:4" x14ac:dyDescent="0.3">
      <c r="A924" s="158" t="s">
        <v>599</v>
      </c>
      <c r="B924" s="144" t="s">
        <v>18</v>
      </c>
      <c r="C924" s="145"/>
      <c r="D924" s="146" t="s">
        <v>33</v>
      </c>
    </row>
    <row r="925" spans="1:4" x14ac:dyDescent="0.3">
      <c r="A925" s="144" t="s">
        <v>600</v>
      </c>
      <c r="B925" s="144" t="s">
        <v>18</v>
      </c>
      <c r="C925" s="145"/>
      <c r="D925" s="146" t="s">
        <v>33</v>
      </c>
    </row>
    <row r="926" spans="1:4" x14ac:dyDescent="0.3">
      <c r="A926" s="144" t="s">
        <v>601</v>
      </c>
      <c r="B926" s="144" t="s">
        <v>18</v>
      </c>
      <c r="C926" s="145"/>
      <c r="D926" s="146" t="s">
        <v>33</v>
      </c>
    </row>
    <row r="927" spans="1:4" x14ac:dyDescent="0.3">
      <c r="A927" s="157" t="s">
        <v>602</v>
      </c>
      <c r="B927" s="147" t="s">
        <v>18</v>
      </c>
      <c r="C927" s="148"/>
      <c r="D927" s="149" t="s">
        <v>33</v>
      </c>
    </row>
    <row r="928" spans="1:4" x14ac:dyDescent="0.3">
      <c r="A928" s="158" t="s">
        <v>971</v>
      </c>
      <c r="B928" s="144" t="s">
        <v>18</v>
      </c>
      <c r="C928" s="145"/>
      <c r="D928" s="146" t="s">
        <v>33</v>
      </c>
    </row>
    <row r="929" spans="1:4" x14ac:dyDescent="0.3">
      <c r="A929" s="158" t="s">
        <v>972</v>
      </c>
      <c r="B929" s="144" t="s">
        <v>18</v>
      </c>
      <c r="C929" s="145"/>
      <c r="D929" s="146" t="s">
        <v>33</v>
      </c>
    </row>
    <row r="930" spans="1:4" x14ac:dyDescent="0.3">
      <c r="A930" s="158" t="s">
        <v>606</v>
      </c>
      <c r="B930" s="144" t="s">
        <v>18</v>
      </c>
      <c r="C930" s="145"/>
      <c r="D930" s="146" t="s">
        <v>33</v>
      </c>
    </row>
    <row r="931" spans="1:4" x14ac:dyDescent="0.3">
      <c r="A931" s="158" t="s">
        <v>607</v>
      </c>
      <c r="B931" s="144" t="s">
        <v>18</v>
      </c>
      <c r="C931" s="145"/>
      <c r="D931" s="146" t="s">
        <v>33</v>
      </c>
    </row>
    <row r="932" spans="1:4" x14ac:dyDescent="0.3">
      <c r="A932" s="157" t="s">
        <v>608</v>
      </c>
      <c r="B932" s="147" t="s">
        <v>18</v>
      </c>
      <c r="C932" s="148"/>
      <c r="D932" s="149" t="s">
        <v>33</v>
      </c>
    </row>
    <row r="933" spans="1:4" x14ac:dyDescent="0.3">
      <c r="A933" s="158" t="s">
        <v>609</v>
      </c>
      <c r="B933" s="144" t="s">
        <v>25</v>
      </c>
      <c r="C933" s="145"/>
      <c r="D933" s="146" t="s">
        <v>33</v>
      </c>
    </row>
    <row r="934" spans="1:4" x14ac:dyDescent="0.3">
      <c r="A934" s="158" t="s">
        <v>610</v>
      </c>
      <c r="B934" s="144" t="s">
        <v>25</v>
      </c>
      <c r="C934" s="145"/>
      <c r="D934" s="146" t="s">
        <v>33</v>
      </c>
    </row>
    <row r="935" spans="1:4" x14ac:dyDescent="0.3">
      <c r="A935" s="159" t="s">
        <v>725</v>
      </c>
      <c r="B935" s="150" t="s">
        <v>25</v>
      </c>
      <c r="C935" s="151"/>
      <c r="D935" s="152" t="s">
        <v>33</v>
      </c>
    </row>
    <row r="936" spans="1:4" x14ac:dyDescent="0.3">
      <c r="A936" s="159" t="s">
        <v>611</v>
      </c>
      <c r="B936" s="150" t="s">
        <v>25</v>
      </c>
      <c r="C936" s="151"/>
      <c r="D936" s="152" t="s">
        <v>33</v>
      </c>
    </row>
    <row r="937" spans="1:4" x14ac:dyDescent="0.3">
      <c r="A937" s="158" t="s">
        <v>612</v>
      </c>
      <c r="B937" s="144" t="s">
        <v>25</v>
      </c>
      <c r="C937" s="145"/>
      <c r="D937" s="146" t="s">
        <v>33</v>
      </c>
    </row>
    <row r="938" spans="1:4" x14ac:dyDescent="0.3">
      <c r="A938" s="158" t="s">
        <v>613</v>
      </c>
      <c r="B938" s="144" t="s">
        <v>25</v>
      </c>
      <c r="C938" s="145"/>
      <c r="D938" s="146" t="s">
        <v>33</v>
      </c>
    </row>
    <row r="939" spans="1:4" x14ac:dyDescent="0.3">
      <c r="A939" s="143" t="s">
        <v>755</v>
      </c>
      <c r="B939" s="144"/>
      <c r="C939" s="145"/>
      <c r="D939" s="146"/>
    </row>
    <row r="940" spans="1:4" x14ac:dyDescent="0.3">
      <c r="A940" s="150" t="s">
        <v>757</v>
      </c>
      <c r="B940" s="150" t="s">
        <v>171</v>
      </c>
      <c r="C940" s="151"/>
      <c r="D940" s="152" t="s">
        <v>19</v>
      </c>
    </row>
    <row r="941" spans="1:4" x14ac:dyDescent="0.3">
      <c r="A941" s="143" t="s">
        <v>615</v>
      </c>
      <c r="B941" s="144"/>
      <c r="C941" s="145"/>
      <c r="D941" s="146"/>
    </row>
    <row r="942" spans="1:4" x14ac:dyDescent="0.3">
      <c r="A942" s="159" t="s">
        <v>616</v>
      </c>
      <c r="B942" s="150" t="s">
        <v>181</v>
      </c>
      <c r="C942" s="151"/>
      <c r="D942" s="152" t="s">
        <v>277</v>
      </c>
    </row>
    <row r="943" spans="1:4" x14ac:dyDescent="0.3">
      <c r="A943" s="159" t="s">
        <v>617</v>
      </c>
      <c r="B943" s="150" t="s">
        <v>181</v>
      </c>
      <c r="C943" s="151"/>
      <c r="D943" s="152" t="s">
        <v>277</v>
      </c>
    </row>
    <row r="944" spans="1:4" x14ac:dyDescent="0.3">
      <c r="A944" s="159" t="s">
        <v>618</v>
      </c>
      <c r="B944" s="150" t="s">
        <v>181</v>
      </c>
      <c r="C944" s="151"/>
      <c r="D944" s="152" t="s">
        <v>277</v>
      </c>
    </row>
    <row r="945" spans="1:4" x14ac:dyDescent="0.3">
      <c r="A945" s="159" t="s">
        <v>619</v>
      </c>
      <c r="B945" s="150" t="s">
        <v>18</v>
      </c>
      <c r="C945" s="151"/>
      <c r="D945" s="152" t="s">
        <v>277</v>
      </c>
    </row>
    <row r="946" spans="1:4" x14ac:dyDescent="0.3">
      <c r="A946" s="159" t="s">
        <v>620</v>
      </c>
      <c r="B946" s="150" t="s">
        <v>18</v>
      </c>
      <c r="C946" s="151"/>
      <c r="D946" s="152" t="s">
        <v>277</v>
      </c>
    </row>
    <row r="947" spans="1:4" x14ac:dyDescent="0.3">
      <c r="A947" s="156" t="s">
        <v>621</v>
      </c>
      <c r="B947" s="147" t="s">
        <v>25</v>
      </c>
      <c r="C947" s="148"/>
      <c r="D947" s="149" t="s">
        <v>277</v>
      </c>
    </row>
    <row r="948" spans="1:4" x14ac:dyDescent="0.3">
      <c r="A948" s="156" t="s">
        <v>622</v>
      </c>
      <c r="B948" s="147" t="s">
        <v>25</v>
      </c>
      <c r="C948" s="148"/>
      <c r="D948" s="149" t="s">
        <v>277</v>
      </c>
    </row>
    <row r="949" spans="1:4" x14ac:dyDescent="0.3">
      <c r="A949" s="156" t="s">
        <v>623</v>
      </c>
      <c r="B949" s="147" t="s">
        <v>25</v>
      </c>
      <c r="C949" s="148"/>
      <c r="D949" s="149" t="s">
        <v>277</v>
      </c>
    </row>
    <row r="950" spans="1:4" x14ac:dyDescent="0.3">
      <c r="A950" s="156" t="s">
        <v>624</v>
      </c>
      <c r="B950" s="147" t="s">
        <v>25</v>
      </c>
      <c r="C950" s="148"/>
      <c r="D950" s="149" t="s">
        <v>277</v>
      </c>
    </row>
    <row r="951" spans="1:4" x14ac:dyDescent="0.3">
      <c r="A951" s="143" t="s">
        <v>786</v>
      </c>
      <c r="B951" s="144"/>
      <c r="C951" s="145"/>
      <c r="D951" s="146"/>
    </row>
    <row r="952" spans="1:4" x14ac:dyDescent="0.3">
      <c r="A952" s="150" t="s">
        <v>787</v>
      </c>
      <c r="B952" s="150" t="s">
        <v>18</v>
      </c>
      <c r="C952" s="151"/>
      <c r="D952" s="152" t="s">
        <v>277</v>
      </c>
    </row>
    <row r="953" spans="1:4" x14ac:dyDescent="0.3">
      <c r="A953" s="143" t="s">
        <v>625</v>
      </c>
      <c r="B953" s="144"/>
      <c r="C953" s="145"/>
      <c r="D953" s="146"/>
    </row>
    <row r="954" spans="1:4" s="141" customFormat="1" x14ac:dyDescent="0.3">
      <c r="A954" s="144" t="s">
        <v>704</v>
      </c>
      <c r="B954" s="144" t="s">
        <v>25</v>
      </c>
      <c r="C954" s="145"/>
      <c r="D954" s="146" t="s">
        <v>277</v>
      </c>
    </row>
    <row r="955" spans="1:4" s="141" customFormat="1" x14ac:dyDescent="0.3">
      <c r="A955" s="147" t="s">
        <v>626</v>
      </c>
      <c r="B955" s="147" t="s">
        <v>25</v>
      </c>
      <c r="C955" s="148"/>
      <c r="D955" s="149" t="s">
        <v>277</v>
      </c>
    </row>
    <row r="956" spans="1:4" x14ac:dyDescent="0.3">
      <c r="A956" s="144" t="s">
        <v>803</v>
      </c>
      <c r="B956" s="144" t="s">
        <v>25</v>
      </c>
      <c r="C956" s="145"/>
      <c r="D956" s="146" t="s">
        <v>277</v>
      </c>
    </row>
    <row r="957" spans="1:4" x14ac:dyDescent="0.3">
      <c r="A957" s="144" t="s">
        <v>804</v>
      </c>
      <c r="B957" s="144" t="s">
        <v>25</v>
      </c>
      <c r="C957" s="145"/>
      <c r="D957" s="146" t="s">
        <v>277</v>
      </c>
    </row>
    <row r="958" spans="1:4" x14ac:dyDescent="0.3">
      <c r="A958" s="143" t="s">
        <v>627</v>
      </c>
      <c r="B958" s="144"/>
      <c r="C958" s="145"/>
      <c r="D958" s="146"/>
    </row>
    <row r="959" spans="1:4" x14ac:dyDescent="0.3">
      <c r="A959" s="144" t="s">
        <v>784</v>
      </c>
      <c r="B959" s="144" t="s">
        <v>18</v>
      </c>
      <c r="C959" s="145"/>
      <c r="D959" s="146" t="s">
        <v>277</v>
      </c>
    </row>
    <row r="960" spans="1:4" x14ac:dyDescent="0.3">
      <c r="A960" s="144" t="s">
        <v>805</v>
      </c>
      <c r="B960" s="144" t="s">
        <v>25</v>
      </c>
      <c r="C960" s="145"/>
      <c r="D960" s="146" t="s">
        <v>277</v>
      </c>
    </row>
    <row r="961" spans="1:4" x14ac:dyDescent="0.3">
      <c r="A961" s="144" t="s">
        <v>628</v>
      </c>
      <c r="B961" s="144" t="s">
        <v>25</v>
      </c>
      <c r="C961" s="145"/>
      <c r="D961" s="146" t="s">
        <v>277</v>
      </c>
    </row>
    <row r="962" spans="1:4" x14ac:dyDescent="0.3">
      <c r="A962" s="144" t="s">
        <v>806</v>
      </c>
      <c r="B962" s="144" t="s">
        <v>25</v>
      </c>
      <c r="C962" s="145"/>
      <c r="D962" s="146" t="s">
        <v>277</v>
      </c>
    </row>
    <row r="963" spans="1:4" s="141" customFormat="1" x14ac:dyDescent="0.3">
      <c r="A963" s="147" t="s">
        <v>652</v>
      </c>
      <c r="B963" s="147" t="s">
        <v>25</v>
      </c>
      <c r="C963" s="148"/>
      <c r="D963" s="149" t="s">
        <v>277</v>
      </c>
    </row>
    <row r="964" spans="1:4" x14ac:dyDescent="0.3">
      <c r="A964" s="147" t="s">
        <v>629</v>
      </c>
      <c r="B964" s="147" t="s">
        <v>25</v>
      </c>
      <c r="C964" s="148"/>
      <c r="D964" s="149" t="s">
        <v>277</v>
      </c>
    </row>
    <row r="965" spans="1:4" x14ac:dyDescent="0.3">
      <c r="A965" s="143" t="s">
        <v>630</v>
      </c>
      <c r="B965" s="144"/>
      <c r="C965" s="145"/>
      <c r="D965" s="146"/>
    </row>
    <row r="966" spans="1:4" x14ac:dyDescent="0.3">
      <c r="A966" s="144" t="s">
        <v>632</v>
      </c>
      <c r="B966" s="144" t="s">
        <v>18</v>
      </c>
      <c r="C966" s="145"/>
      <c r="D966" s="146" t="s">
        <v>19</v>
      </c>
    </row>
    <row r="967" spans="1:4" x14ac:dyDescent="0.3">
      <c r="A967" s="144" t="s">
        <v>633</v>
      </c>
      <c r="B967" s="144" t="s">
        <v>18</v>
      </c>
      <c r="C967" s="145"/>
      <c r="D967" s="146" t="s">
        <v>19</v>
      </c>
    </row>
    <row r="968" spans="1:4" x14ac:dyDescent="0.3">
      <c r="A968" s="144" t="s">
        <v>634</v>
      </c>
      <c r="B968" s="144" t="s">
        <v>18</v>
      </c>
      <c r="C968" s="145"/>
      <c r="D968" s="146" t="s">
        <v>19</v>
      </c>
    </row>
    <row r="969" spans="1:4" x14ac:dyDescent="0.3">
      <c r="A969" s="144" t="s">
        <v>635</v>
      </c>
      <c r="B969" s="144" t="s">
        <v>18</v>
      </c>
      <c r="C969" s="145"/>
      <c r="D969" s="146" t="s">
        <v>19</v>
      </c>
    </row>
    <row r="970" spans="1:4" x14ac:dyDescent="0.3">
      <c r="A970" s="144" t="s">
        <v>727</v>
      </c>
      <c r="B970" s="144" t="s">
        <v>18</v>
      </c>
      <c r="C970" s="145"/>
      <c r="D970" s="146" t="s">
        <v>19</v>
      </c>
    </row>
    <row r="971" spans="1:4" x14ac:dyDescent="0.3">
      <c r="A971" s="144" t="s">
        <v>973</v>
      </c>
      <c r="B971" s="144" t="s">
        <v>18</v>
      </c>
      <c r="C971" s="145"/>
      <c r="D971" s="146" t="s">
        <v>19</v>
      </c>
    </row>
    <row r="972" spans="1:4" x14ac:dyDescent="0.3">
      <c r="A972" s="147" t="s">
        <v>923</v>
      </c>
      <c r="B972" s="147" t="s">
        <v>18</v>
      </c>
      <c r="C972" s="148"/>
      <c r="D972" s="149" t="s">
        <v>19</v>
      </c>
    </row>
    <row r="973" spans="1:4" x14ac:dyDescent="0.3">
      <c r="A973" s="147" t="s">
        <v>726</v>
      </c>
      <c r="B973" s="147" t="s">
        <v>18</v>
      </c>
      <c r="C973" s="148"/>
      <c r="D973" s="149" t="s">
        <v>19</v>
      </c>
    </row>
    <row r="974" spans="1:4" x14ac:dyDescent="0.3">
      <c r="A974" s="144" t="s">
        <v>823</v>
      </c>
      <c r="B974" s="144" t="s">
        <v>18</v>
      </c>
      <c r="C974" s="145"/>
      <c r="D974" s="146" t="s">
        <v>19</v>
      </c>
    </row>
    <row r="975" spans="1:4" x14ac:dyDescent="0.3">
      <c r="A975" s="147" t="s">
        <v>631</v>
      </c>
      <c r="B975" s="147" t="s">
        <v>18</v>
      </c>
      <c r="C975" s="148"/>
      <c r="D975" s="149" t="s">
        <v>19</v>
      </c>
    </row>
    <row r="976" spans="1:4" x14ac:dyDescent="0.3">
      <c r="A976" s="147" t="s">
        <v>872</v>
      </c>
      <c r="B976" s="147" t="s">
        <v>18</v>
      </c>
      <c r="C976" s="148"/>
      <c r="D976" s="149" t="s">
        <v>19</v>
      </c>
    </row>
    <row r="977" spans="1:4" x14ac:dyDescent="0.3">
      <c r="A977" s="147" t="s">
        <v>646</v>
      </c>
      <c r="B977" s="147" t="s">
        <v>18</v>
      </c>
      <c r="C977" s="148"/>
      <c r="D977" s="149" t="s">
        <v>19</v>
      </c>
    </row>
    <row r="978" spans="1:4" x14ac:dyDescent="0.3">
      <c r="A978" s="147" t="s">
        <v>1051</v>
      </c>
      <c r="B978" s="147" t="s">
        <v>18</v>
      </c>
      <c r="C978" s="148"/>
      <c r="D978" s="149" t="s">
        <v>19</v>
      </c>
    </row>
    <row r="979" spans="1:4" x14ac:dyDescent="0.3">
      <c r="A979" s="144" t="s">
        <v>636</v>
      </c>
      <c r="B979" s="144" t="s">
        <v>18</v>
      </c>
      <c r="C979" s="145"/>
      <c r="D979" s="146" t="s">
        <v>19</v>
      </c>
    </row>
    <row r="980" spans="1:4" x14ac:dyDescent="0.3">
      <c r="A980" s="147" t="s">
        <v>637</v>
      </c>
      <c r="B980" s="147" t="s">
        <v>18</v>
      </c>
      <c r="C980" s="148"/>
      <c r="D980" s="149" t="s">
        <v>19</v>
      </c>
    </row>
    <row r="981" spans="1:4" x14ac:dyDescent="0.3">
      <c r="A981" s="144" t="s">
        <v>638</v>
      </c>
      <c r="B981" s="144" t="s">
        <v>18</v>
      </c>
      <c r="C981" s="145"/>
      <c r="D981" s="146" t="s">
        <v>19</v>
      </c>
    </row>
    <row r="982" spans="1:4" x14ac:dyDescent="0.3">
      <c r="A982" s="157" t="s">
        <v>675</v>
      </c>
      <c r="B982" s="147" t="s">
        <v>25</v>
      </c>
      <c r="C982" s="148"/>
      <c r="D982" s="149" t="s">
        <v>19</v>
      </c>
    </row>
    <row r="983" spans="1:4" x14ac:dyDescent="0.3">
      <c r="A983" s="157" t="s">
        <v>639</v>
      </c>
      <c r="B983" s="147" t="s">
        <v>25</v>
      </c>
      <c r="C983" s="148"/>
      <c r="D983" s="149" t="s">
        <v>19</v>
      </c>
    </row>
    <row r="984" spans="1:4" x14ac:dyDescent="0.3">
      <c r="A984" s="158" t="s">
        <v>640</v>
      </c>
      <c r="B984" s="144" t="s">
        <v>25</v>
      </c>
      <c r="C984" s="145"/>
      <c r="D984" s="146" t="s">
        <v>19</v>
      </c>
    </row>
    <row r="985" spans="1:4" x14ac:dyDescent="0.3">
      <c r="A985" s="158" t="s">
        <v>707</v>
      </c>
      <c r="B985" s="144" t="s">
        <v>25</v>
      </c>
      <c r="C985" s="145"/>
      <c r="D985" s="146" t="s">
        <v>19</v>
      </c>
    </row>
    <row r="986" spans="1:4" x14ac:dyDescent="0.3">
      <c r="A986" s="159" t="s">
        <v>641</v>
      </c>
      <c r="B986" s="150" t="s">
        <v>25</v>
      </c>
      <c r="C986" s="151"/>
      <c r="D986" s="152" t="s">
        <v>19</v>
      </c>
    </row>
    <row r="987" spans="1:4" x14ac:dyDescent="0.3">
      <c r="A987" s="157" t="s">
        <v>710</v>
      </c>
      <c r="B987" s="147" t="s">
        <v>25</v>
      </c>
      <c r="C987" s="148"/>
      <c r="D987" s="149" t="s">
        <v>19</v>
      </c>
    </row>
    <row r="988" spans="1:4" x14ac:dyDescent="0.3">
      <c r="A988" s="158" t="s">
        <v>642</v>
      </c>
      <c r="B988" s="144" t="s">
        <v>25</v>
      </c>
      <c r="C988" s="145"/>
      <c r="D988" s="146" t="s">
        <v>19</v>
      </c>
    </row>
    <row r="989" spans="1:4" x14ac:dyDescent="0.3">
      <c r="A989" s="157" t="s">
        <v>643</v>
      </c>
      <c r="B989" s="147" t="s">
        <v>25</v>
      </c>
      <c r="C989" s="148"/>
      <c r="D989" s="149" t="s">
        <v>19</v>
      </c>
    </row>
    <row r="990" spans="1:4" x14ac:dyDescent="0.3">
      <c r="A990" s="157" t="s">
        <v>655</v>
      </c>
      <c r="B990" s="147" t="s">
        <v>25</v>
      </c>
      <c r="C990" s="148"/>
      <c r="D990" s="149" t="s">
        <v>19</v>
      </c>
    </row>
    <row r="991" spans="1:4" x14ac:dyDescent="0.3">
      <c r="A991" s="158" t="s">
        <v>644</v>
      </c>
      <c r="B991" s="144" t="s">
        <v>181</v>
      </c>
      <c r="C991" s="145"/>
      <c r="D991" s="146" t="s">
        <v>40</v>
      </c>
    </row>
    <row r="992" spans="1:4" x14ac:dyDescent="0.3">
      <c r="A992" s="159" t="s">
        <v>645</v>
      </c>
      <c r="B992" s="150" t="s">
        <v>596</v>
      </c>
      <c r="C992" s="151"/>
      <c r="D992" s="152" t="s">
        <v>19</v>
      </c>
    </row>
    <row r="993" spans="1:4" x14ac:dyDescent="0.3">
      <c r="A993" s="143" t="s">
        <v>649</v>
      </c>
      <c r="B993" s="144"/>
      <c r="C993" s="145"/>
      <c r="D993" s="146"/>
    </row>
    <row r="994" spans="1:4" x14ac:dyDescent="0.3">
      <c r="A994" s="150" t="s">
        <v>650</v>
      </c>
      <c r="B994" s="150" t="s">
        <v>18</v>
      </c>
      <c r="C994" s="151"/>
      <c r="D994" s="152" t="s">
        <v>19</v>
      </c>
    </row>
    <row r="995" spans="1:4" x14ac:dyDescent="0.3">
      <c r="A995" s="143" t="s">
        <v>1052</v>
      </c>
      <c r="B995" s="144"/>
      <c r="C995" s="145"/>
      <c r="D995" s="146"/>
    </row>
    <row r="996" spans="1:4" x14ac:dyDescent="0.3">
      <c r="A996" s="147" t="s">
        <v>1053</v>
      </c>
      <c r="B996" s="147" t="s">
        <v>171</v>
      </c>
      <c r="C996" s="148"/>
      <c r="D996" s="149" t="s">
        <v>19</v>
      </c>
    </row>
    <row r="997" spans="1:4" x14ac:dyDescent="0.3">
      <c r="A997" s="147" t="s">
        <v>1059</v>
      </c>
      <c r="B997" s="147" t="s">
        <v>171</v>
      </c>
      <c r="C997" s="148"/>
      <c r="D997" s="149" t="s">
        <v>19</v>
      </c>
    </row>
    <row r="998" spans="1:4" x14ac:dyDescent="0.3">
      <c r="A998" s="147" t="s">
        <v>1060</v>
      </c>
      <c r="B998" s="147" t="s">
        <v>171</v>
      </c>
      <c r="C998" s="148"/>
      <c r="D998" s="149" t="s">
        <v>19</v>
      </c>
    </row>
    <row r="999" spans="1:4" x14ac:dyDescent="0.3">
      <c r="A999" s="143" t="s">
        <v>799</v>
      </c>
      <c r="B999" s="144"/>
      <c r="C999" s="145"/>
      <c r="D999" s="146"/>
    </row>
    <row r="1000" spans="1:4" x14ac:dyDescent="0.3">
      <c r="A1000" s="144" t="s">
        <v>1073</v>
      </c>
      <c r="B1000" s="144" t="s">
        <v>45</v>
      </c>
      <c r="C1000" s="145"/>
      <c r="D1000" s="146" t="s">
        <v>19</v>
      </c>
    </row>
    <row r="1001" spans="1:4" x14ac:dyDescent="0.3">
      <c r="A1001" s="143" t="s">
        <v>1061</v>
      </c>
      <c r="B1001" s="144"/>
      <c r="C1001" s="145"/>
      <c r="D1001" s="146"/>
    </row>
    <row r="1002" spans="1:4" x14ac:dyDescent="0.3">
      <c r="A1002" s="144" t="s">
        <v>1062</v>
      </c>
      <c r="B1002" s="144" t="s">
        <v>45</v>
      </c>
      <c r="C1002" s="145"/>
      <c r="D1002" s="146" t="s">
        <v>19</v>
      </c>
    </row>
    <row r="1003" spans="1:4" x14ac:dyDescent="0.3">
      <c r="A1003" s="143" t="s">
        <v>932</v>
      </c>
      <c r="B1003" s="144"/>
      <c r="C1003" s="145"/>
      <c r="D1003" s="146"/>
    </row>
    <row r="1004" spans="1:4" x14ac:dyDescent="0.3">
      <c r="A1004" s="144" t="s">
        <v>933</v>
      </c>
      <c r="B1004" s="144" t="s">
        <v>181</v>
      </c>
      <c r="C1004" s="145"/>
      <c r="D1004" s="146" t="s">
        <v>40</v>
      </c>
    </row>
    <row r="1005" spans="1:4" s="141" customFormat="1" x14ac:dyDescent="0.3">
      <c r="A1005" s="144" t="s">
        <v>1009</v>
      </c>
      <c r="B1005" s="144" t="s">
        <v>18</v>
      </c>
      <c r="C1005" s="145"/>
      <c r="D1005" s="146" t="s">
        <v>40</v>
      </c>
    </row>
    <row r="1006" spans="1:4" x14ac:dyDescent="0.3">
      <c r="A1006" s="143" t="s">
        <v>930</v>
      </c>
      <c r="B1006" s="144"/>
      <c r="C1006" s="145"/>
      <c r="D1006" s="146"/>
    </row>
    <row r="1007" spans="1:4" x14ac:dyDescent="0.3">
      <c r="A1007" s="144" t="s">
        <v>931</v>
      </c>
      <c r="B1007" s="144" t="s">
        <v>18</v>
      </c>
      <c r="C1007" s="145"/>
      <c r="D1007" s="146" t="s">
        <v>19</v>
      </c>
    </row>
    <row r="1008" spans="1:4" x14ac:dyDescent="0.3">
      <c r="A1008" s="143" t="s">
        <v>976</v>
      </c>
      <c r="B1008" s="144"/>
      <c r="C1008" s="145"/>
      <c r="D1008" s="146"/>
    </row>
    <row r="1009" spans="1:4" x14ac:dyDescent="0.3">
      <c r="A1009" s="144" t="s">
        <v>977</v>
      </c>
      <c r="B1009" s="144" t="s">
        <v>18</v>
      </c>
      <c r="C1009" s="145"/>
      <c r="D1009" s="146" t="s">
        <v>33</v>
      </c>
    </row>
    <row r="1010" spans="1:4" x14ac:dyDescent="0.3">
      <c r="A1010" s="144" t="s">
        <v>978</v>
      </c>
      <c r="B1010" s="144" t="s">
        <v>18</v>
      </c>
      <c r="C1010" s="145"/>
      <c r="D1010" s="146" t="s">
        <v>33</v>
      </c>
    </row>
    <row r="1011" spans="1:4" x14ac:dyDescent="0.3">
      <c r="A1011" s="143" t="s">
        <v>1001</v>
      </c>
      <c r="B1011" s="144"/>
      <c r="C1011" s="145"/>
      <c r="D1011" s="146"/>
    </row>
    <row r="1012" spans="1:4" x14ac:dyDescent="0.3">
      <c r="A1012" s="144" t="s">
        <v>1003</v>
      </c>
      <c r="B1012" s="144" t="s">
        <v>1002</v>
      </c>
      <c r="C1012" s="145"/>
      <c r="D1012" s="146" t="s">
        <v>830</v>
      </c>
    </row>
    <row r="1013" spans="1:4" x14ac:dyDescent="0.3">
      <c r="A1013" s="144" t="s">
        <v>1004</v>
      </c>
      <c r="B1013" s="144" t="s">
        <v>1002</v>
      </c>
      <c r="C1013" s="145"/>
      <c r="D1013" s="146" t="s">
        <v>830</v>
      </c>
    </row>
    <row r="1014" spans="1:4" x14ac:dyDescent="0.3">
      <c r="A1014" s="143" t="s">
        <v>1027</v>
      </c>
      <c r="B1014" s="144"/>
      <c r="C1014" s="145"/>
      <c r="D1014" s="146"/>
    </row>
    <row r="1015" spans="1:4" s="141" customFormat="1" x14ac:dyDescent="0.3">
      <c r="A1015" s="144" t="s">
        <v>1028</v>
      </c>
      <c r="B1015" s="144" t="s">
        <v>1029</v>
      </c>
      <c r="C1015" s="145"/>
      <c r="D1015" s="146" t="s">
        <v>1030</v>
      </c>
    </row>
  </sheetData>
  <pageMargins left="0.27" right="0.11811023622047245" top="0.23" bottom="0.15" header="0.12" footer="0.12"/>
  <pageSetup paperSize="9" scale="9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2023-12-27T06:10:27Z</cp:lastPrinted>
  <dcterms:created xsi:type="dcterms:W3CDTF">2022-05-18T09:19:05Z</dcterms:created>
  <dcterms:modified xsi:type="dcterms:W3CDTF">2024-01-05T08:34:20Z</dcterms:modified>
</cp:coreProperties>
</file>