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4\"/>
    </mc:Choice>
  </mc:AlternateContent>
  <bookViews>
    <workbookView xWindow="0" yWindow="0" windowWidth="20490" windowHeight="7905"/>
  </bookViews>
  <sheets>
    <sheet name="2023" sheetId="1" r:id="rId1"/>
    <sheet name="Sheet1" sheetId="3" r:id="rId2"/>
  </sheets>
  <definedNames>
    <definedName name="_xlnm._FilterDatabase" localSheetId="0" hidden="1">'2023'!$E$4:$E$1182</definedName>
    <definedName name="_xlnm.Print_Area" localSheetId="1">Sheet1!$A$1:$B$112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76" i="1" l="1"/>
  <c r="R976" i="1" s="1"/>
  <c r="S976" i="1" s="1"/>
  <c r="P975" i="1"/>
  <c r="R975" i="1" s="1"/>
  <c r="S975" i="1" s="1"/>
  <c r="P239" i="1" l="1"/>
  <c r="S239" i="1" s="1"/>
  <c r="R239" i="1" s="1"/>
  <c r="P69" i="1" l="1"/>
  <c r="S69" i="1" s="1"/>
  <c r="R69" i="1" s="1"/>
  <c r="P93" i="1"/>
  <c r="S93" i="1" s="1"/>
  <c r="R93" i="1" s="1"/>
  <c r="P88" i="1"/>
  <c r="S88" i="1" s="1"/>
  <c r="R88" i="1" s="1"/>
  <c r="P815" i="1" l="1"/>
  <c r="S815" i="1" s="1"/>
  <c r="R815" i="1" s="1"/>
  <c r="P724" i="1" l="1"/>
  <c r="S724" i="1" s="1"/>
  <c r="R724" i="1" s="1"/>
  <c r="P1180" i="1"/>
  <c r="S1180" i="1" s="1"/>
  <c r="R1180" i="1" s="1"/>
  <c r="P1175" i="1" l="1"/>
  <c r="S1175" i="1" s="1"/>
  <c r="R1175" i="1" s="1"/>
  <c r="P1174" i="1"/>
  <c r="S1174" i="1" s="1"/>
  <c r="R1174" i="1" s="1"/>
  <c r="P1022" i="1"/>
  <c r="S1022" i="1" s="1"/>
  <c r="R1022" i="1" s="1"/>
  <c r="P715" i="1"/>
  <c r="S715" i="1" s="1"/>
  <c r="R715" i="1" s="1"/>
  <c r="P713" i="1"/>
  <c r="S713" i="1" s="1"/>
  <c r="R713" i="1" s="1"/>
  <c r="P714" i="1"/>
  <c r="S714" i="1" s="1"/>
  <c r="R714" i="1" s="1"/>
  <c r="P712" i="1"/>
  <c r="S712" i="1" s="1"/>
  <c r="R712" i="1" s="1"/>
  <c r="P682" i="1" l="1"/>
  <c r="S682" i="1" s="1"/>
  <c r="R682" i="1" s="1"/>
  <c r="P1173" i="1" l="1"/>
  <c r="S1173" i="1" s="1"/>
  <c r="R1173" i="1" s="1"/>
  <c r="P1152" i="1"/>
  <c r="S1152" i="1" s="1"/>
  <c r="R1152" i="1" s="1"/>
  <c r="P1149" i="1"/>
  <c r="S1149" i="1" s="1"/>
  <c r="R1149" i="1" s="1"/>
  <c r="P1076" i="1"/>
  <c r="S1076" i="1" s="1"/>
  <c r="R1076" i="1" s="1"/>
  <c r="P742" i="1"/>
  <c r="S742" i="1" s="1"/>
  <c r="R742" i="1" s="1"/>
  <c r="P857" i="1" l="1"/>
  <c r="J857" i="1"/>
  <c r="P771" i="1"/>
  <c r="S771" i="1" s="1"/>
  <c r="R771" i="1" s="1"/>
  <c r="P580" i="1"/>
  <c r="S580" i="1" s="1"/>
  <c r="R580" i="1" s="1"/>
  <c r="P932" i="1"/>
  <c r="S932" i="1" s="1"/>
  <c r="R932" i="1" s="1"/>
  <c r="P490" i="1"/>
  <c r="S490" i="1" s="1"/>
  <c r="R490" i="1" s="1"/>
  <c r="P478" i="1"/>
  <c r="S478" i="1" s="1"/>
  <c r="R478" i="1" s="1"/>
  <c r="P486" i="1"/>
  <c r="S486" i="1" s="1"/>
  <c r="R486" i="1" s="1"/>
  <c r="P970" i="1"/>
  <c r="S970" i="1" s="1"/>
  <c r="R970" i="1" s="1"/>
  <c r="P683" i="1"/>
  <c r="S683" i="1" s="1"/>
  <c r="R683" i="1" s="1"/>
  <c r="P656" i="1"/>
  <c r="S656" i="1" s="1"/>
  <c r="R656" i="1" s="1"/>
  <c r="P623" i="1"/>
  <c r="S623" i="1" s="1"/>
  <c r="R623" i="1" s="1"/>
  <c r="P213" i="1"/>
  <c r="S213" i="1" s="1"/>
  <c r="R213" i="1" s="1"/>
  <c r="S857" i="1" l="1"/>
  <c r="R857" i="1" s="1"/>
  <c r="P188" i="1"/>
  <c r="S188" i="1" s="1"/>
  <c r="R188" i="1" s="1"/>
  <c r="P747" i="1" l="1"/>
  <c r="S747" i="1" s="1"/>
  <c r="R747" i="1" s="1"/>
  <c r="P121" i="1"/>
  <c r="S121" i="1" s="1"/>
  <c r="R121" i="1" s="1"/>
  <c r="P26" i="1"/>
  <c r="S26" i="1" s="1"/>
  <c r="R26" i="1" s="1"/>
  <c r="P7" i="1"/>
  <c r="S7" i="1" s="1"/>
  <c r="R7" i="1" s="1"/>
  <c r="P426" i="1" l="1"/>
  <c r="S426" i="1" s="1"/>
  <c r="R426" i="1" s="1"/>
  <c r="P425" i="1"/>
  <c r="S425" i="1" s="1"/>
  <c r="R425" i="1" s="1"/>
  <c r="P306" i="1" l="1"/>
  <c r="J306" i="1"/>
  <c r="P305" i="1"/>
  <c r="J305" i="1"/>
  <c r="S305" i="1" l="1"/>
  <c r="R305" i="1" s="1"/>
  <c r="S306" i="1"/>
  <c r="R306" i="1" s="1"/>
  <c r="P792" i="1"/>
  <c r="S792" i="1" s="1"/>
  <c r="R792" i="1" s="1"/>
  <c r="P589" i="1"/>
  <c r="S589" i="1" s="1"/>
  <c r="R589" i="1" s="1"/>
  <c r="P39" i="1" l="1"/>
  <c r="S39" i="1" s="1"/>
  <c r="R39" i="1" s="1"/>
  <c r="P284" i="1"/>
  <c r="S284" i="1" s="1"/>
  <c r="R284" i="1" s="1"/>
  <c r="P853" i="1" l="1"/>
  <c r="S853" i="1" s="1"/>
  <c r="R853" i="1" s="1"/>
  <c r="P45" i="1"/>
  <c r="S45" i="1" s="1"/>
  <c r="R45" i="1" s="1"/>
  <c r="P1133" i="1"/>
  <c r="S1133" i="1" s="1"/>
  <c r="R1133" i="1" s="1"/>
  <c r="P612" i="1" l="1"/>
  <c r="S612" i="1" s="1"/>
  <c r="R612" i="1" s="1"/>
  <c r="P971" i="1"/>
  <c r="S971" i="1" s="1"/>
  <c r="R971" i="1" s="1"/>
  <c r="P690" i="1"/>
  <c r="S690" i="1" s="1"/>
  <c r="R690" i="1" s="1"/>
  <c r="P640" i="1" l="1"/>
  <c r="S640" i="1" s="1"/>
  <c r="R640" i="1" s="1"/>
  <c r="P688" i="1"/>
  <c r="S688" i="1" s="1"/>
  <c r="R688" i="1" s="1"/>
  <c r="P689" i="1"/>
  <c r="S689" i="1" s="1"/>
  <c r="R689" i="1" s="1"/>
  <c r="P355" i="1"/>
  <c r="S355" i="1" s="1"/>
  <c r="R355" i="1" s="1"/>
  <c r="P356" i="1"/>
  <c r="S356" i="1" s="1"/>
  <c r="R356" i="1" s="1"/>
  <c r="P357" i="1"/>
  <c r="S357" i="1" s="1"/>
  <c r="R357" i="1" s="1"/>
  <c r="P358" i="1"/>
  <c r="S358" i="1" s="1"/>
  <c r="R358" i="1" s="1"/>
  <c r="P359" i="1"/>
  <c r="S359" i="1" s="1"/>
  <c r="R359" i="1" s="1"/>
  <c r="P287" i="1"/>
  <c r="S287" i="1" s="1"/>
  <c r="R287" i="1" s="1"/>
  <c r="J224" i="1"/>
  <c r="P223" i="1"/>
  <c r="J223" i="1"/>
  <c r="P222" i="1"/>
  <c r="J222" i="1"/>
  <c r="P221" i="1"/>
  <c r="J221" i="1"/>
  <c r="P215" i="1"/>
  <c r="J215" i="1"/>
  <c r="P207" i="1"/>
  <c r="J207" i="1"/>
  <c r="P208" i="1"/>
  <c r="S208" i="1" s="1"/>
  <c r="R208" i="1" s="1"/>
  <c r="P572" i="1"/>
  <c r="S572" i="1" s="1"/>
  <c r="R572" i="1" s="1"/>
  <c r="P573" i="1"/>
  <c r="S573" i="1" s="1"/>
  <c r="R573" i="1" s="1"/>
  <c r="P571" i="1"/>
  <c r="S571" i="1" s="1"/>
  <c r="R571" i="1" s="1"/>
  <c r="S215" i="1" l="1"/>
  <c r="R215" i="1" s="1"/>
  <c r="S221" i="1"/>
  <c r="R221" i="1" s="1"/>
  <c r="S222" i="1"/>
  <c r="R222" i="1" s="1"/>
  <c r="S223" i="1"/>
  <c r="R223" i="1" s="1"/>
  <c r="S207" i="1"/>
  <c r="R207" i="1" s="1"/>
  <c r="P570" i="1"/>
  <c r="S570" i="1" s="1"/>
  <c r="R570" i="1" s="1"/>
  <c r="P569" i="1"/>
  <c r="S569" i="1" s="1"/>
  <c r="R569" i="1" s="1"/>
  <c r="P1148" i="1" l="1"/>
  <c r="S1148" i="1" s="1"/>
  <c r="R1148" i="1" s="1"/>
  <c r="P242" i="1"/>
  <c r="S242" i="1" s="1"/>
  <c r="R242" i="1" s="1"/>
  <c r="P192" i="1" l="1"/>
  <c r="J192" i="1"/>
  <c r="S192" i="1" l="1"/>
  <c r="R192" i="1" s="1"/>
  <c r="P1003" i="1" l="1"/>
  <c r="S1003" i="1" s="1"/>
  <c r="R1003" i="1" s="1"/>
  <c r="P513" i="1"/>
  <c r="S513" i="1" s="1"/>
  <c r="R513" i="1" s="1"/>
  <c r="P324" i="1" l="1"/>
  <c r="S324" i="1" s="1"/>
  <c r="R324" i="1" s="1"/>
  <c r="P610" i="1" l="1"/>
  <c r="S610" i="1" s="1"/>
  <c r="R610" i="1" s="1"/>
  <c r="P14" i="1"/>
  <c r="S14" i="1" s="1"/>
  <c r="R14" i="1" s="1"/>
  <c r="J1053" i="1" l="1"/>
  <c r="P1053" i="1"/>
  <c r="J1049" i="1"/>
  <c r="P1049" i="1"/>
  <c r="P1041" i="1"/>
  <c r="S1041" i="1" s="1"/>
  <c r="R1041" i="1" s="1"/>
  <c r="P1038" i="1"/>
  <c r="S1038" i="1" s="1"/>
  <c r="R1038" i="1" s="1"/>
  <c r="P993" i="1"/>
  <c r="S993" i="1" s="1"/>
  <c r="R993" i="1" s="1"/>
  <c r="J737" i="1"/>
  <c r="P737" i="1"/>
  <c r="P954" i="1"/>
  <c r="S954" i="1" s="1"/>
  <c r="R954" i="1" s="1"/>
  <c r="P953" i="1"/>
  <c r="S953" i="1" s="1"/>
  <c r="R953" i="1" s="1"/>
  <c r="P786" i="1"/>
  <c r="S786" i="1" s="1"/>
  <c r="R786" i="1" s="1"/>
  <c r="P777" i="1"/>
  <c r="S777" i="1" s="1"/>
  <c r="R777" i="1" s="1"/>
  <c r="P874" i="1"/>
  <c r="S874" i="1" s="1"/>
  <c r="R874" i="1" s="1"/>
  <c r="P875" i="1"/>
  <c r="S875" i="1" s="1"/>
  <c r="R875" i="1" s="1"/>
  <c r="P876" i="1"/>
  <c r="S876" i="1" s="1"/>
  <c r="R876" i="1" s="1"/>
  <c r="P877" i="1"/>
  <c r="S877" i="1" s="1"/>
  <c r="R877" i="1" s="1"/>
  <c r="P878" i="1"/>
  <c r="S878" i="1" s="1"/>
  <c r="R878" i="1" s="1"/>
  <c r="P873" i="1"/>
  <c r="S873" i="1" s="1"/>
  <c r="R873" i="1" s="1"/>
  <c r="P885" i="1"/>
  <c r="S885" i="1" s="1"/>
  <c r="R885" i="1" s="1"/>
  <c r="P917" i="1"/>
  <c r="S917" i="1" s="1"/>
  <c r="R917" i="1" s="1"/>
  <c r="P907" i="1"/>
  <c r="S907" i="1" s="1"/>
  <c r="R907" i="1" s="1"/>
  <c r="P900" i="1"/>
  <c r="S900" i="1" s="1"/>
  <c r="R900" i="1" s="1"/>
  <c r="P817" i="1"/>
  <c r="S817" i="1" s="1"/>
  <c r="R817" i="1" s="1"/>
  <c r="P814" i="1"/>
  <c r="S814" i="1" s="1"/>
  <c r="R814" i="1" s="1"/>
  <c r="P958" i="1"/>
  <c r="S958" i="1" s="1"/>
  <c r="R958" i="1" s="1"/>
  <c r="P504" i="1"/>
  <c r="S504" i="1" s="1"/>
  <c r="R504" i="1" s="1"/>
  <c r="S1053" i="1" l="1"/>
  <c r="R1053" i="1" s="1"/>
  <c r="S1049" i="1"/>
  <c r="R1049" i="1" s="1"/>
  <c r="S737" i="1"/>
  <c r="R737" i="1" s="1"/>
  <c r="P633" i="1" l="1"/>
  <c r="S633" i="1" s="1"/>
  <c r="R633" i="1" s="1"/>
  <c r="P343" i="1"/>
  <c r="S343" i="1" s="1"/>
  <c r="R343" i="1" s="1"/>
  <c r="P342" i="1"/>
  <c r="S342" i="1" s="1"/>
  <c r="R342" i="1" s="1"/>
  <c r="P296" i="1"/>
  <c r="S296" i="1" s="1"/>
  <c r="R296" i="1" s="1"/>
  <c r="P269" i="1"/>
  <c r="S269" i="1" s="1"/>
  <c r="R269" i="1" s="1"/>
  <c r="P137" i="1"/>
  <c r="S137" i="1" s="1"/>
  <c r="R137" i="1" s="1"/>
  <c r="P609" i="1" l="1"/>
  <c r="S609" i="1" s="1"/>
  <c r="R609" i="1" s="1"/>
  <c r="P590" i="1"/>
  <c r="S590" i="1" s="1"/>
  <c r="R590" i="1" s="1"/>
  <c r="P598" i="1"/>
  <c r="S598" i="1" s="1"/>
  <c r="R598" i="1" s="1"/>
  <c r="P601" i="1"/>
  <c r="S601" i="1" s="1"/>
  <c r="R601" i="1" s="1"/>
  <c r="P603" i="1"/>
  <c r="S603" i="1" s="1"/>
  <c r="R603" i="1" s="1"/>
  <c r="P30" i="1"/>
  <c r="S30" i="1" s="1"/>
  <c r="R30" i="1" s="1"/>
  <c r="P16" i="1"/>
  <c r="S16" i="1" s="1"/>
  <c r="R16" i="1" s="1"/>
  <c r="P363" i="1"/>
  <c r="S363" i="1" s="1"/>
  <c r="R363" i="1" s="1"/>
  <c r="P362" i="1"/>
  <c r="S362" i="1" s="1"/>
  <c r="R362" i="1" s="1"/>
  <c r="P354" i="1" l="1"/>
  <c r="S354" i="1" s="1"/>
  <c r="R354" i="1" s="1"/>
  <c r="P1142" i="1" l="1"/>
  <c r="S1142" i="1" s="1"/>
  <c r="R1142" i="1" s="1"/>
  <c r="P1088" i="1"/>
  <c r="S1088" i="1" s="1"/>
  <c r="R1088" i="1" s="1"/>
  <c r="P1087" i="1"/>
  <c r="S1087" i="1" s="1"/>
  <c r="R1087" i="1" s="1"/>
  <c r="P1018" i="1"/>
  <c r="S1018" i="1" s="1"/>
  <c r="R1018" i="1" s="1"/>
  <c r="P705" i="1" l="1"/>
  <c r="S705" i="1" s="1"/>
  <c r="R705" i="1" s="1"/>
  <c r="P938" i="1"/>
  <c r="S938" i="1" s="1"/>
  <c r="R938" i="1" s="1"/>
  <c r="P862" i="1"/>
  <c r="S862" i="1" s="1"/>
  <c r="R862" i="1" s="1"/>
  <c r="P880" i="1"/>
  <c r="S880" i="1" s="1"/>
  <c r="R880" i="1" s="1"/>
  <c r="P782" i="1"/>
  <c r="P761" i="1"/>
  <c r="S761" i="1" s="1"/>
  <c r="R761" i="1" s="1"/>
  <c r="P918" i="1"/>
  <c r="S918" i="1" s="1"/>
  <c r="R918" i="1" s="1"/>
  <c r="P895" i="1"/>
  <c r="S895" i="1" s="1"/>
  <c r="R895" i="1" s="1"/>
  <c r="P896" i="1"/>
  <c r="S896" i="1" s="1"/>
  <c r="R896" i="1" s="1"/>
  <c r="P897" i="1"/>
  <c r="S897" i="1" s="1"/>
  <c r="R897" i="1" s="1"/>
  <c r="P899" i="1"/>
  <c r="S899" i="1" s="1"/>
  <c r="R899" i="1" s="1"/>
  <c r="P901" i="1"/>
  <c r="S901" i="1" s="1"/>
  <c r="R901" i="1" s="1"/>
  <c r="P902" i="1"/>
  <c r="S902" i="1" s="1"/>
  <c r="R902" i="1" s="1"/>
  <c r="P905" i="1"/>
  <c r="S905" i="1" s="1"/>
  <c r="R905" i="1" s="1"/>
  <c r="P911" i="1"/>
  <c r="S911" i="1" s="1"/>
  <c r="R911" i="1" s="1"/>
  <c r="P912" i="1"/>
  <c r="S912" i="1" s="1"/>
  <c r="R912" i="1" s="1"/>
  <c r="P913" i="1"/>
  <c r="S913" i="1" s="1"/>
  <c r="R913" i="1" s="1"/>
  <c r="P914" i="1"/>
  <c r="S914" i="1" s="1"/>
  <c r="R914" i="1" s="1"/>
  <c r="P915" i="1"/>
  <c r="S915" i="1" s="1"/>
  <c r="R915" i="1" s="1"/>
  <c r="P916" i="1"/>
  <c r="S916" i="1" s="1"/>
  <c r="R916" i="1" s="1"/>
  <c r="P894" i="1"/>
  <c r="S894" i="1" s="1"/>
  <c r="R894" i="1" s="1"/>
  <c r="P823" i="1"/>
  <c r="S823" i="1" s="1"/>
  <c r="R823" i="1" s="1"/>
  <c r="P822" i="1"/>
  <c r="S822" i="1" s="1"/>
  <c r="R822" i="1" s="1"/>
  <c r="P517" i="1"/>
  <c r="S517" i="1" s="1"/>
  <c r="R517" i="1" s="1"/>
  <c r="P494" i="1"/>
  <c r="S494" i="1" s="1"/>
  <c r="R494" i="1" s="1"/>
  <c r="P442" i="1"/>
  <c r="S442" i="1" s="1"/>
  <c r="R442" i="1" s="1"/>
  <c r="P964" i="1"/>
  <c r="S964" i="1" s="1"/>
  <c r="R964" i="1" s="1"/>
  <c r="P377" i="1"/>
  <c r="S377" i="1" s="1"/>
  <c r="R377" i="1" s="1"/>
  <c r="P687" i="1"/>
  <c r="S687" i="1" s="1"/>
  <c r="R687" i="1" s="1"/>
  <c r="P680" i="1"/>
  <c r="S680" i="1" s="1"/>
  <c r="R680" i="1" s="1"/>
  <c r="S782" i="1" l="1"/>
  <c r="R782" i="1" s="1"/>
  <c r="P622" i="1"/>
  <c r="S622" i="1" s="1"/>
  <c r="R622" i="1" s="1"/>
  <c r="P353" i="1" l="1"/>
  <c r="S353" i="1" s="1"/>
  <c r="R353" i="1" s="1"/>
  <c r="P346" i="1"/>
  <c r="S346" i="1" s="1"/>
  <c r="R346" i="1" s="1"/>
  <c r="P228" i="1" l="1"/>
  <c r="S228" i="1" s="1"/>
  <c r="R228" i="1" s="1"/>
  <c r="P166" i="1"/>
  <c r="S166" i="1" s="1"/>
  <c r="R166" i="1" s="1"/>
  <c r="P167" i="1"/>
  <c r="S167" i="1" s="1"/>
  <c r="R167" i="1" s="1"/>
  <c r="P169" i="1"/>
  <c r="S169" i="1" s="1"/>
  <c r="R169" i="1" s="1"/>
  <c r="P170" i="1"/>
  <c r="S170" i="1" s="1"/>
  <c r="R170" i="1" s="1"/>
  <c r="P171" i="1"/>
  <c r="S171" i="1" s="1"/>
  <c r="R171" i="1" s="1"/>
  <c r="P749" i="1"/>
  <c r="S749" i="1" s="1"/>
  <c r="R749" i="1" s="1"/>
  <c r="P82" i="1"/>
  <c r="S82" i="1" s="1"/>
  <c r="R82" i="1" s="1"/>
  <c r="P554" i="1"/>
  <c r="S554" i="1" s="1"/>
  <c r="R554" i="1" s="1"/>
  <c r="P597" i="1"/>
  <c r="S597" i="1" s="1"/>
  <c r="R597" i="1" s="1"/>
  <c r="P12" i="1"/>
  <c r="S12" i="1" s="1"/>
  <c r="R12" i="1" s="1"/>
  <c r="P13" i="1"/>
  <c r="S13" i="1" s="1"/>
  <c r="R13" i="1" s="1"/>
  <c r="P15" i="1"/>
  <c r="S15" i="1" s="1"/>
  <c r="R15" i="1" s="1"/>
  <c r="P399" i="1" l="1"/>
  <c r="S399" i="1" s="1"/>
  <c r="R399" i="1" s="1"/>
  <c r="P1001" i="1" l="1"/>
  <c r="S1001" i="1" s="1"/>
  <c r="R1001" i="1" s="1"/>
  <c r="P1182" i="1"/>
  <c r="S1182" i="1" s="1"/>
  <c r="R1182" i="1" s="1"/>
  <c r="P279" i="1"/>
  <c r="S279" i="1" s="1"/>
  <c r="R279" i="1" s="1"/>
  <c r="P759" i="1"/>
  <c r="S759" i="1" s="1"/>
  <c r="R759" i="1" s="1"/>
  <c r="P906" i="1"/>
  <c r="S906" i="1" s="1"/>
  <c r="R906" i="1" s="1"/>
  <c r="P904" i="1"/>
  <c r="S904" i="1" s="1"/>
  <c r="R904" i="1" s="1"/>
  <c r="P903" i="1"/>
  <c r="S903" i="1" s="1"/>
  <c r="R903" i="1" s="1"/>
  <c r="P679" i="1"/>
  <c r="S679" i="1" s="1"/>
  <c r="R679" i="1" s="1"/>
  <c r="P1137" i="1" l="1"/>
  <c r="S1137" i="1" s="1"/>
  <c r="R1137" i="1" s="1"/>
  <c r="P1143" i="1"/>
  <c r="S1143" i="1" s="1"/>
  <c r="R1143" i="1" s="1"/>
  <c r="P947" i="1"/>
  <c r="S947" i="1" s="1"/>
  <c r="R947" i="1" s="1"/>
  <c r="P840" i="1"/>
  <c r="S840" i="1" s="1"/>
  <c r="R840" i="1" s="1"/>
  <c r="P766" i="1"/>
  <c r="S766" i="1" s="1"/>
  <c r="R766" i="1" s="1"/>
  <c r="P887" i="1"/>
  <c r="S887" i="1" s="1"/>
  <c r="R887" i="1" s="1"/>
  <c r="P516" i="1"/>
  <c r="S516" i="1" s="1"/>
  <c r="R516" i="1" s="1"/>
  <c r="P449" i="1"/>
  <c r="S449" i="1" s="1"/>
  <c r="R449" i="1" s="1"/>
  <c r="P444" i="1"/>
  <c r="S444" i="1" s="1"/>
  <c r="R444" i="1" s="1"/>
  <c r="P430" i="1" l="1"/>
  <c r="S430" i="1" s="1"/>
  <c r="R430" i="1" s="1"/>
  <c r="P429" i="1"/>
  <c r="S429" i="1" s="1"/>
  <c r="R429" i="1" s="1"/>
  <c r="P398" i="1"/>
  <c r="S398" i="1" s="1"/>
  <c r="R398" i="1" s="1"/>
  <c r="P397" i="1"/>
  <c r="S397" i="1" s="1"/>
  <c r="R397" i="1" s="1"/>
  <c r="P392" i="1"/>
  <c r="S392" i="1" s="1"/>
  <c r="R392" i="1" s="1"/>
  <c r="P660" i="1" l="1"/>
  <c r="P637" i="1"/>
  <c r="S637" i="1" s="1"/>
  <c r="R637" i="1" s="1"/>
  <c r="S660" i="1" l="1"/>
  <c r="R660" i="1" s="1"/>
  <c r="P373" i="1"/>
  <c r="S373" i="1" s="1"/>
  <c r="R373" i="1" s="1"/>
  <c r="P654" i="1"/>
  <c r="S654" i="1" s="1"/>
  <c r="R654" i="1" s="1"/>
  <c r="P629" i="1"/>
  <c r="S629" i="1" s="1"/>
  <c r="R629" i="1" s="1"/>
  <c r="P1184" i="1"/>
  <c r="S1184" i="1" s="1"/>
  <c r="R1184" i="1" s="1"/>
  <c r="P268" i="1"/>
  <c r="J268" i="1"/>
  <c r="P262" i="1"/>
  <c r="S262" i="1" s="1"/>
  <c r="R262" i="1" s="1"/>
  <c r="P234" i="1"/>
  <c r="S234" i="1" s="1"/>
  <c r="R234" i="1" s="1"/>
  <c r="P189" i="1"/>
  <c r="P161" i="1"/>
  <c r="S161" i="1" s="1"/>
  <c r="R161" i="1" s="1"/>
  <c r="P159" i="1"/>
  <c r="S159" i="1" s="1"/>
  <c r="R159" i="1" s="1"/>
  <c r="P754" i="1"/>
  <c r="S754" i="1" s="1"/>
  <c r="R754" i="1" s="1"/>
  <c r="P278" i="1"/>
  <c r="S278" i="1" s="1"/>
  <c r="R278" i="1" s="1"/>
  <c r="P277" i="1"/>
  <c r="S277" i="1" s="1"/>
  <c r="R277" i="1" s="1"/>
  <c r="P79" i="1"/>
  <c r="S79" i="1" s="1"/>
  <c r="R79" i="1" s="1"/>
  <c r="P78" i="1"/>
  <c r="S78" i="1" s="1"/>
  <c r="R78" i="1" s="1"/>
  <c r="P135" i="1"/>
  <c r="S135" i="1" s="1"/>
  <c r="R135" i="1" s="1"/>
  <c r="P126" i="1"/>
  <c r="S126" i="1" s="1"/>
  <c r="R126" i="1" s="1"/>
  <c r="P35" i="1"/>
  <c r="S35" i="1" s="1"/>
  <c r="R35" i="1" s="1"/>
  <c r="P36" i="1"/>
  <c r="S36" i="1" s="1"/>
  <c r="R36" i="1" s="1"/>
  <c r="S189" i="1" l="1"/>
  <c r="R189" i="1" s="1"/>
  <c r="S268" i="1"/>
  <c r="R268" i="1" s="1"/>
  <c r="P1078" i="1" l="1"/>
  <c r="S1078" i="1" s="1"/>
  <c r="R1078" i="1" s="1"/>
  <c r="P211" i="1"/>
  <c r="S211" i="1" s="1"/>
  <c r="R211" i="1" s="1"/>
  <c r="P212" i="1"/>
  <c r="S212" i="1" s="1"/>
  <c r="R212" i="1" s="1"/>
  <c r="P216" i="1"/>
  <c r="S216" i="1" s="1"/>
  <c r="R216" i="1" s="1"/>
  <c r="P199" i="1"/>
  <c r="P602" i="1"/>
  <c r="S602" i="1" s="1"/>
  <c r="R602" i="1" s="1"/>
  <c r="P1042" i="1"/>
  <c r="S1042" i="1" s="1"/>
  <c r="R1042" i="1" s="1"/>
  <c r="S199" i="1" l="1"/>
  <c r="R199" i="1" s="1"/>
  <c r="P394" i="1"/>
  <c r="S394" i="1" s="1"/>
  <c r="R394" i="1" s="1"/>
  <c r="P236" i="1"/>
  <c r="S236" i="1" s="1"/>
  <c r="R236" i="1" s="1"/>
  <c r="P119" i="1"/>
  <c r="S119" i="1" s="1"/>
  <c r="R119" i="1" s="1"/>
  <c r="P396" i="1" l="1"/>
  <c r="S396" i="1" s="1"/>
  <c r="R396" i="1" s="1"/>
  <c r="P395" i="1"/>
  <c r="S395" i="1" s="1"/>
  <c r="R395" i="1" s="1"/>
  <c r="P393" i="1"/>
  <c r="S393" i="1" s="1"/>
  <c r="R393" i="1" s="1"/>
  <c r="P834" i="1"/>
  <c r="S834" i="1" s="1"/>
  <c r="R834" i="1" s="1"/>
  <c r="J835" i="1"/>
  <c r="P835" i="1"/>
  <c r="P70" i="1"/>
  <c r="S70" i="1" s="1"/>
  <c r="R70" i="1" s="1"/>
  <c r="P98" i="1"/>
  <c r="S98" i="1" s="1"/>
  <c r="R98" i="1" s="1"/>
  <c r="P99" i="1"/>
  <c r="S99" i="1" s="1"/>
  <c r="R99" i="1" s="1"/>
  <c r="P100" i="1"/>
  <c r="S100" i="1" s="1"/>
  <c r="R100" i="1" s="1"/>
  <c r="P73" i="1"/>
  <c r="P76" i="1"/>
  <c r="S76" i="1" s="1"/>
  <c r="R76" i="1" s="1"/>
  <c r="P90" i="1"/>
  <c r="S90" i="1" s="1"/>
  <c r="R90" i="1" s="1"/>
  <c r="P94" i="1"/>
  <c r="S94" i="1" s="1"/>
  <c r="R94" i="1" s="1"/>
  <c r="P72" i="1"/>
  <c r="S72" i="1" s="1"/>
  <c r="R72" i="1" s="1"/>
  <c r="P55" i="1"/>
  <c r="S835" i="1" l="1"/>
  <c r="R835" i="1" s="1"/>
  <c r="P678" i="1" l="1"/>
  <c r="S678" i="1" s="1"/>
  <c r="R678" i="1" s="1"/>
  <c r="P227" i="1" l="1"/>
  <c r="S227" i="1" s="1"/>
  <c r="R227" i="1" s="1"/>
  <c r="P217" i="1"/>
  <c r="S217" i="1" s="1"/>
  <c r="R217" i="1" s="1"/>
  <c r="P676" i="1" l="1"/>
  <c r="S676" i="1" s="1"/>
  <c r="R676" i="1" s="1"/>
  <c r="P973" i="1" l="1"/>
  <c r="S973" i="1" s="1"/>
  <c r="R973" i="1" s="1"/>
  <c r="P463" i="1"/>
  <c r="S463" i="1" s="1"/>
  <c r="R463" i="1" s="1"/>
  <c r="P871" i="1"/>
  <c r="S871" i="1" s="1"/>
  <c r="R871" i="1" s="1"/>
  <c r="P872" i="1"/>
  <c r="S872" i="1" s="1"/>
  <c r="R872" i="1" s="1"/>
  <c r="P870" i="1"/>
  <c r="S870" i="1" s="1"/>
  <c r="R870" i="1" s="1"/>
  <c r="P935" i="1"/>
  <c r="S935" i="1" s="1"/>
  <c r="R935" i="1" s="1"/>
  <c r="P1123" i="1"/>
  <c r="S1123" i="1" s="1"/>
  <c r="R1123" i="1" s="1"/>
  <c r="P1122" i="1"/>
  <c r="S1122" i="1" s="1"/>
  <c r="R1122" i="1" s="1"/>
  <c r="P1147" i="1" l="1"/>
  <c r="S1147" i="1" s="1"/>
  <c r="R1147" i="1" s="1"/>
  <c r="P722" i="1"/>
  <c r="S722" i="1" s="1"/>
  <c r="R722" i="1" s="1"/>
  <c r="P967" i="1" l="1"/>
  <c r="S967" i="1" s="1"/>
  <c r="R967" i="1" s="1"/>
  <c r="P315" i="1" l="1"/>
  <c r="S315" i="1" s="1"/>
  <c r="R315" i="1" s="1"/>
  <c r="P966" i="1"/>
  <c r="S966" i="1" s="1"/>
  <c r="R966" i="1" s="1"/>
  <c r="P1091" i="1" l="1"/>
  <c r="S1091" i="1" s="1"/>
  <c r="R1091" i="1" s="1"/>
  <c r="P1029" i="1"/>
  <c r="J1029" i="1"/>
  <c r="P1017" i="1"/>
  <c r="S1017" i="1" s="1"/>
  <c r="R1017" i="1" s="1"/>
  <c r="S1029" i="1" l="1"/>
  <c r="R1029" i="1" s="1"/>
  <c r="P981" i="1"/>
  <c r="S981" i="1" s="1"/>
  <c r="R981" i="1" s="1"/>
  <c r="P593" i="1"/>
  <c r="S593" i="1" s="1"/>
  <c r="R593" i="1" s="1"/>
  <c r="J200" i="1" l="1"/>
  <c r="H200" i="1"/>
  <c r="P200" i="1" s="1"/>
  <c r="S200" i="1" l="1"/>
  <c r="R200" i="1" s="1"/>
  <c r="P753" i="1"/>
  <c r="S753" i="1" s="1"/>
  <c r="R753" i="1" s="1"/>
  <c r="P994" i="1" l="1"/>
  <c r="P858" i="1"/>
  <c r="J858" i="1"/>
  <c r="S858" i="1" l="1"/>
  <c r="R858" i="1" s="1"/>
  <c r="P415" i="1"/>
  <c r="S415" i="1" s="1"/>
  <c r="R415" i="1" s="1"/>
  <c r="P655" i="1"/>
  <c r="S655" i="1" s="1"/>
  <c r="R655" i="1" s="1"/>
  <c r="P53" i="1" l="1"/>
  <c r="S53" i="1" s="1"/>
  <c r="R53" i="1" s="1"/>
  <c r="J652" i="1" l="1"/>
  <c r="P652" i="1"/>
  <c r="S652" i="1" l="1"/>
  <c r="R652" i="1" s="1"/>
  <c r="P477" i="1"/>
  <c r="S477" i="1" s="1"/>
  <c r="R477" i="1" s="1"/>
  <c r="P457" i="1"/>
  <c r="S457" i="1" s="1"/>
  <c r="R457" i="1" s="1"/>
  <c r="P456" i="1"/>
  <c r="S456" i="1" s="1"/>
  <c r="R456" i="1" s="1"/>
  <c r="P455" i="1"/>
  <c r="S455" i="1" s="1"/>
  <c r="R455" i="1" s="1"/>
  <c r="P454" i="1"/>
  <c r="S454" i="1" s="1"/>
  <c r="R454" i="1" s="1"/>
  <c r="P453" i="1"/>
  <c r="S453" i="1" s="1"/>
  <c r="R453" i="1" s="1"/>
  <c r="P452" i="1"/>
  <c r="S452" i="1" s="1"/>
  <c r="R452" i="1" s="1"/>
  <c r="P451" i="1"/>
  <c r="S451" i="1" s="1"/>
  <c r="R451" i="1" s="1"/>
  <c r="P450" i="1"/>
  <c r="S450" i="1" s="1"/>
  <c r="R450" i="1" s="1"/>
  <c r="P448" i="1"/>
  <c r="S448" i="1" s="1"/>
  <c r="R448" i="1" s="1"/>
  <c r="P447" i="1"/>
  <c r="S447" i="1" s="1"/>
  <c r="R447" i="1" s="1"/>
  <c r="P446" i="1"/>
  <c r="S446" i="1" s="1"/>
  <c r="R446" i="1" s="1"/>
  <c r="P445" i="1"/>
  <c r="S445" i="1" s="1"/>
  <c r="R445" i="1" s="1"/>
  <c r="P196" i="1"/>
  <c r="J196" i="1"/>
  <c r="P194" i="1"/>
  <c r="J194" i="1"/>
  <c r="P193" i="1"/>
  <c r="J193" i="1"/>
  <c r="P190" i="1"/>
  <c r="S190" i="1" s="1"/>
  <c r="R190" i="1" s="1"/>
  <c r="P85" i="1"/>
  <c r="S85" i="1" s="1"/>
  <c r="R85" i="1" s="1"/>
  <c r="P84" i="1"/>
  <c r="S84" i="1" s="1"/>
  <c r="R84" i="1" s="1"/>
  <c r="P65" i="1"/>
  <c r="S65" i="1" s="1"/>
  <c r="R65" i="1" s="1"/>
  <c r="P64" i="1"/>
  <c r="S64" i="1" s="1"/>
  <c r="R64" i="1" s="1"/>
  <c r="P58" i="1"/>
  <c r="S58" i="1" s="1"/>
  <c r="R58" i="1" s="1"/>
  <c r="P42" i="1"/>
  <c r="J42" i="1"/>
  <c r="J41" i="1"/>
  <c r="P41" i="1"/>
  <c r="J40" i="1"/>
  <c r="P40" i="1"/>
  <c r="P32" i="1"/>
  <c r="S32" i="1" s="1"/>
  <c r="R32" i="1" s="1"/>
  <c r="S193" i="1" l="1"/>
  <c r="R193" i="1" s="1"/>
  <c r="S196" i="1"/>
  <c r="R196" i="1" s="1"/>
  <c r="S41" i="1"/>
  <c r="R41" i="1" s="1"/>
  <c r="S194" i="1"/>
  <c r="R194" i="1" s="1"/>
  <c r="S40" i="1"/>
  <c r="R40" i="1" s="1"/>
  <c r="S42" i="1"/>
  <c r="R42" i="1" s="1"/>
  <c r="P732" i="1"/>
  <c r="S732" i="1" s="1"/>
  <c r="R732" i="1" s="1"/>
  <c r="P1016" i="1" l="1"/>
  <c r="S1016" i="1" s="1"/>
  <c r="R1016" i="1" s="1"/>
  <c r="P581" i="1"/>
  <c r="S581" i="1" s="1"/>
  <c r="R581" i="1" s="1"/>
  <c r="P375" i="1"/>
  <c r="S375" i="1" s="1"/>
  <c r="R375" i="1" s="1"/>
  <c r="P325" i="1"/>
  <c r="S325" i="1" s="1"/>
  <c r="R325" i="1" s="1"/>
  <c r="P595" i="1"/>
  <c r="S595" i="1" s="1"/>
  <c r="R595" i="1" s="1"/>
  <c r="P34" i="1"/>
  <c r="S34" i="1" s="1"/>
  <c r="R34" i="1" s="1"/>
  <c r="P1164" i="1" l="1"/>
  <c r="S1164" i="1" s="1"/>
  <c r="R1164" i="1" s="1"/>
  <c r="P898" i="1"/>
  <c r="S898" i="1" s="1"/>
  <c r="R898" i="1" s="1"/>
  <c r="P506" i="1"/>
  <c r="S506" i="1" s="1"/>
  <c r="R506" i="1" s="1"/>
  <c r="P1139" i="1" l="1"/>
  <c r="S1139" i="1" s="1"/>
  <c r="R1139" i="1" s="1"/>
  <c r="P1138" i="1" l="1"/>
  <c r="S1138" i="1" s="1"/>
  <c r="R1138" i="1" s="1"/>
  <c r="P830" i="1"/>
  <c r="S830" i="1" s="1"/>
  <c r="R830" i="1" s="1"/>
  <c r="P103" i="1"/>
  <c r="S103" i="1" s="1"/>
  <c r="R103" i="1" s="1"/>
  <c r="P104" i="1"/>
  <c r="S104" i="1" s="1"/>
  <c r="R104" i="1" s="1"/>
  <c r="P849" i="1" l="1"/>
  <c r="S849" i="1" s="1"/>
  <c r="R849" i="1" s="1"/>
  <c r="P884" i="1"/>
  <c r="S884" i="1" s="1"/>
  <c r="R884" i="1" s="1"/>
  <c r="P811" i="1"/>
  <c r="S811" i="1" s="1"/>
  <c r="R811" i="1" s="1"/>
  <c r="P498" i="1"/>
  <c r="S498" i="1" s="1"/>
  <c r="R498" i="1" s="1"/>
  <c r="P367" i="1"/>
  <c r="S367" i="1" s="1"/>
  <c r="R367" i="1" s="1"/>
  <c r="P264" i="1"/>
  <c r="S264" i="1" s="1"/>
  <c r="R264" i="1" s="1"/>
  <c r="P127" i="1" l="1"/>
  <c r="S127" i="1" s="1"/>
  <c r="R127" i="1" s="1"/>
  <c r="P95" i="1"/>
  <c r="S95" i="1" s="1"/>
  <c r="R95" i="1" s="1"/>
  <c r="P89" i="1"/>
  <c r="S89" i="1" s="1"/>
  <c r="R89" i="1" s="1"/>
  <c r="P86" i="1"/>
  <c r="S86" i="1" s="1"/>
  <c r="R86" i="1" s="1"/>
  <c r="S994" i="1" l="1"/>
  <c r="R994" i="1" s="1"/>
  <c r="P634" i="1" l="1"/>
  <c r="S634" i="1" s="1"/>
  <c r="R634" i="1" s="1"/>
  <c r="P226" i="1" l="1"/>
  <c r="S226" i="1" s="1"/>
  <c r="R226" i="1" s="1"/>
  <c r="P677" i="1" l="1"/>
  <c r="S677" i="1" s="1"/>
  <c r="R677" i="1" s="1"/>
  <c r="P769" i="1" l="1"/>
  <c r="S769" i="1" s="1"/>
  <c r="R769" i="1" s="1"/>
  <c r="J829" i="1"/>
  <c r="P829" i="1"/>
  <c r="P828" i="1"/>
  <c r="S828" i="1" s="1"/>
  <c r="R828" i="1" s="1"/>
  <c r="P982" i="1"/>
  <c r="S982" i="1" s="1"/>
  <c r="R982" i="1" s="1"/>
  <c r="P383" i="1"/>
  <c r="S383" i="1" s="1"/>
  <c r="R383" i="1" s="1"/>
  <c r="P382" i="1"/>
  <c r="S382" i="1" s="1"/>
  <c r="R382" i="1" s="1"/>
  <c r="P381" i="1"/>
  <c r="S381" i="1" s="1"/>
  <c r="R381" i="1" s="1"/>
  <c r="J187" i="1"/>
  <c r="P187" i="1"/>
  <c r="P186" i="1"/>
  <c r="S186" i="1" s="1"/>
  <c r="R186" i="1" s="1"/>
  <c r="P87" i="1"/>
  <c r="S87" i="1" s="1"/>
  <c r="R87" i="1" s="1"/>
  <c r="P49" i="1"/>
  <c r="S49" i="1" s="1"/>
  <c r="R49" i="1" s="1"/>
  <c r="P246" i="1"/>
  <c r="S246" i="1" s="1"/>
  <c r="R246" i="1" s="1"/>
  <c r="P247" i="1"/>
  <c r="S247" i="1" s="1"/>
  <c r="R247" i="1" s="1"/>
  <c r="J198" i="1"/>
  <c r="P198" i="1"/>
  <c r="P92" i="1"/>
  <c r="S92" i="1" s="1"/>
  <c r="R92" i="1" s="1"/>
  <c r="P91" i="1"/>
  <c r="S91" i="1" s="1"/>
  <c r="R91" i="1" s="1"/>
  <c r="P74" i="1"/>
  <c r="S74" i="1" s="1"/>
  <c r="R74" i="1" s="1"/>
  <c r="S829" i="1" l="1"/>
  <c r="R829" i="1" s="1"/>
  <c r="S187" i="1"/>
  <c r="R187" i="1" s="1"/>
  <c r="S198" i="1"/>
  <c r="R198" i="1" s="1"/>
  <c r="P557" i="1"/>
  <c r="P1178" i="1"/>
  <c r="S1178" i="1" s="1"/>
  <c r="R1178" i="1" s="1"/>
  <c r="P1170" i="1"/>
  <c r="S1170" i="1" s="1"/>
  <c r="R1170" i="1" s="1"/>
  <c r="P1166" i="1"/>
  <c r="S1166" i="1" s="1"/>
  <c r="R1166" i="1" s="1"/>
  <c r="P1162" i="1"/>
  <c r="J1162" i="1"/>
  <c r="P1161" i="1"/>
  <c r="J1161" i="1"/>
  <c r="P1160" i="1"/>
  <c r="J1160" i="1"/>
  <c r="P1159" i="1"/>
  <c r="J1159" i="1"/>
  <c r="P1158" i="1"/>
  <c r="S1158" i="1" s="1"/>
  <c r="R1158" i="1" s="1"/>
  <c r="P1157" i="1"/>
  <c r="J1157" i="1"/>
  <c r="P1156" i="1"/>
  <c r="J1156" i="1"/>
  <c r="P1155" i="1"/>
  <c r="J1155" i="1"/>
  <c r="P1154" i="1"/>
  <c r="J1154" i="1"/>
  <c r="P1151" i="1"/>
  <c r="S1151" i="1" s="1"/>
  <c r="R1151" i="1" s="1"/>
  <c r="P1150" i="1"/>
  <c r="S1150" i="1" s="1"/>
  <c r="R1150" i="1" s="1"/>
  <c r="P1146" i="1"/>
  <c r="S1146" i="1" s="1"/>
  <c r="R1146" i="1" s="1"/>
  <c r="P1145" i="1"/>
  <c r="S1145" i="1" s="1"/>
  <c r="R1145" i="1" s="1"/>
  <c r="P1144" i="1"/>
  <c r="S1144" i="1" s="1"/>
  <c r="R1144" i="1" s="1"/>
  <c r="P1141" i="1"/>
  <c r="S1141" i="1" s="1"/>
  <c r="R1141" i="1" s="1"/>
  <c r="P1140" i="1"/>
  <c r="S1140" i="1" s="1"/>
  <c r="R1140" i="1" s="1"/>
  <c r="P1134" i="1"/>
  <c r="J1134" i="1"/>
  <c r="P1132" i="1"/>
  <c r="J1132" i="1"/>
  <c r="P1131" i="1"/>
  <c r="J1131" i="1"/>
  <c r="P1130" i="1"/>
  <c r="J1130" i="1"/>
  <c r="P1128" i="1"/>
  <c r="S1128" i="1" s="1"/>
  <c r="R1128" i="1" s="1"/>
  <c r="R1127" i="1"/>
  <c r="P1125" i="1"/>
  <c r="J1125" i="1"/>
  <c r="P1124" i="1"/>
  <c r="J1124" i="1"/>
  <c r="P1119" i="1"/>
  <c r="S1119" i="1" s="1"/>
  <c r="R1119" i="1" s="1"/>
  <c r="R1118" i="1"/>
  <c r="P1116" i="1"/>
  <c r="S1116" i="1" s="1"/>
  <c r="R1116" i="1" s="1"/>
  <c r="P1115" i="1"/>
  <c r="S1115" i="1" s="1"/>
  <c r="R1115" i="1" s="1"/>
  <c r="P1114" i="1"/>
  <c r="J1114" i="1"/>
  <c r="P1113" i="1"/>
  <c r="J1113" i="1"/>
  <c r="P1111" i="1"/>
  <c r="S1111" i="1" s="1"/>
  <c r="R1111" i="1" s="1"/>
  <c r="P1110" i="1"/>
  <c r="S1110" i="1" s="1"/>
  <c r="R1110" i="1" s="1"/>
  <c r="P1108" i="1"/>
  <c r="S1108" i="1" s="1"/>
  <c r="R1108" i="1" s="1"/>
  <c r="P1107" i="1"/>
  <c r="S1107" i="1" s="1"/>
  <c r="R1107" i="1" s="1"/>
  <c r="P1106" i="1"/>
  <c r="S1106" i="1" s="1"/>
  <c r="R1106" i="1" s="1"/>
  <c r="P1102" i="1"/>
  <c r="J1102" i="1"/>
  <c r="P1099" i="1"/>
  <c r="J1099" i="1"/>
  <c r="P1098" i="1"/>
  <c r="J1098" i="1"/>
  <c r="P1097" i="1"/>
  <c r="S1097" i="1" s="1"/>
  <c r="R1097" i="1" s="1"/>
  <c r="P1096" i="1"/>
  <c r="S1096" i="1" s="1"/>
  <c r="R1096" i="1" s="1"/>
  <c r="J1095" i="1"/>
  <c r="P1095" i="1"/>
  <c r="J1094" i="1"/>
  <c r="P1094" i="1"/>
  <c r="P1092" i="1"/>
  <c r="S1092" i="1" s="1"/>
  <c r="R1092" i="1" s="1"/>
  <c r="P1090" i="1"/>
  <c r="S1090" i="1" s="1"/>
  <c r="R1090" i="1" s="1"/>
  <c r="P1089" i="1"/>
  <c r="S1089" i="1" s="1"/>
  <c r="R1089" i="1" s="1"/>
  <c r="P1086" i="1"/>
  <c r="S1086" i="1" s="1"/>
  <c r="R1086" i="1" s="1"/>
  <c r="P1085" i="1"/>
  <c r="S1085" i="1" s="1"/>
  <c r="R1085" i="1" s="1"/>
  <c r="P1083" i="1"/>
  <c r="S1083" i="1" s="1"/>
  <c r="R1083" i="1" s="1"/>
  <c r="P1082" i="1"/>
  <c r="S1082" i="1" s="1"/>
  <c r="R1082" i="1" s="1"/>
  <c r="P1081" i="1"/>
  <c r="S1081" i="1" s="1"/>
  <c r="R1081" i="1" s="1"/>
  <c r="P1080" i="1"/>
  <c r="S1080" i="1" s="1"/>
  <c r="R1080" i="1" s="1"/>
  <c r="P1079" i="1"/>
  <c r="S1079" i="1" s="1"/>
  <c r="R1079" i="1" s="1"/>
  <c r="P1075" i="1"/>
  <c r="S1075" i="1" s="1"/>
  <c r="R1075" i="1" s="1"/>
  <c r="P1072" i="1"/>
  <c r="S1072" i="1" s="1"/>
  <c r="R1072" i="1" s="1"/>
  <c r="P1069" i="1"/>
  <c r="S1069" i="1" s="1"/>
  <c r="R1069" i="1" s="1"/>
  <c r="P1068" i="1"/>
  <c r="S1068" i="1" s="1"/>
  <c r="R1068" i="1" s="1"/>
  <c r="P1067" i="1"/>
  <c r="S1067" i="1" s="1"/>
  <c r="R1067" i="1" s="1"/>
  <c r="P1065" i="1"/>
  <c r="J1065" i="1"/>
  <c r="P1064" i="1"/>
  <c r="J1064" i="1"/>
  <c r="P1063" i="1"/>
  <c r="J1063" i="1"/>
  <c r="P1061" i="1"/>
  <c r="S1061" i="1" s="1"/>
  <c r="R1061" i="1" s="1"/>
  <c r="P1059" i="1"/>
  <c r="S1059" i="1" s="1"/>
  <c r="R1059" i="1" s="1"/>
  <c r="P1058" i="1"/>
  <c r="S1058" i="1" s="1"/>
  <c r="R1058" i="1" s="1"/>
  <c r="P1055" i="1"/>
  <c r="S1055" i="1" s="1"/>
  <c r="R1055" i="1" s="1"/>
  <c r="P1052" i="1"/>
  <c r="S1052" i="1" s="1"/>
  <c r="R1052" i="1" s="1"/>
  <c r="P1051" i="1"/>
  <c r="S1051" i="1" s="1"/>
  <c r="R1051" i="1" s="1"/>
  <c r="P1050" i="1"/>
  <c r="S1050" i="1" s="1"/>
  <c r="R1050" i="1" s="1"/>
  <c r="P1047" i="1"/>
  <c r="J1047" i="1"/>
  <c r="P1046" i="1"/>
  <c r="J1046" i="1"/>
  <c r="J1045" i="1"/>
  <c r="P1045" i="1"/>
  <c r="P1044" i="1"/>
  <c r="J1044" i="1"/>
  <c r="P1043" i="1"/>
  <c r="S1043" i="1" s="1"/>
  <c r="R1043" i="1" s="1"/>
  <c r="J1040" i="1"/>
  <c r="P1040" i="1"/>
  <c r="P1039" i="1"/>
  <c r="J1039" i="1"/>
  <c r="P1037" i="1"/>
  <c r="S1037" i="1" s="1"/>
  <c r="R1037" i="1" s="1"/>
  <c r="P1036" i="1"/>
  <c r="J1036" i="1"/>
  <c r="P1035" i="1"/>
  <c r="J1035" i="1"/>
  <c r="P1034" i="1"/>
  <c r="J1034" i="1"/>
  <c r="P1033" i="1"/>
  <c r="J1033" i="1"/>
  <c r="P1032" i="1"/>
  <c r="J1032" i="1"/>
  <c r="P1031" i="1"/>
  <c r="J1031" i="1"/>
  <c r="P1030" i="1"/>
  <c r="J1030" i="1"/>
  <c r="P1027" i="1"/>
  <c r="S1027" i="1" s="1"/>
  <c r="R1027" i="1" s="1"/>
  <c r="P1026" i="1"/>
  <c r="S1026" i="1" s="1"/>
  <c r="R1026" i="1" s="1"/>
  <c r="P1025" i="1"/>
  <c r="S1025" i="1" s="1"/>
  <c r="R1025" i="1" s="1"/>
  <c r="P1024" i="1"/>
  <c r="S1024" i="1" s="1"/>
  <c r="R1024" i="1" s="1"/>
  <c r="P1023" i="1"/>
  <c r="S1023" i="1" s="1"/>
  <c r="R1023" i="1" s="1"/>
  <c r="P1021" i="1"/>
  <c r="S1021" i="1" s="1"/>
  <c r="R1021" i="1" s="1"/>
  <c r="P1020" i="1"/>
  <c r="S1020" i="1" s="1"/>
  <c r="R1020" i="1" s="1"/>
  <c r="P1019" i="1"/>
  <c r="S1019" i="1" s="1"/>
  <c r="R1019" i="1" s="1"/>
  <c r="P1015" i="1"/>
  <c r="S1015" i="1" s="1"/>
  <c r="R1015" i="1" s="1"/>
  <c r="P1014" i="1"/>
  <c r="S1014" i="1" s="1"/>
  <c r="R1014" i="1" s="1"/>
  <c r="P1013" i="1"/>
  <c r="S1013" i="1" s="1"/>
  <c r="R1013" i="1" s="1"/>
  <c r="P1010" i="1"/>
  <c r="J1010" i="1"/>
  <c r="P1008" i="1"/>
  <c r="S1008" i="1" s="1"/>
  <c r="R1008" i="1" s="1"/>
  <c r="P1007" i="1"/>
  <c r="S1007" i="1" s="1"/>
  <c r="R1007" i="1" s="1"/>
  <c r="P998" i="1"/>
  <c r="J998" i="1"/>
  <c r="P997" i="1"/>
  <c r="J997" i="1"/>
  <c r="P995" i="1"/>
  <c r="S995" i="1" s="1"/>
  <c r="R995" i="1" s="1"/>
  <c r="P992" i="1"/>
  <c r="J992" i="1"/>
  <c r="P989" i="1"/>
  <c r="J989" i="1"/>
  <c r="P988" i="1"/>
  <c r="J988" i="1"/>
  <c r="P987" i="1"/>
  <c r="S987" i="1" s="1"/>
  <c r="R987" i="1" s="1"/>
  <c r="P986" i="1"/>
  <c r="S986" i="1" s="1"/>
  <c r="R986" i="1" s="1"/>
  <c r="P985" i="1"/>
  <c r="J985" i="1"/>
  <c r="P984" i="1"/>
  <c r="J984" i="1"/>
  <c r="P980" i="1"/>
  <c r="S980" i="1" s="1"/>
  <c r="R980" i="1" s="1"/>
  <c r="P969" i="1"/>
  <c r="S969" i="1" s="1"/>
  <c r="R969" i="1" s="1"/>
  <c r="P963" i="1"/>
  <c r="S963" i="1" s="1"/>
  <c r="R963" i="1" s="1"/>
  <c r="P962" i="1"/>
  <c r="J962" i="1"/>
  <c r="P961" i="1"/>
  <c r="J961" i="1"/>
  <c r="P959" i="1"/>
  <c r="S959" i="1" s="1"/>
  <c r="R959" i="1" s="1"/>
  <c r="P957" i="1"/>
  <c r="S957" i="1" s="1"/>
  <c r="R957" i="1" s="1"/>
  <c r="P950" i="1"/>
  <c r="J950" i="1"/>
  <c r="P949" i="1"/>
  <c r="J949" i="1"/>
  <c r="P948" i="1"/>
  <c r="J948" i="1"/>
  <c r="P946" i="1"/>
  <c r="J946" i="1"/>
  <c r="P945" i="1"/>
  <c r="J945" i="1"/>
  <c r="P944" i="1"/>
  <c r="J944" i="1"/>
  <c r="J943" i="1"/>
  <c r="P943" i="1"/>
  <c r="P942" i="1"/>
  <c r="J942" i="1"/>
  <c r="P940" i="1"/>
  <c r="S940" i="1" s="1"/>
  <c r="R940" i="1" s="1"/>
  <c r="P939" i="1"/>
  <c r="S939" i="1" s="1"/>
  <c r="R939" i="1" s="1"/>
  <c r="P937" i="1"/>
  <c r="S937" i="1" s="1"/>
  <c r="R937" i="1" s="1"/>
  <c r="P936" i="1"/>
  <c r="S936" i="1" s="1"/>
  <c r="R936" i="1" s="1"/>
  <c r="P930" i="1"/>
  <c r="J930" i="1"/>
  <c r="P928" i="1"/>
  <c r="S928" i="1" s="1"/>
  <c r="R928" i="1" s="1"/>
  <c r="P924" i="1"/>
  <c r="S924" i="1" s="1"/>
  <c r="R924" i="1" s="1"/>
  <c r="P923" i="1"/>
  <c r="S923" i="1" s="1"/>
  <c r="R923" i="1" s="1"/>
  <c r="P922" i="1"/>
  <c r="S922" i="1" s="1"/>
  <c r="R922" i="1" s="1"/>
  <c r="P921" i="1"/>
  <c r="S921" i="1" s="1"/>
  <c r="R921" i="1" s="1"/>
  <c r="P920" i="1"/>
  <c r="S920" i="1" s="1"/>
  <c r="R920" i="1" s="1"/>
  <c r="P910" i="1"/>
  <c r="S910" i="1" s="1"/>
  <c r="R910" i="1" s="1"/>
  <c r="P909" i="1"/>
  <c r="S909" i="1" s="1"/>
  <c r="R909" i="1" s="1"/>
  <c r="P908" i="1"/>
  <c r="S908" i="1" s="1"/>
  <c r="R908" i="1" s="1"/>
  <c r="P893" i="1"/>
  <c r="S893" i="1" s="1"/>
  <c r="R893" i="1" s="1"/>
  <c r="P892" i="1"/>
  <c r="S892" i="1" s="1"/>
  <c r="R892" i="1" s="1"/>
  <c r="P891" i="1"/>
  <c r="S891" i="1" s="1"/>
  <c r="R891" i="1" s="1"/>
  <c r="P889" i="1"/>
  <c r="J889" i="1"/>
  <c r="P886" i="1"/>
  <c r="S886" i="1" s="1"/>
  <c r="R886" i="1" s="1"/>
  <c r="P883" i="1"/>
  <c r="S883" i="1" s="1"/>
  <c r="R883" i="1" s="1"/>
  <c r="P868" i="1"/>
  <c r="S868" i="1" s="1"/>
  <c r="R868" i="1" s="1"/>
  <c r="P867" i="1"/>
  <c r="J867" i="1"/>
  <c r="P866" i="1"/>
  <c r="J866" i="1"/>
  <c r="P865" i="1"/>
  <c r="J865" i="1"/>
  <c r="P864" i="1"/>
  <c r="J864" i="1"/>
  <c r="P863" i="1"/>
  <c r="J863" i="1"/>
  <c r="P861" i="1"/>
  <c r="J861" i="1"/>
  <c r="P860" i="1"/>
  <c r="J860" i="1"/>
  <c r="J859" i="1"/>
  <c r="P859" i="1"/>
  <c r="P855" i="1"/>
  <c r="S855" i="1" s="1"/>
  <c r="R855" i="1" s="1"/>
  <c r="P854" i="1"/>
  <c r="S854" i="1" s="1"/>
  <c r="R854" i="1" s="1"/>
  <c r="P852" i="1"/>
  <c r="S852" i="1" s="1"/>
  <c r="R852" i="1" s="1"/>
  <c r="P851" i="1"/>
  <c r="S851" i="1" s="1"/>
  <c r="R851" i="1" s="1"/>
  <c r="P850" i="1"/>
  <c r="S850" i="1" s="1"/>
  <c r="R850" i="1" s="1"/>
  <c r="P848" i="1"/>
  <c r="S848" i="1" s="1"/>
  <c r="R848" i="1" s="1"/>
  <c r="P847" i="1"/>
  <c r="S847" i="1" s="1"/>
  <c r="R847" i="1" s="1"/>
  <c r="P846" i="1"/>
  <c r="S846" i="1" s="1"/>
  <c r="R846" i="1" s="1"/>
  <c r="P845" i="1"/>
  <c r="S845" i="1" s="1"/>
  <c r="R845" i="1" s="1"/>
  <c r="P844" i="1"/>
  <c r="S844" i="1" s="1"/>
  <c r="R844" i="1" s="1"/>
  <c r="P843" i="1"/>
  <c r="S843" i="1" s="1"/>
  <c r="R843" i="1" s="1"/>
  <c r="P842" i="1"/>
  <c r="S842" i="1" s="1"/>
  <c r="R842" i="1" s="1"/>
  <c r="P841" i="1"/>
  <c r="S841" i="1" s="1"/>
  <c r="R841" i="1" s="1"/>
  <c r="H837" i="1"/>
  <c r="P837" i="1" s="1"/>
  <c r="S837" i="1" s="1"/>
  <c r="R837" i="1" s="1"/>
  <c r="P833" i="1"/>
  <c r="J833" i="1"/>
  <c r="P831" i="1"/>
  <c r="S831" i="1" s="1"/>
  <c r="R831" i="1" s="1"/>
  <c r="P827" i="1"/>
  <c r="S827" i="1" s="1"/>
  <c r="R827" i="1" s="1"/>
  <c r="P826" i="1"/>
  <c r="S826" i="1" s="1"/>
  <c r="R826" i="1" s="1"/>
  <c r="P821" i="1"/>
  <c r="S821" i="1" s="1"/>
  <c r="R821" i="1" s="1"/>
  <c r="P820" i="1"/>
  <c r="S820" i="1" s="1"/>
  <c r="R820" i="1" s="1"/>
  <c r="P818" i="1"/>
  <c r="J818" i="1"/>
  <c r="P816" i="1"/>
  <c r="S816" i="1" s="1"/>
  <c r="R816" i="1" s="1"/>
  <c r="P812" i="1"/>
  <c r="S812" i="1" s="1"/>
  <c r="R812" i="1" s="1"/>
  <c r="P810" i="1"/>
  <c r="S810" i="1" s="1"/>
  <c r="R810" i="1" s="1"/>
  <c r="P809" i="1"/>
  <c r="S809" i="1" s="1"/>
  <c r="R809" i="1" s="1"/>
  <c r="P808" i="1"/>
  <c r="S808" i="1" s="1"/>
  <c r="R808" i="1" s="1"/>
  <c r="P807" i="1"/>
  <c r="S807" i="1" s="1"/>
  <c r="R807" i="1" s="1"/>
  <c r="P806" i="1"/>
  <c r="S806" i="1" s="1"/>
  <c r="R806" i="1" s="1"/>
  <c r="P803" i="1"/>
  <c r="S803" i="1" s="1"/>
  <c r="R803" i="1" s="1"/>
  <c r="P802" i="1"/>
  <c r="S802" i="1" s="1"/>
  <c r="R802" i="1" s="1"/>
  <c r="P799" i="1"/>
  <c r="S799" i="1" s="1"/>
  <c r="R799" i="1" s="1"/>
  <c r="P798" i="1"/>
  <c r="S798" i="1" s="1"/>
  <c r="R798" i="1" s="1"/>
  <c r="P797" i="1"/>
  <c r="S797" i="1" s="1"/>
  <c r="R797" i="1" s="1"/>
  <c r="P796" i="1"/>
  <c r="S796" i="1" s="1"/>
  <c r="R796" i="1" s="1"/>
  <c r="P795" i="1"/>
  <c r="S795" i="1" s="1"/>
  <c r="R795" i="1" s="1"/>
  <c r="P791" i="1"/>
  <c r="S791" i="1" s="1"/>
  <c r="R791" i="1" s="1"/>
  <c r="P789" i="1"/>
  <c r="J789" i="1"/>
  <c r="P788" i="1"/>
  <c r="J788" i="1"/>
  <c r="P787" i="1"/>
  <c r="J787" i="1"/>
  <c r="P785" i="1"/>
  <c r="J785" i="1"/>
  <c r="P784" i="1"/>
  <c r="J784" i="1"/>
  <c r="P783" i="1"/>
  <c r="J783" i="1"/>
  <c r="P781" i="1"/>
  <c r="J781" i="1"/>
  <c r="J780" i="1"/>
  <c r="P780" i="1"/>
  <c r="P779" i="1"/>
  <c r="J779" i="1"/>
  <c r="P778" i="1"/>
  <c r="S778" i="1" s="1"/>
  <c r="R778" i="1" s="1"/>
  <c r="P776" i="1"/>
  <c r="J776" i="1"/>
  <c r="P775" i="1"/>
  <c r="J775" i="1"/>
  <c r="J774" i="1"/>
  <c r="P774" i="1"/>
  <c r="J773" i="1"/>
  <c r="P773" i="1"/>
  <c r="P772" i="1"/>
  <c r="J772" i="1"/>
  <c r="P770" i="1"/>
  <c r="J770" i="1"/>
  <c r="P768" i="1"/>
  <c r="J768" i="1"/>
  <c r="P765" i="1"/>
  <c r="S765" i="1" s="1"/>
  <c r="R765" i="1" s="1"/>
  <c r="P764" i="1"/>
  <c r="S764" i="1" s="1"/>
  <c r="R764" i="1" s="1"/>
  <c r="P763" i="1"/>
  <c r="S763" i="1" s="1"/>
  <c r="R763" i="1" s="1"/>
  <c r="P762" i="1"/>
  <c r="S762" i="1" s="1"/>
  <c r="R762" i="1" s="1"/>
  <c r="P760" i="1"/>
  <c r="S760" i="1" s="1"/>
  <c r="R760" i="1" s="1"/>
  <c r="P758" i="1"/>
  <c r="S758" i="1" s="1"/>
  <c r="R758" i="1" s="1"/>
  <c r="P751" i="1"/>
  <c r="S751" i="1" s="1"/>
  <c r="R751" i="1" s="1"/>
  <c r="P750" i="1"/>
  <c r="S750" i="1" s="1"/>
  <c r="R750" i="1" s="1"/>
  <c r="P748" i="1"/>
  <c r="S748" i="1" s="1"/>
  <c r="R748" i="1" s="1"/>
  <c r="P744" i="1"/>
  <c r="S744" i="1" s="1"/>
  <c r="R744" i="1" s="1"/>
  <c r="P740" i="1"/>
  <c r="J740" i="1"/>
  <c r="P735" i="1"/>
  <c r="J735" i="1"/>
  <c r="P734" i="1"/>
  <c r="J734" i="1"/>
  <c r="P729" i="1"/>
  <c r="S729" i="1" s="1"/>
  <c r="R729" i="1" s="1"/>
  <c r="P727" i="1"/>
  <c r="J727" i="1"/>
  <c r="P726" i="1"/>
  <c r="P721" i="1"/>
  <c r="S721" i="1" s="1"/>
  <c r="R721" i="1" s="1"/>
  <c r="P719" i="1"/>
  <c r="S719" i="1" s="1"/>
  <c r="R719" i="1" s="1"/>
  <c r="P718" i="1"/>
  <c r="J718" i="1"/>
  <c r="P709" i="1"/>
  <c r="J709" i="1"/>
  <c r="P708" i="1"/>
  <c r="J708" i="1"/>
  <c r="P707" i="1"/>
  <c r="J707" i="1"/>
  <c r="P704" i="1"/>
  <c r="S704" i="1" s="1"/>
  <c r="R704" i="1" s="1"/>
  <c r="P701" i="1"/>
  <c r="J701" i="1"/>
  <c r="P700" i="1"/>
  <c r="J700" i="1"/>
  <c r="P698" i="1"/>
  <c r="S698" i="1" s="1"/>
  <c r="R698" i="1" s="1"/>
  <c r="P697" i="1"/>
  <c r="S697" i="1" s="1"/>
  <c r="R697" i="1" s="1"/>
  <c r="P696" i="1"/>
  <c r="S696" i="1" s="1"/>
  <c r="R696" i="1" s="1"/>
  <c r="P695" i="1"/>
  <c r="S695" i="1" s="1"/>
  <c r="R695" i="1" s="1"/>
  <c r="P694" i="1"/>
  <c r="S694" i="1" s="1"/>
  <c r="R694" i="1" s="1"/>
  <c r="P693" i="1"/>
  <c r="S693" i="1" s="1"/>
  <c r="R693" i="1" s="1"/>
  <c r="P686" i="1"/>
  <c r="S686" i="1" s="1"/>
  <c r="R686" i="1" s="1"/>
  <c r="P685" i="1"/>
  <c r="S685" i="1" s="1"/>
  <c r="R685" i="1" s="1"/>
  <c r="P675" i="1"/>
  <c r="J675" i="1"/>
  <c r="P674" i="1"/>
  <c r="S674" i="1" s="1"/>
  <c r="R674" i="1" s="1"/>
  <c r="P673" i="1"/>
  <c r="S673" i="1" s="1"/>
  <c r="R673" i="1" s="1"/>
  <c r="P672" i="1"/>
  <c r="S672" i="1" s="1"/>
  <c r="R672" i="1" s="1"/>
  <c r="P670" i="1"/>
  <c r="J670" i="1"/>
  <c r="P669" i="1"/>
  <c r="J669" i="1"/>
  <c r="P668" i="1"/>
  <c r="J668" i="1"/>
  <c r="J667" i="1"/>
  <c r="P667" i="1"/>
  <c r="P666" i="1"/>
  <c r="J666" i="1"/>
  <c r="P665" i="1"/>
  <c r="J665" i="1"/>
  <c r="P664" i="1"/>
  <c r="J664" i="1"/>
  <c r="P663" i="1"/>
  <c r="S663" i="1" s="1"/>
  <c r="R663" i="1" s="1"/>
  <c r="P662" i="1"/>
  <c r="J662" i="1"/>
  <c r="J661" i="1"/>
  <c r="P661" i="1"/>
  <c r="P659" i="1"/>
  <c r="J659" i="1"/>
  <c r="P658" i="1"/>
  <c r="J658" i="1"/>
  <c r="P657" i="1"/>
  <c r="J657" i="1"/>
  <c r="P653" i="1"/>
  <c r="J653" i="1"/>
  <c r="P651" i="1"/>
  <c r="J651" i="1"/>
  <c r="P650" i="1"/>
  <c r="J650" i="1"/>
  <c r="P649" i="1"/>
  <c r="J649" i="1"/>
  <c r="P648" i="1"/>
  <c r="J648" i="1"/>
  <c r="P647" i="1"/>
  <c r="S647" i="1" s="1"/>
  <c r="R647" i="1" s="1"/>
  <c r="P646" i="1"/>
  <c r="J646" i="1"/>
  <c r="P645" i="1"/>
  <c r="J645" i="1"/>
  <c r="P644" i="1"/>
  <c r="S644" i="1" s="1"/>
  <c r="R644" i="1" s="1"/>
  <c r="P642" i="1"/>
  <c r="S642" i="1" s="1"/>
  <c r="R642" i="1" s="1"/>
  <c r="P641" i="1"/>
  <c r="S641" i="1" s="1"/>
  <c r="R641" i="1" s="1"/>
  <c r="P639" i="1"/>
  <c r="S639" i="1" s="1"/>
  <c r="R639" i="1" s="1"/>
  <c r="P638" i="1"/>
  <c r="S638" i="1" s="1"/>
  <c r="R638" i="1" s="1"/>
  <c r="P636" i="1"/>
  <c r="S636" i="1" s="1"/>
  <c r="R636" i="1" s="1"/>
  <c r="P635" i="1"/>
  <c r="S635" i="1" s="1"/>
  <c r="R635" i="1" s="1"/>
  <c r="P632" i="1"/>
  <c r="S632" i="1" s="1"/>
  <c r="R632" i="1" s="1"/>
  <c r="P631" i="1"/>
  <c r="S631" i="1" s="1"/>
  <c r="R631" i="1" s="1"/>
  <c r="P630" i="1"/>
  <c r="S630" i="1" s="1"/>
  <c r="R630" i="1" s="1"/>
  <c r="P628" i="1"/>
  <c r="S628" i="1" s="1"/>
  <c r="R628" i="1" s="1"/>
  <c r="P627" i="1"/>
  <c r="S627" i="1" s="1"/>
  <c r="R627" i="1" s="1"/>
  <c r="P626" i="1"/>
  <c r="S626" i="1" s="1"/>
  <c r="R626" i="1" s="1"/>
  <c r="P625" i="1"/>
  <c r="S625" i="1" s="1"/>
  <c r="R625" i="1" s="1"/>
  <c r="P621" i="1"/>
  <c r="S621" i="1" s="1"/>
  <c r="R621" i="1" s="1"/>
  <c r="P620" i="1"/>
  <c r="S620" i="1" s="1"/>
  <c r="R620" i="1" s="1"/>
  <c r="P618" i="1"/>
  <c r="S618" i="1" s="1"/>
  <c r="R618" i="1" s="1"/>
  <c r="P617" i="1"/>
  <c r="S617" i="1" s="1"/>
  <c r="R617" i="1" s="1"/>
  <c r="P616" i="1"/>
  <c r="S616" i="1" s="1"/>
  <c r="R616" i="1" s="1"/>
  <c r="P615" i="1"/>
  <c r="S615" i="1" s="1"/>
  <c r="R615" i="1" s="1"/>
  <c r="P608" i="1"/>
  <c r="J608" i="1"/>
  <c r="P607" i="1"/>
  <c r="S607" i="1" s="1"/>
  <c r="R607" i="1" s="1"/>
  <c r="P606" i="1"/>
  <c r="J606" i="1"/>
  <c r="P605" i="1"/>
  <c r="S605" i="1" s="1"/>
  <c r="R605" i="1" s="1"/>
  <c r="P600" i="1"/>
  <c r="S600" i="1" s="1"/>
  <c r="R600" i="1" s="1"/>
  <c r="P599" i="1"/>
  <c r="S599" i="1" s="1"/>
  <c r="R599" i="1" s="1"/>
  <c r="P596" i="1"/>
  <c r="S596" i="1" s="1"/>
  <c r="R596" i="1" s="1"/>
  <c r="P594" i="1"/>
  <c r="S594" i="1" s="1"/>
  <c r="R594" i="1" s="1"/>
  <c r="P592" i="1"/>
  <c r="S592" i="1" s="1"/>
  <c r="R592" i="1" s="1"/>
  <c r="P591" i="1"/>
  <c r="S591" i="1" s="1"/>
  <c r="R591" i="1" s="1"/>
  <c r="P588" i="1"/>
  <c r="S588" i="1" s="1"/>
  <c r="R588" i="1" s="1"/>
  <c r="P584" i="1"/>
  <c r="J584" i="1"/>
  <c r="P583" i="1"/>
  <c r="J583" i="1"/>
  <c r="P577" i="1"/>
  <c r="S577" i="1" s="1"/>
  <c r="R577" i="1" s="1"/>
  <c r="P576" i="1"/>
  <c r="S576" i="1" s="1"/>
  <c r="R576" i="1" s="1"/>
  <c r="J567" i="1"/>
  <c r="P567" i="1"/>
  <c r="J566" i="1"/>
  <c r="P566" i="1"/>
  <c r="P565" i="1"/>
  <c r="J565" i="1"/>
  <c r="P563" i="1"/>
  <c r="S563" i="1" s="1"/>
  <c r="R563" i="1" s="1"/>
  <c r="P562" i="1"/>
  <c r="S562" i="1" s="1"/>
  <c r="R562" i="1" s="1"/>
  <c r="P559" i="1"/>
  <c r="S559" i="1" s="1"/>
  <c r="R559" i="1" s="1"/>
  <c r="J558" i="1"/>
  <c r="P558" i="1"/>
  <c r="J557" i="1"/>
  <c r="J556" i="1"/>
  <c r="P556" i="1"/>
  <c r="P553" i="1"/>
  <c r="S553" i="1" s="1"/>
  <c r="R553" i="1" s="1"/>
  <c r="P552" i="1"/>
  <c r="S552" i="1" s="1"/>
  <c r="R552" i="1" s="1"/>
  <c r="P551" i="1"/>
  <c r="S551" i="1" s="1"/>
  <c r="R551" i="1" s="1"/>
  <c r="P550" i="1"/>
  <c r="S550" i="1" s="1"/>
  <c r="R550" i="1" s="1"/>
  <c r="P549" i="1"/>
  <c r="S549" i="1" s="1"/>
  <c r="R549" i="1" s="1"/>
  <c r="P545" i="1"/>
  <c r="S545" i="1" s="1"/>
  <c r="R545" i="1" s="1"/>
  <c r="J542" i="1"/>
  <c r="P542" i="1"/>
  <c r="P541" i="1"/>
  <c r="J541" i="1"/>
  <c r="P540" i="1"/>
  <c r="J540" i="1"/>
  <c r="P539" i="1"/>
  <c r="J539" i="1"/>
  <c r="P537" i="1"/>
  <c r="S537" i="1" s="1"/>
  <c r="R537" i="1" s="1"/>
  <c r="P536" i="1"/>
  <c r="S536" i="1" s="1"/>
  <c r="R536" i="1" s="1"/>
  <c r="P535" i="1"/>
  <c r="S535" i="1" s="1"/>
  <c r="R535" i="1" s="1"/>
  <c r="P534" i="1"/>
  <c r="S534" i="1" s="1"/>
  <c r="R534" i="1" s="1"/>
  <c r="P533" i="1"/>
  <c r="S533" i="1" s="1"/>
  <c r="R533" i="1" s="1"/>
  <c r="P532" i="1"/>
  <c r="S532" i="1" s="1"/>
  <c r="R532" i="1" s="1"/>
  <c r="P529" i="1"/>
  <c r="S529" i="1" s="1"/>
  <c r="R529" i="1" s="1"/>
  <c r="P526" i="1"/>
  <c r="S526" i="1" s="1"/>
  <c r="R526" i="1" s="1"/>
  <c r="P524" i="1"/>
  <c r="S524" i="1" s="1"/>
  <c r="R524" i="1" s="1"/>
  <c r="J521" i="1"/>
  <c r="P521" i="1"/>
  <c r="J520" i="1"/>
  <c r="P520" i="1"/>
  <c r="P519" i="1"/>
  <c r="J519" i="1"/>
  <c r="J515" i="1"/>
  <c r="P515" i="1"/>
  <c r="P514" i="1"/>
  <c r="J514" i="1"/>
  <c r="P512" i="1"/>
  <c r="J512" i="1"/>
  <c r="P511" i="1"/>
  <c r="J511" i="1"/>
  <c r="J510" i="1"/>
  <c r="P510" i="1"/>
  <c r="P509" i="1"/>
  <c r="J509" i="1"/>
  <c r="R508" i="1"/>
  <c r="P503" i="1"/>
  <c r="J503" i="1"/>
  <c r="P502" i="1"/>
  <c r="J502" i="1"/>
  <c r="J501" i="1"/>
  <c r="P501" i="1"/>
  <c r="P499" i="1"/>
  <c r="J499" i="1"/>
  <c r="P497" i="1"/>
  <c r="J497" i="1"/>
  <c r="P496" i="1"/>
  <c r="J496" i="1"/>
  <c r="P495" i="1"/>
  <c r="J495" i="1"/>
  <c r="P488" i="1"/>
  <c r="J488" i="1"/>
  <c r="P485" i="1"/>
  <c r="S485" i="1" s="1"/>
  <c r="R485" i="1" s="1"/>
  <c r="P482" i="1"/>
  <c r="J482" i="1"/>
  <c r="P481" i="1"/>
  <c r="J481" i="1"/>
  <c r="P480" i="1"/>
  <c r="J480" i="1"/>
  <c r="P473" i="1"/>
  <c r="J473" i="1"/>
  <c r="P472" i="1"/>
  <c r="J472" i="1"/>
  <c r="P470" i="1"/>
  <c r="S470" i="1" s="1"/>
  <c r="R470" i="1" s="1"/>
  <c r="P469" i="1"/>
  <c r="S469" i="1" s="1"/>
  <c r="R469" i="1" s="1"/>
  <c r="P468" i="1"/>
  <c r="S468" i="1" s="1"/>
  <c r="R468" i="1" s="1"/>
  <c r="P467" i="1"/>
  <c r="S467" i="1" s="1"/>
  <c r="R467" i="1" s="1"/>
  <c r="P466" i="1"/>
  <c r="S466" i="1" s="1"/>
  <c r="R466" i="1" s="1"/>
  <c r="P465" i="1"/>
  <c r="S465" i="1" s="1"/>
  <c r="R465" i="1" s="1"/>
  <c r="P464" i="1"/>
  <c r="S464" i="1" s="1"/>
  <c r="R464" i="1" s="1"/>
  <c r="P462" i="1"/>
  <c r="S462" i="1" s="1"/>
  <c r="R462" i="1" s="1"/>
  <c r="P461" i="1"/>
  <c r="S461" i="1" s="1"/>
  <c r="R461" i="1" s="1"/>
  <c r="P443" i="1"/>
  <c r="S443" i="1" s="1"/>
  <c r="R443" i="1" s="1"/>
  <c r="P441" i="1"/>
  <c r="S441" i="1" s="1"/>
  <c r="R441" i="1" s="1"/>
  <c r="P440" i="1"/>
  <c r="S440" i="1" s="1"/>
  <c r="R440" i="1" s="1"/>
  <c r="P439" i="1"/>
  <c r="S439" i="1" s="1"/>
  <c r="R439" i="1" s="1"/>
  <c r="P438" i="1"/>
  <c r="S438" i="1" s="1"/>
  <c r="R438" i="1" s="1"/>
  <c r="P437" i="1"/>
  <c r="S437" i="1" s="1"/>
  <c r="R437" i="1" s="1"/>
  <c r="P434" i="1"/>
  <c r="S434" i="1" s="1"/>
  <c r="R434" i="1" s="1"/>
  <c r="P433" i="1"/>
  <c r="S433" i="1" s="1"/>
  <c r="R433" i="1" s="1"/>
  <c r="P431" i="1"/>
  <c r="S431" i="1" s="1"/>
  <c r="R431" i="1" s="1"/>
  <c r="P422" i="1"/>
  <c r="S422" i="1" s="1"/>
  <c r="R422" i="1" s="1"/>
  <c r="P419" i="1"/>
  <c r="J419" i="1"/>
  <c r="P414" i="1"/>
  <c r="J414" i="1"/>
  <c r="P413" i="1"/>
  <c r="J413" i="1"/>
  <c r="P410" i="1"/>
  <c r="J410" i="1"/>
  <c r="P409" i="1"/>
  <c r="J409" i="1"/>
  <c r="P408" i="1"/>
  <c r="J408" i="1"/>
  <c r="P407" i="1"/>
  <c r="J407" i="1"/>
  <c r="P405" i="1"/>
  <c r="S405" i="1" s="1"/>
  <c r="R405" i="1" s="1"/>
  <c r="P404" i="1"/>
  <c r="S404" i="1" s="1"/>
  <c r="R404" i="1" s="1"/>
  <c r="P403" i="1"/>
  <c r="S403" i="1" s="1"/>
  <c r="R403" i="1" s="1"/>
  <c r="P402" i="1"/>
  <c r="S402" i="1" s="1"/>
  <c r="R402" i="1" s="1"/>
  <c r="P401" i="1"/>
  <c r="S401" i="1" s="1"/>
  <c r="R401" i="1" s="1"/>
  <c r="P400" i="1"/>
  <c r="S400" i="1" s="1"/>
  <c r="R400" i="1" s="1"/>
  <c r="P389" i="1"/>
  <c r="J389" i="1"/>
  <c r="P388" i="1"/>
  <c r="J388" i="1"/>
  <c r="P385" i="1"/>
  <c r="J385" i="1"/>
  <c r="P384" i="1"/>
  <c r="J384" i="1"/>
  <c r="P379" i="1"/>
  <c r="S379" i="1" s="1"/>
  <c r="R379" i="1" s="1"/>
  <c r="P378" i="1"/>
  <c r="S378" i="1" s="1"/>
  <c r="R378" i="1" s="1"/>
  <c r="P376" i="1"/>
  <c r="S376" i="1" s="1"/>
  <c r="R376" i="1" s="1"/>
  <c r="P374" i="1"/>
  <c r="S374" i="1" s="1"/>
  <c r="R374" i="1" s="1"/>
  <c r="P372" i="1"/>
  <c r="S372" i="1" s="1"/>
  <c r="R372" i="1" s="1"/>
  <c r="P371" i="1"/>
  <c r="S371" i="1" s="1"/>
  <c r="R371" i="1" s="1"/>
  <c r="P370" i="1"/>
  <c r="S370" i="1" s="1"/>
  <c r="R370" i="1" s="1"/>
  <c r="P369" i="1"/>
  <c r="S369" i="1" s="1"/>
  <c r="R369" i="1" s="1"/>
  <c r="P368" i="1"/>
  <c r="S368" i="1" s="1"/>
  <c r="R368" i="1" s="1"/>
  <c r="P366" i="1"/>
  <c r="J366" i="1"/>
  <c r="P351" i="1"/>
  <c r="J351" i="1"/>
  <c r="P348" i="1"/>
  <c r="J348" i="1"/>
  <c r="P347" i="1"/>
  <c r="J347" i="1"/>
  <c r="P345" i="1"/>
  <c r="J345" i="1"/>
  <c r="P344" i="1"/>
  <c r="J344" i="1"/>
  <c r="P338" i="1"/>
  <c r="S338" i="1" s="1"/>
  <c r="R338" i="1" s="1"/>
  <c r="P335" i="1"/>
  <c r="S335" i="1" s="1"/>
  <c r="R335" i="1" s="1"/>
  <c r="P332" i="1"/>
  <c r="S332" i="1" s="1"/>
  <c r="R332" i="1" s="1"/>
  <c r="P328" i="1"/>
  <c r="J328" i="1"/>
  <c r="P327" i="1"/>
  <c r="J327" i="1"/>
  <c r="P323" i="1"/>
  <c r="S323" i="1" s="1"/>
  <c r="R323" i="1" s="1"/>
  <c r="P322" i="1"/>
  <c r="S322" i="1" s="1"/>
  <c r="R322" i="1" s="1"/>
  <c r="P319" i="1"/>
  <c r="S319" i="1" s="1"/>
  <c r="R319" i="1" s="1"/>
  <c r="P316" i="1"/>
  <c r="J316" i="1"/>
  <c r="P314" i="1"/>
  <c r="J314" i="1"/>
  <c r="P312" i="1"/>
  <c r="S312" i="1" s="1"/>
  <c r="R312" i="1" s="1"/>
  <c r="P311" i="1"/>
  <c r="S311" i="1" s="1"/>
  <c r="R311" i="1" s="1"/>
  <c r="P310" i="1"/>
  <c r="S310" i="1" s="1"/>
  <c r="R310" i="1" s="1"/>
  <c r="P309" i="1"/>
  <c r="S309" i="1" s="1"/>
  <c r="R309" i="1" s="1"/>
  <c r="P303" i="1"/>
  <c r="S303" i="1" s="1"/>
  <c r="R303" i="1" s="1"/>
  <c r="P302" i="1"/>
  <c r="S302" i="1" s="1"/>
  <c r="R302" i="1" s="1"/>
  <c r="P299" i="1"/>
  <c r="J299" i="1"/>
  <c r="P298" i="1"/>
  <c r="S298" i="1" s="1"/>
  <c r="R298" i="1" s="1"/>
  <c r="P295" i="1"/>
  <c r="S295" i="1" s="1"/>
  <c r="R295" i="1" s="1"/>
  <c r="J293" i="1"/>
  <c r="P293" i="1"/>
  <c r="J292" i="1"/>
  <c r="J291" i="1"/>
  <c r="P291" i="1"/>
  <c r="P289" i="1"/>
  <c r="S289" i="1" s="1"/>
  <c r="R289" i="1" s="1"/>
  <c r="J288" i="1"/>
  <c r="H288" i="1"/>
  <c r="P288" i="1" s="1"/>
  <c r="P286" i="1"/>
  <c r="S286" i="1" s="1"/>
  <c r="R286" i="1" s="1"/>
  <c r="P285" i="1"/>
  <c r="S285" i="1" s="1"/>
  <c r="R285" i="1" s="1"/>
  <c r="P283" i="1"/>
  <c r="S283" i="1" s="1"/>
  <c r="R283" i="1" s="1"/>
  <c r="P276" i="1"/>
  <c r="S276" i="1" s="1"/>
  <c r="R276" i="1" s="1"/>
  <c r="P275" i="1"/>
  <c r="S275" i="1" s="1"/>
  <c r="R275" i="1" s="1"/>
  <c r="P273" i="1"/>
  <c r="S273" i="1" s="1"/>
  <c r="R273" i="1" s="1"/>
  <c r="P270" i="1"/>
  <c r="S270" i="1" s="1"/>
  <c r="R270" i="1" s="1"/>
  <c r="P267" i="1"/>
  <c r="S267" i="1" s="1"/>
  <c r="R267" i="1" s="1"/>
  <c r="P266" i="1"/>
  <c r="J266" i="1"/>
  <c r="P263" i="1"/>
  <c r="S263" i="1" s="1"/>
  <c r="R263" i="1" s="1"/>
  <c r="P261" i="1"/>
  <c r="S261" i="1" s="1"/>
  <c r="R261" i="1" s="1"/>
  <c r="P259" i="1"/>
  <c r="S259" i="1" s="1"/>
  <c r="R259" i="1" s="1"/>
  <c r="P256" i="1"/>
  <c r="J256" i="1"/>
  <c r="P255" i="1"/>
  <c r="J255" i="1"/>
  <c r="J254" i="1"/>
  <c r="P254" i="1"/>
  <c r="J253" i="1"/>
  <c r="P253" i="1"/>
  <c r="P252" i="1"/>
  <c r="J252" i="1"/>
  <c r="P251" i="1"/>
  <c r="J251" i="1"/>
  <c r="P250" i="1"/>
  <c r="S250" i="1" s="1"/>
  <c r="R250" i="1" s="1"/>
  <c r="P249" i="1"/>
  <c r="S249" i="1" s="1"/>
  <c r="R249" i="1" s="1"/>
  <c r="P245" i="1"/>
  <c r="J245" i="1"/>
  <c r="P244" i="1"/>
  <c r="J244" i="1"/>
  <c r="P241" i="1"/>
  <c r="S241" i="1" s="1"/>
  <c r="R241" i="1" s="1"/>
  <c r="P240" i="1"/>
  <c r="S240" i="1" s="1"/>
  <c r="R240" i="1" s="1"/>
  <c r="P238" i="1"/>
  <c r="S238" i="1" s="1"/>
  <c r="R238" i="1" s="1"/>
  <c r="P237" i="1"/>
  <c r="S237" i="1" s="1"/>
  <c r="R237" i="1" s="1"/>
  <c r="P235" i="1"/>
  <c r="S235" i="1" s="1"/>
  <c r="R235" i="1" s="1"/>
  <c r="P233" i="1"/>
  <c r="S233" i="1" s="1"/>
  <c r="R233" i="1" s="1"/>
  <c r="J230" i="1"/>
  <c r="P230" i="1"/>
  <c r="P229" i="1"/>
  <c r="J229" i="1"/>
  <c r="P225" i="1"/>
  <c r="J225" i="1"/>
  <c r="P224" i="1"/>
  <c r="P220" i="1"/>
  <c r="J220" i="1"/>
  <c r="P219" i="1"/>
  <c r="J219" i="1"/>
  <c r="P218" i="1"/>
  <c r="J218" i="1"/>
  <c r="P214" i="1"/>
  <c r="J214" i="1"/>
  <c r="P210" i="1"/>
  <c r="J210" i="1"/>
  <c r="P209" i="1"/>
  <c r="J209" i="1"/>
  <c r="P206" i="1"/>
  <c r="J206" i="1"/>
  <c r="P205" i="1"/>
  <c r="J205" i="1"/>
  <c r="P204" i="1"/>
  <c r="J204" i="1"/>
  <c r="J202" i="1"/>
  <c r="H202" i="1"/>
  <c r="P202" i="1" s="1"/>
  <c r="J201" i="1"/>
  <c r="H201" i="1"/>
  <c r="P201" i="1" s="1"/>
  <c r="P197" i="1"/>
  <c r="J197" i="1"/>
  <c r="P195" i="1"/>
  <c r="J195" i="1"/>
  <c r="P191" i="1"/>
  <c r="J191" i="1"/>
  <c r="P185" i="1"/>
  <c r="J185" i="1"/>
  <c r="J184" i="1"/>
  <c r="P184" i="1"/>
  <c r="P183" i="1"/>
  <c r="J183" i="1"/>
  <c r="P180" i="1"/>
  <c r="J180" i="1"/>
  <c r="J179" i="1"/>
  <c r="P179" i="1"/>
  <c r="P178" i="1"/>
  <c r="J178" i="1"/>
  <c r="P177" i="1"/>
  <c r="J177" i="1"/>
  <c r="J176" i="1"/>
  <c r="P176" i="1"/>
  <c r="J175" i="1"/>
  <c r="P174" i="1"/>
  <c r="J174" i="1"/>
  <c r="P173" i="1"/>
  <c r="J173" i="1"/>
  <c r="P168" i="1"/>
  <c r="S168" i="1" s="1"/>
  <c r="R168" i="1" s="1"/>
  <c r="P165" i="1"/>
  <c r="J165" i="1"/>
  <c r="P164" i="1"/>
  <c r="S164" i="1" s="1"/>
  <c r="R164" i="1" s="1"/>
  <c r="P163" i="1"/>
  <c r="J163" i="1"/>
  <c r="P162" i="1"/>
  <c r="J162" i="1"/>
  <c r="P160" i="1"/>
  <c r="S160" i="1" s="1"/>
  <c r="R160" i="1" s="1"/>
  <c r="P158" i="1"/>
  <c r="S158" i="1" s="1"/>
  <c r="R158" i="1" s="1"/>
  <c r="P157" i="1"/>
  <c r="S157" i="1" s="1"/>
  <c r="R157" i="1" s="1"/>
  <c r="P156" i="1"/>
  <c r="S156" i="1" s="1"/>
  <c r="R156" i="1" s="1"/>
  <c r="P155" i="1"/>
  <c r="S155" i="1" s="1"/>
  <c r="R155" i="1" s="1"/>
  <c r="P154" i="1"/>
  <c r="S154" i="1" s="1"/>
  <c r="R154" i="1" s="1"/>
  <c r="P153" i="1"/>
  <c r="S153" i="1" s="1"/>
  <c r="R153" i="1" s="1"/>
  <c r="P152" i="1"/>
  <c r="S152" i="1" s="1"/>
  <c r="R152" i="1" s="1"/>
  <c r="P148" i="1"/>
  <c r="J148" i="1"/>
  <c r="J147" i="1"/>
  <c r="P147" i="1"/>
  <c r="P146" i="1"/>
  <c r="J146" i="1"/>
  <c r="P145" i="1"/>
  <c r="J145" i="1"/>
  <c r="P143" i="1"/>
  <c r="S143" i="1" s="1"/>
  <c r="R143" i="1" s="1"/>
  <c r="P142" i="1"/>
  <c r="S142" i="1" s="1"/>
  <c r="R142" i="1" s="1"/>
  <c r="P141" i="1"/>
  <c r="S141" i="1" s="1"/>
  <c r="R141" i="1" s="1"/>
  <c r="P140" i="1"/>
  <c r="S140" i="1" s="1"/>
  <c r="R140" i="1" s="1"/>
  <c r="P136" i="1"/>
  <c r="J136" i="1"/>
  <c r="J134" i="1"/>
  <c r="P133" i="1"/>
  <c r="J133" i="1"/>
  <c r="J132" i="1"/>
  <c r="P132" i="1"/>
  <c r="J131" i="1"/>
  <c r="J130" i="1"/>
  <c r="P130" i="1"/>
  <c r="J129" i="1"/>
  <c r="P125" i="1"/>
  <c r="J125" i="1"/>
  <c r="P124" i="1"/>
  <c r="S124" i="1" s="1"/>
  <c r="R124" i="1" s="1"/>
  <c r="P123" i="1"/>
  <c r="S123" i="1" s="1"/>
  <c r="R123" i="1" s="1"/>
  <c r="P122" i="1"/>
  <c r="S122" i="1" s="1"/>
  <c r="R122" i="1" s="1"/>
  <c r="P120" i="1"/>
  <c r="S120" i="1" s="1"/>
  <c r="R120" i="1" s="1"/>
  <c r="P118" i="1"/>
  <c r="S118" i="1" s="1"/>
  <c r="R118" i="1" s="1"/>
  <c r="P117" i="1"/>
  <c r="S117" i="1" s="1"/>
  <c r="R117" i="1" s="1"/>
  <c r="P116" i="1"/>
  <c r="S116" i="1" s="1"/>
  <c r="R116" i="1" s="1"/>
  <c r="P115" i="1"/>
  <c r="S115" i="1" s="1"/>
  <c r="R115" i="1" s="1"/>
  <c r="P114" i="1"/>
  <c r="S114" i="1" s="1"/>
  <c r="R114" i="1" s="1"/>
  <c r="P113" i="1"/>
  <c r="S113" i="1" s="1"/>
  <c r="R113" i="1" s="1"/>
  <c r="P112" i="1"/>
  <c r="S112" i="1" s="1"/>
  <c r="R112" i="1" s="1"/>
  <c r="P111" i="1"/>
  <c r="S111" i="1" s="1"/>
  <c r="R111" i="1" s="1"/>
  <c r="P110" i="1"/>
  <c r="S110" i="1" s="1"/>
  <c r="R110" i="1" s="1"/>
  <c r="P106" i="1"/>
  <c r="S106" i="1" s="1"/>
  <c r="R106" i="1" s="1"/>
  <c r="P105" i="1"/>
  <c r="S105" i="1" s="1"/>
  <c r="R105" i="1" s="1"/>
  <c r="P97" i="1"/>
  <c r="S97" i="1" s="1"/>
  <c r="R97" i="1" s="1"/>
  <c r="P96" i="1"/>
  <c r="S96" i="1" s="1"/>
  <c r="R96" i="1" s="1"/>
  <c r="P83" i="1"/>
  <c r="S83" i="1" s="1"/>
  <c r="R83" i="1" s="1"/>
  <c r="P81" i="1"/>
  <c r="S81" i="1" s="1"/>
  <c r="R81" i="1" s="1"/>
  <c r="P80" i="1"/>
  <c r="S80" i="1" s="1"/>
  <c r="R80" i="1" s="1"/>
  <c r="P77" i="1"/>
  <c r="S77" i="1" s="1"/>
  <c r="R77" i="1" s="1"/>
  <c r="P75" i="1"/>
  <c r="S75" i="1" s="1"/>
  <c r="R75" i="1" s="1"/>
  <c r="S73" i="1"/>
  <c r="R73" i="1" s="1"/>
  <c r="P71" i="1"/>
  <c r="S71" i="1" s="1"/>
  <c r="R71" i="1" s="1"/>
  <c r="P68" i="1"/>
  <c r="S68" i="1" s="1"/>
  <c r="R68" i="1" s="1"/>
  <c r="P61" i="1"/>
  <c r="S61" i="1" s="1"/>
  <c r="R61" i="1" s="1"/>
  <c r="P60" i="1"/>
  <c r="S60" i="1" s="1"/>
  <c r="R60" i="1" s="1"/>
  <c r="P59" i="1"/>
  <c r="S59" i="1" s="1"/>
  <c r="R59" i="1" s="1"/>
  <c r="J55" i="1"/>
  <c r="S55" i="1" s="1"/>
  <c r="R55" i="1" s="1"/>
  <c r="P54" i="1"/>
  <c r="J54" i="1"/>
  <c r="P52" i="1"/>
  <c r="J52" i="1"/>
  <c r="P50" i="1"/>
  <c r="S50" i="1" s="1"/>
  <c r="R50" i="1" s="1"/>
  <c r="P38" i="1"/>
  <c r="J38" i="1"/>
  <c r="P33" i="1"/>
  <c r="S33" i="1" s="1"/>
  <c r="R33" i="1" s="1"/>
  <c r="P31" i="1"/>
  <c r="S31" i="1" s="1"/>
  <c r="R31" i="1" s="1"/>
  <c r="P29" i="1"/>
  <c r="S29" i="1" s="1"/>
  <c r="R29" i="1" s="1"/>
  <c r="P24" i="1"/>
  <c r="S24" i="1" s="1"/>
  <c r="R24" i="1" s="1"/>
  <c r="P23" i="1"/>
  <c r="S23" i="1" s="1"/>
  <c r="R23" i="1" s="1"/>
  <c r="P22" i="1"/>
  <c r="S22" i="1" s="1"/>
  <c r="R22" i="1" s="1"/>
  <c r="P21" i="1"/>
  <c r="J21" i="1"/>
  <c r="P20" i="1"/>
  <c r="S20" i="1" s="1"/>
  <c r="R20" i="1" s="1"/>
  <c r="P19" i="1"/>
  <c r="J19" i="1"/>
  <c r="P18" i="1"/>
  <c r="S18" i="1" s="1"/>
  <c r="R18" i="1" s="1"/>
  <c r="P11" i="1"/>
  <c r="S11" i="1" s="1"/>
  <c r="R11" i="1" s="1"/>
  <c r="P10" i="1"/>
  <c r="S10" i="1" s="1"/>
  <c r="R10" i="1" s="1"/>
  <c r="P9" i="1"/>
  <c r="S9" i="1" s="1"/>
  <c r="R9" i="1" s="1"/>
  <c r="P8" i="1"/>
  <c r="S8" i="1" s="1"/>
  <c r="R8" i="1" s="1"/>
  <c r="P6" i="1"/>
  <c r="S6" i="1" s="1"/>
  <c r="R6" i="1" l="1"/>
  <c r="S125" i="1"/>
  <c r="R125" i="1" s="1"/>
  <c r="S557" i="1"/>
  <c r="R557" i="1" s="1"/>
  <c r="S1154" i="1"/>
  <c r="R1154" i="1" s="1"/>
  <c r="S1156" i="1"/>
  <c r="R1156" i="1" s="1"/>
  <c r="S1124" i="1"/>
  <c r="R1124" i="1" s="1"/>
  <c r="S1131" i="1"/>
  <c r="R1131" i="1" s="1"/>
  <c r="S1160" i="1"/>
  <c r="R1160" i="1" s="1"/>
  <c r="S1162" i="1"/>
  <c r="R1162" i="1" s="1"/>
  <c r="S1114" i="1"/>
  <c r="R1114" i="1" s="1"/>
  <c r="S1047" i="1"/>
  <c r="R1047" i="1" s="1"/>
  <c r="S1099" i="1"/>
  <c r="R1099" i="1" s="1"/>
  <c r="S961" i="1"/>
  <c r="R961" i="1" s="1"/>
  <c r="S988" i="1"/>
  <c r="R988" i="1" s="1"/>
  <c r="S992" i="1"/>
  <c r="R992" i="1" s="1"/>
  <c r="S584" i="1"/>
  <c r="R584" i="1" s="1"/>
  <c r="S700" i="1"/>
  <c r="R700" i="1" s="1"/>
  <c r="S818" i="1"/>
  <c r="R818" i="1" s="1"/>
  <c r="S510" i="1"/>
  <c r="R510" i="1" s="1"/>
  <c r="S520" i="1"/>
  <c r="R520" i="1" s="1"/>
  <c r="S558" i="1"/>
  <c r="R558" i="1" s="1"/>
  <c r="S565" i="1"/>
  <c r="R565" i="1" s="1"/>
  <c r="S583" i="1"/>
  <c r="R583" i="1" s="1"/>
  <c r="S608" i="1"/>
  <c r="R608" i="1" s="1"/>
  <c r="S962" i="1"/>
  <c r="R962" i="1" s="1"/>
  <c r="S989" i="1"/>
  <c r="R989" i="1" s="1"/>
  <c r="S645" i="1"/>
  <c r="R645" i="1" s="1"/>
  <c r="S863" i="1"/>
  <c r="R863" i="1" s="1"/>
  <c r="S197" i="1"/>
  <c r="R197" i="1" s="1"/>
  <c r="S293" i="1"/>
  <c r="R293" i="1" s="1"/>
  <c r="S658" i="1"/>
  <c r="R658" i="1" s="1"/>
  <c r="S407" i="1"/>
  <c r="R407" i="1" s="1"/>
  <c r="S408" i="1"/>
  <c r="R408" i="1" s="1"/>
  <c r="S410" i="1"/>
  <c r="R410" i="1" s="1"/>
  <c r="S414" i="1"/>
  <c r="R414" i="1" s="1"/>
  <c r="S659" i="1"/>
  <c r="R659" i="1" s="1"/>
  <c r="S288" i="1"/>
  <c r="R288" i="1" s="1"/>
  <c r="S327" i="1"/>
  <c r="R327" i="1" s="1"/>
  <c r="S776" i="1"/>
  <c r="R776" i="1" s="1"/>
  <c r="S132" i="1"/>
  <c r="R132" i="1" s="1"/>
  <c r="S224" i="1"/>
  <c r="R224" i="1" s="1"/>
  <c r="S229" i="1"/>
  <c r="R229" i="1" s="1"/>
  <c r="S495" i="1"/>
  <c r="R495" i="1" s="1"/>
  <c r="S497" i="1"/>
  <c r="R497" i="1" s="1"/>
  <c r="S195" i="1"/>
  <c r="R195" i="1" s="1"/>
  <c r="S409" i="1"/>
  <c r="R409" i="1" s="1"/>
  <c r="S413" i="1"/>
  <c r="R413" i="1" s="1"/>
  <c r="S419" i="1"/>
  <c r="R419" i="1" s="1"/>
  <c r="S718" i="1"/>
  <c r="R718" i="1" s="1"/>
  <c r="S726" i="1"/>
  <c r="R726" i="1" s="1"/>
  <c r="S735" i="1"/>
  <c r="R735" i="1" s="1"/>
  <c r="S773" i="1"/>
  <c r="R773" i="1" s="1"/>
  <c r="S780" i="1"/>
  <c r="R780" i="1" s="1"/>
  <c r="S145" i="1"/>
  <c r="R145" i="1" s="1"/>
  <c r="S136" i="1"/>
  <c r="R136" i="1" s="1"/>
  <c r="S146" i="1"/>
  <c r="R146" i="1" s="1"/>
  <c r="S202" i="1"/>
  <c r="R202" i="1" s="1"/>
  <c r="S230" i="1"/>
  <c r="R230" i="1" s="1"/>
  <c r="S344" i="1"/>
  <c r="R344" i="1" s="1"/>
  <c r="S496" i="1"/>
  <c r="R496" i="1" s="1"/>
  <c r="S499" i="1"/>
  <c r="R499" i="1" s="1"/>
  <c r="S515" i="1"/>
  <c r="R515" i="1" s="1"/>
  <c r="S521" i="1"/>
  <c r="R521" i="1" s="1"/>
  <c r="S774" i="1"/>
  <c r="R774" i="1" s="1"/>
  <c r="S19" i="1"/>
  <c r="R19" i="1" s="1"/>
  <c r="S178" i="1"/>
  <c r="R178" i="1" s="1"/>
  <c r="S180" i="1"/>
  <c r="R180" i="1" s="1"/>
  <c r="S204" i="1"/>
  <c r="R204" i="1" s="1"/>
  <c r="S206" i="1"/>
  <c r="R206" i="1" s="1"/>
  <c r="S556" i="1"/>
  <c r="R556" i="1" s="1"/>
  <c r="S709" i="1"/>
  <c r="R709" i="1" s="1"/>
  <c r="S734" i="1"/>
  <c r="R734" i="1" s="1"/>
  <c r="S740" i="1"/>
  <c r="R740" i="1" s="1"/>
  <c r="S787" i="1"/>
  <c r="R787" i="1" s="1"/>
  <c r="S864" i="1"/>
  <c r="R864" i="1" s="1"/>
  <c r="S866" i="1"/>
  <c r="R866" i="1" s="1"/>
  <c r="S930" i="1"/>
  <c r="R930" i="1" s="1"/>
  <c r="S944" i="1"/>
  <c r="R944" i="1" s="1"/>
  <c r="S998" i="1"/>
  <c r="R998" i="1" s="1"/>
  <c r="S1010" i="1"/>
  <c r="R1010" i="1" s="1"/>
  <c r="S1113" i="1"/>
  <c r="R1113" i="1" s="1"/>
  <c r="S1125" i="1"/>
  <c r="R1125" i="1" s="1"/>
  <c r="S1130" i="1"/>
  <c r="R1130" i="1" s="1"/>
  <c r="S1132" i="1"/>
  <c r="R1132" i="1" s="1"/>
  <c r="S1134" i="1"/>
  <c r="R1134" i="1" s="1"/>
  <c r="S646" i="1"/>
  <c r="R646" i="1" s="1"/>
  <c r="S701" i="1"/>
  <c r="R701" i="1" s="1"/>
  <c r="S708" i="1"/>
  <c r="R708" i="1" s="1"/>
  <c r="S859" i="1"/>
  <c r="R859" i="1" s="1"/>
  <c r="S1044" i="1"/>
  <c r="R1044" i="1" s="1"/>
  <c r="S1046" i="1"/>
  <c r="R1046" i="1" s="1"/>
  <c r="S1098" i="1"/>
  <c r="R1098" i="1" s="1"/>
  <c r="S177" i="1"/>
  <c r="R177" i="1" s="1"/>
  <c r="S183" i="1"/>
  <c r="R183" i="1" s="1"/>
  <c r="S201" i="1"/>
  <c r="R201" i="1" s="1"/>
  <c r="S205" i="1"/>
  <c r="R205" i="1" s="1"/>
  <c r="S254" i="1"/>
  <c r="R254" i="1" s="1"/>
  <c r="S266" i="1"/>
  <c r="R266" i="1" s="1"/>
  <c r="S488" i="1"/>
  <c r="R488" i="1" s="1"/>
  <c r="S667" i="1"/>
  <c r="R667" i="1" s="1"/>
  <c r="S783" i="1"/>
  <c r="R783" i="1" s="1"/>
  <c r="S865" i="1"/>
  <c r="R865" i="1" s="1"/>
  <c r="S867" i="1"/>
  <c r="R867" i="1" s="1"/>
  <c r="S945" i="1"/>
  <c r="R945" i="1" s="1"/>
  <c r="S948" i="1"/>
  <c r="R948" i="1" s="1"/>
  <c r="S997" i="1"/>
  <c r="R997" i="1" s="1"/>
  <c r="S21" i="1"/>
  <c r="R21" i="1" s="1"/>
  <c r="S133" i="1"/>
  <c r="R133" i="1" s="1"/>
  <c r="S147" i="1"/>
  <c r="R147" i="1" s="1"/>
  <c r="S163" i="1"/>
  <c r="R163" i="1" s="1"/>
  <c r="S173" i="1"/>
  <c r="R173" i="1" s="1"/>
  <c r="S176" i="1"/>
  <c r="R176" i="1" s="1"/>
  <c r="S184" i="1"/>
  <c r="R184" i="1" s="1"/>
  <c r="S191" i="1"/>
  <c r="R191" i="1" s="1"/>
  <c r="S209" i="1"/>
  <c r="R209" i="1" s="1"/>
  <c r="S214" i="1"/>
  <c r="R214" i="1" s="1"/>
  <c r="S219" i="1"/>
  <c r="R219" i="1" s="1"/>
  <c r="S252" i="1"/>
  <c r="R252" i="1" s="1"/>
  <c r="S256" i="1"/>
  <c r="R256" i="1" s="1"/>
  <c r="S291" i="1"/>
  <c r="R291" i="1" s="1"/>
  <c r="S314" i="1"/>
  <c r="R314" i="1" s="1"/>
  <c r="S316" i="1"/>
  <c r="R316" i="1" s="1"/>
  <c r="S345" i="1"/>
  <c r="R345" i="1" s="1"/>
  <c r="S348" i="1"/>
  <c r="R348" i="1" s="1"/>
  <c r="S366" i="1"/>
  <c r="R366" i="1" s="1"/>
  <c r="S384" i="1"/>
  <c r="R384" i="1" s="1"/>
  <c r="S388" i="1"/>
  <c r="R388" i="1" s="1"/>
  <c r="S501" i="1"/>
  <c r="R501" i="1" s="1"/>
  <c r="S503" i="1"/>
  <c r="R503" i="1" s="1"/>
  <c r="S509" i="1"/>
  <c r="R509" i="1" s="1"/>
  <c r="S519" i="1"/>
  <c r="R519" i="1" s="1"/>
  <c r="S540" i="1"/>
  <c r="R540" i="1" s="1"/>
  <c r="S567" i="1"/>
  <c r="R567" i="1" s="1"/>
  <c r="S650" i="1"/>
  <c r="R650" i="1" s="1"/>
  <c r="S653" i="1"/>
  <c r="R653" i="1" s="1"/>
  <c r="S661" i="1"/>
  <c r="R661" i="1" s="1"/>
  <c r="S665" i="1"/>
  <c r="R665" i="1" s="1"/>
  <c r="S669" i="1"/>
  <c r="R669" i="1" s="1"/>
  <c r="S670" i="1"/>
  <c r="R670" i="1" s="1"/>
  <c r="S770" i="1"/>
  <c r="R770" i="1" s="1"/>
  <c r="S788" i="1"/>
  <c r="R788" i="1" s="1"/>
  <c r="S861" i="1"/>
  <c r="R861" i="1" s="1"/>
  <c r="S943" i="1"/>
  <c r="R943" i="1" s="1"/>
  <c r="S949" i="1"/>
  <c r="R949" i="1" s="1"/>
  <c r="S1031" i="1"/>
  <c r="R1031" i="1" s="1"/>
  <c r="S1033" i="1"/>
  <c r="R1033" i="1" s="1"/>
  <c r="S1035" i="1"/>
  <c r="R1035" i="1" s="1"/>
  <c r="S1040" i="1"/>
  <c r="R1040" i="1" s="1"/>
  <c r="S1045" i="1"/>
  <c r="R1045" i="1" s="1"/>
  <c r="S1063" i="1"/>
  <c r="R1063" i="1" s="1"/>
  <c r="S1065" i="1"/>
  <c r="R1065" i="1" s="1"/>
  <c r="S1102" i="1"/>
  <c r="R1102" i="1" s="1"/>
  <c r="S1159" i="1"/>
  <c r="R1159" i="1" s="1"/>
  <c r="S1161" i="1"/>
  <c r="R1161" i="1" s="1"/>
  <c r="S1155" i="1"/>
  <c r="R1155" i="1" s="1"/>
  <c r="S1157" i="1"/>
  <c r="R1157" i="1" s="1"/>
  <c r="S54" i="1"/>
  <c r="R54" i="1" s="1"/>
  <c r="S130" i="1"/>
  <c r="R130" i="1" s="1"/>
  <c r="S162" i="1"/>
  <c r="R162" i="1" s="1"/>
  <c r="S174" i="1"/>
  <c r="R174" i="1" s="1"/>
  <c r="S179" i="1"/>
  <c r="R179" i="1" s="1"/>
  <c r="S210" i="1"/>
  <c r="R210" i="1" s="1"/>
  <c r="S218" i="1"/>
  <c r="R218" i="1" s="1"/>
  <c r="S220" i="1"/>
  <c r="R220" i="1" s="1"/>
  <c r="S251" i="1"/>
  <c r="R251" i="1" s="1"/>
  <c r="S255" i="1"/>
  <c r="R255" i="1" s="1"/>
  <c r="S351" i="1"/>
  <c r="R351" i="1" s="1"/>
  <c r="S385" i="1"/>
  <c r="R385" i="1" s="1"/>
  <c r="S389" i="1"/>
  <c r="R389" i="1" s="1"/>
  <c r="S472" i="1"/>
  <c r="R472" i="1" s="1"/>
  <c r="S473" i="1"/>
  <c r="R473" i="1" s="1"/>
  <c r="S539" i="1"/>
  <c r="R539" i="1" s="1"/>
  <c r="S541" i="1"/>
  <c r="R541" i="1" s="1"/>
  <c r="S651" i="1"/>
  <c r="R651" i="1" s="1"/>
  <c r="S657" i="1"/>
  <c r="R657" i="1" s="1"/>
  <c r="S664" i="1"/>
  <c r="R664" i="1" s="1"/>
  <c r="S666" i="1"/>
  <c r="R666" i="1" s="1"/>
  <c r="S668" i="1"/>
  <c r="R668" i="1" s="1"/>
  <c r="S707" i="1"/>
  <c r="R707" i="1" s="1"/>
  <c r="S772" i="1"/>
  <c r="R772" i="1" s="1"/>
  <c r="S779" i="1"/>
  <c r="R779" i="1" s="1"/>
  <c r="S781" i="1"/>
  <c r="R781" i="1" s="1"/>
  <c r="S860" i="1"/>
  <c r="R860" i="1" s="1"/>
  <c r="S950" i="1"/>
  <c r="R950" i="1" s="1"/>
  <c r="S1030" i="1"/>
  <c r="R1030" i="1" s="1"/>
  <c r="S1034" i="1"/>
  <c r="R1034" i="1" s="1"/>
  <c r="S1036" i="1"/>
  <c r="R1036" i="1" s="1"/>
  <c r="S1064" i="1"/>
  <c r="R1064" i="1" s="1"/>
  <c r="S1095" i="1"/>
  <c r="R1095" i="1" s="1"/>
  <c r="S889" i="1"/>
  <c r="R889" i="1" s="1"/>
  <c r="S148" i="1"/>
  <c r="R148" i="1" s="1"/>
  <c r="S511" i="1"/>
  <c r="R511" i="1" s="1"/>
  <c r="S662" i="1"/>
  <c r="R662" i="1" s="1"/>
  <c r="S244" i="1"/>
  <c r="R244" i="1" s="1"/>
  <c r="S984" i="1"/>
  <c r="R984" i="1" s="1"/>
  <c r="S1039" i="1"/>
  <c r="R1039" i="1" s="1"/>
  <c r="S502" i="1"/>
  <c r="R502" i="1" s="1"/>
  <c r="S38" i="1"/>
  <c r="R38" i="1" s="1"/>
  <c r="S165" i="1"/>
  <c r="R165" i="1" s="1"/>
  <c r="S185" i="1"/>
  <c r="R185" i="1" s="1"/>
  <c r="S512" i="1"/>
  <c r="R512" i="1" s="1"/>
  <c r="S514" i="1"/>
  <c r="R514" i="1" s="1"/>
  <c r="S225" i="1"/>
  <c r="R225" i="1" s="1"/>
  <c r="S245" i="1"/>
  <c r="R245" i="1" s="1"/>
  <c r="S328" i="1"/>
  <c r="R328" i="1" s="1"/>
  <c r="S480" i="1"/>
  <c r="R480" i="1" s="1"/>
  <c r="S482" i="1"/>
  <c r="R482" i="1" s="1"/>
  <c r="S768" i="1"/>
  <c r="R768" i="1" s="1"/>
  <c r="S784" i="1"/>
  <c r="R784" i="1" s="1"/>
  <c r="S942" i="1"/>
  <c r="R942" i="1" s="1"/>
  <c r="S985" i="1"/>
  <c r="R985" i="1" s="1"/>
  <c r="S299" i="1"/>
  <c r="R299" i="1" s="1"/>
  <c r="S481" i="1"/>
  <c r="R481" i="1" s="1"/>
  <c r="S606" i="1"/>
  <c r="R606" i="1" s="1"/>
  <c r="S775" i="1"/>
  <c r="R775" i="1" s="1"/>
  <c r="S785" i="1"/>
  <c r="R785" i="1" s="1"/>
  <c r="S789" i="1"/>
  <c r="R789" i="1" s="1"/>
  <c r="P175" i="1"/>
  <c r="S175" i="1" s="1"/>
  <c r="R175" i="1" s="1"/>
  <c r="S253" i="1"/>
  <c r="R253" i="1" s="1"/>
  <c r="P129" i="1"/>
  <c r="S129" i="1" s="1"/>
  <c r="R129" i="1" s="1"/>
  <c r="P292" i="1"/>
  <c r="S292" i="1" s="1"/>
  <c r="R292" i="1" s="1"/>
  <c r="S52" i="1"/>
  <c r="R52" i="1" s="1"/>
  <c r="P131" i="1"/>
  <c r="S131" i="1" s="1"/>
  <c r="R131" i="1" s="1"/>
  <c r="P134" i="1"/>
  <c r="S134" i="1" s="1"/>
  <c r="R134" i="1" s="1"/>
  <c r="S347" i="1"/>
  <c r="R347" i="1" s="1"/>
  <c r="P476" i="1"/>
  <c r="S476" i="1" s="1"/>
  <c r="R476" i="1" s="1"/>
  <c r="S566" i="1"/>
  <c r="R566" i="1" s="1"/>
  <c r="S542" i="1"/>
  <c r="R542" i="1" s="1"/>
  <c r="S649" i="1"/>
  <c r="R649" i="1" s="1"/>
  <c r="S648" i="1"/>
  <c r="R648" i="1" s="1"/>
  <c r="P757" i="1"/>
  <c r="S757" i="1" s="1"/>
  <c r="R757" i="1" s="1"/>
  <c r="S833" i="1"/>
  <c r="R833" i="1" s="1"/>
  <c r="S946" i="1"/>
  <c r="R946" i="1" s="1"/>
  <c r="S675" i="1"/>
  <c r="R675" i="1" s="1"/>
  <c r="S727" i="1"/>
  <c r="R727" i="1" s="1"/>
  <c r="S1094" i="1"/>
  <c r="R1094" i="1" s="1"/>
  <c r="S1032" i="1"/>
  <c r="R1032" i="1" s="1"/>
  <c r="P1084" i="1"/>
  <c r="S1084" i="1" s="1"/>
  <c r="R1084" i="1" s="1"/>
  <c r="S1186" i="1" l="1"/>
  <c r="R1186" i="1"/>
</calcChain>
</file>

<file path=xl/sharedStrings.xml><?xml version="1.0" encoding="utf-8"?>
<sst xmlns="http://schemas.openxmlformats.org/spreadsheetml/2006/main" count="9192" uniqueCount="1049">
  <si>
    <t>NAMA BARANG</t>
  </si>
  <si>
    <t>SUPLIER</t>
  </si>
  <si>
    <t>STOCK AWAL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</si>
  <si>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</si>
  <si>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</si>
  <si>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</si>
  <si>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</si>
  <si>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</si>
  <si>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</si>
  <si>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</si>
  <si>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</si>
  <si>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</si>
  <si>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</si>
  <si>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</si>
  <si>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</si>
  <si>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</si>
  <si>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</si>
  <si>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</si>
  <si>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</si>
  <si>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</si>
  <si>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</si>
  <si>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</si>
  <si>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</si>
  <si>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</si>
  <si>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</si>
  <si>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</si>
  <si>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</si>
  <si>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</si>
  <si>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</si>
  <si>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</si>
  <si>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</si>
  <si>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</si>
  <si>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</si>
  <si>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</si>
  <si>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</si>
  <si>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</si>
  <si>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</si>
  <si>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</si>
  <si>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</si>
  <si>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</si>
  <si>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</si>
  <si>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</si>
  <si>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</si>
  <si>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</si>
  <si>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</si>
  <si>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</si>
  <si>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</si>
  <si>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</si>
  <si>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</si>
  <si>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</si>
  <si>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</si>
  <si>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</si>
  <si>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</si>
  <si>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</si>
  <si>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</si>
  <si>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</si>
  <si>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</si>
  <si>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</si>
  <si>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</si>
  <si>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</si>
  <si>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</si>
  <si>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</si>
  <si>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</si>
  <si>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</si>
  <si>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</si>
  <si>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</si>
  <si>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</si>
  <si>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</si>
  <si>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</si>
  <si>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</si>
  <si>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</si>
  <si>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</si>
  <si>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</si>
  <si>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</si>
  <si>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</si>
  <si>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</si>
  <si>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</si>
  <si>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</si>
  <si>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</si>
  <si>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</si>
  <si>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</si>
  <si>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</si>
  <si>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</si>
  <si>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</si>
  <si>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</si>
  <si>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</si>
  <si>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</si>
  <si>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</si>
  <si>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</si>
  <si>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</si>
  <si>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</si>
  <si>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</si>
  <si>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</si>
  <si>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</si>
  <si>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</si>
  <si>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</si>
  <si>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</si>
  <si>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</si>
  <si>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</si>
  <si>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</si>
  <si>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</si>
  <si>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</si>
  <si>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</si>
  <si>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</si>
  <si>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</si>
  <si>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</si>
  <si>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</si>
  <si>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</si>
  <si>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</si>
  <si>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</si>
  <si>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</si>
  <si>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</si>
  <si>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</si>
  <si>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</si>
  <si>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</si>
  <si>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</si>
  <si>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</si>
  <si>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</si>
  <si>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</si>
  <si>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</si>
  <si>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</si>
  <si>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</si>
  <si>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</si>
  <si>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</si>
  <si>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</si>
  <si>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</si>
  <si>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</si>
  <si>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</si>
  <si>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</si>
  <si>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</si>
  <si>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</si>
  <si>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</si>
  <si>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</si>
  <si>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</si>
  <si>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</si>
  <si>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</si>
  <si>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</si>
  <si>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</si>
  <si>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</si>
  <si>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</si>
  <si>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</si>
  <si>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</si>
  <si>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</si>
  <si>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</si>
  <si>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</si>
  <si>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</si>
  <si>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</si>
  <si>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</si>
  <si>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</si>
  <si>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</si>
  <si>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</si>
  <si>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</si>
  <si>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</si>
  <si>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</si>
  <si>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</si>
  <si>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</si>
  <si>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</si>
  <si>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</si>
  <si>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</si>
  <si>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</si>
  <si>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</si>
  <si>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</si>
  <si>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</si>
  <si>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</si>
  <si>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</si>
  <si>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</si>
  <si>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</si>
  <si>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</si>
  <si>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</si>
  <si>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</si>
  <si>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</si>
  <si>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</si>
  <si>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</si>
  <si>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</si>
  <si>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</si>
  <si>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</si>
  <si>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</si>
  <si>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</si>
  <si>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</si>
  <si>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</si>
  <si>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</si>
  <si>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</si>
  <si>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</si>
  <si>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</si>
  <si>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</si>
  <si>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</si>
  <si>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</si>
  <si>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</si>
  <si>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</si>
  <si>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</si>
  <si>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</si>
  <si>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</si>
  <si>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</si>
  <si>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</si>
  <si>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</si>
  <si>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</si>
  <si>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</si>
  <si>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</si>
  <si>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</si>
  <si>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</si>
  <si>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</si>
  <si>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</si>
  <si>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</si>
  <si>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</si>
  <si>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</si>
  <si>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</si>
  <si>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</si>
  <si>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</si>
  <si>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</si>
  <si>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</si>
  <si>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</si>
  <si>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</si>
  <si>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</si>
  <si>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</si>
  <si>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</si>
  <si>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</si>
  <si>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</si>
  <si>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</si>
  <si>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</si>
  <si>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</si>
  <si>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</si>
  <si>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</si>
  <si>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</si>
  <si>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</si>
  <si>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</si>
  <si>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</si>
  <si>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</si>
  <si>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</si>
  <si>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</si>
  <si>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</si>
  <si>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</si>
  <si>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</si>
  <si>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</si>
  <si>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</si>
  <si>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</si>
  <si>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</si>
  <si>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</si>
  <si>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</si>
  <si>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</si>
  <si>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</si>
  <si>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</si>
  <si>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</si>
  <si>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</si>
  <si>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</si>
  <si>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</si>
  <si>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</si>
  <si>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</si>
  <si>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</si>
  <si>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</si>
  <si>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</si>
  <si>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</si>
  <si>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</si>
  <si>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</si>
  <si>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</si>
  <si>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</si>
  <si>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</si>
  <si>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</si>
  <si>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</si>
  <si>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</si>
  <si>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</si>
  <si>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</si>
  <si>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</si>
  <si>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</si>
  <si>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</si>
  <si>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</si>
  <si>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</si>
  <si>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</si>
  <si>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</si>
  <si>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</si>
  <si>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</si>
  <si>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</si>
  <si>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</si>
  <si>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</si>
  <si>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</si>
  <si>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</si>
  <si>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</si>
  <si>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</si>
  <si>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</si>
  <si>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</si>
  <si>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</si>
  <si>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</si>
  <si>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</si>
  <si>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</si>
  <si>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</si>
  <si>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</si>
  <si>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</si>
  <si>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</si>
  <si>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</si>
  <si>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</si>
  <si>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</si>
  <si>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</si>
  <si>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</si>
  <si>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</si>
  <si>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</si>
  <si>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</si>
  <si>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</si>
  <si>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</si>
  <si>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</si>
  <si>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</si>
  <si>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</si>
  <si>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</si>
  <si>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</si>
  <si>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</si>
  <si>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</si>
  <si>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</si>
  <si>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</si>
  <si>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</si>
  <si>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</si>
  <si>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</si>
  <si>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</si>
  <si>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</si>
  <si>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</si>
  <si>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</si>
  <si>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</si>
  <si>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</si>
  <si>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</si>
  <si>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</si>
  <si>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</si>
  <si>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</si>
  <si>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</si>
  <si>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</si>
  <si>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</si>
  <si>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</si>
  <si>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</si>
  <si>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</si>
  <si>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</si>
  <si>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</si>
  <si>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</si>
  <si>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</si>
  <si>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</si>
  <si>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</si>
  <si>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</si>
  <si>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</si>
  <si>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</si>
  <si>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</si>
  <si>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</si>
  <si>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</si>
  <si>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</si>
  <si>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</si>
  <si>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</si>
  <si>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</si>
  <si>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</si>
  <si>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</si>
  <si>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</si>
  <si>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</si>
  <si>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</si>
  <si>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</si>
  <si>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</si>
  <si>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</si>
  <si>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</si>
  <si>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</si>
  <si>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</si>
  <si>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</si>
  <si>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</si>
  <si>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</si>
  <si>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</si>
  <si>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</si>
  <si>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</si>
  <si>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</si>
  <si>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</si>
  <si>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</si>
  <si>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</si>
  <si>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</si>
  <si>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</si>
  <si>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</si>
  <si>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</si>
  <si>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</si>
  <si>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</si>
  <si>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</si>
  <si>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</si>
  <si>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</si>
  <si>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</si>
  <si>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</si>
  <si>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</si>
  <si>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</si>
  <si>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</si>
  <si>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</si>
  <si>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</si>
  <si>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</si>
  <si>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</si>
  <si>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</si>
  <si>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</si>
  <si>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</si>
  <si>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</si>
  <si>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</si>
  <si>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</si>
  <si>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</si>
  <si>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</si>
  <si>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</si>
  <si>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</si>
  <si>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</si>
  <si>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</si>
  <si>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</si>
  <si>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</si>
  <si>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</si>
  <si>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</si>
  <si>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</si>
  <si>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</si>
  <si>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</si>
  <si>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</si>
  <si>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</si>
  <si>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</si>
  <si>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</si>
  <si>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</si>
  <si>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</si>
  <si>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</si>
  <si>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</si>
  <si>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</si>
  <si>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</si>
  <si>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</si>
  <si>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</si>
  <si>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</si>
  <si>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</si>
  <si>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</si>
  <si>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</si>
  <si>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</si>
  <si>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</si>
  <si>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</si>
  <si>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</si>
  <si>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</si>
  <si>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</si>
  <si>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</si>
  <si>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</si>
  <si>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</si>
  <si>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</si>
  <si>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</si>
  <si>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</si>
  <si>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</si>
  <si>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</si>
  <si>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</si>
  <si>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</si>
  <si>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</si>
  <si>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</si>
  <si>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</si>
  <si>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</si>
  <si>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</si>
  <si>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</si>
  <si>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</si>
  <si>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</si>
  <si>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</si>
  <si>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</si>
  <si>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</si>
  <si>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</si>
  <si>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</si>
  <si>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</si>
  <si>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</si>
  <si>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</si>
  <si>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</si>
  <si>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</si>
  <si>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</si>
  <si>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</si>
  <si>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</si>
  <si>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</si>
  <si>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</si>
  <si>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</si>
  <si>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</si>
  <si>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</si>
  <si>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</si>
  <si>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</si>
  <si>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</si>
  <si>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</si>
  <si>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</si>
  <si>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</si>
  <si>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</si>
  <si>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</si>
  <si>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</si>
  <si>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</si>
  <si>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</si>
  <si>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</si>
  <si>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</si>
  <si>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</si>
  <si>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</si>
  <si>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</si>
  <si>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</si>
  <si>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</si>
  <si>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</si>
  <si>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</si>
  <si>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</si>
  <si>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</si>
  <si>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</si>
  <si>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</si>
  <si>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</si>
  <si>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</si>
  <si>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</si>
  <si>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</si>
  <si>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</si>
  <si>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</si>
  <si>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</si>
  <si>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</si>
  <si>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</si>
  <si>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</si>
  <si>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</si>
  <si>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</si>
  <si>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</si>
  <si>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</si>
  <si>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</si>
  <si>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</si>
  <si>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</si>
  <si>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</si>
  <si>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</si>
  <si>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</si>
  <si>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</si>
  <si>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</si>
  <si>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</si>
  <si>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</si>
  <si>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</si>
  <si>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</si>
  <si>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</si>
  <si>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</si>
  <si>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</si>
  <si>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</si>
  <si>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</si>
  <si>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</si>
  <si>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</si>
  <si>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</si>
  <si>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</si>
  <si>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</si>
  <si>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</si>
  <si>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</si>
  <si>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</si>
  <si>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</si>
  <si>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</si>
  <si>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</si>
  <si>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</si>
  <si>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</si>
  <si>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</si>
  <si>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</si>
  <si>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</si>
  <si>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</si>
  <si>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</si>
  <si>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</si>
  <si>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</si>
  <si>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</si>
  <si>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</si>
  <si>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</si>
  <si>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</si>
  <si>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</si>
  <si>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</si>
  <si>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</si>
  <si>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</si>
  <si>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</si>
  <si>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</si>
  <si>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</si>
  <si>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</si>
  <si>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</si>
  <si>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</si>
  <si>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</si>
  <si>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</si>
  <si>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</si>
  <si>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</si>
  <si>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</si>
  <si>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</si>
  <si>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</si>
  <si>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</si>
  <si>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</si>
  <si>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</si>
  <si>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</si>
  <si>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</si>
  <si>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</si>
  <si>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</si>
  <si>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</si>
  <si>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</si>
  <si>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</si>
  <si>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</si>
  <si>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</si>
  <si>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</si>
  <si>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</si>
  <si>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</si>
  <si>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</si>
  <si>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</si>
  <si>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</si>
  <si>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</si>
  <si>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</si>
  <si>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</si>
  <si>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</si>
  <si>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</si>
  <si>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</si>
  <si>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</si>
  <si>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</si>
  <si>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</si>
  <si>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</si>
  <si>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</si>
  <si>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</si>
  <si>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</si>
  <si>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</si>
  <si>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</si>
  <si>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</si>
  <si>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</si>
  <si>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</si>
  <si>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</si>
  <si>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</si>
  <si>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</si>
  <si>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</si>
  <si>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</si>
  <si>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</si>
  <si>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</si>
  <si>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</si>
  <si>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</si>
  <si>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</si>
  <si>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</si>
  <si>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</si>
  <si>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</si>
  <si>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</si>
  <si>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</si>
  <si>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</si>
  <si>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</si>
  <si>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</si>
  <si>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</si>
  <si>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</si>
  <si>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</si>
  <si>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</si>
  <si>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</si>
  <si>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</si>
  <si>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</si>
  <si>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</si>
  <si>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</si>
  <si>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</si>
  <si>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</si>
  <si>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</si>
  <si>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</si>
  <si>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</si>
  <si>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</si>
  <si>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</si>
  <si>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</si>
  <si>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</si>
  <si>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</si>
  <si>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</si>
  <si>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</si>
  <si>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</si>
  <si>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</si>
  <si>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</si>
  <si>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</si>
  <si>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</si>
  <si>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</si>
  <si>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</si>
  <si>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</si>
  <si>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</si>
  <si>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</si>
  <si>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</si>
  <si>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</si>
  <si>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</si>
  <si>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</si>
  <si>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</si>
  <si>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</si>
  <si>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</si>
  <si>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</si>
  <si>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</si>
  <si>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</si>
  <si>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</si>
  <si>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</si>
  <si>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</si>
  <si>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</si>
  <si>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</si>
  <si>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</si>
  <si>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</si>
  <si>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</si>
  <si>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</si>
  <si>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</si>
  <si>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</si>
  <si>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</si>
  <si>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</si>
  <si>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</si>
  <si>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</si>
  <si>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</si>
  <si>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</si>
  <si>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</si>
  <si>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</si>
  <si>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</si>
  <si>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</si>
  <si>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</si>
  <si>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</si>
  <si>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</si>
  <si>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</si>
  <si>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</si>
  <si>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</si>
  <si>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</si>
  <si>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</si>
  <si>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</si>
  <si>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</si>
  <si>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</si>
  <si>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</si>
  <si>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</si>
  <si>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</si>
  <si>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</si>
  <si>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</si>
  <si>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</si>
  <si>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</si>
  <si>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</si>
  <si>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</si>
  <si>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</si>
  <si>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</si>
  <si>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</si>
  <si>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</si>
  <si>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</si>
  <si>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</si>
  <si>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</si>
  <si>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</si>
  <si>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</si>
  <si>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</si>
  <si>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</si>
  <si>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</si>
  <si>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</si>
  <si>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</si>
  <si>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</si>
  <si>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</si>
  <si>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</si>
  <si>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</si>
  <si>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</si>
  <si>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</si>
  <si>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</si>
  <si>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</si>
  <si>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</si>
  <si>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</si>
  <si>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</si>
  <si>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</si>
  <si>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</si>
  <si>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</si>
  <si>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</si>
  <si>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</si>
  <si>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</si>
  <si>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</si>
  <si>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</si>
  <si>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</si>
  <si>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</si>
  <si>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</si>
  <si>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</si>
  <si>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</si>
  <si>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</si>
  <si>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</si>
  <si>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</si>
  <si>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</si>
  <si>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</si>
  <si>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</si>
  <si>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</si>
  <si>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</si>
  <si>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</si>
  <si>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</si>
  <si>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</si>
  <si>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</si>
  <si>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</si>
  <si>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</si>
  <si>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</si>
  <si>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</si>
  <si>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</si>
  <si>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</si>
  <si>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</si>
  <si>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</si>
  <si>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</si>
  <si>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</si>
  <si>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</si>
  <si>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</si>
  <si>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</si>
  <si>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</si>
  <si>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</si>
  <si>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</si>
  <si>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</si>
  <si>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</si>
  <si>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</si>
  <si>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</si>
  <si>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</si>
  <si>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</si>
  <si>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</si>
  <si>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</si>
  <si>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</si>
  <si>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</si>
  <si>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</si>
  <si>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</si>
  <si>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</si>
  <si>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</si>
  <si>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</si>
  <si>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</si>
  <si>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</si>
  <si>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</si>
  <si>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</si>
  <si>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</si>
  <si>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</si>
  <si>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</si>
  <si>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</si>
  <si>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</si>
  <si>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</si>
  <si>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</si>
  <si>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</si>
  <si>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</si>
  <si>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</si>
  <si>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</si>
  <si>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</si>
  <si>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</si>
  <si>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</si>
  <si>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</si>
  <si>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</si>
  <si>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</si>
  <si>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</si>
  <si>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</si>
  <si>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</si>
  <si>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</si>
  <si>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</si>
  <si>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</si>
  <si>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</si>
  <si>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</si>
  <si>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</si>
  <si>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</si>
  <si>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</si>
  <si>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</si>
  <si>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</si>
  <si>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</si>
  <si>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</si>
  <si>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</si>
  <si>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</si>
  <si>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</si>
  <si>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</si>
  <si>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</si>
  <si>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</si>
  <si>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</si>
  <si>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</si>
  <si>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</si>
  <si>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</si>
  <si>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</si>
  <si>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</si>
  <si>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</si>
  <si>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</si>
  <si>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</si>
  <si>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</si>
  <si>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</si>
  <si>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</si>
  <si>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</si>
  <si>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</si>
  <si>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</si>
  <si>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</si>
  <si>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</si>
  <si>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</si>
  <si>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</si>
  <si>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</si>
  <si>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</si>
  <si>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</si>
  <si>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</si>
  <si>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</si>
  <si>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</si>
  <si>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</si>
  <si>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</si>
  <si>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</si>
  <si>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</si>
  <si>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</si>
  <si>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</si>
  <si>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</si>
  <si>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</si>
  <si>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</si>
  <si>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</si>
  <si>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</si>
  <si>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</si>
  <si>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t>GEL PEN KENKO HIGHLIGHTER GP-20 HL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</si>
  <si>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</si>
  <si>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</si>
  <si>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</si>
  <si>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</si>
  <si>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</si>
  <si>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</si>
  <si>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</si>
  <si>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</si>
  <si>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</si>
  <si>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</si>
  <si>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</si>
  <si>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CORRECTION TAPE KENKO CT-819 (8M x 5MM)</t>
  </si>
  <si>
    <t>CORRECTION TAPE KENKO CT-919 (12M x 5MM)</t>
  </si>
  <si>
    <t>GEL PEN ZHIXIN G-5016 L + ISI</t>
  </si>
  <si>
    <t>PENCIL CASE 22 x 7.5 MAGNET FC-1757</t>
  </si>
  <si>
    <t>PENCIL CASE 22 x 7.5 MAGNET FC-1758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</si>
  <si>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</si>
  <si>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</si>
  <si>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</si>
  <si>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</si>
  <si>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</si>
  <si>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</si>
  <si>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</si>
  <si>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</si>
  <si>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</si>
  <si>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</si>
  <si>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</si>
  <si>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</si>
  <si>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</si>
  <si>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</si>
  <si>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</si>
  <si>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</si>
  <si>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</si>
  <si>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</si>
  <si>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</si>
  <si>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</si>
  <si>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</si>
  <si>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</si>
  <si>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</si>
  <si>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</si>
  <si>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</si>
  <si>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</si>
  <si>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</si>
  <si>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</si>
  <si>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</si>
  <si>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</si>
  <si>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</si>
  <si>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</si>
  <si>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</si>
  <si>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</si>
  <si>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</si>
  <si>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</si>
  <si>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</si>
  <si>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KAOS</t>
  </si>
  <si>
    <t>KAOS JOYKO (Bonus)</t>
  </si>
  <si>
    <t>TINTA HERO K 1054</t>
  </si>
  <si>
    <t>JANGKA (MATH SET) JOYKO MS-100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</si>
  <si>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</si>
  <si>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</si>
  <si>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</si>
  <si>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</si>
  <si>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</si>
  <si>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</si>
  <si>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</si>
  <si>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</si>
  <si>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</si>
  <si>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</si>
  <si>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</si>
  <si>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</si>
  <si>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</si>
  <si>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</si>
  <si>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</si>
  <si>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</si>
  <si>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</si>
  <si>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</si>
  <si>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</si>
  <si>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</si>
  <si>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</si>
  <si>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</si>
  <si>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</si>
  <si>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</si>
  <si>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</si>
  <si>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</si>
  <si>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</si>
  <si>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</si>
  <si>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</si>
  <si>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</si>
  <si>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</si>
  <si>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</si>
  <si>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</si>
  <si>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</si>
  <si>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</si>
  <si>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</si>
  <si>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</si>
  <si>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</si>
  <si>
    <t>HOOK</t>
  </si>
  <si>
    <t>ADHESIVE HOOK JOYKO ADHK-3010</t>
  </si>
  <si>
    <t>ADHESIVE HOOK JOYKO ADHK-3020</t>
  </si>
  <si>
    <t>ASAHAN JOYKO A-63 ROBOT</t>
  </si>
  <si>
    <t>ASAHAN JOYKO B-24 (isi 12 pc)</t>
  </si>
  <si>
    <t>BALLPEN JOYKO BP-336 MY PASTEL</t>
  </si>
  <si>
    <t>BALLPEN JOYKO BP-342 VOKUS PTL</t>
  </si>
  <si>
    <t>BALLPEN JOYKO BP-363 VOCUS TRANS PTL HITAM</t>
  </si>
  <si>
    <t>BALLPEN KENKO BP-39 N HITAM</t>
  </si>
  <si>
    <t>BINDER CLIP KENKO NO.300 (6 PCS / BOX)</t>
  </si>
  <si>
    <t>CRAYON / OIL PASTEL PUTAR TITI TI-CP-24T TWIST</t>
  </si>
  <si>
    <t>CUTTER 18 MM ZRM L-500 (BESAR)</t>
  </si>
  <si>
    <t>GLUPEN KENKO GLP-01</t>
  </si>
  <si>
    <t>HIGHLIGHTER / STABILLO JOYKO HL-14 GREY</t>
  </si>
  <si>
    <t>PENCIL CASE 22 x 7.5 MAGNET C-2755</t>
  </si>
  <si>
    <t>PENCIL CASE 22 x 7.5 MAGNET FY-6822</t>
  </si>
  <si>
    <t>PENCIL CASE 23 x 8.5 MAGNET JH-220A</t>
  </si>
  <si>
    <t>PENSIL KAYAGI KY-OF122B-2 2B COKLAT</t>
  </si>
  <si>
    <t>PENSIL KAYAGI KY-PF2025 2B SKIN</t>
  </si>
  <si>
    <t>PENSIL KAYAGI KY-PF3051 2B FANCY</t>
  </si>
  <si>
    <t>PENSIL KAYAGI KY-PF3060 2B FANCY</t>
  </si>
  <si>
    <t>PENSIL KAYAGI KY-PF3063 2B FANCY</t>
  </si>
  <si>
    <t>PENSIL KAYAGI KY-PF3065 2B FANCY</t>
  </si>
  <si>
    <t>PENSIL KENKO 2B-6120 DOODLE</t>
  </si>
  <si>
    <t>PENSIL KENKO 2B-6393 FLUORESCENT</t>
  </si>
  <si>
    <t>SAMPUL</t>
  </si>
  <si>
    <t>SAMPUL SAMSON BOXY BATIK</t>
  </si>
  <si>
    <t>SAMPUL SAMSON KWARTO BATIK</t>
  </si>
  <si>
    <t>SPIDOL P.MARKER P500-VP</t>
  </si>
  <si>
    <t>CTN</t>
  </si>
  <si>
    <t>ASAHAN JOYKO A-33</t>
  </si>
  <si>
    <t>BALLPEN KENKO OIL GEL K-5</t>
  </si>
  <si>
    <t>TINTA STAMP PAD JOYKO SPI-12</t>
  </si>
  <si>
    <t>CUTTER 9 MM JOYKO A-300 SG (KECIL)</t>
  </si>
  <si>
    <t>GARISAN SET PVC HZ-5012</t>
  </si>
  <si>
    <t>GARISAN SET PVC HZ-5013</t>
  </si>
  <si>
    <t>GARISAN SET PVC ZO-239</t>
  </si>
  <si>
    <t>GARISAN SET PVC ZX-6116</t>
  </si>
  <si>
    <t>GEL PEN EG-V (MIKA) (EG-225)</t>
  </si>
  <si>
    <t>GEL PEN IPEN VC-8100 VANCO</t>
  </si>
  <si>
    <t>GEL PEN JOYKO GP-346 MY TEAM</t>
  </si>
  <si>
    <t>GEL PEN KLIK GP-96129 (9W/ PVC)</t>
  </si>
  <si>
    <t>HIGHLIGHTER / STABILLO VANCO HL-521</t>
  </si>
  <si>
    <t>BALON</t>
  </si>
  <si>
    <t>BALON MACARON 1022 20 X 5 LKM 2200</t>
  </si>
  <si>
    <t>NATURAL CAHAYA LESTARI</t>
  </si>
  <si>
    <t>LPG</t>
  </si>
  <si>
    <t>PENSIL WARNA JOYKO CP-812</t>
  </si>
  <si>
    <t>BALLPEN JOYKO BP-199 TRICO (3 COLOR)</t>
  </si>
  <si>
    <t>KERTAS LIPAT</t>
  </si>
  <si>
    <t>ORIGAMI FLUORESCENT ALFA 14X14</t>
  </si>
  <si>
    <t>ORIGAMI FLUORESCENT ALFA 16X16</t>
  </si>
  <si>
    <t>BALLPEN VANCO 4W VC-6201</t>
  </si>
  <si>
    <t>ASAHAN MEJA JOYKO A-5L</t>
  </si>
  <si>
    <t>ASAHAN MEJA KLM-873 ROBOT</t>
  </si>
  <si>
    <t>BINDER CLIP JOYKO 111 CO</t>
  </si>
  <si>
    <t>GEL PEN DEBOZZ CLICK 0.28 DB-G028</t>
  </si>
  <si>
    <t>GEL PEN TRIFELLO HI-TECH TF-1191</t>
  </si>
  <si>
    <t>MESIN LABEL HARGA JOYKO MX-6600N (10 DIGITS, 2 LINE)</t>
  </si>
  <si>
    <t>MIKA LAMINATING VANCO LF-100 (225 X 340)</t>
  </si>
  <si>
    <t>PAKU PAYUNG JOYKO TT-11</t>
  </si>
  <si>
    <t>PENSIL JOYKO 2B P-99 ANIMAL KINGDOM</t>
  </si>
  <si>
    <t>PENSIL KENKO 2B-6363 HITAM MATTE</t>
  </si>
  <si>
    <t>PENSIL KENKO 2B-2282 HITAM BINTANG</t>
  </si>
  <si>
    <t>SPIDOL / MARKER WB JOYKO WM-65 (BONUS)</t>
  </si>
  <si>
    <t>STIP/ PENGHAPUS B-24 M MACARON</t>
  </si>
  <si>
    <t>TAPE CUTTER JOYKO TC-119</t>
  </si>
  <si>
    <t>TAS KARUNG</t>
  </si>
  <si>
    <t>TAS KARUNG V (35 X 40)</t>
  </si>
  <si>
    <t>PEN ULIR</t>
  </si>
  <si>
    <t>PEN ULIR KENKO PU-1</t>
  </si>
  <si>
    <t>PEN ULIR KENKO PU-2</t>
  </si>
  <si>
    <t>PEN ULIR KENKO PU-3</t>
  </si>
  <si>
    <t>PEN ULIR KENKO PU-4</t>
  </si>
  <si>
    <t>TAS KARUNG V (45 X 50)</t>
  </si>
  <si>
    <t>TAS KARUNG V (55 X 65)</t>
  </si>
  <si>
    <t>VACUUM</t>
  </si>
  <si>
    <t>ISI GEL / REFILL GP-559</t>
  </si>
  <si>
    <t>CV. SAMUDERA ANGKASA JAYA</t>
  </si>
  <si>
    <t>CALCULATOR JOYKO CC-45</t>
  </si>
  <si>
    <t>ISI CUTTER 18 MM JOYKO A-100 AM/MH (KECIL)</t>
  </si>
  <si>
    <t>BALLPEN JOYKO BP-349-12 VOKUS TRANS HITAM</t>
  </si>
  <si>
    <t>CV PARAMA CREATIVINDO</t>
  </si>
  <si>
    <t>STAMP INK / TINTA</t>
  </si>
  <si>
    <t>TAS BELANJA</t>
  </si>
  <si>
    <t>BALLPEN KENKO NK-7 / 7B  BATIK / DOTS / LOLLIPOP / SOCUTE</t>
  </si>
  <si>
    <t>GEL PEN KENKO HI-TECH-H 0.4 MM HITAM / BIRU</t>
  </si>
  <si>
    <t>GEL PEN KENKO SAHARA DOTS / SNACK (HITAM/BIRU/MERAH)</t>
  </si>
  <si>
    <t>GEL PEN TIZO TG-SERIES / FANCY</t>
  </si>
  <si>
    <t>GEL PEN ZHIXIN G-SERIES / FANCY + ISI</t>
  </si>
  <si>
    <t>JML /KARTON</t>
  </si>
  <si>
    <t>Stok 2024</t>
  </si>
  <si>
    <t>SPIDOL PERMANENT JOYKO PM-34 (bonus)</t>
  </si>
  <si>
    <t>TIMBANGAN / DIGITAL SCALE JOYKO DSL-A3 (Kitchen Scale) (bonus)</t>
  </si>
  <si>
    <t>MINI DESK VACUUM JOYKO MDV-9701 (Bonus)</t>
  </si>
  <si>
    <t>FLASHLIGHT FL-91 JK (Bonus)</t>
  </si>
  <si>
    <t>NOTEBOOK KANCING 32K1008-21 (A5)</t>
  </si>
  <si>
    <t>NOTEBOOK KANCING 32K1008-22 (A5)</t>
  </si>
  <si>
    <t>NOTEBOOK SPIRAL 016-19 (80L) (A5) PVC</t>
  </si>
  <si>
    <t>NOTEBOOK SPIRAL 016-20 (80L) (A5)</t>
  </si>
  <si>
    <t>NOTEBOOK SPIRAL 016-21 (80L) (A5) PVC</t>
  </si>
  <si>
    <t>KERTAS KARBON</t>
  </si>
  <si>
    <t>HIGHLIGHTER HOLDER TY-SP 28</t>
  </si>
  <si>
    <t>HIGHLIGHTER TY-SP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</si>
</sst>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"/>
    <numFmt numFmtId="165" formatCode="0.0"/>
    <numFmt numFmtId="166" formatCode="0.000%"/>
    <numFmt numFmtId="167" formatCode="#,##0.000"/>
    <numFmt numFmtId="168" formatCode="0.000000"/>
  </numFmts>
  <fonts count="16" x14ac:knownFonts="1">
    <font>
      <sz val="11"/>
      <color theme="1"/>
      <name val="Calibri"/>
      <family val="2"/>
      <scheme val="minor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24"/>
      <name val="Khiara Script"/>
    </font>
    <font>
      <b/>
      <sz val="12"/>
      <name val="Arial Narrow"/>
      <family val="2"/>
    </font>
    <font>
      <sz val="12"/>
      <name val="Arial Narrow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4">
    <xf numFmtId="0" fontId="0" fillId="0" borderId="0" xfId="0"/>
    <xf numFmtId="0" fontId="2" fillId="0" borderId="0" xfId="0" applyFont="1" applyFill="1"/>
    <xf numFmtId="0" fontId="6" fillId="0" borderId="0" xfId="0" applyFont="1" applyFill="1" applyBorder="1"/>
    <xf numFmtId="0" fontId="6" fillId="0" borderId="0" xfId="0" applyFont="1" applyFill="1"/>
    <xf numFmtId="3" fontId="6" fillId="0" borderId="0" xfId="0" applyNumberFormat="1" applyFont="1" applyFill="1"/>
    <xf numFmtId="0" fontId="6" fillId="0" borderId="0" xfId="0" applyFont="1" applyFill="1" applyAlignment="1">
      <alignment horizontal="center"/>
    </xf>
    <xf numFmtId="3" fontId="7" fillId="0" borderId="0" xfId="0" applyNumberFormat="1" applyFont="1" applyFill="1" applyAlignment="1">
      <alignment horizontal="center"/>
    </xf>
    <xf numFmtId="3" fontId="6" fillId="0" borderId="0" xfId="0" applyNumberFormat="1" applyFont="1" applyFill="1" applyAlignment="1"/>
    <xf numFmtId="0" fontId="6" fillId="0" borderId="0" xfId="0" applyFont="1" applyFill="1" applyAlignment="1"/>
    <xf numFmtId="4" fontId="6" fillId="0" borderId="0" xfId="0" applyNumberFormat="1" applyFont="1" applyFill="1"/>
    <xf numFmtId="10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Alignment="1"/>
    <xf numFmtId="0" fontId="6" fillId="0" borderId="0" xfId="1" applyFont="1" applyFill="1" applyBorder="1"/>
    <xf numFmtId="0" fontId="6" fillId="0" borderId="9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9" xfId="1" applyFont="1" applyFill="1" applyBorder="1"/>
    <xf numFmtId="0" fontId="6" fillId="0" borderId="9" xfId="0" applyFont="1" applyFill="1" applyBorder="1" applyAlignment="1">
      <alignment vertical="center"/>
    </xf>
    <xf numFmtId="0" fontId="6" fillId="0" borderId="0" xfId="0" applyFont="1" applyFill="1" applyBorder="1" applyAlignment="1"/>
    <xf numFmtId="3" fontId="6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/>
    <xf numFmtId="4" fontId="6" fillId="0" borderId="0" xfId="0" applyNumberFormat="1" applyFont="1" applyFill="1" applyBorder="1"/>
    <xf numFmtId="1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4" fontId="1" fillId="2" borderId="2" xfId="0" quotePrefix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4" fillId="2" borderId="2" xfId="0" applyNumberFormat="1" applyFont="1" applyFill="1" applyBorder="1" applyAlignment="1">
      <alignment horizontal="center" vertical="center"/>
    </xf>
    <xf numFmtId="0" fontId="8" fillId="0" borderId="0" xfId="0" quotePrefix="1" applyFont="1" applyFill="1" applyBorder="1"/>
    <xf numFmtId="0" fontId="9" fillId="0" borderId="0" xfId="0" applyFont="1" applyFill="1" applyBorder="1"/>
    <xf numFmtId="0" fontId="7" fillId="0" borderId="0" xfId="0" applyFont="1" applyFill="1" applyBorder="1"/>
    <xf numFmtId="43" fontId="6" fillId="0" borderId="0" xfId="0" applyNumberFormat="1" applyFont="1" applyFill="1"/>
    <xf numFmtId="0" fontId="10" fillId="0" borderId="0" xfId="0" applyFont="1" applyFill="1" applyBorder="1"/>
    <xf numFmtId="0" fontId="6" fillId="0" borderId="0" xfId="0" applyFont="1" applyFill="1" applyBorder="1" applyAlignment="1">
      <alignment horizontal="left"/>
    </xf>
    <xf numFmtId="4" fontId="6" fillId="0" borderId="0" xfId="0" applyNumberFormat="1" applyFont="1" applyFill="1" applyAlignment="1">
      <alignment horizontal="center"/>
    </xf>
    <xf numFmtId="1" fontId="6" fillId="0" borderId="0" xfId="0" applyNumberFormat="1" applyFont="1" applyFill="1" applyAlignment="1"/>
    <xf numFmtId="168" fontId="6" fillId="0" borderId="0" xfId="0" applyNumberFormat="1" applyFont="1" applyFill="1"/>
    <xf numFmtId="167" fontId="6" fillId="0" borderId="0" xfId="0" applyNumberFormat="1" applyFont="1" applyFill="1"/>
    <xf numFmtId="164" fontId="6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horizontal="center"/>
    </xf>
    <xf numFmtId="10" fontId="6" fillId="0" borderId="0" xfId="0" applyNumberFormat="1" applyFont="1" applyFill="1" applyBorder="1"/>
    <xf numFmtId="164" fontId="6" fillId="0" borderId="0" xfId="0" applyNumberFormat="1" applyFont="1" applyFill="1" applyAlignment="1"/>
    <xf numFmtId="166" fontId="6" fillId="0" borderId="0" xfId="0" applyNumberFormat="1" applyFont="1" applyFill="1" applyAlignment="1">
      <alignment horizontal="center"/>
    </xf>
    <xf numFmtId="0" fontId="11" fillId="0" borderId="10" xfId="0" applyFont="1" applyFill="1" applyBorder="1"/>
    <xf numFmtId="0" fontId="12" fillId="0" borderId="10" xfId="0" applyFont="1" applyFill="1" applyBorder="1"/>
    <xf numFmtId="0" fontId="13" fillId="0" borderId="10" xfId="0" applyFont="1" applyBorder="1"/>
    <xf numFmtId="0" fontId="13" fillId="0" borderId="0" xfId="0" applyFont="1"/>
    <xf numFmtId="0" fontId="12" fillId="0" borderId="10" xfId="1" applyFont="1" applyFill="1" applyBorder="1" applyAlignment="1">
      <alignment horizontal="left"/>
    </xf>
    <xf numFmtId="0" fontId="12" fillId="0" borderId="10" xfId="0" applyFont="1" applyFill="1" applyBorder="1" applyAlignment="1"/>
    <xf numFmtId="0" fontId="12" fillId="0" borderId="10" xfId="1" applyFont="1" applyFill="1" applyBorder="1"/>
    <xf numFmtId="0" fontId="12" fillId="0" borderId="10" xfId="0" applyFont="1" applyFill="1" applyBorder="1" applyAlignment="1">
      <alignment horizontal="left"/>
    </xf>
    <xf numFmtId="0" fontId="12" fillId="0" borderId="1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6" fillId="0" borderId="0" xfId="0" quotePrefix="1" applyNumberFormat="1" applyFont="1" applyFill="1"/>
    <xf numFmtId="0" fontId="14" fillId="0" borderId="0" xfId="0" applyFont="1" applyFill="1"/>
    <xf numFmtId="3" fontId="14" fillId="0" borderId="0" xfId="0" applyNumberFormat="1" applyFont="1" applyFill="1"/>
    <xf numFmtId="0" fontId="14" fillId="0" borderId="0" xfId="0" applyFont="1" applyFill="1" applyAlignment="1">
      <alignment horizontal="center"/>
    </xf>
    <xf numFmtId="3" fontId="15" fillId="0" borderId="0" xfId="0" applyNumberFormat="1" applyFont="1" applyFill="1" applyAlignment="1">
      <alignment horizontal="center"/>
    </xf>
    <xf numFmtId="3" fontId="14" fillId="0" borderId="0" xfId="0" applyNumberFormat="1" applyFont="1" applyFill="1" applyAlignment="1"/>
    <xf numFmtId="0" fontId="14" fillId="0" borderId="0" xfId="0" applyFont="1" applyFill="1" applyAlignment="1"/>
    <xf numFmtId="4" fontId="14" fillId="0" borderId="0" xfId="0" applyNumberFormat="1" applyFont="1" applyFill="1"/>
    <xf numFmtId="10" fontId="14" fillId="0" borderId="0" xfId="0" applyNumberFormat="1" applyFont="1" applyFill="1" applyAlignment="1">
      <alignment horizontal="center"/>
    </xf>
    <xf numFmtId="0" fontId="1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6"/>
  <sheetViews>
    <sheetView tabSelected="1" zoomScaleNormal="100" workbookViewId="0">
      <pane xSplit="1" ySplit="3" topLeftCell="B1169" activePane="bottomRight" state="frozen"/>
      <selection pane="topRight" activeCell="B1" sqref="B1"/>
      <selection pane="bottomLeft" activeCell="A4" sqref="A4"/>
      <selection pane="bottomRight" activeCell="A1173" sqref="A1173:XFD1173"/>
    </sheetView>
  </sheetViews>
  <sheetFormatPr defaultRowHeight="12.75" x14ac:dyDescent="0.2"/>
  <cols>
    <col min="1" max="1" width="51.85546875" style="2" bestFit="1" customWidth="1"/>
    <col min="2" max="2" width="30.140625" style="3" bestFit="1" customWidth="1"/>
    <col min="3" max="3" width="6.5703125" style="4" bestFit="1" customWidth="1"/>
    <col min="4" max="4" width="5" style="5" bestFit="1" customWidth="1"/>
    <col min="5" max="5" width="4.7109375" style="6" customWidth="1"/>
    <col min="6" max="6" width="4.7109375" style="7" customWidth="1"/>
    <col min="7" max="7" width="5" style="8" bestFit="1" customWidth="1"/>
    <col min="8" max="8" width="4.7109375" style="7" customWidth="1"/>
    <col min="9" max="9" width="5" style="8" bestFit="1" customWidth="1"/>
    <col min="10" max="10" width="9.7109375" style="9" customWidth="1"/>
    <col min="11" max="11" width="5.5703125" style="5" bestFit="1" customWidth="1"/>
    <col min="12" max="12" width="7.28515625" style="10" bestFit="1" customWidth="1"/>
    <col min="13" max="13" width="7.5703125" style="10" bestFit="1" customWidth="1"/>
    <col min="14" max="14" width="6.5703125" style="7" customWidth="1"/>
    <col min="15" max="15" width="5" style="8" customWidth="1"/>
    <col min="16" max="16" width="5.7109375" style="4" bestFit="1" customWidth="1"/>
    <col min="17" max="17" width="5" style="8" bestFit="1" customWidth="1"/>
    <col min="18" max="19" width="16.7109375" style="9" customWidth="1"/>
    <col min="20" max="20" width="11.28515625" style="3" bestFit="1" customWidth="1"/>
    <col min="21" max="21" width="15" style="3" bestFit="1" customWidth="1"/>
    <col min="22" max="16384" width="9.140625" style="3"/>
  </cols>
  <sheetData>
    <row r="1" spans="1:19" ht="33" x14ac:dyDescent="0.6">
      <c r="A1" s="28" t="s">
        <v>1036</v>
      </c>
    </row>
    <row r="2" spans="1:19" s="1" customFormat="1" x14ac:dyDescent="0.2">
      <c r="A2" s="52" t="s">
        <v>0</v>
      </c>
      <c r="B2" s="53" t="s">
        <v>1</v>
      </c>
      <c r="C2" s="54" t="s">
        <v>2</v>
      </c>
      <c r="D2" s="54"/>
      <c r="E2" s="55" t="s">
        <v>638</v>
      </c>
      <c r="F2" s="56" t="s">
        <v>1035</v>
      </c>
      <c r="G2" s="56"/>
      <c r="H2" s="56"/>
      <c r="I2" s="56"/>
      <c r="J2" s="62" t="s">
        <v>3</v>
      </c>
      <c r="K2" s="63"/>
      <c r="L2" s="63"/>
      <c r="M2" s="53"/>
      <c r="N2" s="57" t="s">
        <v>4</v>
      </c>
      <c r="O2" s="58"/>
      <c r="P2" s="54" t="s">
        <v>5</v>
      </c>
      <c r="Q2" s="54"/>
      <c r="R2" s="61" t="s">
        <v>7</v>
      </c>
      <c r="S2" s="61" t="s">
        <v>6</v>
      </c>
    </row>
    <row r="3" spans="1:19" s="1" customFormat="1" x14ac:dyDescent="0.2">
      <c r="A3" s="52"/>
      <c r="B3" s="53"/>
      <c r="C3" s="54"/>
      <c r="D3" s="54"/>
      <c r="E3" s="55"/>
      <c r="F3" s="56" t="s">
        <v>8</v>
      </c>
      <c r="G3" s="56"/>
      <c r="H3" s="56" t="s">
        <v>9</v>
      </c>
      <c r="I3" s="56"/>
      <c r="J3" s="25" t="s">
        <v>10</v>
      </c>
      <c r="K3" s="26" t="s">
        <v>11</v>
      </c>
      <c r="L3" s="27" t="s">
        <v>12</v>
      </c>
      <c r="M3" s="27" t="s">
        <v>13</v>
      </c>
      <c r="N3" s="59"/>
      <c r="O3" s="60"/>
      <c r="P3" s="54"/>
      <c r="Q3" s="54"/>
      <c r="R3" s="61"/>
      <c r="S3" s="61"/>
    </row>
    <row r="4" spans="1:19" ht="15.75" x14ac:dyDescent="0.25">
      <c r="A4" s="29" t="s">
        <v>14</v>
      </c>
    </row>
    <row r="5" spans="1:19" x14ac:dyDescent="0.2">
      <c r="A5" s="30" t="s">
        <v>15</v>
      </c>
    </row>
    <row r="6" spans="1:19" x14ac:dyDescent="0.2">
      <c r="A6" s="2" t="s">
        <v>16</v>
      </c>
      <c r="B6" s="3" t="s">
        <v>17</v>
      </c>
      <c r="D6" s="5" t="s">
        <v>18</v>
      </c>
      <c r="F6" s="7">
        <v>1</v>
      </c>
      <c r="G6" s="8" t="s">
        <v>19</v>
      </c>
      <c r="H6" s="7">
        <v>60</v>
      </c>
      <c r="I6" s="8" t="s">
        <v>18</v>
      </c>
      <c r="J6" s="9">
        <v>45500</v>
      </c>
      <c r="K6" s="5" t="s">
        <v>18</v>
      </c>
      <c r="L6" s="10">
        <v>0.125</v>
      </c>
      <c r="M6" s="10">
        <v>0.05</v>
      </c>
      <c r="O6" s="8" t="s">
        <v>18</v>
      </c>
      <c r="P6" s="4">
        <f t="shared" ref="P6:P11" si="0">(C6+(E6*F6*H6))-N6</f>
        <v>0</v>
      </c>
      <c r="Q6" s="8" t="s">
        <v>18</v>
      </c>
      <c r="R6" s="9">
        <f>S6/1.11</f>
        <v>0</v>
      </c>
      <c r="S6" s="9">
        <f t="shared" ref="S6:S11" si="1">P6*(J6-(J6*L6)-((J6-(J6*L6))*M6))</f>
        <v>0</v>
      </c>
    </row>
    <row r="7" spans="1:19" x14ac:dyDescent="0.2">
      <c r="A7" s="2" t="s">
        <v>998</v>
      </c>
      <c r="B7" s="3" t="s">
        <v>17</v>
      </c>
      <c r="D7" s="5" t="s">
        <v>18</v>
      </c>
      <c r="F7" s="7">
        <v>1</v>
      </c>
      <c r="G7" s="8" t="s">
        <v>19</v>
      </c>
      <c r="H7" s="7">
        <v>60</v>
      </c>
      <c r="I7" s="8" t="s">
        <v>18</v>
      </c>
      <c r="J7" s="9">
        <v>60000</v>
      </c>
      <c r="K7" s="5" t="s">
        <v>18</v>
      </c>
      <c r="L7" s="10">
        <v>0.125</v>
      </c>
      <c r="M7" s="10">
        <v>0.05</v>
      </c>
      <c r="O7" s="8" t="s">
        <v>18</v>
      </c>
      <c r="P7" s="4">
        <f t="shared" si="0"/>
        <v>0</v>
      </c>
      <c r="Q7" s="8" t="s">
        <v>18</v>
      </c>
      <c r="R7" s="9">
        <f>S7/1.11</f>
        <v>0</v>
      </c>
      <c r="S7" s="9">
        <f t="shared" si="1"/>
        <v>0</v>
      </c>
    </row>
    <row r="8" spans="1:19" x14ac:dyDescent="0.2">
      <c r="A8" s="2" t="s">
        <v>722</v>
      </c>
      <c r="B8" s="3" t="s">
        <v>17</v>
      </c>
      <c r="D8" s="5" t="s">
        <v>18</v>
      </c>
      <c r="F8" s="7">
        <v>1</v>
      </c>
      <c r="G8" s="8" t="s">
        <v>19</v>
      </c>
      <c r="H8" s="7">
        <v>48</v>
      </c>
      <c r="I8" s="8" t="s">
        <v>18</v>
      </c>
      <c r="J8" s="9">
        <v>26000</v>
      </c>
      <c r="K8" s="5" t="s">
        <v>18</v>
      </c>
      <c r="L8" s="10">
        <v>0.125</v>
      </c>
      <c r="M8" s="10">
        <v>0.05</v>
      </c>
      <c r="O8" s="8" t="s">
        <v>18</v>
      </c>
      <c r="P8" s="4">
        <f t="shared" si="0"/>
        <v>0</v>
      </c>
      <c r="Q8" s="8" t="s">
        <v>18</v>
      </c>
      <c r="R8" s="9">
        <f>S8/1.11</f>
        <v>0</v>
      </c>
      <c r="S8" s="9">
        <f t="shared" si="1"/>
        <v>0</v>
      </c>
    </row>
    <row r="9" spans="1:19" x14ac:dyDescent="0.2">
      <c r="A9" s="2" t="s">
        <v>20</v>
      </c>
      <c r="B9" s="3" t="s">
        <v>17</v>
      </c>
      <c r="D9" s="5" t="s">
        <v>18</v>
      </c>
      <c r="F9" s="7">
        <v>1</v>
      </c>
      <c r="G9" s="8" t="s">
        <v>19</v>
      </c>
      <c r="H9" s="7">
        <v>48</v>
      </c>
      <c r="I9" s="8" t="s">
        <v>18</v>
      </c>
      <c r="J9" s="9">
        <v>28000</v>
      </c>
      <c r="K9" s="5" t="s">
        <v>18</v>
      </c>
      <c r="L9" s="10">
        <v>0.125</v>
      </c>
      <c r="M9" s="10">
        <v>0.05</v>
      </c>
      <c r="O9" s="8" t="s">
        <v>18</v>
      </c>
      <c r="P9" s="4">
        <f t="shared" si="0"/>
        <v>0</v>
      </c>
      <c r="Q9" s="8" t="s">
        <v>18</v>
      </c>
      <c r="R9" s="9">
        <f>S9/1.11</f>
        <v>0</v>
      </c>
      <c r="S9" s="9">
        <f t="shared" si="1"/>
        <v>0</v>
      </c>
    </row>
    <row r="10" spans="1:19" x14ac:dyDescent="0.2">
      <c r="A10" s="2" t="s">
        <v>21</v>
      </c>
      <c r="B10" s="3" t="s">
        <v>17</v>
      </c>
      <c r="D10" s="5" t="s">
        <v>18</v>
      </c>
      <c r="F10" s="7">
        <v>1</v>
      </c>
      <c r="G10" s="8" t="s">
        <v>19</v>
      </c>
      <c r="H10" s="7">
        <v>48</v>
      </c>
      <c r="I10" s="8" t="s">
        <v>18</v>
      </c>
      <c r="J10" s="9">
        <v>31700</v>
      </c>
      <c r="K10" s="5" t="s">
        <v>18</v>
      </c>
      <c r="L10" s="10">
        <v>0.125</v>
      </c>
      <c r="M10" s="10">
        <v>0.05</v>
      </c>
      <c r="O10" s="8" t="s">
        <v>18</v>
      </c>
      <c r="P10" s="4">
        <f t="shared" si="0"/>
        <v>0</v>
      </c>
      <c r="Q10" s="8" t="s">
        <v>18</v>
      </c>
      <c r="R10" s="9">
        <f>S10/1.11</f>
        <v>0</v>
      </c>
      <c r="S10" s="9">
        <f t="shared" si="1"/>
        <v>0</v>
      </c>
    </row>
    <row r="11" spans="1:19" x14ac:dyDescent="0.2">
      <c r="A11" s="2" t="s">
        <v>22</v>
      </c>
      <c r="B11" s="3" t="s">
        <v>17</v>
      </c>
      <c r="D11" s="5" t="s">
        <v>18</v>
      </c>
      <c r="F11" s="7">
        <v>1</v>
      </c>
      <c r="G11" s="8" t="s">
        <v>19</v>
      </c>
      <c r="H11" s="7">
        <v>48</v>
      </c>
      <c r="I11" s="8" t="s">
        <v>18</v>
      </c>
      <c r="J11" s="9">
        <v>25000</v>
      </c>
      <c r="K11" s="5" t="s">
        <v>18</v>
      </c>
      <c r="L11" s="10">
        <v>0.125</v>
      </c>
      <c r="M11" s="10">
        <v>0.05</v>
      </c>
      <c r="O11" s="8" t="s">
        <v>18</v>
      </c>
      <c r="P11" s="4">
        <f t="shared" si="0"/>
        <v>0</v>
      </c>
      <c r="Q11" s="8" t="s">
        <v>18</v>
      </c>
      <c r="R11" s="9">
        <f>S11/1.11</f>
        <v>0</v>
      </c>
      <c r="S11" s="9">
        <f t="shared" si="1"/>
        <v>0</v>
      </c>
    </row>
    <row r="12" spans="1:19" x14ac:dyDescent="0.2">
      <c r="A12" s="2" t="s">
        <v>909</v>
      </c>
      <c r="B12" s="3" t="s">
        <v>17</v>
      </c>
      <c r="D12" s="5" t="s">
        <v>18</v>
      </c>
      <c r="F12" s="7">
        <v>1</v>
      </c>
      <c r="G12" s="8" t="s">
        <v>19</v>
      </c>
      <c r="H12" s="7">
        <v>48</v>
      </c>
      <c r="I12" s="8" t="s">
        <v>18</v>
      </c>
      <c r="J12" s="9">
        <v>27500</v>
      </c>
      <c r="K12" s="5" t="s">
        <v>18</v>
      </c>
      <c r="L12" s="10">
        <v>0.125</v>
      </c>
      <c r="M12" s="10">
        <v>0.05</v>
      </c>
      <c r="O12" s="8" t="s">
        <v>18</v>
      </c>
      <c r="P12" s="4">
        <f t="shared" ref="P12:P15" si="2">(C12+(E12*F12*H12))-N12</f>
        <v>0</v>
      </c>
      <c r="Q12" s="8" t="s">
        <v>18</v>
      </c>
      <c r="R12" s="9">
        <f>S12/1.11</f>
        <v>0</v>
      </c>
      <c r="S12" s="9">
        <f t="shared" ref="S12:S15" si="3">P12*(J12-(J12*L12)-((J12-(J12*L12))*M12))</f>
        <v>0</v>
      </c>
    </row>
    <row r="13" spans="1:19" x14ac:dyDescent="0.2">
      <c r="A13" s="2" t="s">
        <v>910</v>
      </c>
      <c r="B13" s="3" t="s">
        <v>17</v>
      </c>
      <c r="D13" s="5" t="s">
        <v>18</v>
      </c>
      <c r="F13" s="7">
        <v>1</v>
      </c>
      <c r="G13" s="8" t="s">
        <v>19</v>
      </c>
      <c r="H13" s="7">
        <v>48</v>
      </c>
      <c r="I13" s="8" t="s">
        <v>18</v>
      </c>
      <c r="J13" s="9">
        <v>26600</v>
      </c>
      <c r="K13" s="5" t="s">
        <v>18</v>
      </c>
      <c r="L13" s="10">
        <v>0.125</v>
      </c>
      <c r="M13" s="10">
        <v>0.05</v>
      </c>
      <c r="O13" s="8" t="s">
        <v>18</v>
      </c>
      <c r="P13" s="4">
        <f t="shared" si="2"/>
        <v>0</v>
      </c>
      <c r="Q13" s="8" t="s">
        <v>18</v>
      </c>
      <c r="R13" s="9">
        <f>S13/1.11</f>
        <v>0</v>
      </c>
      <c r="S13" s="9">
        <f t="shared" si="3"/>
        <v>0</v>
      </c>
    </row>
    <row r="14" spans="1:19" x14ac:dyDescent="0.2">
      <c r="A14" s="2" t="s">
        <v>975</v>
      </c>
      <c r="B14" s="3" t="s">
        <v>17</v>
      </c>
      <c r="D14" s="5" t="s">
        <v>18</v>
      </c>
      <c r="F14" s="7">
        <v>1</v>
      </c>
      <c r="G14" s="8" t="s">
        <v>19</v>
      </c>
      <c r="H14" s="7">
        <v>60</v>
      </c>
      <c r="I14" s="8" t="s">
        <v>18</v>
      </c>
      <c r="J14" s="9">
        <v>27500</v>
      </c>
      <c r="K14" s="5" t="s">
        <v>18</v>
      </c>
      <c r="L14" s="10">
        <v>0.125</v>
      </c>
      <c r="M14" s="10">
        <v>0.05</v>
      </c>
      <c r="O14" s="8" t="s">
        <v>18</v>
      </c>
      <c r="P14" s="4">
        <f t="shared" ref="P14" si="4">(C14+(E14*F14*H14))-N14</f>
        <v>0</v>
      </c>
      <c r="Q14" s="8" t="s">
        <v>18</v>
      </c>
      <c r="R14" s="9">
        <f>S14/1.11</f>
        <v>0</v>
      </c>
      <c r="S14" s="9">
        <f t="shared" ref="S14" si="5">P14*(J14-(J14*L14)-((J14-(J14*L14))*M14))</f>
        <v>0</v>
      </c>
    </row>
    <row r="15" spans="1:19" x14ac:dyDescent="0.2">
      <c r="A15" s="2" t="s">
        <v>911</v>
      </c>
      <c r="B15" s="3" t="s">
        <v>17</v>
      </c>
      <c r="D15" s="5" t="s">
        <v>18</v>
      </c>
      <c r="F15" s="7">
        <v>1</v>
      </c>
      <c r="G15" s="8" t="s">
        <v>19</v>
      </c>
      <c r="H15" s="7">
        <v>96</v>
      </c>
      <c r="I15" s="8" t="s">
        <v>18</v>
      </c>
      <c r="J15" s="9">
        <v>26500</v>
      </c>
      <c r="K15" s="5" t="s">
        <v>18</v>
      </c>
      <c r="L15" s="10">
        <v>0.125</v>
      </c>
      <c r="M15" s="10">
        <v>0.05</v>
      </c>
      <c r="O15" s="8" t="s">
        <v>18</v>
      </c>
      <c r="P15" s="4">
        <f t="shared" si="2"/>
        <v>0</v>
      </c>
      <c r="Q15" s="8" t="s">
        <v>18</v>
      </c>
      <c r="R15" s="9">
        <f>S15/1.11</f>
        <v>0</v>
      </c>
      <c r="S15" s="9">
        <f t="shared" si="3"/>
        <v>0</v>
      </c>
    </row>
    <row r="16" spans="1:19" x14ac:dyDescent="0.2">
      <c r="A16" s="2" t="s">
        <v>948</v>
      </c>
      <c r="B16" s="3" t="s">
        <v>17</v>
      </c>
      <c r="D16" s="5" t="s">
        <v>18</v>
      </c>
      <c r="F16" s="7">
        <v>1</v>
      </c>
      <c r="G16" s="8" t="s">
        <v>19</v>
      </c>
      <c r="H16" s="7">
        <v>72</v>
      </c>
      <c r="I16" s="8" t="s">
        <v>18</v>
      </c>
      <c r="J16" s="9">
        <v>46000</v>
      </c>
      <c r="K16" s="5" t="s">
        <v>18</v>
      </c>
      <c r="L16" s="10">
        <v>0.125</v>
      </c>
      <c r="M16" s="10">
        <v>0.05</v>
      </c>
      <c r="O16" s="8" t="s">
        <v>18</v>
      </c>
      <c r="P16" s="4">
        <f t="shared" ref="P16" si="6">(C16+(E16*F16*H16))-N16</f>
        <v>0</v>
      </c>
      <c r="Q16" s="8" t="s">
        <v>18</v>
      </c>
      <c r="R16" s="9">
        <f>S16/1.11</f>
        <v>0</v>
      </c>
      <c r="S16" s="9">
        <f t="shared" ref="S16" si="7">P16*(J16-(J16*L16)-((J16-(J16*L16))*M16))</f>
        <v>0</v>
      </c>
    </row>
    <row r="18" spans="1:19" x14ac:dyDescent="0.2">
      <c r="A18" s="2" t="s">
        <v>23</v>
      </c>
      <c r="B18" s="3" t="s">
        <v>24</v>
      </c>
      <c r="D18" s="5" t="s">
        <v>18</v>
      </c>
      <c r="F18" s="7">
        <v>1</v>
      </c>
      <c r="G18" s="8" t="s">
        <v>19</v>
      </c>
      <c r="H18" s="7">
        <v>60</v>
      </c>
      <c r="I18" s="8" t="s">
        <v>18</v>
      </c>
      <c r="J18" s="9">
        <v>23800</v>
      </c>
      <c r="K18" s="5" t="s">
        <v>18</v>
      </c>
      <c r="M18" s="10">
        <v>0.17</v>
      </c>
      <c r="O18" s="8" t="s">
        <v>18</v>
      </c>
      <c r="P18" s="4">
        <f t="shared" ref="P18:P24" si="8">(C18+(E18*F18*H18))-N18</f>
        <v>0</v>
      </c>
      <c r="Q18" s="8" t="s">
        <v>18</v>
      </c>
      <c r="R18" s="9">
        <f>S18/1.11</f>
        <v>0</v>
      </c>
      <c r="S18" s="9">
        <f t="shared" ref="S18:S24" si="9">P18*(J18-(J18*L18)-((J18-(J18*L18))*M18))</f>
        <v>0</v>
      </c>
    </row>
    <row r="19" spans="1:19" x14ac:dyDescent="0.2">
      <c r="A19" s="2" t="s">
        <v>25</v>
      </c>
      <c r="B19" s="3" t="s">
        <v>24</v>
      </c>
      <c r="D19" s="5" t="s">
        <v>18</v>
      </c>
      <c r="F19" s="7">
        <v>1</v>
      </c>
      <c r="G19" s="8" t="s">
        <v>19</v>
      </c>
      <c r="H19" s="7">
        <v>60</v>
      </c>
      <c r="I19" s="8" t="s">
        <v>18</v>
      </c>
      <c r="J19" s="9">
        <f>1500000/60</f>
        <v>25000</v>
      </c>
      <c r="K19" s="5" t="s">
        <v>18</v>
      </c>
      <c r="M19" s="10">
        <v>0.17</v>
      </c>
      <c r="O19" s="8" t="s">
        <v>18</v>
      </c>
      <c r="P19" s="4">
        <f t="shared" si="8"/>
        <v>0</v>
      </c>
      <c r="Q19" s="8" t="s">
        <v>18</v>
      </c>
      <c r="R19" s="9">
        <f>S19/1.11</f>
        <v>0</v>
      </c>
      <c r="S19" s="9">
        <f t="shared" si="9"/>
        <v>0</v>
      </c>
    </row>
    <row r="20" spans="1:19" x14ac:dyDescent="0.2">
      <c r="A20" s="2" t="s">
        <v>26</v>
      </c>
      <c r="B20" s="3" t="s">
        <v>24</v>
      </c>
      <c r="D20" s="5" t="s">
        <v>18</v>
      </c>
      <c r="F20" s="7">
        <v>1</v>
      </c>
      <c r="G20" s="8" t="s">
        <v>19</v>
      </c>
      <c r="H20" s="7">
        <v>60</v>
      </c>
      <c r="I20" s="8" t="s">
        <v>18</v>
      </c>
      <c r="J20" s="9">
        <v>27500</v>
      </c>
      <c r="K20" s="5" t="s">
        <v>18</v>
      </c>
      <c r="M20" s="10">
        <v>0.17</v>
      </c>
      <c r="O20" s="8" t="s">
        <v>18</v>
      </c>
      <c r="P20" s="4">
        <f t="shared" si="8"/>
        <v>0</v>
      </c>
      <c r="Q20" s="8" t="s">
        <v>18</v>
      </c>
      <c r="R20" s="9">
        <f>S20/1.11</f>
        <v>0</v>
      </c>
      <c r="S20" s="9">
        <f t="shared" si="9"/>
        <v>0</v>
      </c>
    </row>
    <row r="21" spans="1:19" x14ac:dyDescent="0.2">
      <c r="A21" s="2" t="s">
        <v>696</v>
      </c>
      <c r="B21" s="3" t="s">
        <v>24</v>
      </c>
      <c r="D21" s="5" t="s">
        <v>18</v>
      </c>
      <c r="F21" s="7">
        <v>1</v>
      </c>
      <c r="G21" s="8" t="s">
        <v>19</v>
      </c>
      <c r="H21" s="7">
        <v>36</v>
      </c>
      <c r="I21" s="8" t="s">
        <v>18</v>
      </c>
      <c r="J21" s="9">
        <f>2520000/36</f>
        <v>70000</v>
      </c>
      <c r="K21" s="5" t="s">
        <v>18</v>
      </c>
      <c r="M21" s="10">
        <v>0.17</v>
      </c>
      <c r="O21" s="8" t="s">
        <v>18</v>
      </c>
      <c r="P21" s="4">
        <f t="shared" si="8"/>
        <v>0</v>
      </c>
      <c r="Q21" s="8" t="s">
        <v>18</v>
      </c>
      <c r="R21" s="9">
        <f>S21/1.11</f>
        <v>0</v>
      </c>
      <c r="S21" s="9">
        <f t="shared" si="9"/>
        <v>0</v>
      </c>
    </row>
    <row r="22" spans="1:19" x14ac:dyDescent="0.2">
      <c r="A22" s="2" t="s">
        <v>27</v>
      </c>
      <c r="B22" s="3" t="s">
        <v>24</v>
      </c>
      <c r="D22" s="5" t="s">
        <v>18</v>
      </c>
      <c r="F22" s="7">
        <v>1</v>
      </c>
      <c r="G22" s="8" t="s">
        <v>19</v>
      </c>
      <c r="H22" s="7">
        <v>36</v>
      </c>
      <c r="I22" s="8" t="s">
        <v>18</v>
      </c>
      <c r="J22" s="9">
        <v>50500</v>
      </c>
      <c r="K22" s="5" t="s">
        <v>18</v>
      </c>
      <c r="M22" s="10">
        <v>0.17</v>
      </c>
      <c r="O22" s="8" t="s">
        <v>18</v>
      </c>
      <c r="P22" s="4">
        <f t="shared" si="8"/>
        <v>0</v>
      </c>
      <c r="Q22" s="8" t="s">
        <v>18</v>
      </c>
      <c r="R22" s="9">
        <f>S22/1.11</f>
        <v>0</v>
      </c>
      <c r="S22" s="9">
        <f t="shared" si="9"/>
        <v>0</v>
      </c>
    </row>
    <row r="23" spans="1:19" x14ac:dyDescent="0.2">
      <c r="A23" s="2" t="s">
        <v>28</v>
      </c>
      <c r="B23" s="3" t="s">
        <v>24</v>
      </c>
      <c r="D23" s="5" t="s">
        <v>18</v>
      </c>
      <c r="F23" s="7">
        <v>1</v>
      </c>
      <c r="G23" s="8" t="s">
        <v>19</v>
      </c>
      <c r="H23" s="7">
        <v>72</v>
      </c>
      <c r="I23" s="8" t="s">
        <v>18</v>
      </c>
      <c r="J23" s="9">
        <v>37000</v>
      </c>
      <c r="K23" s="5" t="s">
        <v>18</v>
      </c>
      <c r="M23" s="10">
        <v>0.17</v>
      </c>
      <c r="O23" s="8" t="s">
        <v>18</v>
      </c>
      <c r="P23" s="4">
        <f t="shared" si="8"/>
        <v>0</v>
      </c>
      <c r="Q23" s="8" t="s">
        <v>18</v>
      </c>
      <c r="R23" s="9">
        <f>S23/1.11</f>
        <v>0</v>
      </c>
      <c r="S23" s="9">
        <f t="shared" si="9"/>
        <v>0</v>
      </c>
    </row>
    <row r="24" spans="1:19" x14ac:dyDescent="0.2">
      <c r="A24" s="2" t="s">
        <v>29</v>
      </c>
      <c r="B24" s="3" t="s">
        <v>24</v>
      </c>
      <c r="D24" s="5" t="s">
        <v>18</v>
      </c>
      <c r="F24" s="7">
        <v>1</v>
      </c>
      <c r="G24" s="8" t="s">
        <v>19</v>
      </c>
      <c r="H24" s="7">
        <v>72</v>
      </c>
      <c r="I24" s="8" t="s">
        <v>18</v>
      </c>
      <c r="J24" s="9">
        <v>30000</v>
      </c>
      <c r="K24" s="5" t="s">
        <v>18</v>
      </c>
      <c r="M24" s="10">
        <v>0.17</v>
      </c>
      <c r="O24" s="8" t="s">
        <v>18</v>
      </c>
      <c r="P24" s="4">
        <f t="shared" si="8"/>
        <v>0</v>
      </c>
      <c r="Q24" s="8" t="s">
        <v>18</v>
      </c>
      <c r="R24" s="9">
        <f>S24/1.11</f>
        <v>0</v>
      </c>
      <c r="S24" s="9">
        <f t="shared" si="9"/>
        <v>0</v>
      </c>
    </row>
    <row r="26" spans="1:19" x14ac:dyDescent="0.2">
      <c r="A26" s="2" t="s">
        <v>999</v>
      </c>
      <c r="B26" s="3" t="s">
        <v>170</v>
      </c>
      <c r="D26" s="5" t="s">
        <v>18</v>
      </c>
      <c r="F26" s="7">
        <v>1</v>
      </c>
      <c r="G26" s="8" t="s">
        <v>19</v>
      </c>
      <c r="H26" s="7">
        <v>84</v>
      </c>
      <c r="I26" s="8" t="s">
        <v>18</v>
      </c>
      <c r="J26" s="9">
        <v>23500</v>
      </c>
      <c r="K26" s="5" t="s">
        <v>18</v>
      </c>
      <c r="L26" s="10">
        <v>7.0000000000000007E-2</v>
      </c>
      <c r="O26" s="8" t="s">
        <v>18</v>
      </c>
      <c r="P26" s="4">
        <f>(C26+(E26*F26*H26))-N26</f>
        <v>0</v>
      </c>
      <c r="Q26" s="8" t="s">
        <v>18</v>
      </c>
      <c r="R26" s="9">
        <f>S26/1.11</f>
        <v>0</v>
      </c>
      <c r="S26" s="9">
        <f>P26*(J26-(J26*L26)-((J26-(J26*L26))*M26))</f>
        <v>0</v>
      </c>
    </row>
    <row r="28" spans="1:19" x14ac:dyDescent="0.2">
      <c r="A28" s="30" t="s">
        <v>30</v>
      </c>
    </row>
    <row r="29" spans="1:19" x14ac:dyDescent="0.2">
      <c r="A29" s="2" t="s">
        <v>31</v>
      </c>
      <c r="B29" s="3" t="s">
        <v>17</v>
      </c>
      <c r="D29" s="5" t="s">
        <v>32</v>
      </c>
      <c r="F29" s="7">
        <v>1</v>
      </c>
      <c r="G29" s="8" t="s">
        <v>19</v>
      </c>
      <c r="H29" s="7">
        <v>60</v>
      </c>
      <c r="I29" s="8" t="s">
        <v>32</v>
      </c>
      <c r="J29" s="9">
        <v>22200</v>
      </c>
      <c r="K29" s="5" t="s">
        <v>32</v>
      </c>
      <c r="L29" s="10">
        <v>0.125</v>
      </c>
      <c r="M29" s="10">
        <v>0.05</v>
      </c>
      <c r="O29" s="8" t="s">
        <v>32</v>
      </c>
      <c r="P29" s="4">
        <f t="shared" ref="P29:P36" si="10">(C29+(E29*F29*H29))-N29</f>
        <v>0</v>
      </c>
      <c r="Q29" s="8" t="s">
        <v>32</v>
      </c>
      <c r="R29" s="9">
        <f>S29/1.11</f>
        <v>0</v>
      </c>
      <c r="S29" s="9">
        <f t="shared" ref="S29:S36" si="11">P29*(J29-(J29*L29)-((J29-(J29*L29))*M29))</f>
        <v>0</v>
      </c>
    </row>
    <row r="30" spans="1:19" x14ac:dyDescent="0.2">
      <c r="A30" s="2" t="s">
        <v>949</v>
      </c>
      <c r="B30" s="3" t="s">
        <v>17</v>
      </c>
      <c r="D30" s="5" t="s">
        <v>32</v>
      </c>
      <c r="F30" s="7">
        <v>1</v>
      </c>
      <c r="G30" s="8" t="s">
        <v>19</v>
      </c>
      <c r="H30" s="7">
        <v>60</v>
      </c>
      <c r="I30" s="8" t="s">
        <v>32</v>
      </c>
      <c r="J30" s="9">
        <v>31500</v>
      </c>
      <c r="K30" s="5" t="s">
        <v>32</v>
      </c>
      <c r="L30" s="10">
        <v>0.125</v>
      </c>
      <c r="M30" s="10">
        <v>0.05</v>
      </c>
      <c r="O30" s="8" t="s">
        <v>32</v>
      </c>
      <c r="P30" s="4">
        <f t="shared" ref="P30" si="12">(C30+(E30*F30*H30))-N30</f>
        <v>0</v>
      </c>
      <c r="Q30" s="8" t="s">
        <v>32</v>
      </c>
      <c r="R30" s="9">
        <f>S30/1.11</f>
        <v>0</v>
      </c>
      <c r="S30" s="9">
        <f t="shared" ref="S30" si="13">P30*(J30-(J30*L30)-((J30-(J30*L30))*M30))</f>
        <v>0</v>
      </c>
    </row>
    <row r="31" spans="1:19" x14ac:dyDescent="0.2">
      <c r="A31" s="2" t="s">
        <v>810</v>
      </c>
      <c r="B31" s="3" t="s">
        <v>17</v>
      </c>
      <c r="D31" s="5" t="s">
        <v>32</v>
      </c>
      <c r="F31" s="7">
        <v>1</v>
      </c>
      <c r="G31" s="8" t="s">
        <v>19</v>
      </c>
      <c r="H31" s="7">
        <v>60</v>
      </c>
      <c r="I31" s="8" t="s">
        <v>32</v>
      </c>
      <c r="J31" s="9">
        <v>31500</v>
      </c>
      <c r="K31" s="5" t="s">
        <v>32</v>
      </c>
      <c r="L31" s="10">
        <v>0.125</v>
      </c>
      <c r="M31" s="10">
        <v>0.05</v>
      </c>
      <c r="O31" s="8" t="s">
        <v>32</v>
      </c>
      <c r="P31" s="4">
        <f t="shared" si="10"/>
        <v>0</v>
      </c>
      <c r="Q31" s="8" t="s">
        <v>32</v>
      </c>
      <c r="R31" s="9">
        <f>S31/1.11</f>
        <v>0</v>
      </c>
      <c r="S31" s="9">
        <f t="shared" si="11"/>
        <v>0</v>
      </c>
    </row>
    <row r="32" spans="1:19" x14ac:dyDescent="0.2">
      <c r="A32" s="2" t="s">
        <v>821</v>
      </c>
      <c r="B32" s="3" t="s">
        <v>17</v>
      </c>
      <c r="D32" s="5" t="s">
        <v>32</v>
      </c>
      <c r="F32" s="7">
        <v>1</v>
      </c>
      <c r="G32" s="8" t="s">
        <v>19</v>
      </c>
      <c r="H32" s="7">
        <v>60</v>
      </c>
      <c r="I32" s="8" t="s">
        <v>32</v>
      </c>
      <c r="J32" s="9">
        <v>31200</v>
      </c>
      <c r="K32" s="5" t="s">
        <v>32</v>
      </c>
      <c r="L32" s="10">
        <v>0.125</v>
      </c>
      <c r="M32" s="10">
        <v>0.05</v>
      </c>
      <c r="O32" s="8" t="s">
        <v>32</v>
      </c>
      <c r="P32" s="4">
        <f t="shared" si="10"/>
        <v>0</v>
      </c>
      <c r="Q32" s="8" t="s">
        <v>32</v>
      </c>
      <c r="R32" s="9">
        <f>S32/1.11</f>
        <v>0</v>
      </c>
      <c r="S32" s="9">
        <f t="shared" si="11"/>
        <v>0</v>
      </c>
    </row>
    <row r="33" spans="1:21" x14ac:dyDescent="0.2">
      <c r="A33" s="2" t="s">
        <v>684</v>
      </c>
      <c r="B33" s="3" t="s">
        <v>17</v>
      </c>
      <c r="D33" s="5" t="s">
        <v>32</v>
      </c>
      <c r="F33" s="7">
        <v>1</v>
      </c>
      <c r="G33" s="8" t="s">
        <v>19</v>
      </c>
      <c r="H33" s="7">
        <v>50</v>
      </c>
      <c r="I33" s="8" t="s">
        <v>32</v>
      </c>
      <c r="J33" s="9">
        <v>66000</v>
      </c>
      <c r="K33" s="5" t="s">
        <v>32</v>
      </c>
      <c r="L33" s="10">
        <v>0.125</v>
      </c>
      <c r="M33" s="10">
        <v>0.05</v>
      </c>
      <c r="O33" s="8" t="s">
        <v>32</v>
      </c>
      <c r="P33" s="4">
        <f t="shared" si="10"/>
        <v>0</v>
      </c>
      <c r="Q33" s="8" t="s">
        <v>32</v>
      </c>
      <c r="R33" s="9">
        <f>S33/1.11</f>
        <v>0</v>
      </c>
      <c r="S33" s="9">
        <f t="shared" si="11"/>
        <v>0</v>
      </c>
    </row>
    <row r="34" spans="1:21" x14ac:dyDescent="0.2">
      <c r="A34" s="2" t="s">
        <v>817</v>
      </c>
      <c r="B34" s="3" t="s">
        <v>17</v>
      </c>
      <c r="D34" s="5" t="s">
        <v>32</v>
      </c>
      <c r="F34" s="7">
        <v>1</v>
      </c>
      <c r="G34" s="8" t="s">
        <v>19</v>
      </c>
      <c r="H34" s="7">
        <v>60</v>
      </c>
      <c r="I34" s="8" t="s">
        <v>32</v>
      </c>
      <c r="J34" s="9">
        <v>31800</v>
      </c>
      <c r="K34" s="5" t="s">
        <v>32</v>
      </c>
      <c r="L34" s="10">
        <v>0.125</v>
      </c>
      <c r="M34" s="10">
        <v>0.05</v>
      </c>
      <c r="O34" s="8" t="s">
        <v>32</v>
      </c>
      <c r="P34" s="4">
        <f t="shared" ref="P34" si="14">(C34+(E34*F34*H34))-N34</f>
        <v>0</v>
      </c>
      <c r="Q34" s="8" t="s">
        <v>32</v>
      </c>
      <c r="R34" s="9">
        <f>S34/1.11</f>
        <v>0</v>
      </c>
      <c r="S34" s="9">
        <f t="shared" ref="S34" si="15">P34*(J34-(J34*L34)-((J34-(J34*L34))*M34))</f>
        <v>0</v>
      </c>
    </row>
    <row r="35" spans="1:21" x14ac:dyDescent="0.2">
      <c r="A35" s="2" t="s">
        <v>33</v>
      </c>
      <c r="B35" s="3" t="s">
        <v>17</v>
      </c>
      <c r="D35" s="5" t="s">
        <v>32</v>
      </c>
      <c r="F35" s="7">
        <v>1</v>
      </c>
      <c r="G35" s="8" t="s">
        <v>19</v>
      </c>
      <c r="H35" s="7">
        <v>180</v>
      </c>
      <c r="I35" s="8" t="s">
        <v>32</v>
      </c>
      <c r="J35" s="9">
        <v>9000</v>
      </c>
      <c r="K35" s="5" t="s">
        <v>32</v>
      </c>
      <c r="L35" s="10">
        <v>0.125</v>
      </c>
      <c r="M35" s="10">
        <v>0.05</v>
      </c>
      <c r="O35" s="8" t="s">
        <v>32</v>
      </c>
      <c r="P35" s="4">
        <f t="shared" ref="P35" si="16">(C35+(E35*F35*H35))-N35</f>
        <v>0</v>
      </c>
      <c r="Q35" s="8" t="s">
        <v>32</v>
      </c>
      <c r="R35" s="9">
        <f>S35/1.11</f>
        <v>0</v>
      </c>
      <c r="S35" s="9">
        <f t="shared" ref="S35" si="17">P35*(J35-(J35*L35)-((J35-(J35*L35))*M35))</f>
        <v>0</v>
      </c>
    </row>
    <row r="36" spans="1:21" x14ac:dyDescent="0.2">
      <c r="A36" s="2" t="s">
        <v>34</v>
      </c>
      <c r="B36" s="3" t="s">
        <v>17</v>
      </c>
      <c r="D36" s="5" t="s">
        <v>32</v>
      </c>
      <c r="F36" s="7">
        <v>1</v>
      </c>
      <c r="G36" s="8" t="s">
        <v>19</v>
      </c>
      <c r="H36" s="7">
        <v>32</v>
      </c>
      <c r="I36" s="8" t="s">
        <v>32</v>
      </c>
      <c r="J36" s="9">
        <v>64800</v>
      </c>
      <c r="K36" s="5" t="s">
        <v>32</v>
      </c>
      <c r="L36" s="10">
        <v>0.125</v>
      </c>
      <c r="M36" s="10">
        <v>0.05</v>
      </c>
      <c r="O36" s="8" t="s">
        <v>32</v>
      </c>
      <c r="P36" s="4">
        <f t="shared" si="10"/>
        <v>0</v>
      </c>
      <c r="Q36" s="8" t="s">
        <v>32</v>
      </c>
      <c r="R36" s="9">
        <f>S36/1.11</f>
        <v>0</v>
      </c>
      <c r="S36" s="9">
        <f t="shared" si="11"/>
        <v>0</v>
      </c>
    </row>
    <row r="38" spans="1:21" x14ac:dyDescent="0.2">
      <c r="A38" s="2" t="s">
        <v>752</v>
      </c>
      <c r="B38" s="3" t="s">
        <v>24</v>
      </c>
      <c r="D38" s="5" t="s">
        <v>32</v>
      </c>
      <c r="F38" s="7">
        <v>2</v>
      </c>
      <c r="G38" s="8" t="s">
        <v>97</v>
      </c>
      <c r="H38" s="7">
        <v>30</v>
      </c>
      <c r="I38" s="8" t="s">
        <v>32</v>
      </c>
      <c r="J38" s="9">
        <f>1800000/2/30</f>
        <v>30000</v>
      </c>
      <c r="K38" s="5" t="s">
        <v>32</v>
      </c>
      <c r="M38" s="10">
        <v>0.17</v>
      </c>
      <c r="O38" s="8" t="s">
        <v>32</v>
      </c>
      <c r="P38" s="4">
        <f t="shared" ref="P38:P42" si="18">(C38+(E38*F38*H38))-N38</f>
        <v>0</v>
      </c>
      <c r="Q38" s="8" t="s">
        <v>32</v>
      </c>
      <c r="R38" s="9">
        <f>S38/1.11</f>
        <v>0</v>
      </c>
      <c r="S38" s="9">
        <f t="shared" ref="S38:S42" si="19">P38*(J38-(J38*L38)-((J38-(J38*L38))*M38))</f>
        <v>0</v>
      </c>
    </row>
    <row r="39" spans="1:21" x14ac:dyDescent="0.2">
      <c r="A39" s="2" t="s">
        <v>741</v>
      </c>
      <c r="B39" s="3" t="s">
        <v>24</v>
      </c>
      <c r="D39" s="5" t="s">
        <v>39</v>
      </c>
      <c r="F39" s="7">
        <v>1</v>
      </c>
      <c r="G39" s="8" t="s">
        <v>19</v>
      </c>
      <c r="H39" s="7">
        <v>60</v>
      </c>
      <c r="I39" s="8" t="s">
        <v>39</v>
      </c>
      <c r="J39" s="9">
        <v>19200</v>
      </c>
      <c r="K39" s="5" t="s">
        <v>39</v>
      </c>
      <c r="M39" s="10">
        <v>0.17</v>
      </c>
      <c r="O39" s="8" t="s">
        <v>32</v>
      </c>
      <c r="P39" s="4">
        <f t="shared" si="18"/>
        <v>0</v>
      </c>
      <c r="Q39" s="8" t="s">
        <v>39</v>
      </c>
      <c r="R39" s="9">
        <f>S39/1.11</f>
        <v>0</v>
      </c>
      <c r="S39" s="9">
        <f t="shared" si="19"/>
        <v>0</v>
      </c>
    </row>
    <row r="40" spans="1:21" x14ac:dyDescent="0.2">
      <c r="A40" s="2" t="s">
        <v>822</v>
      </c>
      <c r="B40" s="3" t="s">
        <v>24</v>
      </c>
      <c r="D40" s="5" t="s">
        <v>39</v>
      </c>
      <c r="F40" s="7">
        <v>1</v>
      </c>
      <c r="G40" s="8" t="s">
        <v>19</v>
      </c>
      <c r="H40" s="7">
        <v>120</v>
      </c>
      <c r="I40" s="8" t="s">
        <v>39</v>
      </c>
      <c r="J40" s="9">
        <f>1908000/120</f>
        <v>15900</v>
      </c>
      <c r="K40" s="5" t="s">
        <v>39</v>
      </c>
      <c r="M40" s="10">
        <v>0.17</v>
      </c>
      <c r="O40" s="8" t="s">
        <v>32</v>
      </c>
      <c r="P40" s="4">
        <f t="shared" si="18"/>
        <v>0</v>
      </c>
      <c r="Q40" s="8" t="s">
        <v>39</v>
      </c>
      <c r="R40" s="9">
        <f>S40/1.11</f>
        <v>0</v>
      </c>
      <c r="S40" s="9">
        <f t="shared" si="19"/>
        <v>0</v>
      </c>
    </row>
    <row r="41" spans="1:21" x14ac:dyDescent="0.2">
      <c r="A41" s="2" t="s">
        <v>823</v>
      </c>
      <c r="B41" s="3" t="s">
        <v>24</v>
      </c>
      <c r="D41" s="5" t="s">
        <v>39</v>
      </c>
      <c r="F41" s="7">
        <v>1</v>
      </c>
      <c r="G41" s="8" t="s">
        <v>19</v>
      </c>
      <c r="H41" s="7">
        <v>60</v>
      </c>
      <c r="I41" s="8" t="s">
        <v>39</v>
      </c>
      <c r="J41" s="9">
        <f>1728000/60</f>
        <v>28800</v>
      </c>
      <c r="K41" s="5" t="s">
        <v>39</v>
      </c>
      <c r="M41" s="10">
        <v>0.17</v>
      </c>
      <c r="O41" s="8" t="s">
        <v>32</v>
      </c>
      <c r="P41" s="4">
        <f t="shared" si="18"/>
        <v>0</v>
      </c>
      <c r="Q41" s="8" t="s">
        <v>39</v>
      </c>
      <c r="R41" s="9">
        <f>S41/1.11</f>
        <v>0</v>
      </c>
      <c r="S41" s="9">
        <f t="shared" si="19"/>
        <v>0</v>
      </c>
    </row>
    <row r="42" spans="1:21" x14ac:dyDescent="0.2">
      <c r="A42" s="2" t="s">
        <v>669</v>
      </c>
      <c r="B42" s="3" t="s">
        <v>24</v>
      </c>
      <c r="D42" s="5" t="s">
        <v>32</v>
      </c>
      <c r="F42" s="7">
        <v>1</v>
      </c>
      <c r="G42" s="8" t="s">
        <v>19</v>
      </c>
      <c r="H42" s="7">
        <v>32</v>
      </c>
      <c r="I42" s="8" t="s">
        <v>32</v>
      </c>
      <c r="J42" s="9">
        <f>1113600/32</f>
        <v>34800</v>
      </c>
      <c r="K42" s="5" t="s">
        <v>32</v>
      </c>
      <c r="M42" s="10">
        <v>0.17</v>
      </c>
      <c r="O42" s="8" t="s">
        <v>32</v>
      </c>
      <c r="P42" s="4">
        <f t="shared" si="18"/>
        <v>0</v>
      </c>
      <c r="Q42" s="8" t="s">
        <v>32</v>
      </c>
      <c r="R42" s="9">
        <f>S42/1.11</f>
        <v>0</v>
      </c>
      <c r="S42" s="9">
        <f t="shared" si="19"/>
        <v>0</v>
      </c>
    </row>
    <row r="43" spans="1:21" x14ac:dyDescent="0.2">
      <c r="R43" s="31"/>
      <c r="S43" s="22"/>
      <c r="U43" s="31"/>
    </row>
    <row r="44" spans="1:21" ht="15.75" x14ac:dyDescent="0.25">
      <c r="A44" s="29" t="s">
        <v>988</v>
      </c>
    </row>
    <row r="45" spans="1:21" x14ac:dyDescent="0.2">
      <c r="A45" s="2" t="s">
        <v>989</v>
      </c>
      <c r="B45" s="3" t="s">
        <v>990</v>
      </c>
      <c r="D45" s="5" t="s">
        <v>991</v>
      </c>
      <c r="F45" s="7">
        <v>1</v>
      </c>
      <c r="G45" s="8" t="s">
        <v>19</v>
      </c>
      <c r="H45" s="7">
        <v>60</v>
      </c>
      <c r="I45" s="8" t="s">
        <v>991</v>
      </c>
      <c r="J45" s="9">
        <v>60811</v>
      </c>
      <c r="K45" s="5" t="s">
        <v>815</v>
      </c>
      <c r="L45" s="10">
        <v>0.2</v>
      </c>
      <c r="O45" s="8" t="s">
        <v>991</v>
      </c>
      <c r="P45" s="4">
        <f>(C45+(E45*F45*H45))-N45</f>
        <v>0</v>
      </c>
      <c r="Q45" s="8" t="s">
        <v>815</v>
      </c>
      <c r="R45" s="9">
        <f>S45/1.11</f>
        <v>0</v>
      </c>
      <c r="S45" s="9">
        <f>P45*(J45-(J45*L45)-((J45-(J45*L45))*M45))</f>
        <v>0</v>
      </c>
    </row>
    <row r="47" spans="1:21" ht="15.75" x14ac:dyDescent="0.25">
      <c r="A47" s="29" t="s">
        <v>35</v>
      </c>
    </row>
    <row r="48" spans="1:21" x14ac:dyDescent="0.2">
      <c r="A48" s="30" t="s">
        <v>36</v>
      </c>
    </row>
    <row r="49" spans="1:19" x14ac:dyDescent="0.2">
      <c r="A49" s="2" t="s">
        <v>797</v>
      </c>
      <c r="B49" s="3" t="s">
        <v>17</v>
      </c>
      <c r="D49" s="5" t="s">
        <v>18</v>
      </c>
      <c r="F49" s="7">
        <v>1</v>
      </c>
      <c r="G49" s="8" t="s">
        <v>19</v>
      </c>
      <c r="H49" s="7">
        <v>60</v>
      </c>
      <c r="I49" s="8" t="s">
        <v>18</v>
      </c>
      <c r="J49" s="9">
        <v>20800</v>
      </c>
      <c r="K49" s="5" t="s">
        <v>18</v>
      </c>
      <c r="L49" s="10">
        <v>0.125</v>
      </c>
      <c r="M49" s="10">
        <v>0.05</v>
      </c>
      <c r="O49" s="8" t="s">
        <v>18</v>
      </c>
      <c r="P49" s="4">
        <f>(C49+(E49*F49*H49))-N49</f>
        <v>0</v>
      </c>
      <c r="Q49" s="8" t="s">
        <v>18</v>
      </c>
      <c r="R49" s="9">
        <f>S49/1.11</f>
        <v>0</v>
      </c>
      <c r="S49" s="9">
        <f>P49*(J49-(J49*L49)-((J49-(J49*L49))*M49))</f>
        <v>0</v>
      </c>
    </row>
    <row r="50" spans="1:19" x14ac:dyDescent="0.2">
      <c r="A50" s="2" t="s">
        <v>37</v>
      </c>
      <c r="B50" s="3" t="s">
        <v>17</v>
      </c>
      <c r="D50" s="5" t="s">
        <v>18</v>
      </c>
      <c r="F50" s="7">
        <v>1</v>
      </c>
      <c r="G50" s="8" t="s">
        <v>19</v>
      </c>
      <c r="H50" s="7">
        <v>60</v>
      </c>
      <c r="I50" s="8" t="s">
        <v>18</v>
      </c>
      <c r="J50" s="9">
        <v>18500</v>
      </c>
      <c r="K50" s="5" t="s">
        <v>18</v>
      </c>
      <c r="L50" s="10">
        <v>0.125</v>
      </c>
      <c r="M50" s="10">
        <v>0.05</v>
      </c>
      <c r="O50" s="8" t="s">
        <v>18</v>
      </c>
      <c r="P50" s="4">
        <f>(C50+(E50*F50*H50))-N50</f>
        <v>0</v>
      </c>
      <c r="Q50" s="8" t="s">
        <v>18</v>
      </c>
      <c r="R50" s="9">
        <f>S50/1.11</f>
        <v>0</v>
      </c>
      <c r="S50" s="9">
        <f>P50*(J50-(J50*L50)-((J50-(J50*L50))*M50))</f>
        <v>0</v>
      </c>
    </row>
    <row r="52" spans="1:19" x14ac:dyDescent="0.2">
      <c r="A52" s="2" t="s">
        <v>38</v>
      </c>
      <c r="B52" s="3" t="s">
        <v>24</v>
      </c>
      <c r="D52" s="5" t="s">
        <v>39</v>
      </c>
      <c r="F52" s="7">
        <v>1</v>
      </c>
      <c r="G52" s="8" t="s">
        <v>19</v>
      </c>
      <c r="H52" s="7">
        <v>5</v>
      </c>
      <c r="I52" s="8" t="s">
        <v>39</v>
      </c>
      <c r="J52" s="9">
        <f>780000/5</f>
        <v>156000</v>
      </c>
      <c r="K52" s="5" t="s">
        <v>39</v>
      </c>
      <c r="M52" s="10">
        <v>0.17</v>
      </c>
      <c r="O52" s="11" t="s">
        <v>39</v>
      </c>
      <c r="P52" s="4">
        <f t="shared" ref="P52:P54" si="20">(C52+(E52*F52*H52))-N52</f>
        <v>0</v>
      </c>
      <c r="Q52" s="8" t="s">
        <v>39</v>
      </c>
      <c r="R52" s="9">
        <f>S52/1.11</f>
        <v>0</v>
      </c>
      <c r="S52" s="9">
        <f t="shared" ref="S52:S54" si="21">P52*(J52-(J52*L52)-((J52-(J52*L52))*M52))</f>
        <v>0</v>
      </c>
    </row>
    <row r="53" spans="1:19" x14ac:dyDescent="0.2">
      <c r="A53" s="2" t="s">
        <v>40</v>
      </c>
      <c r="B53" s="3" t="s">
        <v>24</v>
      </c>
      <c r="D53" s="5" t="s">
        <v>39</v>
      </c>
      <c r="F53" s="7">
        <v>1</v>
      </c>
      <c r="G53" s="8" t="s">
        <v>19</v>
      </c>
      <c r="H53" s="7">
        <v>5</v>
      </c>
      <c r="I53" s="8" t="s">
        <v>39</v>
      </c>
      <c r="J53" s="9">
        <v>153600</v>
      </c>
      <c r="K53" s="5" t="s">
        <v>39</v>
      </c>
      <c r="M53" s="10">
        <v>0.17</v>
      </c>
      <c r="O53" s="11" t="s">
        <v>39</v>
      </c>
      <c r="P53" s="4">
        <f t="shared" ref="P53" si="22">(C53+(E53*F53*H53))-N53</f>
        <v>0</v>
      </c>
      <c r="Q53" s="8" t="s">
        <v>39</v>
      </c>
      <c r="R53" s="9">
        <f>S53/1.11</f>
        <v>0</v>
      </c>
      <c r="S53" s="9">
        <f t="shared" ref="S53" si="23">P53*(J53-(J53*L53)-((J53-(J53*L53))*M53))</f>
        <v>0</v>
      </c>
    </row>
    <row r="54" spans="1:19" x14ac:dyDescent="0.2">
      <c r="A54" s="2" t="s">
        <v>871</v>
      </c>
      <c r="B54" s="3" t="s">
        <v>24</v>
      </c>
      <c r="D54" s="5" t="s">
        <v>39</v>
      </c>
      <c r="F54" s="7">
        <v>1</v>
      </c>
      <c r="G54" s="8" t="s">
        <v>19</v>
      </c>
      <c r="H54" s="7">
        <v>5</v>
      </c>
      <c r="I54" s="8" t="s">
        <v>39</v>
      </c>
      <c r="J54" s="9">
        <f>990000/5</f>
        <v>198000</v>
      </c>
      <c r="K54" s="5" t="s">
        <v>39</v>
      </c>
      <c r="M54" s="10">
        <v>0.17</v>
      </c>
      <c r="O54" s="11" t="s">
        <v>39</v>
      </c>
      <c r="P54" s="4">
        <f t="shared" si="20"/>
        <v>0</v>
      </c>
      <c r="Q54" s="8" t="s">
        <v>39</v>
      </c>
      <c r="R54" s="9">
        <f>S54/1.11</f>
        <v>0</v>
      </c>
      <c r="S54" s="9">
        <f t="shared" si="21"/>
        <v>0</v>
      </c>
    </row>
    <row r="55" spans="1:19" x14ac:dyDescent="0.2">
      <c r="A55" s="2" t="s">
        <v>41</v>
      </c>
      <c r="B55" s="3" t="s">
        <v>24</v>
      </c>
      <c r="D55" s="5" t="s">
        <v>39</v>
      </c>
      <c r="F55" s="7">
        <v>1</v>
      </c>
      <c r="G55" s="8" t="s">
        <v>19</v>
      </c>
      <c r="H55" s="7">
        <v>5</v>
      </c>
      <c r="I55" s="8" t="s">
        <v>39</v>
      </c>
      <c r="J55" s="9">
        <f>975000/5</f>
        <v>195000</v>
      </c>
      <c r="K55" s="5" t="s">
        <v>39</v>
      </c>
      <c r="M55" s="10">
        <v>0.17</v>
      </c>
      <c r="O55" s="11" t="s">
        <v>39</v>
      </c>
      <c r="P55" s="4">
        <f t="shared" ref="P55" si="24">(C55+(E55*F55*H55))-N55</f>
        <v>0</v>
      </c>
      <c r="Q55" s="8" t="s">
        <v>39</v>
      </c>
      <c r="R55" s="9">
        <f>S55/1.11</f>
        <v>0</v>
      </c>
      <c r="S55" s="9">
        <f t="shared" ref="S55" si="25">P55*(J55-(J55*L55)-((J55-(J55*L55))*M55))</f>
        <v>0</v>
      </c>
    </row>
    <row r="56" spans="1:19" x14ac:dyDescent="0.2">
      <c r="O56" s="11"/>
    </row>
    <row r="57" spans="1:19" x14ac:dyDescent="0.2">
      <c r="A57" s="30" t="s">
        <v>687</v>
      </c>
    </row>
    <row r="58" spans="1:19" x14ac:dyDescent="0.2">
      <c r="A58" s="2" t="s">
        <v>824</v>
      </c>
      <c r="B58" s="3" t="s">
        <v>690</v>
      </c>
      <c r="C58" s="4">
        <v>600</v>
      </c>
      <c r="D58" s="5" t="s">
        <v>18</v>
      </c>
      <c r="F58" s="7">
        <v>1</v>
      </c>
      <c r="G58" s="8" t="s">
        <v>19</v>
      </c>
      <c r="H58" s="7">
        <v>100</v>
      </c>
      <c r="I58" s="8" t="s">
        <v>18</v>
      </c>
      <c r="J58" s="9">
        <v>6610</v>
      </c>
      <c r="K58" s="5" t="s">
        <v>18</v>
      </c>
      <c r="O58" s="8" t="s">
        <v>18</v>
      </c>
      <c r="P58" s="4">
        <f>(C58+(E58*F58*H58))-N58</f>
        <v>600</v>
      </c>
      <c r="Q58" s="8" t="s">
        <v>18</v>
      </c>
      <c r="R58" s="9">
        <f>S58/1.11</f>
        <v>3572972.9729729728</v>
      </c>
      <c r="S58" s="9">
        <f>P58*(J58-(J58*L58)-((J58-(J58*L58))*M58))</f>
        <v>3966000</v>
      </c>
    </row>
    <row r="59" spans="1:19" x14ac:dyDescent="0.2">
      <c r="A59" s="2" t="s">
        <v>747</v>
      </c>
      <c r="B59" s="3" t="s">
        <v>690</v>
      </c>
      <c r="C59" s="4">
        <v>250</v>
      </c>
      <c r="D59" s="5" t="s">
        <v>18</v>
      </c>
      <c r="F59" s="7">
        <v>1</v>
      </c>
      <c r="G59" s="8" t="s">
        <v>19</v>
      </c>
      <c r="H59" s="7">
        <v>50</v>
      </c>
      <c r="I59" s="8" t="s">
        <v>18</v>
      </c>
      <c r="J59" s="9">
        <v>12870</v>
      </c>
      <c r="K59" s="5" t="s">
        <v>18</v>
      </c>
      <c r="O59" s="8" t="s">
        <v>18</v>
      </c>
      <c r="P59" s="4">
        <f>(C59+(E59*F59*H59))-N59</f>
        <v>250</v>
      </c>
      <c r="Q59" s="8" t="s">
        <v>18</v>
      </c>
      <c r="R59" s="9">
        <f>S59/1.11</f>
        <v>2898648.6486486485</v>
      </c>
      <c r="S59" s="9">
        <f>P59*(J59-(J59*L59)-((J59-(J59*L59))*M59))</f>
        <v>3217500</v>
      </c>
    </row>
    <row r="60" spans="1:19" x14ac:dyDescent="0.2">
      <c r="A60" s="2" t="s">
        <v>688</v>
      </c>
      <c r="B60" s="3" t="s">
        <v>690</v>
      </c>
      <c r="D60" s="5" t="s">
        <v>18</v>
      </c>
      <c r="F60" s="7">
        <v>1</v>
      </c>
      <c r="G60" s="8" t="s">
        <v>19</v>
      </c>
      <c r="H60" s="7">
        <v>50</v>
      </c>
      <c r="I60" s="8" t="s">
        <v>18</v>
      </c>
      <c r="J60" s="9">
        <v>12870</v>
      </c>
      <c r="K60" s="5" t="s">
        <v>18</v>
      </c>
      <c r="O60" s="8" t="s">
        <v>18</v>
      </c>
      <c r="P60" s="4">
        <f>(C60+(E60*F60*H60))-N60</f>
        <v>0</v>
      </c>
      <c r="Q60" s="8" t="s">
        <v>18</v>
      </c>
      <c r="R60" s="9">
        <f>S60/1.11</f>
        <v>0</v>
      </c>
      <c r="S60" s="9">
        <f>P60*(J60-(J60*L60)-((J60-(J60*L60))*M60))</f>
        <v>0</v>
      </c>
    </row>
    <row r="61" spans="1:19" x14ac:dyDescent="0.2">
      <c r="A61" s="2" t="s">
        <v>689</v>
      </c>
      <c r="B61" s="3" t="s">
        <v>690</v>
      </c>
      <c r="D61" s="5" t="s">
        <v>18</v>
      </c>
      <c r="F61" s="7">
        <v>1</v>
      </c>
      <c r="G61" s="8" t="s">
        <v>19</v>
      </c>
      <c r="H61" s="7">
        <v>50</v>
      </c>
      <c r="I61" s="8" t="s">
        <v>18</v>
      </c>
      <c r="J61" s="9">
        <v>12870</v>
      </c>
      <c r="K61" s="5" t="s">
        <v>18</v>
      </c>
      <c r="O61" s="8" t="s">
        <v>18</v>
      </c>
      <c r="P61" s="4">
        <f>(C61+(E61*F61*H61))-N61</f>
        <v>0</v>
      </c>
      <c r="Q61" s="8" t="s">
        <v>18</v>
      </c>
      <c r="R61" s="9">
        <f>S61/1.11</f>
        <v>0</v>
      </c>
      <c r="S61" s="9">
        <f>P61*(J61-(J61*L61)-((J61-(J61*L61))*M61))</f>
        <v>0</v>
      </c>
    </row>
    <row r="62" spans="1:19" x14ac:dyDescent="0.2">
      <c r="O62" s="11"/>
    </row>
    <row r="63" spans="1:19" x14ac:dyDescent="0.2">
      <c r="A63" s="30" t="s">
        <v>825</v>
      </c>
    </row>
    <row r="64" spans="1:19" x14ac:dyDescent="0.2">
      <c r="A64" s="2" t="s">
        <v>826</v>
      </c>
      <c r="B64" s="3" t="s">
        <v>690</v>
      </c>
      <c r="C64" s="4">
        <v>160</v>
      </c>
      <c r="D64" s="5" t="s">
        <v>97</v>
      </c>
      <c r="F64" s="7">
        <v>1</v>
      </c>
      <c r="G64" s="8" t="s">
        <v>19</v>
      </c>
      <c r="H64" s="7">
        <v>20</v>
      </c>
      <c r="I64" s="8" t="s">
        <v>97</v>
      </c>
      <c r="J64" s="9">
        <v>14900</v>
      </c>
      <c r="K64" s="5" t="s">
        <v>97</v>
      </c>
      <c r="O64" s="8" t="s">
        <v>97</v>
      </c>
      <c r="P64" s="4">
        <f>(C64+(E64*F64*H64))-N64</f>
        <v>160</v>
      </c>
      <c r="Q64" s="8" t="s">
        <v>97</v>
      </c>
      <c r="R64" s="9">
        <f>S64/1.11</f>
        <v>2147747.7477477477</v>
      </c>
      <c r="S64" s="9">
        <f>P64*(J64-(J64*L64)-((J64-(J64*L64))*M64))</f>
        <v>2384000</v>
      </c>
    </row>
    <row r="65" spans="1:19" x14ac:dyDescent="0.2">
      <c r="A65" s="2" t="s">
        <v>827</v>
      </c>
      <c r="B65" s="3" t="s">
        <v>690</v>
      </c>
      <c r="C65" s="4">
        <v>510</v>
      </c>
      <c r="D65" s="5" t="s">
        <v>97</v>
      </c>
      <c r="F65" s="7">
        <v>1</v>
      </c>
      <c r="G65" s="8" t="s">
        <v>19</v>
      </c>
      <c r="H65" s="7">
        <v>10</v>
      </c>
      <c r="I65" s="8" t="s">
        <v>97</v>
      </c>
      <c r="J65" s="9">
        <v>29900</v>
      </c>
      <c r="K65" s="5" t="s">
        <v>97</v>
      </c>
      <c r="O65" s="8" t="s">
        <v>97</v>
      </c>
      <c r="P65" s="4">
        <f>(C65+(E65*F65*H65))-N65</f>
        <v>510</v>
      </c>
      <c r="Q65" s="8" t="s">
        <v>97</v>
      </c>
      <c r="R65" s="9">
        <f>S65/1.11</f>
        <v>13737837.837837836</v>
      </c>
      <c r="S65" s="9">
        <f>P65*(J65-(J65*L65)-((J65-(J65*L65))*M65))</f>
        <v>15249000</v>
      </c>
    </row>
    <row r="67" spans="1:19" ht="15.75" x14ac:dyDescent="0.25">
      <c r="A67" s="29" t="s">
        <v>42</v>
      </c>
    </row>
    <row r="68" spans="1:19" x14ac:dyDescent="0.2">
      <c r="A68" s="2" t="s">
        <v>43</v>
      </c>
      <c r="B68" s="3" t="s">
        <v>44</v>
      </c>
      <c r="D68" s="5" t="s">
        <v>18</v>
      </c>
      <c r="F68" s="7">
        <v>2</v>
      </c>
      <c r="G68" s="8" t="s">
        <v>32</v>
      </c>
      <c r="H68" s="7">
        <v>20</v>
      </c>
      <c r="I68" s="8" t="s">
        <v>18</v>
      </c>
      <c r="J68" s="9">
        <v>64000</v>
      </c>
      <c r="K68" s="5" t="s">
        <v>18</v>
      </c>
      <c r="L68" s="10">
        <v>0.125</v>
      </c>
      <c r="M68" s="10">
        <v>0.05</v>
      </c>
      <c r="O68" s="8" t="s">
        <v>18</v>
      </c>
      <c r="P68" s="4">
        <f t="shared" ref="P68:P100" si="26">(C68+(E68*F68*H68))-N68</f>
        <v>0</v>
      </c>
      <c r="Q68" s="8" t="s">
        <v>18</v>
      </c>
      <c r="R68" s="9">
        <f>S68/1.11</f>
        <v>0</v>
      </c>
      <c r="S68" s="9">
        <f t="shared" ref="S68:S100" si="27">P68*(J68-(J68*L68)-((J68-(J68*L68))*M68))</f>
        <v>0</v>
      </c>
    </row>
    <row r="69" spans="1:19" x14ac:dyDescent="0.2">
      <c r="A69" s="2" t="s">
        <v>45</v>
      </c>
      <c r="B69" s="3" t="s">
        <v>44</v>
      </c>
      <c r="C69" s="4">
        <v>120</v>
      </c>
      <c r="D69" s="5" t="s">
        <v>18</v>
      </c>
      <c r="F69" s="7">
        <v>6</v>
      </c>
      <c r="G69" s="8" t="s">
        <v>32</v>
      </c>
      <c r="H69" s="7">
        <v>20</v>
      </c>
      <c r="I69" s="8" t="s">
        <v>18</v>
      </c>
      <c r="J69" s="9">
        <v>47000</v>
      </c>
      <c r="K69" s="5" t="s">
        <v>18</v>
      </c>
      <c r="L69" s="10">
        <v>0.125</v>
      </c>
      <c r="M69" s="10">
        <v>0.1</v>
      </c>
      <c r="O69" s="8" t="s">
        <v>18</v>
      </c>
      <c r="P69" s="4">
        <f t="shared" ref="P69" si="28">(C69+(E69*F69*H69))-N69</f>
        <v>120</v>
      </c>
      <c r="Q69" s="8" t="s">
        <v>18</v>
      </c>
      <c r="R69" s="9">
        <f>S69/1.11</f>
        <v>4001351.351351351</v>
      </c>
      <c r="S69" s="9">
        <f t="shared" ref="S69" si="29">P69*(J69-(J69*L69)-((J69-(J69*L69))*M69))</f>
        <v>4441500</v>
      </c>
    </row>
    <row r="70" spans="1:19" x14ac:dyDescent="0.2">
      <c r="A70" s="2" t="s">
        <v>46</v>
      </c>
      <c r="B70" s="3" t="s">
        <v>44</v>
      </c>
      <c r="D70" s="5" t="s">
        <v>18</v>
      </c>
      <c r="F70" s="7">
        <v>6</v>
      </c>
      <c r="G70" s="8" t="s">
        <v>32</v>
      </c>
      <c r="H70" s="7">
        <v>20</v>
      </c>
      <c r="I70" s="8" t="s">
        <v>18</v>
      </c>
      <c r="J70" s="9">
        <v>47000</v>
      </c>
      <c r="K70" s="5" t="s">
        <v>18</v>
      </c>
      <c r="L70" s="10">
        <v>0.125</v>
      </c>
      <c r="M70" s="10">
        <v>0.1</v>
      </c>
      <c r="O70" s="8" t="s">
        <v>18</v>
      </c>
      <c r="P70" s="4">
        <f t="shared" si="26"/>
        <v>0</v>
      </c>
      <c r="Q70" s="8" t="s">
        <v>18</v>
      </c>
      <c r="R70" s="9">
        <f>S70/1.11</f>
        <v>0</v>
      </c>
      <c r="S70" s="9">
        <f t="shared" si="27"/>
        <v>0</v>
      </c>
    </row>
    <row r="71" spans="1:19" x14ac:dyDescent="0.2">
      <c r="A71" s="2" t="s">
        <v>47</v>
      </c>
      <c r="B71" s="3" t="s">
        <v>44</v>
      </c>
      <c r="D71" s="5" t="s">
        <v>18</v>
      </c>
      <c r="F71" s="7">
        <v>6</v>
      </c>
      <c r="G71" s="8" t="s">
        <v>32</v>
      </c>
      <c r="H71" s="7">
        <v>20</v>
      </c>
      <c r="I71" s="8" t="s">
        <v>18</v>
      </c>
      <c r="J71" s="9">
        <v>49000</v>
      </c>
      <c r="K71" s="5" t="s">
        <v>18</v>
      </c>
      <c r="L71" s="10">
        <v>0.125</v>
      </c>
      <c r="M71" s="10">
        <v>0.05</v>
      </c>
      <c r="O71" s="8" t="s">
        <v>18</v>
      </c>
      <c r="P71" s="4">
        <f t="shared" si="26"/>
        <v>0</v>
      </c>
      <c r="Q71" s="8" t="s">
        <v>18</v>
      </c>
      <c r="R71" s="9">
        <f>S71/1.11</f>
        <v>0</v>
      </c>
      <c r="S71" s="9">
        <f t="shared" si="27"/>
        <v>0</v>
      </c>
    </row>
    <row r="72" spans="1:19" x14ac:dyDescent="0.2">
      <c r="A72" s="2" t="s">
        <v>48</v>
      </c>
      <c r="B72" s="3" t="s">
        <v>44</v>
      </c>
      <c r="C72" s="4">
        <v>80</v>
      </c>
      <c r="D72" s="5" t="s">
        <v>18</v>
      </c>
      <c r="F72" s="7">
        <v>4</v>
      </c>
      <c r="G72" s="8" t="s">
        <v>32</v>
      </c>
      <c r="H72" s="7">
        <v>20</v>
      </c>
      <c r="I72" s="8" t="s">
        <v>18</v>
      </c>
      <c r="J72" s="9">
        <v>56000</v>
      </c>
      <c r="K72" s="5" t="s">
        <v>18</v>
      </c>
      <c r="L72" s="10">
        <v>0.125</v>
      </c>
      <c r="M72" s="10">
        <v>0.1</v>
      </c>
      <c r="O72" s="8" t="s">
        <v>18</v>
      </c>
      <c r="P72" s="4">
        <f t="shared" si="26"/>
        <v>80</v>
      </c>
      <c r="Q72" s="8" t="s">
        <v>18</v>
      </c>
      <c r="R72" s="9">
        <f>S72/1.11</f>
        <v>3178378.3783783782</v>
      </c>
      <c r="S72" s="9">
        <f t="shared" si="27"/>
        <v>3528000</v>
      </c>
    </row>
    <row r="73" spans="1:19" x14ac:dyDescent="0.2">
      <c r="A73" s="2" t="s">
        <v>49</v>
      </c>
      <c r="B73" s="3" t="s">
        <v>44</v>
      </c>
      <c r="C73" s="4">
        <v>120</v>
      </c>
      <c r="D73" s="5" t="s">
        <v>18</v>
      </c>
      <c r="F73" s="7">
        <v>6</v>
      </c>
      <c r="G73" s="8" t="s">
        <v>32</v>
      </c>
      <c r="H73" s="7">
        <v>20</v>
      </c>
      <c r="I73" s="8" t="s">
        <v>18</v>
      </c>
      <c r="J73" s="9">
        <v>47000</v>
      </c>
      <c r="K73" s="5" t="s">
        <v>18</v>
      </c>
      <c r="L73" s="10">
        <v>0.125</v>
      </c>
      <c r="M73" s="10">
        <v>0.05</v>
      </c>
      <c r="O73" s="8" t="s">
        <v>18</v>
      </c>
      <c r="P73" s="4">
        <f t="shared" si="26"/>
        <v>120</v>
      </c>
      <c r="Q73" s="8" t="s">
        <v>18</v>
      </c>
      <c r="R73" s="9">
        <f>S73/1.11</f>
        <v>4223648.6486486485</v>
      </c>
      <c r="S73" s="9">
        <f t="shared" si="27"/>
        <v>4688250</v>
      </c>
    </row>
    <row r="74" spans="1:19" x14ac:dyDescent="0.2">
      <c r="A74" s="2" t="s">
        <v>798</v>
      </c>
      <c r="B74" s="3" t="s">
        <v>44</v>
      </c>
      <c r="D74" s="5" t="s">
        <v>18</v>
      </c>
      <c r="F74" s="7">
        <v>4</v>
      </c>
      <c r="G74" s="8" t="s">
        <v>32</v>
      </c>
      <c r="H74" s="7">
        <v>20</v>
      </c>
      <c r="I74" s="8" t="s">
        <v>18</v>
      </c>
      <c r="J74" s="9">
        <v>60000</v>
      </c>
      <c r="K74" s="5" t="s">
        <v>18</v>
      </c>
      <c r="L74" s="10">
        <v>0.125</v>
      </c>
      <c r="M74" s="10">
        <v>0.1</v>
      </c>
      <c r="O74" s="8" t="s">
        <v>18</v>
      </c>
      <c r="P74" s="4">
        <f t="shared" si="26"/>
        <v>0</v>
      </c>
      <c r="Q74" s="8" t="s">
        <v>18</v>
      </c>
      <c r="R74" s="9">
        <f>S74/1.11</f>
        <v>0</v>
      </c>
      <c r="S74" s="9">
        <f t="shared" si="27"/>
        <v>0</v>
      </c>
    </row>
    <row r="75" spans="1:19" x14ac:dyDescent="0.2">
      <c r="A75" s="2" t="s">
        <v>50</v>
      </c>
      <c r="B75" s="3" t="s">
        <v>44</v>
      </c>
      <c r="D75" s="5" t="s">
        <v>18</v>
      </c>
      <c r="F75" s="7">
        <v>4</v>
      </c>
      <c r="G75" s="8" t="s">
        <v>32</v>
      </c>
      <c r="H75" s="7">
        <v>40</v>
      </c>
      <c r="I75" s="8" t="s">
        <v>18</v>
      </c>
      <c r="J75" s="9">
        <v>37000</v>
      </c>
      <c r="K75" s="5" t="s">
        <v>18</v>
      </c>
      <c r="L75" s="10">
        <v>0.125</v>
      </c>
      <c r="M75" s="10">
        <v>0.05</v>
      </c>
      <c r="O75" s="8" t="s">
        <v>18</v>
      </c>
      <c r="P75" s="4">
        <f t="shared" si="26"/>
        <v>0</v>
      </c>
      <c r="Q75" s="8" t="s">
        <v>18</v>
      </c>
      <c r="R75" s="9">
        <f>S75/1.11</f>
        <v>0</v>
      </c>
      <c r="S75" s="9">
        <f t="shared" si="27"/>
        <v>0</v>
      </c>
    </row>
    <row r="76" spans="1:19" x14ac:dyDescent="0.2">
      <c r="A76" s="2" t="s">
        <v>51</v>
      </c>
      <c r="B76" s="3" t="s">
        <v>44</v>
      </c>
      <c r="C76" s="4">
        <v>160</v>
      </c>
      <c r="D76" s="5" t="s">
        <v>18</v>
      </c>
      <c r="F76" s="7">
        <v>4</v>
      </c>
      <c r="G76" s="8" t="s">
        <v>32</v>
      </c>
      <c r="H76" s="7">
        <v>20</v>
      </c>
      <c r="I76" s="8" t="s">
        <v>18</v>
      </c>
      <c r="J76" s="9">
        <v>50000</v>
      </c>
      <c r="K76" s="5" t="s">
        <v>18</v>
      </c>
      <c r="L76" s="10">
        <v>0.125</v>
      </c>
      <c r="M76" s="10">
        <v>0.1</v>
      </c>
      <c r="O76" s="8" t="s">
        <v>18</v>
      </c>
      <c r="P76" s="4">
        <f t="shared" si="26"/>
        <v>160</v>
      </c>
      <c r="Q76" s="8" t="s">
        <v>18</v>
      </c>
      <c r="R76" s="9">
        <f>S76/1.11</f>
        <v>5675675.6756756753</v>
      </c>
      <c r="S76" s="9">
        <f t="shared" si="27"/>
        <v>6300000</v>
      </c>
    </row>
    <row r="77" spans="1:19" x14ac:dyDescent="0.2">
      <c r="A77" s="2" t="s">
        <v>757</v>
      </c>
      <c r="B77" s="3" t="s">
        <v>44</v>
      </c>
      <c r="C77" s="4">
        <v>80</v>
      </c>
      <c r="D77" s="5" t="s">
        <v>18</v>
      </c>
      <c r="F77" s="7">
        <v>4</v>
      </c>
      <c r="G77" s="8" t="s">
        <v>32</v>
      </c>
      <c r="H77" s="7">
        <v>20</v>
      </c>
      <c r="I77" s="8" t="s">
        <v>18</v>
      </c>
      <c r="J77" s="9">
        <v>50000</v>
      </c>
      <c r="K77" s="5" t="s">
        <v>18</v>
      </c>
      <c r="L77" s="10">
        <v>0.125</v>
      </c>
      <c r="M77" s="10">
        <v>0.05</v>
      </c>
      <c r="O77" s="8" t="s">
        <v>18</v>
      </c>
      <c r="P77" s="4">
        <f t="shared" si="26"/>
        <v>80</v>
      </c>
      <c r="Q77" s="8" t="s">
        <v>18</v>
      </c>
      <c r="R77" s="9">
        <f>S77/1.11</f>
        <v>2995495.4954954954</v>
      </c>
      <c r="S77" s="9">
        <f t="shared" si="27"/>
        <v>3325000</v>
      </c>
    </row>
    <row r="78" spans="1:19" x14ac:dyDescent="0.2">
      <c r="A78" s="2" t="s">
        <v>52</v>
      </c>
      <c r="B78" s="3" t="s">
        <v>44</v>
      </c>
      <c r="C78" s="4">
        <v>160</v>
      </c>
      <c r="D78" s="5" t="s">
        <v>18</v>
      </c>
      <c r="F78" s="7">
        <v>4</v>
      </c>
      <c r="G78" s="8" t="s">
        <v>32</v>
      </c>
      <c r="H78" s="7">
        <v>20</v>
      </c>
      <c r="I78" s="8" t="s">
        <v>18</v>
      </c>
      <c r="J78" s="9">
        <v>67000</v>
      </c>
      <c r="K78" s="5" t="s">
        <v>18</v>
      </c>
      <c r="L78" s="10">
        <v>0.125</v>
      </c>
      <c r="M78" s="10">
        <v>0.1</v>
      </c>
      <c r="O78" s="8" t="s">
        <v>18</v>
      </c>
      <c r="P78" s="4">
        <f t="shared" ref="P78" si="30">(C78+(E78*F78*H78))-N78</f>
        <v>160</v>
      </c>
      <c r="Q78" s="8" t="s">
        <v>18</v>
      </c>
      <c r="R78" s="9">
        <f>S78/1.11</f>
        <v>7605405.405405405</v>
      </c>
      <c r="S78" s="9">
        <f t="shared" ref="S78" si="31">P78*(J78-(J78*L78)-((J78-(J78*L78))*M78))</f>
        <v>8442000</v>
      </c>
    </row>
    <row r="79" spans="1:19" x14ac:dyDescent="0.2">
      <c r="A79" s="2" t="s">
        <v>876</v>
      </c>
      <c r="B79" s="3" t="s">
        <v>44</v>
      </c>
      <c r="D79" s="5" t="s">
        <v>18</v>
      </c>
      <c r="F79" s="7">
        <v>4</v>
      </c>
      <c r="G79" s="8" t="s">
        <v>32</v>
      </c>
      <c r="H79" s="7">
        <v>20</v>
      </c>
      <c r="I79" s="8" t="s">
        <v>18</v>
      </c>
      <c r="J79" s="9">
        <v>50000</v>
      </c>
      <c r="K79" s="5" t="s">
        <v>18</v>
      </c>
      <c r="L79" s="10">
        <v>0.125</v>
      </c>
      <c r="M79" s="10">
        <v>0.05</v>
      </c>
      <c r="O79" s="8" t="s">
        <v>18</v>
      </c>
      <c r="P79" s="4">
        <f t="shared" ref="P79" si="32">(C79+(E79*F79*H79))-N79</f>
        <v>0</v>
      </c>
      <c r="Q79" s="8" t="s">
        <v>18</v>
      </c>
      <c r="R79" s="9">
        <f>S79/1.11</f>
        <v>0</v>
      </c>
      <c r="S79" s="9">
        <f t="shared" ref="S79" si="33">P79*(J79-(J79*L79)-((J79-(J79*L79))*M79))</f>
        <v>0</v>
      </c>
    </row>
    <row r="80" spans="1:19" x14ac:dyDescent="0.2">
      <c r="A80" s="2" t="s">
        <v>756</v>
      </c>
      <c r="B80" s="3" t="s">
        <v>44</v>
      </c>
      <c r="D80" s="5" t="s">
        <v>18</v>
      </c>
      <c r="F80" s="7">
        <v>6</v>
      </c>
      <c r="G80" s="8" t="s">
        <v>32</v>
      </c>
      <c r="H80" s="7">
        <v>10</v>
      </c>
      <c r="I80" s="8" t="s">
        <v>18</v>
      </c>
      <c r="J80" s="9">
        <v>77000</v>
      </c>
      <c r="K80" s="5" t="s">
        <v>18</v>
      </c>
      <c r="L80" s="10">
        <v>0.125</v>
      </c>
      <c r="M80" s="10">
        <v>0.05</v>
      </c>
      <c r="O80" s="8" t="s">
        <v>18</v>
      </c>
      <c r="P80" s="4">
        <f t="shared" si="26"/>
        <v>0</v>
      </c>
      <c r="Q80" s="8" t="s">
        <v>18</v>
      </c>
      <c r="R80" s="9">
        <f>S80/1.11</f>
        <v>0</v>
      </c>
      <c r="S80" s="9">
        <f t="shared" si="27"/>
        <v>0</v>
      </c>
    </row>
    <row r="81" spans="1:19" x14ac:dyDescent="0.2">
      <c r="A81" s="2" t="s">
        <v>53</v>
      </c>
      <c r="B81" s="3" t="s">
        <v>44</v>
      </c>
      <c r="D81" s="5" t="s">
        <v>18</v>
      </c>
      <c r="F81" s="7">
        <v>6</v>
      </c>
      <c r="G81" s="8" t="s">
        <v>32</v>
      </c>
      <c r="H81" s="7">
        <v>10</v>
      </c>
      <c r="I81" s="8" t="s">
        <v>18</v>
      </c>
      <c r="J81" s="9">
        <v>73000</v>
      </c>
      <c r="K81" s="5" t="s">
        <v>18</v>
      </c>
      <c r="L81" s="10">
        <v>0.125</v>
      </c>
      <c r="M81" s="10">
        <v>0.05</v>
      </c>
      <c r="O81" s="8" t="s">
        <v>18</v>
      </c>
      <c r="P81" s="4">
        <f t="shared" si="26"/>
        <v>0</v>
      </c>
      <c r="Q81" s="8" t="s">
        <v>18</v>
      </c>
      <c r="R81" s="9">
        <f>S81/1.11</f>
        <v>0</v>
      </c>
      <c r="S81" s="9">
        <f t="shared" si="27"/>
        <v>0</v>
      </c>
    </row>
    <row r="82" spans="1:19" x14ac:dyDescent="0.2">
      <c r="A82" s="2" t="s">
        <v>54</v>
      </c>
      <c r="B82" s="3" t="s">
        <v>44</v>
      </c>
      <c r="D82" s="5" t="s">
        <v>18</v>
      </c>
      <c r="F82" s="7">
        <v>8</v>
      </c>
      <c r="G82" s="8" t="s">
        <v>32</v>
      </c>
      <c r="H82" s="7">
        <v>10</v>
      </c>
      <c r="I82" s="8" t="s">
        <v>18</v>
      </c>
      <c r="J82" s="9">
        <v>58000</v>
      </c>
      <c r="K82" s="5" t="s">
        <v>18</v>
      </c>
      <c r="L82" s="10">
        <v>0.125</v>
      </c>
      <c r="M82" s="10">
        <v>0.05</v>
      </c>
      <c r="O82" s="8" t="s">
        <v>18</v>
      </c>
      <c r="P82" s="4">
        <f t="shared" ref="P82" si="34">(C82+(E82*F82*H82))-N82</f>
        <v>0</v>
      </c>
      <c r="Q82" s="8" t="s">
        <v>18</v>
      </c>
      <c r="R82" s="9">
        <f>S82/1.11</f>
        <v>0</v>
      </c>
      <c r="S82" s="9">
        <f t="shared" ref="S82" si="35">P82*(J82-(J82*L82)-((J82-(J82*L82))*M82))</f>
        <v>0</v>
      </c>
    </row>
    <row r="83" spans="1:19" x14ac:dyDescent="0.2">
      <c r="A83" s="2" t="s">
        <v>55</v>
      </c>
      <c r="B83" s="3" t="s">
        <v>44</v>
      </c>
      <c r="D83" s="5" t="s">
        <v>18</v>
      </c>
      <c r="F83" s="7">
        <v>6</v>
      </c>
      <c r="G83" s="8" t="s">
        <v>32</v>
      </c>
      <c r="H83" s="7">
        <v>20</v>
      </c>
      <c r="I83" s="8" t="s">
        <v>18</v>
      </c>
      <c r="J83" s="9">
        <v>47000</v>
      </c>
      <c r="K83" s="5" t="s">
        <v>18</v>
      </c>
      <c r="L83" s="10">
        <v>0.125</v>
      </c>
      <c r="M83" s="10">
        <v>0.05</v>
      </c>
      <c r="O83" s="8" t="s">
        <v>18</v>
      </c>
      <c r="P83" s="4">
        <f t="shared" si="26"/>
        <v>0</v>
      </c>
      <c r="Q83" s="8" t="s">
        <v>18</v>
      </c>
      <c r="R83" s="9">
        <f>S83/1.11</f>
        <v>0</v>
      </c>
      <c r="S83" s="9">
        <f t="shared" si="27"/>
        <v>0</v>
      </c>
    </row>
    <row r="84" spans="1:19" x14ac:dyDescent="0.2">
      <c r="A84" s="2" t="s">
        <v>56</v>
      </c>
      <c r="B84" s="3" t="s">
        <v>44</v>
      </c>
      <c r="D84" s="5" t="s">
        <v>18</v>
      </c>
      <c r="F84" s="7">
        <v>8</v>
      </c>
      <c r="G84" s="8" t="s">
        <v>32</v>
      </c>
      <c r="H84" s="7">
        <v>20</v>
      </c>
      <c r="I84" s="8" t="s">
        <v>18</v>
      </c>
      <c r="J84" s="9">
        <v>32000</v>
      </c>
      <c r="K84" s="5" t="s">
        <v>18</v>
      </c>
      <c r="L84" s="10">
        <v>0.125</v>
      </c>
      <c r="M84" s="10">
        <v>0.05</v>
      </c>
      <c r="O84" s="8" t="s">
        <v>18</v>
      </c>
      <c r="P84" s="4">
        <f t="shared" si="26"/>
        <v>0</v>
      </c>
      <c r="Q84" s="8" t="s">
        <v>18</v>
      </c>
      <c r="R84" s="9">
        <f>S84/1.11</f>
        <v>0</v>
      </c>
      <c r="S84" s="9">
        <f t="shared" si="27"/>
        <v>0</v>
      </c>
    </row>
    <row r="85" spans="1:19" x14ac:dyDescent="0.2">
      <c r="A85" s="2" t="s">
        <v>57</v>
      </c>
      <c r="B85" s="3" t="s">
        <v>44</v>
      </c>
      <c r="D85" s="5" t="s">
        <v>18</v>
      </c>
      <c r="F85" s="7">
        <v>8</v>
      </c>
      <c r="G85" s="8" t="s">
        <v>32</v>
      </c>
      <c r="H85" s="7">
        <v>20</v>
      </c>
      <c r="I85" s="8" t="s">
        <v>18</v>
      </c>
      <c r="J85" s="9">
        <v>27500</v>
      </c>
      <c r="K85" s="5" t="s">
        <v>18</v>
      </c>
      <c r="L85" s="10">
        <v>0.125</v>
      </c>
      <c r="M85" s="10">
        <v>0.05</v>
      </c>
      <c r="O85" s="8" t="s">
        <v>18</v>
      </c>
      <c r="P85" s="4">
        <f t="shared" si="26"/>
        <v>0</v>
      </c>
      <c r="Q85" s="8" t="s">
        <v>18</v>
      </c>
      <c r="R85" s="9">
        <f>S85/1.11</f>
        <v>0</v>
      </c>
      <c r="S85" s="9">
        <f t="shared" si="27"/>
        <v>0</v>
      </c>
    </row>
    <row r="86" spans="1:19" x14ac:dyDescent="0.2">
      <c r="A86" s="2" t="s">
        <v>58</v>
      </c>
      <c r="B86" s="3" t="s">
        <v>44</v>
      </c>
      <c r="D86" s="5" t="s">
        <v>18</v>
      </c>
      <c r="F86" s="7">
        <v>4</v>
      </c>
      <c r="G86" s="8" t="s">
        <v>32</v>
      </c>
      <c r="H86" s="7">
        <v>20</v>
      </c>
      <c r="I86" s="8" t="s">
        <v>18</v>
      </c>
      <c r="J86" s="9">
        <v>55000</v>
      </c>
      <c r="K86" s="5" t="s">
        <v>18</v>
      </c>
      <c r="L86" s="10">
        <v>0.125</v>
      </c>
      <c r="M86" s="10">
        <v>0.05</v>
      </c>
      <c r="O86" s="8" t="s">
        <v>18</v>
      </c>
      <c r="P86" s="4">
        <f t="shared" si="26"/>
        <v>0</v>
      </c>
      <c r="Q86" s="8" t="s">
        <v>18</v>
      </c>
      <c r="R86" s="9">
        <f>S86/1.11</f>
        <v>0</v>
      </c>
      <c r="S86" s="9">
        <f t="shared" si="27"/>
        <v>0</v>
      </c>
    </row>
    <row r="87" spans="1:19" x14ac:dyDescent="0.2">
      <c r="A87" s="2" t="s">
        <v>59</v>
      </c>
      <c r="B87" s="3" t="s">
        <v>44</v>
      </c>
      <c r="D87" s="5" t="s">
        <v>18</v>
      </c>
      <c r="F87" s="7">
        <v>6</v>
      </c>
      <c r="G87" s="8" t="s">
        <v>32</v>
      </c>
      <c r="H87" s="7">
        <v>10</v>
      </c>
      <c r="I87" s="8" t="s">
        <v>18</v>
      </c>
      <c r="J87" s="9">
        <v>74000</v>
      </c>
      <c r="K87" s="5" t="s">
        <v>18</v>
      </c>
      <c r="L87" s="10">
        <v>0.125</v>
      </c>
      <c r="M87" s="10">
        <v>0.1</v>
      </c>
      <c r="O87" s="8" t="s">
        <v>18</v>
      </c>
      <c r="P87" s="4">
        <f t="shared" si="26"/>
        <v>0</v>
      </c>
      <c r="Q87" s="8" t="s">
        <v>18</v>
      </c>
      <c r="R87" s="9">
        <f>S87/1.11</f>
        <v>0</v>
      </c>
      <c r="S87" s="9">
        <f t="shared" si="27"/>
        <v>0</v>
      </c>
    </row>
    <row r="88" spans="1:19" x14ac:dyDescent="0.2">
      <c r="A88" s="2" t="s">
        <v>1024</v>
      </c>
      <c r="B88" s="3" t="s">
        <v>44</v>
      </c>
      <c r="D88" s="5" t="s">
        <v>18</v>
      </c>
      <c r="F88" s="7">
        <v>6</v>
      </c>
      <c r="G88" s="8" t="s">
        <v>32</v>
      </c>
      <c r="H88" s="7">
        <v>20</v>
      </c>
      <c r="I88" s="8" t="s">
        <v>18</v>
      </c>
      <c r="J88" s="9">
        <v>44000</v>
      </c>
      <c r="K88" s="5" t="s">
        <v>18</v>
      </c>
      <c r="L88" s="10">
        <v>0.125</v>
      </c>
      <c r="M88" s="10">
        <v>0.1</v>
      </c>
      <c r="O88" s="8" t="s">
        <v>18</v>
      </c>
      <c r="P88" s="4">
        <f t="shared" ref="P88" si="36">(C88+(E88*F88*H88))-N88</f>
        <v>0</v>
      </c>
      <c r="Q88" s="8" t="s">
        <v>18</v>
      </c>
      <c r="R88" s="9">
        <f>S88/1.11</f>
        <v>0</v>
      </c>
      <c r="S88" s="9">
        <f t="shared" ref="S88" si="37">P88*(J88-(J88*L88)-((J88-(J88*L88))*M88))</f>
        <v>0</v>
      </c>
    </row>
    <row r="89" spans="1:19" x14ac:dyDescent="0.2">
      <c r="A89" s="2" t="s">
        <v>60</v>
      </c>
      <c r="B89" s="3" t="s">
        <v>44</v>
      </c>
      <c r="D89" s="5" t="s">
        <v>18</v>
      </c>
      <c r="F89" s="7">
        <v>6</v>
      </c>
      <c r="G89" s="8" t="s">
        <v>32</v>
      </c>
      <c r="H89" s="7">
        <v>20</v>
      </c>
      <c r="I89" s="8" t="s">
        <v>18</v>
      </c>
      <c r="J89" s="9">
        <v>52000</v>
      </c>
      <c r="K89" s="5" t="s">
        <v>18</v>
      </c>
      <c r="L89" s="10">
        <v>0.125</v>
      </c>
      <c r="M89" s="10">
        <v>0.05</v>
      </c>
      <c r="O89" s="8" t="s">
        <v>18</v>
      </c>
      <c r="P89" s="4">
        <f t="shared" si="26"/>
        <v>0</v>
      </c>
      <c r="Q89" s="8" t="s">
        <v>18</v>
      </c>
      <c r="R89" s="9">
        <f>S89/1.11</f>
        <v>0</v>
      </c>
      <c r="S89" s="9">
        <f t="shared" si="27"/>
        <v>0</v>
      </c>
    </row>
    <row r="90" spans="1:19" x14ac:dyDescent="0.2">
      <c r="A90" s="2" t="s">
        <v>61</v>
      </c>
      <c r="B90" s="3" t="s">
        <v>44</v>
      </c>
      <c r="C90" s="4">
        <v>120</v>
      </c>
      <c r="D90" s="5" t="s">
        <v>18</v>
      </c>
      <c r="F90" s="7">
        <v>6</v>
      </c>
      <c r="G90" s="8" t="s">
        <v>32</v>
      </c>
      <c r="H90" s="7">
        <v>20</v>
      </c>
      <c r="I90" s="8" t="s">
        <v>18</v>
      </c>
      <c r="J90" s="9">
        <v>32500</v>
      </c>
      <c r="K90" s="5" t="s">
        <v>18</v>
      </c>
      <c r="L90" s="10">
        <v>0.125</v>
      </c>
      <c r="M90" s="10">
        <v>0.1</v>
      </c>
      <c r="O90" s="8" t="s">
        <v>18</v>
      </c>
      <c r="P90" s="4">
        <f t="shared" si="26"/>
        <v>120</v>
      </c>
      <c r="Q90" s="8" t="s">
        <v>18</v>
      </c>
      <c r="R90" s="9">
        <f>S90/1.11</f>
        <v>2766891.8918918916</v>
      </c>
      <c r="S90" s="9">
        <f t="shared" si="27"/>
        <v>3071250</v>
      </c>
    </row>
    <row r="91" spans="1:19" x14ac:dyDescent="0.2">
      <c r="A91" s="2" t="s">
        <v>799</v>
      </c>
      <c r="B91" s="3" t="s">
        <v>44</v>
      </c>
      <c r="D91" s="5" t="s">
        <v>18</v>
      </c>
      <c r="F91" s="7">
        <v>8</v>
      </c>
      <c r="G91" s="8" t="s">
        <v>32</v>
      </c>
      <c r="H91" s="7">
        <v>10</v>
      </c>
      <c r="I91" s="8" t="s">
        <v>18</v>
      </c>
      <c r="J91" s="9">
        <v>62000</v>
      </c>
      <c r="K91" s="5" t="s">
        <v>18</v>
      </c>
      <c r="L91" s="10">
        <v>0.125</v>
      </c>
      <c r="M91" s="10">
        <v>0.1</v>
      </c>
      <c r="O91" s="8" t="s">
        <v>18</v>
      </c>
      <c r="P91" s="4">
        <f t="shared" si="26"/>
        <v>0</v>
      </c>
      <c r="Q91" s="8" t="s">
        <v>18</v>
      </c>
      <c r="R91" s="9">
        <f>S91/1.11</f>
        <v>0</v>
      </c>
      <c r="S91" s="9">
        <f t="shared" si="27"/>
        <v>0</v>
      </c>
    </row>
    <row r="92" spans="1:19" x14ac:dyDescent="0.2">
      <c r="A92" s="2" t="s">
        <v>800</v>
      </c>
      <c r="B92" s="3" t="s">
        <v>44</v>
      </c>
      <c r="D92" s="5" t="s">
        <v>18</v>
      </c>
      <c r="F92" s="7">
        <v>6</v>
      </c>
      <c r="G92" s="8" t="s">
        <v>32</v>
      </c>
      <c r="H92" s="7">
        <v>10</v>
      </c>
      <c r="I92" s="8" t="s">
        <v>18</v>
      </c>
      <c r="J92" s="9">
        <v>88000</v>
      </c>
      <c r="K92" s="5" t="s">
        <v>18</v>
      </c>
      <c r="L92" s="10">
        <v>0.125</v>
      </c>
      <c r="M92" s="10">
        <v>0.1</v>
      </c>
      <c r="O92" s="8" t="s">
        <v>18</v>
      </c>
      <c r="P92" s="4">
        <f t="shared" si="26"/>
        <v>0</v>
      </c>
      <c r="Q92" s="8" t="s">
        <v>18</v>
      </c>
      <c r="R92" s="9">
        <f>S92/1.11</f>
        <v>0</v>
      </c>
      <c r="S92" s="9">
        <f t="shared" si="27"/>
        <v>0</v>
      </c>
    </row>
    <row r="93" spans="1:19" x14ac:dyDescent="0.2">
      <c r="A93" s="2" t="s">
        <v>62</v>
      </c>
      <c r="B93" s="3" t="s">
        <v>44</v>
      </c>
      <c r="D93" s="5" t="s">
        <v>18</v>
      </c>
      <c r="F93" s="7">
        <v>6</v>
      </c>
      <c r="G93" s="8" t="s">
        <v>32</v>
      </c>
      <c r="H93" s="7">
        <v>10</v>
      </c>
      <c r="I93" s="8" t="s">
        <v>18</v>
      </c>
      <c r="J93" s="9">
        <v>75000</v>
      </c>
      <c r="K93" s="5" t="s">
        <v>18</v>
      </c>
      <c r="L93" s="10">
        <v>0.125</v>
      </c>
      <c r="M93" s="10">
        <v>0.1</v>
      </c>
      <c r="O93" s="8" t="s">
        <v>18</v>
      </c>
      <c r="P93" s="4">
        <f t="shared" ref="P93" si="38">(C93+(E93*F93*H93))-N93</f>
        <v>0</v>
      </c>
      <c r="Q93" s="8" t="s">
        <v>18</v>
      </c>
      <c r="R93" s="9">
        <f>S93/1.11</f>
        <v>0</v>
      </c>
      <c r="S93" s="9">
        <f t="shared" ref="S93" si="39">P93*(J93-(J93*L93)-((J93-(J93*L93))*M93))</f>
        <v>0</v>
      </c>
    </row>
    <row r="94" spans="1:19" x14ac:dyDescent="0.2">
      <c r="A94" s="2" t="s">
        <v>63</v>
      </c>
      <c r="B94" s="3" t="s">
        <v>44</v>
      </c>
      <c r="D94" s="5" t="s">
        <v>18</v>
      </c>
      <c r="F94" s="7">
        <v>6</v>
      </c>
      <c r="G94" s="8" t="s">
        <v>32</v>
      </c>
      <c r="H94" s="7">
        <v>10</v>
      </c>
      <c r="I94" s="8" t="s">
        <v>18</v>
      </c>
      <c r="J94" s="9">
        <v>79000</v>
      </c>
      <c r="K94" s="5" t="s">
        <v>18</v>
      </c>
      <c r="L94" s="10">
        <v>0.125</v>
      </c>
      <c r="M94" s="10">
        <v>0.1</v>
      </c>
      <c r="O94" s="8" t="s">
        <v>18</v>
      </c>
      <c r="P94" s="4">
        <f t="shared" si="26"/>
        <v>0</v>
      </c>
      <c r="Q94" s="8" t="s">
        <v>18</v>
      </c>
      <c r="R94" s="9">
        <f>S94/1.11</f>
        <v>0</v>
      </c>
      <c r="S94" s="9">
        <f t="shared" si="27"/>
        <v>0</v>
      </c>
    </row>
    <row r="95" spans="1:19" x14ac:dyDescent="0.2">
      <c r="A95" s="2" t="s">
        <v>64</v>
      </c>
      <c r="B95" s="3" t="s">
        <v>44</v>
      </c>
      <c r="C95" s="4">
        <v>60</v>
      </c>
      <c r="D95" s="5" t="s">
        <v>18</v>
      </c>
      <c r="F95" s="7">
        <v>6</v>
      </c>
      <c r="G95" s="8" t="s">
        <v>32</v>
      </c>
      <c r="H95" s="7">
        <v>10</v>
      </c>
      <c r="I95" s="8" t="s">
        <v>18</v>
      </c>
      <c r="J95" s="9">
        <v>82000</v>
      </c>
      <c r="K95" s="5" t="s">
        <v>18</v>
      </c>
      <c r="L95" s="10">
        <v>0.125</v>
      </c>
      <c r="M95" s="10">
        <v>0.05</v>
      </c>
      <c r="O95" s="8" t="s">
        <v>18</v>
      </c>
      <c r="P95" s="4">
        <f t="shared" si="26"/>
        <v>60</v>
      </c>
      <c r="Q95" s="8" t="s">
        <v>18</v>
      </c>
      <c r="R95" s="9">
        <f>S95/1.11</f>
        <v>3684459.4594594589</v>
      </c>
      <c r="S95" s="9">
        <f t="shared" si="27"/>
        <v>4089750</v>
      </c>
    </row>
    <row r="96" spans="1:19" x14ac:dyDescent="0.2">
      <c r="A96" s="2" t="s">
        <v>65</v>
      </c>
      <c r="B96" s="3" t="s">
        <v>44</v>
      </c>
      <c r="D96" s="5" t="s">
        <v>18</v>
      </c>
      <c r="F96" s="7">
        <v>6</v>
      </c>
      <c r="G96" s="8" t="s">
        <v>32</v>
      </c>
      <c r="H96" s="7">
        <v>10</v>
      </c>
      <c r="I96" s="8" t="s">
        <v>18</v>
      </c>
      <c r="J96" s="9">
        <v>54000</v>
      </c>
      <c r="K96" s="5" t="s">
        <v>18</v>
      </c>
      <c r="L96" s="10">
        <v>0.125</v>
      </c>
      <c r="M96" s="10">
        <v>0.05</v>
      </c>
      <c r="O96" s="8" t="s">
        <v>18</v>
      </c>
      <c r="P96" s="4">
        <f t="shared" si="26"/>
        <v>0</v>
      </c>
      <c r="Q96" s="8" t="s">
        <v>18</v>
      </c>
      <c r="R96" s="9">
        <f>S96/1.11</f>
        <v>0</v>
      </c>
      <c r="S96" s="9">
        <f t="shared" si="27"/>
        <v>0</v>
      </c>
    </row>
    <row r="97" spans="1:19" x14ac:dyDescent="0.2">
      <c r="A97" s="2" t="s">
        <v>872</v>
      </c>
      <c r="B97" s="3" t="s">
        <v>44</v>
      </c>
      <c r="D97" s="5" t="s">
        <v>18</v>
      </c>
      <c r="F97" s="7">
        <v>6</v>
      </c>
      <c r="G97" s="8" t="s">
        <v>32</v>
      </c>
      <c r="H97" s="7">
        <v>10</v>
      </c>
      <c r="I97" s="8" t="s">
        <v>18</v>
      </c>
      <c r="J97" s="9">
        <v>56000</v>
      </c>
      <c r="K97" s="5" t="s">
        <v>18</v>
      </c>
      <c r="L97" s="10">
        <v>0.125</v>
      </c>
      <c r="M97" s="10">
        <v>0.05</v>
      </c>
      <c r="O97" s="8" t="s">
        <v>18</v>
      </c>
      <c r="P97" s="4">
        <f t="shared" si="26"/>
        <v>0</v>
      </c>
      <c r="Q97" s="8" t="s">
        <v>18</v>
      </c>
      <c r="R97" s="9">
        <f>S97/1.11</f>
        <v>0</v>
      </c>
      <c r="S97" s="9">
        <f t="shared" si="27"/>
        <v>0</v>
      </c>
    </row>
    <row r="98" spans="1:19" x14ac:dyDescent="0.2">
      <c r="A98" s="2" t="s">
        <v>66</v>
      </c>
      <c r="B98" s="3" t="s">
        <v>44</v>
      </c>
      <c r="D98" s="5" t="s">
        <v>18</v>
      </c>
      <c r="F98" s="7">
        <v>6</v>
      </c>
      <c r="G98" s="8" t="s">
        <v>32</v>
      </c>
      <c r="H98" s="7">
        <v>20</v>
      </c>
      <c r="I98" s="8" t="s">
        <v>18</v>
      </c>
      <c r="J98" s="9">
        <v>40000</v>
      </c>
      <c r="K98" s="5" t="s">
        <v>18</v>
      </c>
      <c r="L98" s="10">
        <v>0.125</v>
      </c>
      <c r="M98" s="10">
        <v>0.1</v>
      </c>
      <c r="O98" s="8" t="s">
        <v>18</v>
      </c>
      <c r="P98" s="4">
        <f t="shared" si="26"/>
        <v>0</v>
      </c>
      <c r="Q98" s="8" t="s">
        <v>18</v>
      </c>
      <c r="R98" s="9">
        <f>S98/1.11</f>
        <v>0</v>
      </c>
      <c r="S98" s="9">
        <f t="shared" si="27"/>
        <v>0</v>
      </c>
    </row>
    <row r="99" spans="1:19" x14ac:dyDescent="0.2">
      <c r="A99" s="2" t="s">
        <v>67</v>
      </c>
      <c r="B99" s="3" t="s">
        <v>44</v>
      </c>
      <c r="C99" s="4">
        <v>120</v>
      </c>
      <c r="D99" s="5" t="s">
        <v>18</v>
      </c>
      <c r="F99" s="7">
        <v>1</v>
      </c>
      <c r="G99" s="8" t="s">
        <v>19</v>
      </c>
      <c r="H99" s="7">
        <v>60</v>
      </c>
      <c r="I99" s="8" t="s">
        <v>18</v>
      </c>
      <c r="J99" s="9">
        <v>74000</v>
      </c>
      <c r="K99" s="5" t="s">
        <v>18</v>
      </c>
      <c r="L99" s="10">
        <v>0.125</v>
      </c>
      <c r="M99" s="10">
        <v>0.1</v>
      </c>
      <c r="O99" s="8" t="s">
        <v>18</v>
      </c>
      <c r="P99" s="4">
        <f t="shared" si="26"/>
        <v>120</v>
      </c>
      <c r="Q99" s="8" t="s">
        <v>18</v>
      </c>
      <c r="R99" s="9">
        <f>S99/1.11</f>
        <v>6299999.9999999991</v>
      </c>
      <c r="S99" s="9">
        <f t="shared" si="27"/>
        <v>6993000</v>
      </c>
    </row>
    <row r="100" spans="1:19" x14ac:dyDescent="0.2">
      <c r="A100" s="2" t="s">
        <v>68</v>
      </c>
      <c r="B100" s="3" t="s">
        <v>44</v>
      </c>
      <c r="C100" s="4">
        <v>160</v>
      </c>
      <c r="D100" s="5" t="s">
        <v>18</v>
      </c>
      <c r="F100" s="7">
        <v>4</v>
      </c>
      <c r="G100" s="8" t="s">
        <v>32</v>
      </c>
      <c r="H100" s="7">
        <v>40</v>
      </c>
      <c r="I100" s="8" t="s">
        <v>18</v>
      </c>
      <c r="J100" s="9">
        <v>28000</v>
      </c>
      <c r="K100" s="5" t="s">
        <v>18</v>
      </c>
      <c r="L100" s="10">
        <v>0.125</v>
      </c>
      <c r="M100" s="10">
        <v>0.1</v>
      </c>
      <c r="O100" s="8" t="s">
        <v>18</v>
      </c>
      <c r="P100" s="4">
        <f t="shared" si="26"/>
        <v>160</v>
      </c>
      <c r="Q100" s="8" t="s">
        <v>18</v>
      </c>
      <c r="R100" s="9">
        <f>S100/1.11</f>
        <v>3178378.3783783782</v>
      </c>
      <c r="S100" s="9">
        <f t="shared" si="27"/>
        <v>3528000</v>
      </c>
    </row>
    <row r="102" spans="1:19" ht="15.75" x14ac:dyDescent="0.25">
      <c r="A102" s="29" t="s">
        <v>69</v>
      </c>
    </row>
    <row r="103" spans="1:19" x14ac:dyDescent="0.2">
      <c r="A103" s="2" t="s">
        <v>811</v>
      </c>
      <c r="B103" s="3" t="s">
        <v>17</v>
      </c>
      <c r="D103" s="5" t="s">
        <v>18</v>
      </c>
      <c r="F103" s="7">
        <v>1</v>
      </c>
      <c r="G103" s="8" t="s">
        <v>19</v>
      </c>
      <c r="H103" s="7">
        <v>20</v>
      </c>
      <c r="I103" s="8" t="s">
        <v>18</v>
      </c>
      <c r="J103" s="9">
        <v>160000</v>
      </c>
      <c r="K103" s="5" t="s">
        <v>18</v>
      </c>
      <c r="L103" s="10">
        <v>0.125</v>
      </c>
      <c r="M103" s="10">
        <v>0.05</v>
      </c>
      <c r="O103" s="8" t="s">
        <v>18</v>
      </c>
      <c r="P103" s="4">
        <f t="shared" ref="P103:P104" si="40">(C103+(E103*F103*H103))-N103</f>
        <v>0</v>
      </c>
      <c r="Q103" s="8" t="s">
        <v>18</v>
      </c>
      <c r="R103" s="9">
        <f>S103/1.11</f>
        <v>0</v>
      </c>
      <c r="S103" s="9">
        <f t="shared" ref="S103:S104" si="41">P103*(J103-(J103*L103)-((J103-(J103*L103))*M103))</f>
        <v>0</v>
      </c>
    </row>
    <row r="104" spans="1:19" x14ac:dyDescent="0.2">
      <c r="A104" s="2" t="s">
        <v>812</v>
      </c>
      <c r="B104" s="3" t="s">
        <v>17</v>
      </c>
      <c r="D104" s="5" t="s">
        <v>18</v>
      </c>
      <c r="F104" s="7">
        <v>1</v>
      </c>
      <c r="G104" s="8" t="s">
        <v>19</v>
      </c>
      <c r="H104" s="7">
        <v>16</v>
      </c>
      <c r="I104" s="8" t="s">
        <v>18</v>
      </c>
      <c r="J104" s="9">
        <v>187000</v>
      </c>
      <c r="K104" s="5" t="s">
        <v>18</v>
      </c>
      <c r="L104" s="10">
        <v>0.125</v>
      </c>
      <c r="M104" s="10">
        <v>0.05</v>
      </c>
      <c r="O104" s="8" t="s">
        <v>18</v>
      </c>
      <c r="P104" s="4">
        <f t="shared" si="40"/>
        <v>0</v>
      </c>
      <c r="Q104" s="8" t="s">
        <v>18</v>
      </c>
      <c r="R104" s="9">
        <f>S104/1.11</f>
        <v>0</v>
      </c>
      <c r="S104" s="9">
        <f t="shared" si="41"/>
        <v>0</v>
      </c>
    </row>
    <row r="105" spans="1:19" x14ac:dyDescent="0.2">
      <c r="A105" s="2" t="s">
        <v>70</v>
      </c>
      <c r="B105" s="3" t="s">
        <v>17</v>
      </c>
      <c r="D105" s="5" t="s">
        <v>18</v>
      </c>
      <c r="F105" s="7">
        <v>1</v>
      </c>
      <c r="G105" s="8" t="s">
        <v>19</v>
      </c>
      <c r="H105" s="7">
        <v>6</v>
      </c>
      <c r="I105" s="8" t="s">
        <v>18</v>
      </c>
      <c r="J105" s="9">
        <v>390000</v>
      </c>
      <c r="K105" s="5" t="s">
        <v>18</v>
      </c>
      <c r="L105" s="10">
        <v>0.125</v>
      </c>
      <c r="M105" s="10">
        <v>0.05</v>
      </c>
      <c r="O105" s="8" t="s">
        <v>18</v>
      </c>
      <c r="P105" s="4">
        <f>(C105+(E105*F105*H105))-N105</f>
        <v>0</v>
      </c>
      <c r="Q105" s="8" t="s">
        <v>18</v>
      </c>
      <c r="R105" s="9">
        <f>S105/1.11</f>
        <v>0</v>
      </c>
      <c r="S105" s="9">
        <f>P105*(J105-(J105*L105)-((J105-(J105*L105))*M105))</f>
        <v>0</v>
      </c>
    </row>
    <row r="106" spans="1:19" x14ac:dyDescent="0.2">
      <c r="A106" s="2" t="s">
        <v>71</v>
      </c>
      <c r="B106" s="3" t="s">
        <v>17</v>
      </c>
      <c r="D106" s="5" t="s">
        <v>18</v>
      </c>
      <c r="F106" s="7">
        <v>1</v>
      </c>
      <c r="G106" s="8" t="s">
        <v>19</v>
      </c>
      <c r="H106" s="7">
        <v>6</v>
      </c>
      <c r="I106" s="8" t="s">
        <v>18</v>
      </c>
      <c r="J106" s="9">
        <v>500000</v>
      </c>
      <c r="K106" s="5" t="s">
        <v>18</v>
      </c>
      <c r="L106" s="10">
        <v>0.125</v>
      </c>
      <c r="M106" s="10">
        <v>0.05</v>
      </c>
      <c r="O106" s="8" t="s">
        <v>18</v>
      </c>
      <c r="P106" s="4">
        <f>(C106+(E106*F106*H106))-N106</f>
        <v>0</v>
      </c>
      <c r="Q106" s="8" t="s">
        <v>18</v>
      </c>
      <c r="R106" s="9">
        <f>S106/1.11</f>
        <v>0</v>
      </c>
      <c r="S106" s="9">
        <f>P106*(J106-(J106*L106)-((J106-(J106*L106))*M106))</f>
        <v>0</v>
      </c>
    </row>
    <row r="108" spans="1:19" ht="15.75" x14ac:dyDescent="0.25">
      <c r="A108" s="29" t="s">
        <v>72</v>
      </c>
    </row>
    <row r="109" spans="1:19" x14ac:dyDescent="0.2">
      <c r="A109" s="30" t="s">
        <v>73</v>
      </c>
    </row>
    <row r="110" spans="1:19" x14ac:dyDescent="0.2">
      <c r="A110" s="14" t="s">
        <v>74</v>
      </c>
      <c r="B110" s="3" t="s">
        <v>17</v>
      </c>
      <c r="D110" s="5" t="s">
        <v>75</v>
      </c>
      <c r="F110" s="7">
        <v>1</v>
      </c>
      <c r="G110" s="8" t="s">
        <v>19</v>
      </c>
      <c r="H110" s="7">
        <v>48</v>
      </c>
      <c r="I110" s="8" t="s">
        <v>75</v>
      </c>
      <c r="J110" s="9">
        <v>14500</v>
      </c>
      <c r="K110" s="5" t="s">
        <v>75</v>
      </c>
      <c r="L110" s="10">
        <v>0.125</v>
      </c>
      <c r="M110" s="10">
        <v>0.05</v>
      </c>
      <c r="O110" s="8" t="s">
        <v>75</v>
      </c>
      <c r="P110" s="4">
        <f t="shared" ref="P110:P125" si="42">(C110+(E110*F110*H110))-N110</f>
        <v>0</v>
      </c>
      <c r="Q110" s="8" t="s">
        <v>75</v>
      </c>
      <c r="R110" s="9">
        <f>S110/1.11</f>
        <v>0</v>
      </c>
      <c r="S110" s="9">
        <f t="shared" ref="S110:S120" si="43">P110*(J110-(J110*L110)-((J110-(J110*L110))*M110))</f>
        <v>0</v>
      </c>
    </row>
    <row r="111" spans="1:19" x14ac:dyDescent="0.2">
      <c r="A111" s="14" t="s">
        <v>785</v>
      </c>
      <c r="B111" s="3" t="s">
        <v>17</v>
      </c>
      <c r="D111" s="5" t="s">
        <v>75</v>
      </c>
      <c r="F111" s="7">
        <v>1</v>
      </c>
      <c r="G111" s="8" t="s">
        <v>19</v>
      </c>
      <c r="H111" s="7">
        <v>96</v>
      </c>
      <c r="I111" s="8" t="s">
        <v>75</v>
      </c>
      <c r="J111" s="9">
        <v>15500</v>
      </c>
      <c r="K111" s="5" t="s">
        <v>75</v>
      </c>
      <c r="L111" s="10">
        <v>0.125</v>
      </c>
      <c r="M111" s="10">
        <v>0.05</v>
      </c>
      <c r="O111" s="8" t="s">
        <v>75</v>
      </c>
      <c r="P111" s="4">
        <f t="shared" si="42"/>
        <v>0</v>
      </c>
      <c r="Q111" s="8" t="s">
        <v>75</v>
      </c>
      <c r="R111" s="9">
        <f>S111/1.11</f>
        <v>0</v>
      </c>
      <c r="S111" s="9">
        <f t="shared" si="43"/>
        <v>0</v>
      </c>
    </row>
    <row r="112" spans="1:19" x14ac:dyDescent="0.2">
      <c r="A112" s="14" t="s">
        <v>76</v>
      </c>
      <c r="B112" s="3" t="s">
        <v>17</v>
      </c>
      <c r="D112" s="5" t="s">
        <v>75</v>
      </c>
      <c r="F112" s="7">
        <v>1</v>
      </c>
      <c r="G112" s="8" t="s">
        <v>19</v>
      </c>
      <c r="H112" s="7">
        <v>96</v>
      </c>
      <c r="I112" s="8" t="s">
        <v>75</v>
      </c>
      <c r="J112" s="9">
        <v>12000</v>
      </c>
      <c r="K112" s="5" t="s">
        <v>75</v>
      </c>
      <c r="L112" s="10">
        <v>0.125</v>
      </c>
      <c r="M112" s="10">
        <v>0.05</v>
      </c>
      <c r="O112" s="8" t="s">
        <v>75</v>
      </c>
      <c r="P112" s="4">
        <f t="shared" si="42"/>
        <v>0</v>
      </c>
      <c r="Q112" s="8" t="s">
        <v>75</v>
      </c>
      <c r="R112" s="9">
        <f>S112/1.11</f>
        <v>0</v>
      </c>
      <c r="S112" s="9">
        <f t="shared" si="43"/>
        <v>0</v>
      </c>
    </row>
    <row r="113" spans="1:19" x14ac:dyDescent="0.2">
      <c r="A113" s="14" t="s">
        <v>77</v>
      </c>
      <c r="B113" s="3" t="s">
        <v>17</v>
      </c>
      <c r="D113" s="5" t="s">
        <v>75</v>
      </c>
      <c r="F113" s="7">
        <v>1</v>
      </c>
      <c r="G113" s="8" t="s">
        <v>19</v>
      </c>
      <c r="H113" s="7">
        <v>48</v>
      </c>
      <c r="I113" s="8" t="s">
        <v>75</v>
      </c>
      <c r="J113" s="9">
        <v>19500</v>
      </c>
      <c r="K113" s="5" t="s">
        <v>75</v>
      </c>
      <c r="L113" s="10">
        <v>0.125</v>
      </c>
      <c r="M113" s="10">
        <v>0.05</v>
      </c>
      <c r="O113" s="8" t="s">
        <v>75</v>
      </c>
      <c r="P113" s="4">
        <f t="shared" si="42"/>
        <v>0</v>
      </c>
      <c r="Q113" s="8" t="s">
        <v>75</v>
      </c>
      <c r="R113" s="9">
        <f>S113/1.11</f>
        <v>0</v>
      </c>
      <c r="S113" s="9">
        <f t="shared" si="43"/>
        <v>0</v>
      </c>
    </row>
    <row r="114" spans="1:19" x14ac:dyDescent="0.2">
      <c r="A114" s="14" t="s">
        <v>78</v>
      </c>
      <c r="B114" s="3" t="s">
        <v>17</v>
      </c>
      <c r="D114" s="5" t="s">
        <v>75</v>
      </c>
      <c r="F114" s="7">
        <v>1</v>
      </c>
      <c r="G114" s="8" t="s">
        <v>19</v>
      </c>
      <c r="H114" s="7">
        <v>48</v>
      </c>
      <c r="I114" s="8" t="s">
        <v>75</v>
      </c>
      <c r="J114" s="9">
        <v>14800</v>
      </c>
      <c r="K114" s="5" t="s">
        <v>75</v>
      </c>
      <c r="L114" s="10">
        <v>0.125</v>
      </c>
      <c r="M114" s="10">
        <v>0.05</v>
      </c>
      <c r="O114" s="8" t="s">
        <v>75</v>
      </c>
      <c r="P114" s="4">
        <f t="shared" si="42"/>
        <v>0</v>
      </c>
      <c r="Q114" s="8" t="s">
        <v>75</v>
      </c>
      <c r="R114" s="9">
        <f>S114/1.11</f>
        <v>0</v>
      </c>
      <c r="S114" s="9">
        <f t="shared" si="43"/>
        <v>0</v>
      </c>
    </row>
    <row r="115" spans="1:19" x14ac:dyDescent="0.2">
      <c r="A115" s="17" t="s">
        <v>79</v>
      </c>
      <c r="B115" s="3" t="s">
        <v>17</v>
      </c>
      <c r="D115" s="5" t="s">
        <v>75</v>
      </c>
      <c r="F115" s="7">
        <v>1</v>
      </c>
      <c r="G115" s="8" t="s">
        <v>19</v>
      </c>
      <c r="H115" s="7">
        <v>24</v>
      </c>
      <c r="I115" s="8" t="s">
        <v>75</v>
      </c>
      <c r="J115" s="9">
        <v>25200</v>
      </c>
      <c r="K115" s="5" t="s">
        <v>75</v>
      </c>
      <c r="L115" s="10">
        <v>0.125</v>
      </c>
      <c r="M115" s="10">
        <v>0.05</v>
      </c>
      <c r="O115" s="8" t="s">
        <v>75</v>
      </c>
      <c r="P115" s="4">
        <f t="shared" si="42"/>
        <v>0</v>
      </c>
      <c r="Q115" s="8" t="s">
        <v>75</v>
      </c>
      <c r="R115" s="9">
        <f>S115/1.11</f>
        <v>0</v>
      </c>
      <c r="S115" s="9">
        <f t="shared" si="43"/>
        <v>0</v>
      </c>
    </row>
    <row r="116" spans="1:19" x14ac:dyDescent="0.2">
      <c r="A116" s="17" t="s">
        <v>80</v>
      </c>
      <c r="B116" s="3" t="s">
        <v>17</v>
      </c>
      <c r="D116" s="5" t="s">
        <v>75</v>
      </c>
      <c r="F116" s="7">
        <v>1</v>
      </c>
      <c r="G116" s="8" t="s">
        <v>19</v>
      </c>
      <c r="H116" s="7">
        <v>24</v>
      </c>
      <c r="I116" s="8" t="s">
        <v>75</v>
      </c>
      <c r="J116" s="9">
        <v>20200</v>
      </c>
      <c r="K116" s="5" t="s">
        <v>75</v>
      </c>
      <c r="L116" s="10">
        <v>0.125</v>
      </c>
      <c r="M116" s="10">
        <v>0.05</v>
      </c>
      <c r="O116" s="8" t="s">
        <v>75</v>
      </c>
      <c r="P116" s="4">
        <f t="shared" si="42"/>
        <v>0</v>
      </c>
      <c r="Q116" s="8" t="s">
        <v>75</v>
      </c>
      <c r="R116" s="9">
        <f>S116/1.11</f>
        <v>0</v>
      </c>
      <c r="S116" s="9">
        <f t="shared" si="43"/>
        <v>0</v>
      </c>
    </row>
    <row r="117" spans="1:19" x14ac:dyDescent="0.2">
      <c r="A117" s="14" t="s">
        <v>786</v>
      </c>
      <c r="B117" s="3" t="s">
        <v>17</v>
      </c>
      <c r="D117" s="5" t="s">
        <v>75</v>
      </c>
      <c r="F117" s="7">
        <v>1</v>
      </c>
      <c r="G117" s="8" t="s">
        <v>19</v>
      </c>
      <c r="H117" s="7">
        <v>96</v>
      </c>
      <c r="I117" s="8" t="s">
        <v>75</v>
      </c>
      <c r="J117" s="9">
        <v>16500</v>
      </c>
      <c r="K117" s="5" t="s">
        <v>75</v>
      </c>
      <c r="L117" s="10">
        <v>0.125</v>
      </c>
      <c r="M117" s="10">
        <v>0.05</v>
      </c>
      <c r="O117" s="8" t="s">
        <v>75</v>
      </c>
      <c r="P117" s="4">
        <f t="shared" si="42"/>
        <v>0</v>
      </c>
      <c r="Q117" s="8" t="s">
        <v>75</v>
      </c>
      <c r="R117" s="9">
        <f>S117/1.11</f>
        <v>0</v>
      </c>
      <c r="S117" s="9">
        <f t="shared" si="43"/>
        <v>0</v>
      </c>
    </row>
    <row r="118" spans="1:19" x14ac:dyDescent="0.2">
      <c r="A118" s="2" t="s">
        <v>81</v>
      </c>
      <c r="B118" s="3" t="s">
        <v>17</v>
      </c>
      <c r="C118" s="4">
        <v>60</v>
      </c>
      <c r="D118" s="5" t="s">
        <v>82</v>
      </c>
      <c r="F118" s="7">
        <v>1</v>
      </c>
      <c r="G118" s="8" t="s">
        <v>19</v>
      </c>
      <c r="H118" s="7">
        <v>60</v>
      </c>
      <c r="I118" s="8" t="s">
        <v>82</v>
      </c>
      <c r="J118" s="9">
        <v>27600</v>
      </c>
      <c r="K118" s="5" t="s">
        <v>82</v>
      </c>
      <c r="L118" s="10">
        <v>0.125</v>
      </c>
      <c r="M118" s="10">
        <v>0.05</v>
      </c>
      <c r="O118" s="8" t="s">
        <v>82</v>
      </c>
      <c r="P118" s="4">
        <f t="shared" si="42"/>
        <v>60</v>
      </c>
      <c r="Q118" s="8" t="s">
        <v>82</v>
      </c>
      <c r="R118" s="9">
        <f>S118/1.11</f>
        <v>1240135.1351351349</v>
      </c>
      <c r="S118" s="9">
        <f t="shared" si="43"/>
        <v>1376550</v>
      </c>
    </row>
    <row r="119" spans="1:19" x14ac:dyDescent="0.2">
      <c r="A119" s="2" t="s">
        <v>83</v>
      </c>
      <c r="B119" s="3" t="s">
        <v>17</v>
      </c>
      <c r="D119" s="5" t="s">
        <v>82</v>
      </c>
      <c r="F119" s="7">
        <v>1</v>
      </c>
      <c r="G119" s="8" t="s">
        <v>19</v>
      </c>
      <c r="H119" s="7">
        <v>50</v>
      </c>
      <c r="I119" s="8" t="s">
        <v>82</v>
      </c>
      <c r="J119" s="9">
        <v>31200</v>
      </c>
      <c r="K119" s="5" t="s">
        <v>82</v>
      </c>
      <c r="L119" s="10">
        <v>0.125</v>
      </c>
      <c r="M119" s="10">
        <v>0.05</v>
      </c>
      <c r="O119" s="8" t="s">
        <v>82</v>
      </c>
      <c r="P119" s="4">
        <f t="shared" ref="P119" si="44">(C119+(E119*F119*H119))-N119</f>
        <v>0</v>
      </c>
      <c r="Q119" s="8" t="s">
        <v>82</v>
      </c>
      <c r="R119" s="9">
        <f>S119/1.11</f>
        <v>0</v>
      </c>
      <c r="S119" s="9">
        <f t="shared" ref="S119" si="45">P119*(J119-(J119*L119)-((J119-(J119*L119))*M119))</f>
        <v>0</v>
      </c>
    </row>
    <row r="120" spans="1:19" x14ac:dyDescent="0.2">
      <c r="A120" s="2" t="s">
        <v>84</v>
      </c>
      <c r="B120" s="3" t="s">
        <v>17</v>
      </c>
      <c r="D120" s="5" t="s">
        <v>82</v>
      </c>
      <c r="F120" s="7">
        <v>1</v>
      </c>
      <c r="G120" s="8" t="s">
        <v>19</v>
      </c>
      <c r="H120" s="7">
        <v>30</v>
      </c>
      <c r="I120" s="8" t="s">
        <v>82</v>
      </c>
      <c r="J120" s="9">
        <v>48600</v>
      </c>
      <c r="K120" s="5" t="s">
        <v>82</v>
      </c>
      <c r="L120" s="10">
        <v>0.125</v>
      </c>
      <c r="M120" s="10">
        <v>0.05</v>
      </c>
      <c r="O120" s="8" t="s">
        <v>82</v>
      </c>
      <c r="P120" s="4">
        <f t="shared" si="42"/>
        <v>0</v>
      </c>
      <c r="Q120" s="8" t="s">
        <v>82</v>
      </c>
      <c r="R120" s="9">
        <f>S120/1.11</f>
        <v>0</v>
      </c>
      <c r="S120" s="9">
        <f t="shared" si="43"/>
        <v>0</v>
      </c>
    </row>
    <row r="121" spans="1:19" x14ac:dyDescent="0.2">
      <c r="A121" s="2" t="s">
        <v>1000</v>
      </c>
      <c r="B121" s="3" t="s">
        <v>17</v>
      </c>
      <c r="D121" s="5" t="s">
        <v>75</v>
      </c>
      <c r="F121" s="7">
        <v>1</v>
      </c>
      <c r="G121" s="8" t="s">
        <v>19</v>
      </c>
      <c r="H121" s="7">
        <v>48</v>
      </c>
      <c r="I121" s="8" t="s">
        <v>75</v>
      </c>
      <c r="J121" s="9">
        <v>20300</v>
      </c>
      <c r="K121" s="5" t="s">
        <v>75</v>
      </c>
      <c r="L121" s="10">
        <v>0.125</v>
      </c>
      <c r="M121" s="10">
        <v>0.05</v>
      </c>
      <c r="O121" s="8" t="s">
        <v>75</v>
      </c>
      <c r="P121" s="4">
        <f t="shared" ref="P121" si="46">(C121+(E121*F121*H121))-N121</f>
        <v>0</v>
      </c>
      <c r="Q121" s="8" t="s">
        <v>75</v>
      </c>
      <c r="R121" s="9">
        <f>S121/1.11</f>
        <v>0</v>
      </c>
      <c r="S121" s="9">
        <f t="shared" ref="S121" si="47">P121*(J121-(J121*L121)-((J121-(J121*L121))*M121))</f>
        <v>0</v>
      </c>
    </row>
    <row r="122" spans="1:19" x14ac:dyDescent="0.2">
      <c r="A122" s="2" t="s">
        <v>85</v>
      </c>
      <c r="B122" s="3" t="s">
        <v>17</v>
      </c>
      <c r="D122" s="5" t="s">
        <v>82</v>
      </c>
      <c r="F122" s="7">
        <v>1</v>
      </c>
      <c r="G122" s="8" t="s">
        <v>19</v>
      </c>
      <c r="H122" s="7">
        <v>20</v>
      </c>
      <c r="I122" s="8" t="s">
        <v>82</v>
      </c>
      <c r="J122" s="9">
        <v>67800</v>
      </c>
      <c r="K122" s="5" t="s">
        <v>82</v>
      </c>
      <c r="L122" s="10">
        <v>0.125</v>
      </c>
      <c r="M122" s="10">
        <v>0.05</v>
      </c>
      <c r="O122" s="8" t="s">
        <v>82</v>
      </c>
      <c r="P122" s="4">
        <f t="shared" si="42"/>
        <v>0</v>
      </c>
      <c r="Q122" s="8" t="s">
        <v>82</v>
      </c>
      <c r="R122" s="9">
        <f>S122/1.11</f>
        <v>0</v>
      </c>
      <c r="S122" s="9">
        <f t="shared" ref="S122:S127" si="48">P122*(J122-(J122*L122)-((J122-(J122*L122))*M122))</f>
        <v>0</v>
      </c>
    </row>
    <row r="123" spans="1:19" x14ac:dyDescent="0.2">
      <c r="A123" s="2" t="s">
        <v>86</v>
      </c>
      <c r="B123" s="3" t="s">
        <v>17</v>
      </c>
      <c r="C123" s="4">
        <v>10</v>
      </c>
      <c r="D123" s="5" t="s">
        <v>82</v>
      </c>
      <c r="F123" s="7">
        <v>1</v>
      </c>
      <c r="G123" s="8" t="s">
        <v>19</v>
      </c>
      <c r="H123" s="7">
        <v>10</v>
      </c>
      <c r="I123" s="8" t="s">
        <v>82</v>
      </c>
      <c r="J123" s="9">
        <v>115800</v>
      </c>
      <c r="K123" s="5" t="s">
        <v>82</v>
      </c>
      <c r="L123" s="10">
        <v>0.125</v>
      </c>
      <c r="M123" s="10">
        <v>0.05</v>
      </c>
      <c r="O123" s="8" t="s">
        <v>82</v>
      </c>
      <c r="P123" s="4">
        <f t="shared" si="42"/>
        <v>10</v>
      </c>
      <c r="Q123" s="8" t="s">
        <v>82</v>
      </c>
      <c r="R123" s="9">
        <f>S123/1.11</f>
        <v>867195.94594594592</v>
      </c>
      <c r="S123" s="9">
        <f t="shared" si="48"/>
        <v>962587.5</v>
      </c>
    </row>
    <row r="124" spans="1:19" x14ac:dyDescent="0.2">
      <c r="A124" s="2" t="s">
        <v>87</v>
      </c>
      <c r="B124" s="3" t="s">
        <v>17</v>
      </c>
      <c r="D124" s="5" t="s">
        <v>82</v>
      </c>
      <c r="F124" s="7">
        <v>1</v>
      </c>
      <c r="G124" s="8" t="s">
        <v>19</v>
      </c>
      <c r="H124" s="7">
        <v>5</v>
      </c>
      <c r="I124" s="8" t="s">
        <v>82</v>
      </c>
      <c r="J124" s="9">
        <v>177000</v>
      </c>
      <c r="K124" s="5" t="s">
        <v>82</v>
      </c>
      <c r="L124" s="10">
        <v>0.125</v>
      </c>
      <c r="M124" s="10">
        <v>0.05</v>
      </c>
      <c r="O124" s="8" t="s">
        <v>82</v>
      </c>
      <c r="P124" s="4">
        <f t="shared" si="42"/>
        <v>0</v>
      </c>
      <c r="Q124" s="8" t="s">
        <v>82</v>
      </c>
      <c r="R124" s="9">
        <f>S124/1.11</f>
        <v>0</v>
      </c>
      <c r="S124" s="9">
        <f t="shared" si="48"/>
        <v>0</v>
      </c>
    </row>
    <row r="125" spans="1:19" x14ac:dyDescent="0.2">
      <c r="A125" s="2" t="s">
        <v>88</v>
      </c>
      <c r="B125" s="3" t="s">
        <v>17</v>
      </c>
      <c r="C125" s="4">
        <v>180</v>
      </c>
      <c r="D125" s="5" t="s">
        <v>39</v>
      </c>
      <c r="F125" s="7">
        <v>3</v>
      </c>
      <c r="G125" s="8" t="s">
        <v>82</v>
      </c>
      <c r="H125" s="7">
        <v>12</v>
      </c>
      <c r="I125" s="8" t="s">
        <v>39</v>
      </c>
      <c r="J125" s="9">
        <f>507600/12</f>
        <v>42300</v>
      </c>
      <c r="K125" s="5" t="s">
        <v>39</v>
      </c>
      <c r="L125" s="10">
        <v>0.125</v>
      </c>
      <c r="M125" s="10">
        <v>0.05</v>
      </c>
      <c r="O125" s="8" t="s">
        <v>39</v>
      </c>
      <c r="P125" s="4">
        <f t="shared" si="42"/>
        <v>180</v>
      </c>
      <c r="Q125" s="8" t="s">
        <v>39</v>
      </c>
      <c r="R125" s="9">
        <f>S125/1.11</f>
        <v>5701925.6756756753</v>
      </c>
      <c r="S125" s="9">
        <f t="shared" si="48"/>
        <v>6329137.5</v>
      </c>
    </row>
    <row r="126" spans="1:19" x14ac:dyDescent="0.2">
      <c r="A126" s="2" t="s">
        <v>874</v>
      </c>
      <c r="B126" s="3" t="s">
        <v>17</v>
      </c>
      <c r="D126" s="5" t="s">
        <v>39</v>
      </c>
      <c r="F126" s="7">
        <v>2</v>
      </c>
      <c r="G126" s="8" t="s">
        <v>82</v>
      </c>
      <c r="H126" s="7">
        <v>12</v>
      </c>
      <c r="I126" s="8" t="s">
        <v>39</v>
      </c>
      <c r="J126" s="9">
        <v>85800</v>
      </c>
      <c r="K126" s="5" t="s">
        <v>39</v>
      </c>
      <c r="L126" s="10">
        <v>0.125</v>
      </c>
      <c r="M126" s="10">
        <v>0.05</v>
      </c>
      <c r="O126" s="8" t="s">
        <v>39</v>
      </c>
      <c r="P126" s="4">
        <f t="shared" ref="P126" si="49">(C126+(E126*F126*H126))-N126</f>
        <v>0</v>
      </c>
      <c r="Q126" s="8" t="s">
        <v>39</v>
      </c>
      <c r="R126" s="9">
        <f>S126/1.11</f>
        <v>0</v>
      </c>
      <c r="S126" s="9">
        <f t="shared" ref="S126" si="50">P126*(J126-(J126*L126)-((J126-(J126*L126))*M126))</f>
        <v>0</v>
      </c>
    </row>
    <row r="127" spans="1:19" x14ac:dyDescent="0.2">
      <c r="A127" s="2" t="s">
        <v>873</v>
      </c>
      <c r="B127" s="3" t="s">
        <v>17</v>
      </c>
      <c r="D127" s="5" t="s">
        <v>39</v>
      </c>
      <c r="F127" s="7">
        <v>1</v>
      </c>
      <c r="G127" s="8" t="s">
        <v>19</v>
      </c>
      <c r="H127" s="7">
        <v>20</v>
      </c>
      <c r="I127" s="8" t="s">
        <v>39</v>
      </c>
      <c r="J127" s="9">
        <v>108900</v>
      </c>
      <c r="K127" s="5" t="s">
        <v>39</v>
      </c>
      <c r="L127" s="10">
        <v>0.125</v>
      </c>
      <c r="M127" s="10">
        <v>0.05</v>
      </c>
      <c r="O127" s="8" t="s">
        <v>39</v>
      </c>
      <c r="P127" s="4">
        <f t="shared" ref="P127" si="51">(C127+(E127*F127*H127))-N127</f>
        <v>0</v>
      </c>
      <c r="Q127" s="8" t="s">
        <v>39</v>
      </c>
      <c r="R127" s="9">
        <f>S127/1.11</f>
        <v>0</v>
      </c>
      <c r="S127" s="9">
        <f t="shared" si="48"/>
        <v>0</v>
      </c>
    </row>
    <row r="129" spans="1:19" x14ac:dyDescent="0.2">
      <c r="A129" s="2" t="s">
        <v>89</v>
      </c>
      <c r="B129" s="3" t="s">
        <v>24</v>
      </c>
      <c r="D129" s="5" t="s">
        <v>82</v>
      </c>
      <c r="F129" s="7">
        <v>1</v>
      </c>
      <c r="G129" s="8" t="s">
        <v>19</v>
      </c>
      <c r="H129" s="7">
        <v>50</v>
      </c>
      <c r="I129" s="8" t="s">
        <v>82</v>
      </c>
      <c r="J129" s="9">
        <f>1440000/50</f>
        <v>28800</v>
      </c>
      <c r="K129" s="5" t="s">
        <v>82</v>
      </c>
      <c r="M129" s="10">
        <v>0.17</v>
      </c>
      <c r="O129" s="8" t="s">
        <v>82</v>
      </c>
      <c r="P129" s="4">
        <f t="shared" ref="P129:P136" si="52">(C129+(E129*F129*H129))-N129</f>
        <v>0</v>
      </c>
      <c r="Q129" s="8" t="s">
        <v>82</v>
      </c>
      <c r="R129" s="9">
        <f>S129/1.11</f>
        <v>0</v>
      </c>
      <c r="S129" s="9">
        <f t="shared" ref="S129:S136" si="53">P129*(J129-(J129*L129)-((J129-(J129*L129))*M129))</f>
        <v>0</v>
      </c>
    </row>
    <row r="130" spans="1:19" x14ac:dyDescent="0.2">
      <c r="A130" s="2" t="s">
        <v>90</v>
      </c>
      <c r="B130" s="3" t="s">
        <v>24</v>
      </c>
      <c r="D130" s="5" t="s">
        <v>82</v>
      </c>
      <c r="F130" s="7">
        <v>1</v>
      </c>
      <c r="G130" s="8" t="s">
        <v>19</v>
      </c>
      <c r="H130" s="7">
        <v>50</v>
      </c>
      <c r="I130" s="8" t="s">
        <v>82</v>
      </c>
      <c r="J130" s="9">
        <f>1590000/50</f>
        <v>31800</v>
      </c>
      <c r="K130" s="5" t="s">
        <v>82</v>
      </c>
      <c r="M130" s="10">
        <v>0.17</v>
      </c>
      <c r="O130" s="8" t="s">
        <v>82</v>
      </c>
      <c r="P130" s="4">
        <f t="shared" si="52"/>
        <v>0</v>
      </c>
      <c r="Q130" s="8" t="s">
        <v>82</v>
      </c>
      <c r="R130" s="9">
        <f>S130/1.11</f>
        <v>0</v>
      </c>
      <c r="S130" s="9">
        <f t="shared" si="53"/>
        <v>0</v>
      </c>
    </row>
    <row r="131" spans="1:19" x14ac:dyDescent="0.2">
      <c r="A131" s="2" t="s">
        <v>91</v>
      </c>
      <c r="B131" s="3" t="s">
        <v>24</v>
      </c>
      <c r="D131" s="5" t="s">
        <v>82</v>
      </c>
      <c r="F131" s="7">
        <v>1</v>
      </c>
      <c r="G131" s="8" t="s">
        <v>19</v>
      </c>
      <c r="H131" s="7">
        <v>30</v>
      </c>
      <c r="I131" s="8" t="s">
        <v>82</v>
      </c>
      <c r="J131" s="9">
        <f>1476000/30</f>
        <v>49200</v>
      </c>
      <c r="K131" s="5" t="s">
        <v>82</v>
      </c>
      <c r="M131" s="10">
        <v>0.17</v>
      </c>
      <c r="O131" s="8" t="s">
        <v>82</v>
      </c>
      <c r="P131" s="4">
        <f t="shared" si="52"/>
        <v>0</v>
      </c>
      <c r="Q131" s="8" t="s">
        <v>82</v>
      </c>
      <c r="R131" s="9">
        <f>S131/1.11</f>
        <v>0</v>
      </c>
      <c r="S131" s="9">
        <f t="shared" si="53"/>
        <v>0</v>
      </c>
    </row>
    <row r="132" spans="1:19" x14ac:dyDescent="0.2">
      <c r="A132" s="2" t="s">
        <v>92</v>
      </c>
      <c r="B132" s="3" t="s">
        <v>24</v>
      </c>
      <c r="D132" s="5" t="s">
        <v>82</v>
      </c>
      <c r="F132" s="7">
        <v>1</v>
      </c>
      <c r="G132" s="8" t="s">
        <v>19</v>
      </c>
      <c r="H132" s="7">
        <v>20</v>
      </c>
      <c r="I132" s="8" t="s">
        <v>82</v>
      </c>
      <c r="J132" s="9">
        <f>1380000/20</f>
        <v>69000</v>
      </c>
      <c r="K132" s="5" t="s">
        <v>82</v>
      </c>
      <c r="M132" s="10">
        <v>0.17</v>
      </c>
      <c r="O132" s="8" t="s">
        <v>82</v>
      </c>
      <c r="P132" s="4">
        <f t="shared" si="52"/>
        <v>0</v>
      </c>
      <c r="Q132" s="8" t="s">
        <v>82</v>
      </c>
      <c r="R132" s="9">
        <f>S132/1.11</f>
        <v>0</v>
      </c>
      <c r="S132" s="9">
        <f t="shared" si="53"/>
        <v>0</v>
      </c>
    </row>
    <row r="133" spans="1:19" x14ac:dyDescent="0.2">
      <c r="A133" s="2" t="s">
        <v>93</v>
      </c>
      <c r="B133" s="3" t="s">
        <v>24</v>
      </c>
      <c r="D133" s="5" t="s">
        <v>82</v>
      </c>
      <c r="F133" s="7">
        <v>1</v>
      </c>
      <c r="G133" s="8" t="s">
        <v>19</v>
      </c>
      <c r="H133" s="7">
        <v>10</v>
      </c>
      <c r="I133" s="8" t="s">
        <v>82</v>
      </c>
      <c r="J133" s="9">
        <f>1200000/10</f>
        <v>120000</v>
      </c>
      <c r="K133" s="5" t="s">
        <v>82</v>
      </c>
      <c r="M133" s="10">
        <v>0.17</v>
      </c>
      <c r="O133" s="8" t="s">
        <v>82</v>
      </c>
      <c r="P133" s="4">
        <f t="shared" si="52"/>
        <v>0</v>
      </c>
      <c r="Q133" s="8" t="s">
        <v>82</v>
      </c>
      <c r="R133" s="9">
        <f>S133/1.11</f>
        <v>0</v>
      </c>
      <c r="S133" s="9">
        <f t="shared" si="53"/>
        <v>0</v>
      </c>
    </row>
    <row r="134" spans="1:19" x14ac:dyDescent="0.2">
      <c r="A134" s="2" t="s">
        <v>94</v>
      </c>
      <c r="B134" s="3" t="s">
        <v>24</v>
      </c>
      <c r="C134" s="4">
        <v>5</v>
      </c>
      <c r="D134" s="5" t="s">
        <v>82</v>
      </c>
      <c r="F134" s="7">
        <v>1</v>
      </c>
      <c r="G134" s="8" t="s">
        <v>19</v>
      </c>
      <c r="H134" s="7">
        <v>5</v>
      </c>
      <c r="I134" s="8" t="s">
        <v>82</v>
      </c>
      <c r="J134" s="9">
        <f>900000/5</f>
        <v>180000</v>
      </c>
      <c r="K134" s="5" t="s">
        <v>82</v>
      </c>
      <c r="M134" s="10">
        <v>0.17</v>
      </c>
      <c r="O134" s="8" t="s">
        <v>82</v>
      </c>
      <c r="P134" s="4">
        <f t="shared" si="52"/>
        <v>5</v>
      </c>
      <c r="Q134" s="8" t="s">
        <v>82</v>
      </c>
      <c r="R134" s="9">
        <f>S134/1.11</f>
        <v>672972.9729729729</v>
      </c>
      <c r="S134" s="9">
        <f t="shared" si="53"/>
        <v>747000</v>
      </c>
    </row>
    <row r="135" spans="1:19" x14ac:dyDescent="0.2">
      <c r="A135" s="2" t="s">
        <v>875</v>
      </c>
      <c r="B135" s="3" t="s">
        <v>24</v>
      </c>
      <c r="C135" s="4">
        <v>288</v>
      </c>
      <c r="D135" s="5" t="s">
        <v>815</v>
      </c>
      <c r="F135" s="7">
        <v>48</v>
      </c>
      <c r="G135" s="8" t="s">
        <v>32</v>
      </c>
      <c r="H135" s="7">
        <v>6</v>
      </c>
      <c r="I135" s="8" t="s">
        <v>815</v>
      </c>
      <c r="J135" s="9">
        <v>7150</v>
      </c>
      <c r="K135" s="5" t="s">
        <v>815</v>
      </c>
      <c r="M135" s="10">
        <v>0.17</v>
      </c>
      <c r="O135" s="8" t="s">
        <v>815</v>
      </c>
      <c r="P135" s="4">
        <f t="shared" ref="P135" si="54">(C135+(E135*F135*H135))-N135</f>
        <v>288</v>
      </c>
      <c r="Q135" s="8" t="s">
        <v>815</v>
      </c>
      <c r="R135" s="9">
        <f>S135/1.11</f>
        <v>1539762.1621621621</v>
      </c>
      <c r="S135" s="9">
        <f t="shared" ref="S135" si="55">P135*(J135-(J135*L135)-((J135-(J135*L135))*M135))</f>
        <v>1709136</v>
      </c>
    </row>
    <row r="136" spans="1:19" x14ac:dyDescent="0.2">
      <c r="A136" s="2" t="s">
        <v>697</v>
      </c>
      <c r="B136" s="3" t="s">
        <v>24</v>
      </c>
      <c r="D136" s="5" t="s">
        <v>32</v>
      </c>
      <c r="F136" s="7">
        <v>1</v>
      </c>
      <c r="G136" s="8" t="s">
        <v>19</v>
      </c>
      <c r="H136" s="7">
        <v>72</v>
      </c>
      <c r="I136" s="8" t="s">
        <v>32</v>
      </c>
      <c r="J136" s="9">
        <f>1548000/72</f>
        <v>21500</v>
      </c>
      <c r="K136" s="5" t="s">
        <v>32</v>
      </c>
      <c r="M136" s="10">
        <v>0.17</v>
      </c>
      <c r="O136" s="8" t="s">
        <v>32</v>
      </c>
      <c r="P136" s="4">
        <f t="shared" si="52"/>
        <v>0</v>
      </c>
      <c r="Q136" s="8" t="s">
        <v>32</v>
      </c>
      <c r="R136" s="9">
        <f>S136/1.11</f>
        <v>0</v>
      </c>
      <c r="S136" s="9">
        <f t="shared" si="53"/>
        <v>0</v>
      </c>
    </row>
    <row r="137" spans="1:19" x14ac:dyDescent="0.2">
      <c r="A137" s="2" t="s">
        <v>954</v>
      </c>
      <c r="B137" s="3" t="s">
        <v>24</v>
      </c>
      <c r="D137" s="5" t="s">
        <v>32</v>
      </c>
      <c r="F137" s="7">
        <v>1</v>
      </c>
      <c r="G137" s="8" t="s">
        <v>19</v>
      </c>
      <c r="H137" s="7">
        <v>48</v>
      </c>
      <c r="I137" s="8" t="s">
        <v>32</v>
      </c>
      <c r="J137" s="9">
        <v>42900</v>
      </c>
      <c r="K137" s="5" t="s">
        <v>32</v>
      </c>
      <c r="M137" s="10">
        <v>0.17</v>
      </c>
      <c r="O137" s="8" t="s">
        <v>32</v>
      </c>
      <c r="P137" s="4">
        <f t="shared" ref="P137" si="56">(C137+(E137*F137*H137))-N137</f>
        <v>0</v>
      </c>
      <c r="Q137" s="8" t="s">
        <v>32</v>
      </c>
      <c r="R137" s="9">
        <f>S137/1.11</f>
        <v>0</v>
      </c>
      <c r="S137" s="9">
        <f t="shared" ref="S137" si="57">P137*(J137-(J137*L137)-((J137-(J137*L137))*M137))</f>
        <v>0</v>
      </c>
    </row>
    <row r="139" spans="1:19" x14ac:dyDescent="0.2">
      <c r="A139" s="30" t="s">
        <v>95</v>
      </c>
    </row>
    <row r="140" spans="1:19" x14ac:dyDescent="0.2">
      <c r="A140" s="2" t="s">
        <v>96</v>
      </c>
      <c r="B140" s="3" t="s">
        <v>17</v>
      </c>
      <c r="D140" s="5" t="s">
        <v>32</v>
      </c>
      <c r="F140" s="7">
        <v>50</v>
      </c>
      <c r="G140" s="8" t="s">
        <v>97</v>
      </c>
      <c r="H140" s="7">
        <v>10</v>
      </c>
      <c r="I140" s="8" t="s">
        <v>32</v>
      </c>
      <c r="J140" s="9">
        <v>1850</v>
      </c>
      <c r="K140" s="5" t="s">
        <v>32</v>
      </c>
      <c r="L140" s="10">
        <v>0.125</v>
      </c>
      <c r="M140" s="10">
        <v>0.05</v>
      </c>
      <c r="O140" s="8" t="s">
        <v>32</v>
      </c>
      <c r="P140" s="4">
        <f>(C140+(E140*F140*H140))-N140</f>
        <v>0</v>
      </c>
      <c r="Q140" s="8" t="s">
        <v>32</v>
      </c>
      <c r="R140" s="9">
        <f>S140/1.11</f>
        <v>0</v>
      </c>
      <c r="S140" s="9">
        <f>P140*(J140-(J140*L140)-((J140-(J140*L140))*M140))</f>
        <v>0</v>
      </c>
    </row>
    <row r="141" spans="1:19" x14ac:dyDescent="0.2">
      <c r="A141" s="2" t="s">
        <v>98</v>
      </c>
      <c r="B141" s="3" t="s">
        <v>17</v>
      </c>
      <c r="D141" s="5" t="s">
        <v>32</v>
      </c>
      <c r="F141" s="7">
        <v>50</v>
      </c>
      <c r="G141" s="8" t="s">
        <v>97</v>
      </c>
      <c r="H141" s="7">
        <v>10</v>
      </c>
      <c r="I141" s="8" t="s">
        <v>32</v>
      </c>
      <c r="J141" s="9">
        <v>1625</v>
      </c>
      <c r="K141" s="5" t="s">
        <v>32</v>
      </c>
      <c r="L141" s="10">
        <v>0.125</v>
      </c>
      <c r="M141" s="10">
        <v>0.05</v>
      </c>
      <c r="O141" s="8" t="s">
        <v>32</v>
      </c>
      <c r="P141" s="4">
        <f>(C141+(E141*F141*H141))-N141</f>
        <v>0</v>
      </c>
      <c r="Q141" s="8" t="s">
        <v>32</v>
      </c>
      <c r="R141" s="9">
        <f>S141/1.11</f>
        <v>0</v>
      </c>
      <c r="S141" s="9">
        <f>P141*(J141-(J141*L141)-((J141-(J141*L141))*M141))</f>
        <v>0</v>
      </c>
    </row>
    <row r="142" spans="1:19" x14ac:dyDescent="0.2">
      <c r="A142" s="2" t="s">
        <v>99</v>
      </c>
      <c r="B142" s="3" t="s">
        <v>17</v>
      </c>
      <c r="D142" s="5" t="s">
        <v>32</v>
      </c>
      <c r="F142" s="7">
        <v>20</v>
      </c>
      <c r="G142" s="8" t="s">
        <v>97</v>
      </c>
      <c r="H142" s="7">
        <v>10</v>
      </c>
      <c r="I142" s="8" t="s">
        <v>32</v>
      </c>
      <c r="J142" s="9">
        <v>4400</v>
      </c>
      <c r="K142" s="5" t="s">
        <v>32</v>
      </c>
      <c r="L142" s="10">
        <v>0.125</v>
      </c>
      <c r="M142" s="10">
        <v>0.05</v>
      </c>
      <c r="O142" s="8" t="s">
        <v>32</v>
      </c>
      <c r="P142" s="4">
        <f>(C142+(E142*F142*H142))-N142</f>
        <v>0</v>
      </c>
      <c r="Q142" s="8" t="s">
        <v>32</v>
      </c>
      <c r="R142" s="9">
        <f>S142/1.11</f>
        <v>0</v>
      </c>
      <c r="S142" s="9">
        <f>P142*(J142-(J142*L142)-((J142-(J142*L142))*M142))</f>
        <v>0</v>
      </c>
    </row>
    <row r="143" spans="1:19" x14ac:dyDescent="0.2">
      <c r="A143" s="2" t="s">
        <v>100</v>
      </c>
      <c r="B143" s="3" t="s">
        <v>17</v>
      </c>
      <c r="D143" s="5" t="s">
        <v>101</v>
      </c>
      <c r="F143" s="7">
        <v>24</v>
      </c>
      <c r="G143" s="8" t="s">
        <v>32</v>
      </c>
      <c r="H143" s="7">
        <v>12</v>
      </c>
      <c r="I143" s="8" t="s">
        <v>101</v>
      </c>
      <c r="J143" s="9">
        <v>3100</v>
      </c>
      <c r="K143" s="5" t="s">
        <v>101</v>
      </c>
      <c r="L143" s="10">
        <v>0.125</v>
      </c>
      <c r="M143" s="10">
        <v>0.05</v>
      </c>
      <c r="O143" s="8" t="s">
        <v>101</v>
      </c>
      <c r="P143" s="4">
        <f>(C143+(E143*F143*H143))-N143</f>
        <v>0</v>
      </c>
      <c r="Q143" s="8" t="s">
        <v>101</v>
      </c>
      <c r="R143" s="9">
        <f>S143/1.11</f>
        <v>0</v>
      </c>
      <c r="S143" s="9">
        <f>P143*(J143-(J143*L143)-((J143-(J143*L143))*M143))</f>
        <v>0</v>
      </c>
    </row>
    <row r="145" spans="1:19" x14ac:dyDescent="0.2">
      <c r="A145" s="2" t="s">
        <v>102</v>
      </c>
      <c r="B145" s="3" t="s">
        <v>24</v>
      </c>
      <c r="D145" s="5" t="s">
        <v>32</v>
      </c>
      <c r="F145" s="7">
        <v>50</v>
      </c>
      <c r="G145" s="8" t="s">
        <v>97</v>
      </c>
      <c r="H145" s="7">
        <v>10</v>
      </c>
      <c r="I145" s="8" t="s">
        <v>32</v>
      </c>
      <c r="J145" s="9">
        <f>850000/50/10</f>
        <v>1700</v>
      </c>
      <c r="K145" s="5" t="s">
        <v>32</v>
      </c>
      <c r="M145" s="10">
        <v>0.17</v>
      </c>
      <c r="O145" s="8" t="s">
        <v>32</v>
      </c>
      <c r="P145" s="4">
        <f>(C145+(E145*F145*H145))-N145</f>
        <v>0</v>
      </c>
      <c r="Q145" s="8" t="s">
        <v>32</v>
      </c>
      <c r="R145" s="9">
        <f>S145/1.11</f>
        <v>0</v>
      </c>
      <c r="S145" s="9">
        <f>P145*(J145-(J145*L145)-((J145-(J145*L145))*M145))</f>
        <v>0</v>
      </c>
    </row>
    <row r="146" spans="1:19" x14ac:dyDescent="0.2">
      <c r="A146" s="2" t="s">
        <v>103</v>
      </c>
      <c r="B146" s="3" t="s">
        <v>24</v>
      </c>
      <c r="D146" s="5" t="s">
        <v>32</v>
      </c>
      <c r="F146" s="7">
        <v>50</v>
      </c>
      <c r="G146" s="8" t="s">
        <v>97</v>
      </c>
      <c r="H146" s="7">
        <v>10</v>
      </c>
      <c r="I146" s="8" t="s">
        <v>32</v>
      </c>
      <c r="J146" s="9">
        <f>800000/50/10</f>
        <v>1600</v>
      </c>
      <c r="K146" s="5" t="s">
        <v>32</v>
      </c>
      <c r="M146" s="10">
        <v>0.17</v>
      </c>
      <c r="O146" s="8" t="s">
        <v>32</v>
      </c>
      <c r="P146" s="4">
        <f>(C146+(E146*F146*H146))-N146</f>
        <v>0</v>
      </c>
      <c r="Q146" s="8" t="s">
        <v>32</v>
      </c>
      <c r="R146" s="9">
        <f>S146/1.11</f>
        <v>0</v>
      </c>
      <c r="S146" s="9">
        <f>P146*(J146-(J146*L146)-((J146-(J146*L146))*M146))</f>
        <v>0</v>
      </c>
    </row>
    <row r="147" spans="1:19" x14ac:dyDescent="0.2">
      <c r="A147" s="2" t="s">
        <v>104</v>
      </c>
      <c r="B147" s="3" t="s">
        <v>24</v>
      </c>
      <c r="D147" s="5" t="s">
        <v>32</v>
      </c>
      <c r="F147" s="7">
        <v>20</v>
      </c>
      <c r="G147" s="8" t="s">
        <v>97</v>
      </c>
      <c r="H147" s="7">
        <v>10</v>
      </c>
      <c r="I147" s="8" t="s">
        <v>32</v>
      </c>
      <c r="J147" s="9">
        <f>860000/20/10</f>
        <v>4300</v>
      </c>
      <c r="K147" s="5" t="s">
        <v>32</v>
      </c>
      <c r="M147" s="10">
        <v>0.17</v>
      </c>
      <c r="O147" s="8" t="s">
        <v>32</v>
      </c>
      <c r="P147" s="4">
        <f>(C147+(E147*F147*H147))-N147</f>
        <v>0</v>
      </c>
      <c r="Q147" s="8" t="s">
        <v>32</v>
      </c>
      <c r="R147" s="9">
        <f>S147/1.11</f>
        <v>0</v>
      </c>
      <c r="S147" s="9">
        <f>P147*(J147-(J147*L147)-((J147-(J147*L147))*M147))</f>
        <v>0</v>
      </c>
    </row>
    <row r="148" spans="1:19" x14ac:dyDescent="0.2">
      <c r="A148" s="2" t="s">
        <v>105</v>
      </c>
      <c r="B148" s="3" t="s">
        <v>24</v>
      </c>
      <c r="D148" s="5" t="s">
        <v>39</v>
      </c>
      <c r="F148" s="7">
        <v>1</v>
      </c>
      <c r="G148" s="8" t="s">
        <v>19</v>
      </c>
      <c r="H148" s="7">
        <v>48</v>
      </c>
      <c r="I148" s="8" t="s">
        <v>39</v>
      </c>
      <c r="J148" s="9">
        <f>1987200/48</f>
        <v>41400</v>
      </c>
      <c r="K148" s="5" t="s">
        <v>39</v>
      </c>
      <c r="M148" s="10">
        <v>0.17</v>
      </c>
      <c r="O148" s="8" t="s">
        <v>39</v>
      </c>
      <c r="P148" s="4">
        <f>(C148+(E148*F148*H148))-N148</f>
        <v>0</v>
      </c>
      <c r="Q148" s="8" t="s">
        <v>39</v>
      </c>
      <c r="R148" s="9">
        <f>S148/1.11</f>
        <v>0</v>
      </c>
      <c r="S148" s="9">
        <f>P148*(J148-(J148*L148)-((J148-(J148*L148))*M148))</f>
        <v>0</v>
      </c>
    </row>
    <row r="150" spans="1:19" ht="15.75" x14ac:dyDescent="0.25">
      <c r="A150" s="29" t="s">
        <v>106</v>
      </c>
    </row>
    <row r="151" spans="1:19" x14ac:dyDescent="0.2">
      <c r="A151" s="30" t="s">
        <v>107</v>
      </c>
    </row>
    <row r="152" spans="1:19" x14ac:dyDescent="0.2">
      <c r="A152" s="2" t="s">
        <v>108</v>
      </c>
      <c r="B152" s="3" t="s">
        <v>17</v>
      </c>
      <c r="C152" s="4">
        <v>96</v>
      </c>
      <c r="D152" s="5" t="s">
        <v>39</v>
      </c>
      <c r="F152" s="7">
        <v>1</v>
      </c>
      <c r="G152" s="8" t="s">
        <v>19</v>
      </c>
      <c r="H152" s="7">
        <v>48</v>
      </c>
      <c r="I152" s="8" t="s">
        <v>39</v>
      </c>
      <c r="J152" s="9">
        <v>36000</v>
      </c>
      <c r="K152" s="5" t="s">
        <v>39</v>
      </c>
      <c r="L152" s="10">
        <v>0.125</v>
      </c>
      <c r="M152" s="10">
        <v>0.1</v>
      </c>
      <c r="O152" s="8" t="s">
        <v>39</v>
      </c>
      <c r="P152" s="4">
        <f t="shared" ref="P152:P168" si="58">(C152+(E152*F152*H152))-N152</f>
        <v>96</v>
      </c>
      <c r="Q152" s="8" t="s">
        <v>39</v>
      </c>
      <c r="R152" s="9">
        <f>S152/1.11</f>
        <v>2451891.8918918916</v>
      </c>
      <c r="S152" s="9">
        <f t="shared" ref="S152:S168" si="59">P152*(J152-(J152*L152)-((J152-(J152*L152))*M152))</f>
        <v>2721600</v>
      </c>
    </row>
    <row r="153" spans="1:19" x14ac:dyDescent="0.2">
      <c r="A153" s="2" t="s">
        <v>109</v>
      </c>
      <c r="B153" s="3" t="s">
        <v>17</v>
      </c>
      <c r="D153" s="5" t="s">
        <v>39</v>
      </c>
      <c r="F153" s="7">
        <v>1</v>
      </c>
      <c r="G153" s="8" t="s">
        <v>19</v>
      </c>
      <c r="H153" s="7">
        <v>48</v>
      </c>
      <c r="I153" s="8" t="s">
        <v>39</v>
      </c>
      <c r="J153" s="9">
        <v>36000</v>
      </c>
      <c r="K153" s="5" t="s">
        <v>39</v>
      </c>
      <c r="L153" s="10">
        <v>0.125</v>
      </c>
      <c r="M153" s="10">
        <v>0.05</v>
      </c>
      <c r="O153" s="8" t="s">
        <v>39</v>
      </c>
      <c r="P153" s="4">
        <f>(C153+(E153*F153*H153))-N153</f>
        <v>0</v>
      </c>
      <c r="Q153" s="8" t="s">
        <v>39</v>
      </c>
      <c r="R153" s="9">
        <f>S153/1.11</f>
        <v>0</v>
      </c>
      <c r="S153" s="9">
        <f>P153*(J153-(J153*L153)-((J153-(J153*L153))*M153))</f>
        <v>0</v>
      </c>
    </row>
    <row r="154" spans="1:19" x14ac:dyDescent="0.2">
      <c r="A154" s="2" t="s">
        <v>714</v>
      </c>
      <c r="B154" s="3" t="s">
        <v>17</v>
      </c>
      <c r="D154" s="5" t="s">
        <v>39</v>
      </c>
      <c r="F154" s="7">
        <v>1</v>
      </c>
      <c r="G154" s="8" t="s">
        <v>19</v>
      </c>
      <c r="H154" s="7">
        <v>48</v>
      </c>
      <c r="I154" s="8" t="s">
        <v>39</v>
      </c>
      <c r="J154" s="9">
        <v>36000</v>
      </c>
      <c r="K154" s="5" t="s">
        <v>39</v>
      </c>
      <c r="L154" s="10">
        <v>0.125</v>
      </c>
      <c r="M154" s="10">
        <v>0.05</v>
      </c>
      <c r="O154" s="8" t="s">
        <v>39</v>
      </c>
      <c r="P154" s="4">
        <f t="shared" si="58"/>
        <v>0</v>
      </c>
      <c r="Q154" s="8" t="s">
        <v>39</v>
      </c>
      <c r="R154" s="9">
        <f>S154/1.11</f>
        <v>0</v>
      </c>
      <c r="S154" s="9">
        <f t="shared" si="59"/>
        <v>0</v>
      </c>
    </row>
    <row r="155" spans="1:19" x14ac:dyDescent="0.2">
      <c r="A155" s="2" t="s">
        <v>110</v>
      </c>
      <c r="B155" s="3" t="s">
        <v>17</v>
      </c>
      <c r="D155" s="5" t="s">
        <v>39</v>
      </c>
      <c r="F155" s="7">
        <v>1</v>
      </c>
      <c r="G155" s="8" t="s">
        <v>19</v>
      </c>
      <c r="H155" s="7">
        <v>48</v>
      </c>
      <c r="I155" s="8" t="s">
        <v>39</v>
      </c>
      <c r="J155" s="9">
        <v>39000</v>
      </c>
      <c r="K155" s="5" t="s">
        <v>39</v>
      </c>
      <c r="L155" s="10">
        <v>0.125</v>
      </c>
      <c r="M155" s="10">
        <v>0.05</v>
      </c>
      <c r="O155" s="8" t="s">
        <v>39</v>
      </c>
      <c r="P155" s="4">
        <f t="shared" si="58"/>
        <v>0</v>
      </c>
      <c r="Q155" s="8" t="s">
        <v>39</v>
      </c>
      <c r="R155" s="9">
        <f>S155/1.11</f>
        <v>0</v>
      </c>
      <c r="S155" s="9">
        <f t="shared" si="59"/>
        <v>0</v>
      </c>
    </row>
    <row r="156" spans="1:19" x14ac:dyDescent="0.2">
      <c r="A156" s="2" t="s">
        <v>111</v>
      </c>
      <c r="B156" s="3" t="s">
        <v>17</v>
      </c>
      <c r="D156" s="5" t="s">
        <v>39</v>
      </c>
      <c r="F156" s="7">
        <v>1</v>
      </c>
      <c r="G156" s="8" t="s">
        <v>19</v>
      </c>
      <c r="H156" s="7">
        <v>48</v>
      </c>
      <c r="I156" s="8" t="s">
        <v>39</v>
      </c>
      <c r="J156" s="9">
        <v>54600</v>
      </c>
      <c r="K156" s="5" t="s">
        <v>39</v>
      </c>
      <c r="L156" s="10">
        <v>0.125</v>
      </c>
      <c r="M156" s="10">
        <v>0.05</v>
      </c>
      <c r="O156" s="8" t="s">
        <v>39</v>
      </c>
      <c r="P156" s="4">
        <f t="shared" si="58"/>
        <v>0</v>
      </c>
      <c r="Q156" s="8" t="s">
        <v>39</v>
      </c>
      <c r="R156" s="9">
        <f>S156/1.11</f>
        <v>0</v>
      </c>
      <c r="S156" s="9">
        <f t="shared" si="59"/>
        <v>0</v>
      </c>
    </row>
    <row r="157" spans="1:19" x14ac:dyDescent="0.2">
      <c r="A157" s="2" t="s">
        <v>112</v>
      </c>
      <c r="B157" s="3" t="s">
        <v>17</v>
      </c>
      <c r="D157" s="5" t="s">
        <v>39</v>
      </c>
      <c r="F157" s="7">
        <v>1</v>
      </c>
      <c r="G157" s="8" t="s">
        <v>19</v>
      </c>
      <c r="H157" s="7">
        <v>48</v>
      </c>
      <c r="I157" s="8" t="s">
        <v>39</v>
      </c>
      <c r="J157" s="9">
        <v>30000</v>
      </c>
      <c r="K157" s="5" t="s">
        <v>39</v>
      </c>
      <c r="L157" s="10">
        <v>0.125</v>
      </c>
      <c r="M157" s="10">
        <v>0.05</v>
      </c>
      <c r="O157" s="8" t="s">
        <v>39</v>
      </c>
      <c r="P157" s="4">
        <f t="shared" si="58"/>
        <v>0</v>
      </c>
      <c r="Q157" s="8" t="s">
        <v>39</v>
      </c>
      <c r="R157" s="9">
        <f>S157/1.11</f>
        <v>0</v>
      </c>
      <c r="S157" s="9">
        <f t="shared" si="59"/>
        <v>0</v>
      </c>
    </row>
    <row r="158" spans="1:19" x14ac:dyDescent="0.2">
      <c r="A158" s="2" t="s">
        <v>682</v>
      </c>
      <c r="B158" s="3" t="s">
        <v>17</v>
      </c>
      <c r="D158" s="5" t="s">
        <v>39</v>
      </c>
      <c r="F158" s="7">
        <v>1</v>
      </c>
      <c r="G158" s="8" t="s">
        <v>19</v>
      </c>
      <c r="H158" s="7">
        <v>48</v>
      </c>
      <c r="I158" s="8" t="s">
        <v>39</v>
      </c>
      <c r="J158" s="9">
        <v>48000</v>
      </c>
      <c r="K158" s="5" t="s">
        <v>39</v>
      </c>
      <c r="L158" s="10">
        <v>0.125</v>
      </c>
      <c r="M158" s="10">
        <v>0.05</v>
      </c>
      <c r="O158" s="8" t="s">
        <v>39</v>
      </c>
      <c r="P158" s="4">
        <f t="shared" si="58"/>
        <v>0</v>
      </c>
      <c r="Q158" s="8" t="s">
        <v>39</v>
      </c>
      <c r="R158" s="9">
        <f>S158/1.11</f>
        <v>0</v>
      </c>
      <c r="S158" s="9">
        <f t="shared" si="59"/>
        <v>0</v>
      </c>
    </row>
    <row r="159" spans="1:19" x14ac:dyDescent="0.2">
      <c r="A159" s="2" t="s">
        <v>113</v>
      </c>
      <c r="B159" s="3" t="s">
        <v>17</v>
      </c>
      <c r="D159" s="5" t="s">
        <v>39</v>
      </c>
      <c r="F159" s="7">
        <v>1</v>
      </c>
      <c r="G159" s="8" t="s">
        <v>19</v>
      </c>
      <c r="H159" s="7">
        <v>36</v>
      </c>
      <c r="I159" s="8" t="s">
        <v>39</v>
      </c>
      <c r="J159" s="9">
        <v>41400</v>
      </c>
      <c r="K159" s="5" t="s">
        <v>39</v>
      </c>
      <c r="L159" s="10">
        <v>0.125</v>
      </c>
      <c r="M159" s="10">
        <v>0.05</v>
      </c>
      <c r="O159" s="8" t="s">
        <v>39</v>
      </c>
      <c r="P159" s="4">
        <f t="shared" ref="P159" si="60">(C159+(E159*F159*H159))-N159</f>
        <v>0</v>
      </c>
      <c r="Q159" s="8" t="s">
        <v>39</v>
      </c>
      <c r="R159" s="9">
        <f>S159/1.11</f>
        <v>0</v>
      </c>
      <c r="S159" s="9">
        <f t="shared" ref="S159" si="61">P159*(J159-(J159*L159)-((J159-(J159*L159))*M159))</f>
        <v>0</v>
      </c>
    </row>
    <row r="160" spans="1:19" x14ac:dyDescent="0.2">
      <c r="A160" s="2" t="s">
        <v>114</v>
      </c>
      <c r="B160" s="3" t="s">
        <v>17</v>
      </c>
      <c r="D160" s="5" t="s">
        <v>39</v>
      </c>
      <c r="F160" s="7">
        <v>1</v>
      </c>
      <c r="G160" s="8" t="s">
        <v>19</v>
      </c>
      <c r="H160" s="7">
        <v>36</v>
      </c>
      <c r="I160" s="8" t="s">
        <v>39</v>
      </c>
      <c r="J160" s="9">
        <v>41400</v>
      </c>
      <c r="K160" s="5" t="s">
        <v>39</v>
      </c>
      <c r="L160" s="10">
        <v>0.125</v>
      </c>
      <c r="M160" s="10">
        <v>0.05</v>
      </c>
      <c r="O160" s="8" t="s">
        <v>39</v>
      </c>
      <c r="P160" s="4">
        <f t="shared" si="58"/>
        <v>0</v>
      </c>
      <c r="Q160" s="8" t="s">
        <v>39</v>
      </c>
      <c r="R160" s="9">
        <f>S160/1.11</f>
        <v>0</v>
      </c>
      <c r="S160" s="9">
        <f t="shared" si="59"/>
        <v>0</v>
      </c>
    </row>
    <row r="161" spans="1:19" x14ac:dyDescent="0.2">
      <c r="A161" s="2" t="s">
        <v>880</v>
      </c>
      <c r="B161" s="3" t="s">
        <v>17</v>
      </c>
      <c r="D161" s="5" t="s">
        <v>39</v>
      </c>
      <c r="F161" s="7">
        <v>1</v>
      </c>
      <c r="G161" s="8" t="s">
        <v>19</v>
      </c>
      <c r="H161" s="7">
        <v>36</v>
      </c>
      <c r="I161" s="8" t="s">
        <v>39</v>
      </c>
      <c r="J161" s="9">
        <v>43200</v>
      </c>
      <c r="K161" s="5" t="s">
        <v>39</v>
      </c>
      <c r="L161" s="10">
        <v>0.125</v>
      </c>
      <c r="M161" s="10">
        <v>0.05</v>
      </c>
      <c r="O161" s="8" t="s">
        <v>39</v>
      </c>
      <c r="P161" s="4">
        <f t="shared" ref="P161" si="62">(C161+(E161*F161*H161))-N161</f>
        <v>0</v>
      </c>
      <c r="Q161" s="8" t="s">
        <v>39</v>
      </c>
      <c r="R161" s="9">
        <f>S161/1.11</f>
        <v>0</v>
      </c>
      <c r="S161" s="9">
        <f t="shared" ref="S161" si="63">P161*(J161-(J161*L161)-((J161-(J161*L161))*M161))</f>
        <v>0</v>
      </c>
    </row>
    <row r="162" spans="1:19" x14ac:dyDescent="0.2">
      <c r="A162" s="2" t="s">
        <v>115</v>
      </c>
      <c r="B162" s="3" t="s">
        <v>17</v>
      </c>
      <c r="D162" s="5" t="s">
        <v>39</v>
      </c>
      <c r="F162" s="7">
        <v>24</v>
      </c>
      <c r="G162" s="8" t="s">
        <v>32</v>
      </c>
      <c r="H162" s="7">
        <v>2</v>
      </c>
      <c r="I162" s="8" t="s">
        <v>39</v>
      </c>
      <c r="J162" s="9">
        <f>70800/2</f>
        <v>35400</v>
      </c>
      <c r="K162" s="5" t="s">
        <v>39</v>
      </c>
      <c r="L162" s="10">
        <v>0.125</v>
      </c>
      <c r="M162" s="10">
        <v>0.05</v>
      </c>
      <c r="O162" s="8" t="s">
        <v>39</v>
      </c>
      <c r="P162" s="4">
        <f t="shared" si="58"/>
        <v>0</v>
      </c>
      <c r="Q162" s="8" t="s">
        <v>39</v>
      </c>
      <c r="R162" s="9">
        <f>S162/1.11</f>
        <v>0</v>
      </c>
      <c r="S162" s="9">
        <f t="shared" si="59"/>
        <v>0</v>
      </c>
    </row>
    <row r="163" spans="1:19" x14ac:dyDescent="0.2">
      <c r="A163" s="2" t="s">
        <v>116</v>
      </c>
      <c r="B163" s="3" t="s">
        <v>17</v>
      </c>
      <c r="D163" s="5" t="s">
        <v>39</v>
      </c>
      <c r="F163" s="7">
        <v>24</v>
      </c>
      <c r="G163" s="8" t="s">
        <v>32</v>
      </c>
      <c r="H163" s="7">
        <v>2</v>
      </c>
      <c r="I163" s="8" t="s">
        <v>39</v>
      </c>
      <c r="J163" s="9">
        <f>70800/2</f>
        <v>35400</v>
      </c>
      <c r="K163" s="5" t="s">
        <v>39</v>
      </c>
      <c r="L163" s="10">
        <v>0.125</v>
      </c>
      <c r="M163" s="10">
        <v>0.05</v>
      </c>
      <c r="O163" s="8" t="s">
        <v>39</v>
      </c>
      <c r="P163" s="4">
        <f t="shared" si="58"/>
        <v>0</v>
      </c>
      <c r="Q163" s="8" t="s">
        <v>39</v>
      </c>
      <c r="R163" s="9">
        <f>S163/1.11</f>
        <v>0</v>
      </c>
      <c r="S163" s="9">
        <f t="shared" si="59"/>
        <v>0</v>
      </c>
    </row>
    <row r="164" spans="1:19" x14ac:dyDescent="0.2">
      <c r="A164" s="2" t="s">
        <v>117</v>
      </c>
      <c r="B164" s="3" t="s">
        <v>17</v>
      </c>
      <c r="D164" s="5" t="s">
        <v>39</v>
      </c>
      <c r="F164" s="7">
        <v>1</v>
      </c>
      <c r="G164" s="8" t="s">
        <v>19</v>
      </c>
      <c r="H164" s="7">
        <v>36</v>
      </c>
      <c r="I164" s="8" t="s">
        <v>39</v>
      </c>
      <c r="J164" s="9">
        <v>34200</v>
      </c>
      <c r="K164" s="5" t="s">
        <v>39</v>
      </c>
      <c r="L164" s="10">
        <v>0.125</v>
      </c>
      <c r="M164" s="10">
        <v>0.05</v>
      </c>
      <c r="O164" s="8" t="s">
        <v>39</v>
      </c>
      <c r="P164" s="4">
        <f t="shared" si="58"/>
        <v>0</v>
      </c>
      <c r="Q164" s="8" t="s">
        <v>39</v>
      </c>
      <c r="R164" s="9">
        <f>S164/1.11</f>
        <v>0</v>
      </c>
      <c r="S164" s="9">
        <f t="shared" si="59"/>
        <v>0</v>
      </c>
    </row>
    <row r="165" spans="1:19" x14ac:dyDescent="0.2">
      <c r="A165" s="2" t="s">
        <v>118</v>
      </c>
      <c r="B165" s="3" t="s">
        <v>17</v>
      </c>
      <c r="D165" s="5" t="s">
        <v>39</v>
      </c>
      <c r="F165" s="7">
        <v>24</v>
      </c>
      <c r="G165" s="8" t="s">
        <v>32</v>
      </c>
      <c r="H165" s="7">
        <v>2</v>
      </c>
      <c r="I165" s="8" t="s">
        <v>39</v>
      </c>
      <c r="J165" s="9">
        <f>46800/2</f>
        <v>23400</v>
      </c>
      <c r="K165" s="5" t="s">
        <v>39</v>
      </c>
      <c r="L165" s="10">
        <v>0.125</v>
      </c>
      <c r="M165" s="10">
        <v>0.05</v>
      </c>
      <c r="O165" s="8" t="s">
        <v>39</v>
      </c>
      <c r="P165" s="4">
        <f t="shared" si="58"/>
        <v>0</v>
      </c>
      <c r="Q165" s="8" t="s">
        <v>39</v>
      </c>
      <c r="R165" s="9">
        <f>S165/1.11</f>
        <v>0</v>
      </c>
      <c r="S165" s="9">
        <f t="shared" si="59"/>
        <v>0</v>
      </c>
    </row>
    <row r="166" spans="1:19" x14ac:dyDescent="0.2">
      <c r="A166" s="2" t="s">
        <v>917</v>
      </c>
      <c r="B166" s="3" t="s">
        <v>17</v>
      </c>
      <c r="D166" s="5" t="s">
        <v>39</v>
      </c>
      <c r="F166" s="7">
        <v>48</v>
      </c>
      <c r="G166" s="8" t="s">
        <v>32</v>
      </c>
      <c r="H166" s="7">
        <v>1</v>
      </c>
      <c r="I166" s="8" t="s">
        <v>39</v>
      </c>
      <c r="J166" s="9">
        <v>37200</v>
      </c>
      <c r="K166" s="5" t="s">
        <v>39</v>
      </c>
      <c r="L166" s="10">
        <v>0.125</v>
      </c>
      <c r="M166" s="10">
        <v>0.05</v>
      </c>
      <c r="O166" s="8" t="s">
        <v>39</v>
      </c>
      <c r="P166" s="4">
        <f t="shared" si="58"/>
        <v>0</v>
      </c>
      <c r="Q166" s="8" t="s">
        <v>39</v>
      </c>
      <c r="R166" s="9">
        <f>S166/1.11</f>
        <v>0</v>
      </c>
      <c r="S166" s="9">
        <f t="shared" si="59"/>
        <v>0</v>
      </c>
    </row>
    <row r="167" spans="1:19" x14ac:dyDescent="0.2">
      <c r="A167" s="2" t="s">
        <v>119</v>
      </c>
      <c r="B167" s="3" t="s">
        <v>17</v>
      </c>
      <c r="D167" s="5" t="s">
        <v>39</v>
      </c>
      <c r="F167" s="7">
        <v>60</v>
      </c>
      <c r="G167" s="8" t="s">
        <v>32</v>
      </c>
      <c r="H167" s="7">
        <v>1</v>
      </c>
      <c r="I167" s="8" t="s">
        <v>39</v>
      </c>
      <c r="J167" s="9">
        <v>45000</v>
      </c>
      <c r="K167" s="5" t="s">
        <v>39</v>
      </c>
      <c r="L167" s="10">
        <v>0.125</v>
      </c>
      <c r="M167" s="10">
        <v>0.05</v>
      </c>
      <c r="O167" s="8" t="s">
        <v>39</v>
      </c>
      <c r="P167" s="4">
        <f t="shared" ref="P167" si="64">(C167+(E167*F167*H167))-N167</f>
        <v>0</v>
      </c>
      <c r="Q167" s="8" t="s">
        <v>39</v>
      </c>
      <c r="R167" s="9">
        <f>S167/1.11</f>
        <v>0</v>
      </c>
      <c r="S167" s="9">
        <f t="shared" ref="S167" si="65">P167*(J167-(J167*L167)-((J167-(J167*L167))*M167))</f>
        <v>0</v>
      </c>
    </row>
    <row r="168" spans="1:19" x14ac:dyDescent="0.2">
      <c r="A168" s="2" t="s">
        <v>676</v>
      </c>
      <c r="B168" s="3" t="s">
        <v>17</v>
      </c>
      <c r="D168" s="5" t="s">
        <v>39</v>
      </c>
      <c r="F168" s="7">
        <v>120</v>
      </c>
      <c r="G168" s="8" t="s">
        <v>32</v>
      </c>
      <c r="H168" s="7">
        <v>1</v>
      </c>
      <c r="I168" s="8" t="s">
        <v>39</v>
      </c>
      <c r="J168" s="9">
        <v>17400</v>
      </c>
      <c r="K168" s="5" t="s">
        <v>39</v>
      </c>
      <c r="L168" s="10">
        <v>0.125</v>
      </c>
      <c r="M168" s="10">
        <v>0.05</v>
      </c>
      <c r="O168" s="8" t="s">
        <v>39</v>
      </c>
      <c r="P168" s="4">
        <f t="shared" si="58"/>
        <v>0</v>
      </c>
      <c r="Q168" s="8" t="s">
        <v>39</v>
      </c>
      <c r="R168" s="9">
        <f>S168/1.11</f>
        <v>0</v>
      </c>
      <c r="S168" s="9">
        <f t="shared" si="59"/>
        <v>0</v>
      </c>
    </row>
    <row r="169" spans="1:19" x14ac:dyDescent="0.2">
      <c r="A169" s="2" t="s">
        <v>914</v>
      </c>
      <c r="B169" s="3" t="s">
        <v>17</v>
      </c>
      <c r="C169" s="3"/>
      <c r="D169" s="5" t="s">
        <v>39</v>
      </c>
      <c r="F169" s="7">
        <v>48</v>
      </c>
      <c r="G169" s="8" t="s">
        <v>32</v>
      </c>
      <c r="H169" s="7">
        <v>1</v>
      </c>
      <c r="I169" s="8" t="s">
        <v>39</v>
      </c>
      <c r="J169" s="9">
        <v>37200</v>
      </c>
      <c r="K169" s="5" t="s">
        <v>39</v>
      </c>
      <c r="L169" s="10">
        <v>0.125</v>
      </c>
      <c r="M169" s="10">
        <v>0.05</v>
      </c>
      <c r="O169" s="8" t="s">
        <v>39</v>
      </c>
      <c r="P169" s="4">
        <f t="shared" ref="P169:P171" si="66">(C169+(E169*F169*H169))-N169</f>
        <v>0</v>
      </c>
      <c r="Q169" s="8" t="s">
        <v>39</v>
      </c>
      <c r="R169" s="9">
        <f>S169/1.11</f>
        <v>0</v>
      </c>
      <c r="S169" s="9">
        <f t="shared" ref="S169:S171" si="67">P169*(J169-(J169*L169)-((J169-(J169*L169))*M169))</f>
        <v>0</v>
      </c>
    </row>
    <row r="170" spans="1:19" x14ac:dyDescent="0.2">
      <c r="A170" s="2" t="s">
        <v>915</v>
      </c>
      <c r="B170" s="3" t="s">
        <v>17</v>
      </c>
      <c r="C170" s="3"/>
      <c r="D170" s="5" t="s">
        <v>39</v>
      </c>
      <c r="F170" s="7">
        <v>48</v>
      </c>
      <c r="G170" s="8" t="s">
        <v>32</v>
      </c>
      <c r="H170" s="7">
        <v>1</v>
      </c>
      <c r="I170" s="8" t="s">
        <v>39</v>
      </c>
      <c r="J170" s="9">
        <v>54600</v>
      </c>
      <c r="K170" s="5" t="s">
        <v>39</v>
      </c>
      <c r="L170" s="10">
        <v>0.125</v>
      </c>
      <c r="M170" s="10">
        <v>0.05</v>
      </c>
      <c r="O170" s="8" t="s">
        <v>39</v>
      </c>
      <c r="P170" s="4">
        <f t="shared" si="66"/>
        <v>0</v>
      </c>
      <c r="Q170" s="8" t="s">
        <v>39</v>
      </c>
      <c r="R170" s="9">
        <f>S170/1.11</f>
        <v>0</v>
      </c>
      <c r="S170" s="9">
        <f t="shared" si="67"/>
        <v>0</v>
      </c>
    </row>
    <row r="171" spans="1:19" x14ac:dyDescent="0.2">
      <c r="A171" s="2" t="s">
        <v>916</v>
      </c>
      <c r="B171" s="3" t="s">
        <v>17</v>
      </c>
      <c r="C171" s="3"/>
      <c r="D171" s="5" t="s">
        <v>39</v>
      </c>
      <c r="F171" s="7">
        <v>48</v>
      </c>
      <c r="G171" s="8" t="s">
        <v>32</v>
      </c>
      <c r="H171" s="7">
        <v>1</v>
      </c>
      <c r="I171" s="8" t="s">
        <v>39</v>
      </c>
      <c r="J171" s="9">
        <v>32400</v>
      </c>
      <c r="K171" s="5" t="s">
        <v>39</v>
      </c>
      <c r="L171" s="10">
        <v>0.125</v>
      </c>
      <c r="M171" s="10">
        <v>0.05</v>
      </c>
      <c r="O171" s="8" t="s">
        <v>39</v>
      </c>
      <c r="P171" s="4">
        <f t="shared" si="66"/>
        <v>0</v>
      </c>
      <c r="Q171" s="8" t="s">
        <v>39</v>
      </c>
      <c r="R171" s="9">
        <f>S171/1.11</f>
        <v>0</v>
      </c>
      <c r="S171" s="9">
        <f t="shared" si="67"/>
        <v>0</v>
      </c>
    </row>
    <row r="173" spans="1:19" x14ac:dyDescent="0.2">
      <c r="A173" s="2" t="s">
        <v>120</v>
      </c>
      <c r="B173" s="3" t="s">
        <v>24</v>
      </c>
      <c r="D173" s="5" t="s">
        <v>39</v>
      </c>
      <c r="F173" s="7">
        <v>1</v>
      </c>
      <c r="G173" s="8" t="s">
        <v>19</v>
      </c>
      <c r="H173" s="7">
        <v>36</v>
      </c>
      <c r="I173" s="8" t="s">
        <v>39</v>
      </c>
      <c r="J173" s="9">
        <f>1954800/36</f>
        <v>54300</v>
      </c>
      <c r="K173" s="5" t="s">
        <v>39</v>
      </c>
      <c r="M173" s="10">
        <v>0.17</v>
      </c>
      <c r="O173" s="8" t="s">
        <v>39</v>
      </c>
      <c r="P173" s="4">
        <f t="shared" ref="P173:P180" si="68">(C173+(E173*F173*H173))-N173</f>
        <v>0</v>
      </c>
      <c r="Q173" s="8" t="s">
        <v>39</v>
      </c>
      <c r="R173" s="9">
        <f>S173/1.11</f>
        <v>0</v>
      </c>
      <c r="S173" s="9">
        <f t="shared" ref="S173:S180" si="69">P173*(J173-(J173*L173)-((J173-(J173*L173))*M173))</f>
        <v>0</v>
      </c>
    </row>
    <row r="174" spans="1:19" x14ac:dyDescent="0.2">
      <c r="A174" s="2" t="s">
        <v>121</v>
      </c>
      <c r="B174" s="3" t="s">
        <v>24</v>
      </c>
      <c r="D174" s="5" t="s">
        <v>39</v>
      </c>
      <c r="F174" s="7">
        <v>1</v>
      </c>
      <c r="G174" s="8" t="s">
        <v>19</v>
      </c>
      <c r="H174" s="7">
        <v>36</v>
      </c>
      <c r="I174" s="8" t="s">
        <v>39</v>
      </c>
      <c r="J174" s="9">
        <f>1954800/36</f>
        <v>54300</v>
      </c>
      <c r="K174" s="5" t="s">
        <v>39</v>
      </c>
      <c r="M174" s="10">
        <v>0.17</v>
      </c>
      <c r="O174" s="8" t="s">
        <v>39</v>
      </c>
      <c r="P174" s="4">
        <f t="shared" si="68"/>
        <v>0</v>
      </c>
      <c r="Q174" s="8" t="s">
        <v>39</v>
      </c>
      <c r="R174" s="9">
        <f>S174/1.11</f>
        <v>0</v>
      </c>
      <c r="S174" s="9">
        <f t="shared" si="69"/>
        <v>0</v>
      </c>
    </row>
    <row r="175" spans="1:19" x14ac:dyDescent="0.2">
      <c r="A175" s="2" t="s">
        <v>122</v>
      </c>
      <c r="B175" s="3" t="s">
        <v>24</v>
      </c>
      <c r="D175" s="5" t="s">
        <v>39</v>
      </c>
      <c r="F175" s="7">
        <v>1</v>
      </c>
      <c r="G175" s="8" t="s">
        <v>19</v>
      </c>
      <c r="H175" s="7">
        <v>36</v>
      </c>
      <c r="I175" s="8" t="s">
        <v>39</v>
      </c>
      <c r="J175" s="9">
        <f>1954800/36</f>
        <v>54300</v>
      </c>
      <c r="K175" s="5" t="s">
        <v>39</v>
      </c>
      <c r="M175" s="10">
        <v>0.17</v>
      </c>
      <c r="O175" s="8" t="s">
        <v>39</v>
      </c>
      <c r="P175" s="4">
        <f t="shared" si="68"/>
        <v>0</v>
      </c>
      <c r="Q175" s="8" t="s">
        <v>39</v>
      </c>
      <c r="R175" s="9">
        <f>S175/1.11</f>
        <v>0</v>
      </c>
      <c r="S175" s="9">
        <f t="shared" si="69"/>
        <v>0</v>
      </c>
    </row>
    <row r="176" spans="1:19" x14ac:dyDescent="0.2">
      <c r="A176" s="2" t="s">
        <v>123</v>
      </c>
      <c r="B176" s="3" t="s">
        <v>24</v>
      </c>
      <c r="D176" s="5" t="s">
        <v>39</v>
      </c>
      <c r="F176" s="7">
        <v>1</v>
      </c>
      <c r="G176" s="8" t="s">
        <v>19</v>
      </c>
      <c r="H176" s="7">
        <v>36</v>
      </c>
      <c r="I176" s="8" t="s">
        <v>39</v>
      </c>
      <c r="J176" s="9">
        <f>2008800/36</f>
        <v>55800</v>
      </c>
      <c r="K176" s="5" t="s">
        <v>39</v>
      </c>
      <c r="M176" s="10">
        <v>0.17</v>
      </c>
      <c r="O176" s="8" t="s">
        <v>39</v>
      </c>
      <c r="P176" s="4">
        <f t="shared" si="68"/>
        <v>0</v>
      </c>
      <c r="Q176" s="8" t="s">
        <v>39</v>
      </c>
      <c r="R176" s="9">
        <f>S176/1.11</f>
        <v>0</v>
      </c>
      <c r="S176" s="9">
        <f t="shared" si="69"/>
        <v>0</v>
      </c>
    </row>
    <row r="177" spans="1:19" x14ac:dyDescent="0.2">
      <c r="A177" s="2" t="s">
        <v>124</v>
      </c>
      <c r="B177" s="3" t="s">
        <v>24</v>
      </c>
      <c r="C177" s="4">
        <v>36</v>
      </c>
      <c r="D177" s="5" t="s">
        <v>39</v>
      </c>
      <c r="F177" s="7">
        <v>1</v>
      </c>
      <c r="G177" s="8" t="s">
        <v>19</v>
      </c>
      <c r="H177" s="7">
        <v>36</v>
      </c>
      <c r="I177" s="8" t="s">
        <v>39</v>
      </c>
      <c r="J177" s="9">
        <f>1695600/36</f>
        <v>47100</v>
      </c>
      <c r="K177" s="5" t="s">
        <v>39</v>
      </c>
      <c r="M177" s="10">
        <v>0.17</v>
      </c>
      <c r="O177" s="8" t="s">
        <v>39</v>
      </c>
      <c r="P177" s="4">
        <f t="shared" si="68"/>
        <v>36</v>
      </c>
      <c r="Q177" s="8" t="s">
        <v>39</v>
      </c>
      <c r="R177" s="9">
        <f>S177/1.11</f>
        <v>1267881.0810810809</v>
      </c>
      <c r="S177" s="9">
        <f t="shared" si="69"/>
        <v>1407348</v>
      </c>
    </row>
    <row r="178" spans="1:19" x14ac:dyDescent="0.2">
      <c r="A178" s="2" t="s">
        <v>125</v>
      </c>
      <c r="B178" s="3" t="s">
        <v>24</v>
      </c>
      <c r="D178" s="5" t="s">
        <v>39</v>
      </c>
      <c r="F178" s="7">
        <v>1</v>
      </c>
      <c r="G178" s="8" t="s">
        <v>19</v>
      </c>
      <c r="H178" s="7">
        <v>36</v>
      </c>
      <c r="I178" s="8" t="s">
        <v>39</v>
      </c>
      <c r="J178" s="9">
        <f>1922400/36</f>
        <v>53400</v>
      </c>
      <c r="K178" s="5" t="s">
        <v>39</v>
      </c>
      <c r="M178" s="10">
        <v>0.17</v>
      </c>
      <c r="O178" s="8" t="s">
        <v>39</v>
      </c>
      <c r="P178" s="4">
        <f t="shared" si="68"/>
        <v>0</v>
      </c>
      <c r="Q178" s="8" t="s">
        <v>39</v>
      </c>
      <c r="R178" s="9">
        <f>S178/1.11</f>
        <v>0</v>
      </c>
      <c r="S178" s="9">
        <f t="shared" si="69"/>
        <v>0</v>
      </c>
    </row>
    <row r="179" spans="1:19" x14ac:dyDescent="0.2">
      <c r="A179" s="2" t="s">
        <v>126</v>
      </c>
      <c r="B179" s="3" t="s">
        <v>24</v>
      </c>
      <c r="D179" s="5" t="s">
        <v>39</v>
      </c>
      <c r="F179" s="7">
        <v>1</v>
      </c>
      <c r="G179" s="8" t="s">
        <v>19</v>
      </c>
      <c r="H179" s="7">
        <v>36</v>
      </c>
      <c r="I179" s="8" t="s">
        <v>39</v>
      </c>
      <c r="J179" s="9">
        <f>2052000/36</f>
        <v>57000</v>
      </c>
      <c r="K179" s="5" t="s">
        <v>39</v>
      </c>
      <c r="M179" s="10">
        <v>0.17</v>
      </c>
      <c r="O179" s="8" t="s">
        <v>39</v>
      </c>
      <c r="P179" s="4">
        <f t="shared" si="68"/>
        <v>0</v>
      </c>
      <c r="Q179" s="8" t="s">
        <v>39</v>
      </c>
      <c r="R179" s="9">
        <f>S179/1.11</f>
        <v>0</v>
      </c>
      <c r="S179" s="9">
        <f t="shared" si="69"/>
        <v>0</v>
      </c>
    </row>
    <row r="180" spans="1:19" x14ac:dyDescent="0.2">
      <c r="A180" s="2" t="s">
        <v>127</v>
      </c>
      <c r="B180" s="3" t="s">
        <v>24</v>
      </c>
      <c r="D180" s="5" t="s">
        <v>39</v>
      </c>
      <c r="F180" s="7">
        <v>1</v>
      </c>
      <c r="G180" s="8" t="s">
        <v>19</v>
      </c>
      <c r="H180" s="7">
        <v>36</v>
      </c>
      <c r="I180" s="8" t="s">
        <v>39</v>
      </c>
      <c r="J180" s="9">
        <f>2170800/36</f>
        <v>60300</v>
      </c>
      <c r="K180" s="5" t="s">
        <v>39</v>
      </c>
      <c r="M180" s="10">
        <v>0.17</v>
      </c>
      <c r="O180" s="8" t="s">
        <v>39</v>
      </c>
      <c r="P180" s="4">
        <f t="shared" si="68"/>
        <v>0</v>
      </c>
      <c r="Q180" s="8" t="s">
        <v>39</v>
      </c>
      <c r="R180" s="9">
        <f>S180/1.11</f>
        <v>0</v>
      </c>
      <c r="S180" s="9">
        <f t="shared" si="69"/>
        <v>0</v>
      </c>
    </row>
    <row r="182" spans="1:19" x14ac:dyDescent="0.2">
      <c r="A182" s="30" t="s">
        <v>128</v>
      </c>
    </row>
    <row r="183" spans="1:19" x14ac:dyDescent="0.2">
      <c r="A183" s="2" t="s">
        <v>129</v>
      </c>
      <c r="B183" s="3" t="s">
        <v>17</v>
      </c>
      <c r="C183" s="4">
        <v>120</v>
      </c>
      <c r="D183" s="5" t="s">
        <v>39</v>
      </c>
      <c r="F183" s="7">
        <v>1</v>
      </c>
      <c r="G183" s="8" t="s">
        <v>19</v>
      </c>
      <c r="H183" s="7">
        <v>60</v>
      </c>
      <c r="I183" s="8" t="s">
        <v>39</v>
      </c>
      <c r="J183" s="9">
        <f>4600*12</f>
        <v>55200</v>
      </c>
      <c r="K183" s="5" t="s">
        <v>39</v>
      </c>
      <c r="L183" s="10">
        <v>0.125</v>
      </c>
      <c r="M183" s="10">
        <v>0.05</v>
      </c>
      <c r="O183" s="8" t="s">
        <v>39</v>
      </c>
      <c r="P183" s="4">
        <f t="shared" ref="P183:P202" si="70">(C183+(E183*F183*H183))-N183</f>
        <v>120</v>
      </c>
      <c r="Q183" s="8" t="s">
        <v>39</v>
      </c>
      <c r="R183" s="9">
        <f>S183/1.11</f>
        <v>4960540.5405405397</v>
      </c>
      <c r="S183" s="9">
        <f t="shared" ref="S183:S202" si="71">P183*(J183-(J183*L183)-((J183-(J183*L183))*M183))</f>
        <v>5506200</v>
      </c>
    </row>
    <row r="184" spans="1:19" x14ac:dyDescent="0.2">
      <c r="A184" s="2" t="s">
        <v>130</v>
      </c>
      <c r="B184" s="3" t="s">
        <v>17</v>
      </c>
      <c r="C184" s="4">
        <v>120</v>
      </c>
      <c r="D184" s="5" t="s">
        <v>39</v>
      </c>
      <c r="F184" s="7">
        <v>1</v>
      </c>
      <c r="G184" s="8" t="s">
        <v>19</v>
      </c>
      <c r="H184" s="7">
        <v>60</v>
      </c>
      <c r="I184" s="8" t="s">
        <v>39</v>
      </c>
      <c r="J184" s="9">
        <f>4500*12</f>
        <v>54000</v>
      </c>
      <c r="K184" s="5" t="s">
        <v>39</v>
      </c>
      <c r="L184" s="10">
        <v>0.125</v>
      </c>
      <c r="M184" s="10">
        <v>0.05</v>
      </c>
      <c r="O184" s="8" t="s">
        <v>39</v>
      </c>
      <c r="P184" s="4">
        <f t="shared" si="70"/>
        <v>120</v>
      </c>
      <c r="Q184" s="8" t="s">
        <v>39</v>
      </c>
      <c r="R184" s="9">
        <f>S184/1.11</f>
        <v>4852702.702702702</v>
      </c>
      <c r="S184" s="9">
        <f t="shared" si="71"/>
        <v>5386500</v>
      </c>
    </row>
    <row r="185" spans="1:19" x14ac:dyDescent="0.2">
      <c r="A185" s="2" t="s">
        <v>683</v>
      </c>
      <c r="B185" s="3" t="s">
        <v>17</v>
      </c>
      <c r="D185" s="5" t="s">
        <v>39</v>
      </c>
      <c r="F185" s="7">
        <v>1</v>
      </c>
      <c r="G185" s="8" t="s">
        <v>19</v>
      </c>
      <c r="H185" s="7">
        <v>60</v>
      </c>
      <c r="I185" s="8" t="s">
        <v>39</v>
      </c>
      <c r="J185" s="9">
        <f>4500*12</f>
        <v>54000</v>
      </c>
      <c r="K185" s="5" t="s">
        <v>39</v>
      </c>
      <c r="L185" s="10">
        <v>0.125</v>
      </c>
      <c r="M185" s="10">
        <v>0.05</v>
      </c>
      <c r="O185" s="8" t="s">
        <v>39</v>
      </c>
      <c r="P185" s="4">
        <f t="shared" si="70"/>
        <v>0</v>
      </c>
      <c r="Q185" s="8" t="s">
        <v>39</v>
      </c>
      <c r="R185" s="9">
        <f>S185/1.11</f>
        <v>0</v>
      </c>
      <c r="S185" s="9">
        <f t="shared" si="71"/>
        <v>0</v>
      </c>
    </row>
    <row r="186" spans="1:19" x14ac:dyDescent="0.2">
      <c r="A186" s="2" t="s">
        <v>131</v>
      </c>
      <c r="B186" s="3" t="s">
        <v>17</v>
      </c>
      <c r="D186" s="5" t="s">
        <v>39</v>
      </c>
      <c r="F186" s="7">
        <v>1</v>
      </c>
      <c r="G186" s="8" t="s">
        <v>19</v>
      </c>
      <c r="H186" s="7">
        <v>30</v>
      </c>
      <c r="I186" s="8" t="s">
        <v>39</v>
      </c>
      <c r="J186" s="9">
        <v>69600</v>
      </c>
      <c r="K186" s="5" t="s">
        <v>39</v>
      </c>
      <c r="L186" s="10">
        <v>0.125</v>
      </c>
      <c r="M186" s="10">
        <v>0.05</v>
      </c>
      <c r="O186" s="8" t="s">
        <v>39</v>
      </c>
      <c r="P186" s="4">
        <f t="shared" ref="P186" si="72">(C186+(E186*F186*H186))-N186</f>
        <v>0</v>
      </c>
      <c r="Q186" s="8" t="s">
        <v>39</v>
      </c>
      <c r="R186" s="9">
        <f>S186/1.11</f>
        <v>0</v>
      </c>
      <c r="S186" s="9">
        <f t="shared" ref="S186" si="73">P186*(J186-(J186*L186)-((J186-(J186*L186))*M186))</f>
        <v>0</v>
      </c>
    </row>
    <row r="187" spans="1:19" x14ac:dyDescent="0.2">
      <c r="A187" s="2" t="s">
        <v>708</v>
      </c>
      <c r="B187" s="3" t="s">
        <v>17</v>
      </c>
      <c r="C187" s="4">
        <v>30</v>
      </c>
      <c r="D187" s="5" t="s">
        <v>39</v>
      </c>
      <c r="F187" s="7">
        <v>1</v>
      </c>
      <c r="G187" s="8" t="s">
        <v>19</v>
      </c>
      <c r="H187" s="7">
        <v>30</v>
      </c>
      <c r="I187" s="8" t="s">
        <v>39</v>
      </c>
      <c r="J187" s="9">
        <f>11000*12</f>
        <v>132000</v>
      </c>
      <c r="K187" s="5" t="s">
        <v>39</v>
      </c>
      <c r="L187" s="10">
        <v>0.125</v>
      </c>
      <c r="M187" s="10">
        <v>0.05</v>
      </c>
      <c r="O187" s="8" t="s">
        <v>39</v>
      </c>
      <c r="P187" s="4">
        <f t="shared" ref="P187" si="74">(C187+(E187*F187*H187))-N187</f>
        <v>30</v>
      </c>
      <c r="Q187" s="8" t="s">
        <v>39</v>
      </c>
      <c r="R187" s="9">
        <f>S187/1.11</f>
        <v>2965540.5405405401</v>
      </c>
      <c r="S187" s="9">
        <f t="shared" ref="S187" si="75">P187*(J187-(J187*L187)-((J187-(J187*L187))*M187))</f>
        <v>3291750</v>
      </c>
    </row>
    <row r="188" spans="1:19" x14ac:dyDescent="0.2">
      <c r="A188" s="2" t="s">
        <v>132</v>
      </c>
      <c r="B188" s="3" t="s">
        <v>17</v>
      </c>
      <c r="C188" s="4">
        <v>60</v>
      </c>
      <c r="D188" s="5" t="s">
        <v>39</v>
      </c>
      <c r="F188" s="7">
        <v>1</v>
      </c>
      <c r="G188" s="8" t="s">
        <v>19</v>
      </c>
      <c r="H188" s="7">
        <v>60</v>
      </c>
      <c r="I188" s="8" t="s">
        <v>39</v>
      </c>
      <c r="J188" s="9">
        <v>51600</v>
      </c>
      <c r="K188" s="5" t="s">
        <v>39</v>
      </c>
      <c r="L188" s="10">
        <v>0.125</v>
      </c>
      <c r="M188" s="10">
        <v>0.05</v>
      </c>
      <c r="O188" s="8" t="s">
        <v>39</v>
      </c>
      <c r="P188" s="4">
        <f t="shared" ref="P188" si="76">(C188+(E188*F188*H188))-N188</f>
        <v>60</v>
      </c>
      <c r="Q188" s="8" t="s">
        <v>39</v>
      </c>
      <c r="R188" s="9">
        <f>S188/1.11</f>
        <v>2318513.5135135134</v>
      </c>
      <c r="S188" s="9">
        <f t="shared" ref="S188" si="77">P188*(J188-(J188*L188)-((J188-(J188*L188))*M188))</f>
        <v>2573550</v>
      </c>
    </row>
    <row r="189" spans="1:19" x14ac:dyDescent="0.2">
      <c r="A189" s="2" t="s">
        <v>881</v>
      </c>
      <c r="B189" s="3" t="s">
        <v>17</v>
      </c>
      <c r="D189" s="5" t="s">
        <v>39</v>
      </c>
      <c r="F189" s="7">
        <v>1</v>
      </c>
      <c r="G189" s="8" t="s">
        <v>19</v>
      </c>
      <c r="H189" s="7">
        <v>60</v>
      </c>
      <c r="I189" s="8" t="s">
        <v>39</v>
      </c>
      <c r="J189" s="9">
        <v>51600</v>
      </c>
      <c r="K189" s="5" t="s">
        <v>39</v>
      </c>
      <c r="L189" s="10">
        <v>0.125</v>
      </c>
      <c r="M189" s="10">
        <v>0.05</v>
      </c>
      <c r="O189" s="8" t="s">
        <v>39</v>
      </c>
      <c r="P189" s="4">
        <f t="shared" ref="P189" si="78">(C189+(E189*F189*H189))-N189</f>
        <v>0</v>
      </c>
      <c r="Q189" s="8" t="s">
        <v>39</v>
      </c>
      <c r="R189" s="9">
        <f>S189/1.11</f>
        <v>0</v>
      </c>
      <c r="S189" s="9">
        <f t="shared" ref="S189" si="79">P189*(J189-(J189*L189)-((J189-(J189*L189))*M189))</f>
        <v>0</v>
      </c>
    </row>
    <row r="190" spans="1:19" x14ac:dyDescent="0.2">
      <c r="A190" s="2" t="s">
        <v>828</v>
      </c>
      <c r="B190" s="3" t="s">
        <v>17</v>
      </c>
      <c r="D190" s="5" t="s">
        <v>101</v>
      </c>
      <c r="F190" s="7">
        <v>24</v>
      </c>
      <c r="G190" s="8" t="s">
        <v>32</v>
      </c>
      <c r="H190" s="7">
        <v>12</v>
      </c>
      <c r="I190" s="8" t="s">
        <v>101</v>
      </c>
      <c r="J190" s="9">
        <v>9300</v>
      </c>
      <c r="K190" s="5" t="s">
        <v>101</v>
      </c>
      <c r="L190" s="10">
        <v>0.125</v>
      </c>
      <c r="M190" s="10">
        <v>0.05</v>
      </c>
      <c r="O190" s="8" t="s">
        <v>101</v>
      </c>
      <c r="P190" s="4">
        <f t="shared" si="70"/>
        <v>0</v>
      </c>
      <c r="Q190" s="8" t="s">
        <v>101</v>
      </c>
      <c r="R190" s="9">
        <f>S190/1.11</f>
        <v>0</v>
      </c>
      <c r="S190" s="9">
        <f t="shared" si="71"/>
        <v>0</v>
      </c>
    </row>
    <row r="191" spans="1:19" x14ac:dyDescent="0.2">
      <c r="A191" s="2" t="s">
        <v>133</v>
      </c>
      <c r="B191" s="3" t="s">
        <v>17</v>
      </c>
      <c r="D191" s="5" t="s">
        <v>39</v>
      </c>
      <c r="F191" s="7">
        <v>1</v>
      </c>
      <c r="G191" s="8" t="s">
        <v>19</v>
      </c>
      <c r="H191" s="7">
        <v>60</v>
      </c>
      <c r="I191" s="8" t="s">
        <v>39</v>
      </c>
      <c r="J191" s="9">
        <f>5800*12</f>
        <v>69600</v>
      </c>
      <c r="K191" s="5" t="s">
        <v>39</v>
      </c>
      <c r="L191" s="10">
        <v>0.125</v>
      </c>
      <c r="M191" s="10">
        <v>0.05</v>
      </c>
      <c r="O191" s="8" t="s">
        <v>39</v>
      </c>
      <c r="P191" s="4">
        <f t="shared" si="70"/>
        <v>0</v>
      </c>
      <c r="Q191" s="8" t="s">
        <v>39</v>
      </c>
      <c r="R191" s="9">
        <f>S191/1.11</f>
        <v>0</v>
      </c>
      <c r="S191" s="9">
        <f t="shared" si="71"/>
        <v>0</v>
      </c>
    </row>
    <row r="192" spans="1:19" x14ac:dyDescent="0.2">
      <c r="A192" s="2" t="s">
        <v>134</v>
      </c>
      <c r="B192" s="3" t="s">
        <v>17</v>
      </c>
      <c r="D192" s="5" t="s">
        <v>39</v>
      </c>
      <c r="F192" s="7">
        <v>1</v>
      </c>
      <c r="G192" s="8" t="s">
        <v>19</v>
      </c>
      <c r="H192" s="7">
        <v>40</v>
      </c>
      <c r="I192" s="8" t="s">
        <v>39</v>
      </c>
      <c r="J192" s="9">
        <f>8500*12</f>
        <v>102000</v>
      </c>
      <c r="K192" s="5" t="s">
        <v>39</v>
      </c>
      <c r="L192" s="10">
        <v>0.125</v>
      </c>
      <c r="M192" s="10">
        <v>0.1</v>
      </c>
      <c r="O192" s="8" t="s">
        <v>39</v>
      </c>
      <c r="P192" s="4">
        <f t="shared" ref="P192" si="80">(C192+(E192*F192*H192))-N192</f>
        <v>0</v>
      </c>
      <c r="Q192" s="8" t="s">
        <v>39</v>
      </c>
      <c r="R192" s="9">
        <f>S192/1.11</f>
        <v>0</v>
      </c>
      <c r="S192" s="9">
        <f t="shared" ref="S192" si="81">P192*(J192-(J192*L192)-((J192-(J192*L192))*M192))</f>
        <v>0</v>
      </c>
    </row>
    <row r="193" spans="1:19" x14ac:dyDescent="0.2">
      <c r="A193" s="2" t="s">
        <v>829</v>
      </c>
      <c r="B193" s="3" t="s">
        <v>17</v>
      </c>
      <c r="D193" s="5" t="s">
        <v>39</v>
      </c>
      <c r="F193" s="7">
        <v>1</v>
      </c>
      <c r="G193" s="8" t="s">
        <v>19</v>
      </c>
      <c r="H193" s="7">
        <v>60</v>
      </c>
      <c r="I193" s="8" t="s">
        <v>39</v>
      </c>
      <c r="J193" s="9">
        <f>4000*12</f>
        <v>48000</v>
      </c>
      <c r="K193" s="5" t="s">
        <v>39</v>
      </c>
      <c r="L193" s="10">
        <v>0.125</v>
      </c>
      <c r="M193" s="10">
        <v>0.05</v>
      </c>
      <c r="O193" s="8" t="s">
        <v>39</v>
      </c>
      <c r="P193" s="4">
        <f t="shared" si="70"/>
        <v>0</v>
      </c>
      <c r="Q193" s="8" t="s">
        <v>39</v>
      </c>
      <c r="R193" s="9">
        <f>S193/1.11</f>
        <v>0</v>
      </c>
      <c r="S193" s="9">
        <f t="shared" si="71"/>
        <v>0</v>
      </c>
    </row>
    <row r="194" spans="1:19" x14ac:dyDescent="0.2">
      <c r="A194" s="2" t="s">
        <v>830</v>
      </c>
      <c r="B194" s="3" t="s">
        <v>17</v>
      </c>
      <c r="D194" s="5" t="s">
        <v>39</v>
      </c>
      <c r="F194" s="7">
        <v>1</v>
      </c>
      <c r="G194" s="8" t="s">
        <v>19</v>
      </c>
      <c r="H194" s="7">
        <v>40</v>
      </c>
      <c r="I194" s="8" t="s">
        <v>39</v>
      </c>
      <c r="J194" s="9">
        <f>5700*12</f>
        <v>68400</v>
      </c>
      <c r="K194" s="5" t="s">
        <v>39</v>
      </c>
      <c r="L194" s="10">
        <v>0.125</v>
      </c>
      <c r="M194" s="10">
        <v>0.05</v>
      </c>
      <c r="O194" s="8" t="s">
        <v>39</v>
      </c>
      <c r="P194" s="4">
        <f t="shared" si="70"/>
        <v>0</v>
      </c>
      <c r="Q194" s="8" t="s">
        <v>39</v>
      </c>
      <c r="R194" s="9">
        <f>S194/1.11</f>
        <v>0</v>
      </c>
      <c r="S194" s="9">
        <f t="shared" si="71"/>
        <v>0</v>
      </c>
    </row>
    <row r="195" spans="1:19" x14ac:dyDescent="0.2">
      <c r="A195" s="2" t="s">
        <v>781</v>
      </c>
      <c r="B195" s="3" t="s">
        <v>17</v>
      </c>
      <c r="D195" s="5" t="s">
        <v>39</v>
      </c>
      <c r="F195" s="7">
        <v>1</v>
      </c>
      <c r="G195" s="8" t="s">
        <v>19</v>
      </c>
      <c r="H195" s="7">
        <v>40</v>
      </c>
      <c r="I195" s="8" t="s">
        <v>39</v>
      </c>
      <c r="J195" s="9">
        <f>5800*12</f>
        <v>69600</v>
      </c>
      <c r="K195" s="5" t="s">
        <v>39</v>
      </c>
      <c r="L195" s="10">
        <v>0.125</v>
      </c>
      <c r="M195" s="10">
        <v>0.05</v>
      </c>
      <c r="O195" s="8" t="s">
        <v>39</v>
      </c>
      <c r="P195" s="4">
        <f t="shared" si="70"/>
        <v>0</v>
      </c>
      <c r="Q195" s="8" t="s">
        <v>39</v>
      </c>
      <c r="R195" s="9">
        <f>S195/1.11</f>
        <v>0</v>
      </c>
      <c r="S195" s="9">
        <f t="shared" si="71"/>
        <v>0</v>
      </c>
    </row>
    <row r="196" spans="1:19" x14ac:dyDescent="0.2">
      <c r="A196" s="2" t="s">
        <v>831</v>
      </c>
      <c r="B196" s="3" t="s">
        <v>17</v>
      </c>
      <c r="D196" s="5" t="s">
        <v>39</v>
      </c>
      <c r="F196" s="7">
        <v>1</v>
      </c>
      <c r="G196" s="8" t="s">
        <v>19</v>
      </c>
      <c r="H196" s="7">
        <v>40</v>
      </c>
      <c r="I196" s="8" t="s">
        <v>39</v>
      </c>
      <c r="J196" s="9">
        <f>10800*12</f>
        <v>129600</v>
      </c>
      <c r="K196" s="5" t="s">
        <v>39</v>
      </c>
      <c r="L196" s="10">
        <v>0.125</v>
      </c>
      <c r="M196" s="10">
        <v>0.05</v>
      </c>
      <c r="O196" s="8" t="s">
        <v>39</v>
      </c>
      <c r="P196" s="4">
        <f t="shared" si="70"/>
        <v>0</v>
      </c>
      <c r="Q196" s="8" t="s">
        <v>39</v>
      </c>
      <c r="R196" s="9">
        <f>S196/1.11</f>
        <v>0</v>
      </c>
      <c r="S196" s="9">
        <f t="shared" si="71"/>
        <v>0</v>
      </c>
    </row>
    <row r="197" spans="1:19" x14ac:dyDescent="0.2">
      <c r="A197" s="2" t="s">
        <v>135</v>
      </c>
      <c r="B197" s="3" t="s">
        <v>17</v>
      </c>
      <c r="D197" s="5" t="s">
        <v>39</v>
      </c>
      <c r="F197" s="7">
        <v>1</v>
      </c>
      <c r="G197" s="8" t="s">
        <v>19</v>
      </c>
      <c r="H197" s="7">
        <v>40</v>
      </c>
      <c r="I197" s="8" t="s">
        <v>39</v>
      </c>
      <c r="J197" s="9">
        <f>8800*12</f>
        <v>105600</v>
      </c>
      <c r="K197" s="5" t="s">
        <v>39</v>
      </c>
      <c r="L197" s="10">
        <v>0.125</v>
      </c>
      <c r="M197" s="10">
        <v>0.05</v>
      </c>
      <c r="O197" s="8" t="s">
        <v>39</v>
      </c>
      <c r="P197" s="4">
        <f t="shared" si="70"/>
        <v>0</v>
      </c>
      <c r="Q197" s="8" t="s">
        <v>39</v>
      </c>
      <c r="R197" s="9">
        <f>S197/1.11</f>
        <v>0</v>
      </c>
      <c r="S197" s="9">
        <f t="shared" si="71"/>
        <v>0</v>
      </c>
    </row>
    <row r="198" spans="1:19" x14ac:dyDescent="0.2">
      <c r="A198" s="2" t="s">
        <v>801</v>
      </c>
      <c r="B198" s="3" t="s">
        <v>17</v>
      </c>
      <c r="D198" s="5" t="s">
        <v>39</v>
      </c>
      <c r="F198" s="7">
        <v>1</v>
      </c>
      <c r="G198" s="8" t="s">
        <v>19</v>
      </c>
      <c r="H198" s="7">
        <v>40</v>
      </c>
      <c r="I198" s="8" t="s">
        <v>39</v>
      </c>
      <c r="J198" s="9">
        <f>10000*12</f>
        <v>120000</v>
      </c>
      <c r="K198" s="5" t="s">
        <v>39</v>
      </c>
      <c r="L198" s="10">
        <v>0.125</v>
      </c>
      <c r="M198" s="10">
        <v>0.05</v>
      </c>
      <c r="O198" s="8" t="s">
        <v>39</v>
      </c>
      <c r="P198" s="4">
        <f t="shared" si="70"/>
        <v>0</v>
      </c>
      <c r="Q198" s="8" t="s">
        <v>39</v>
      </c>
      <c r="R198" s="9">
        <f>S198/1.11</f>
        <v>0</v>
      </c>
      <c r="S198" s="9">
        <f t="shared" si="71"/>
        <v>0</v>
      </c>
    </row>
    <row r="199" spans="1:19" x14ac:dyDescent="0.2">
      <c r="A199" s="2" t="s">
        <v>866</v>
      </c>
      <c r="B199" s="3" t="s">
        <v>17</v>
      </c>
      <c r="D199" s="5" t="s">
        <v>39</v>
      </c>
      <c r="F199" s="7">
        <v>1</v>
      </c>
      <c r="G199" s="8" t="s">
        <v>19</v>
      </c>
      <c r="H199" s="7">
        <v>36</v>
      </c>
      <c r="I199" s="8" t="s">
        <v>39</v>
      </c>
      <c r="J199" s="9">
        <v>34800</v>
      </c>
      <c r="K199" s="5" t="s">
        <v>39</v>
      </c>
      <c r="L199" s="10">
        <v>0.125</v>
      </c>
      <c r="M199" s="10">
        <v>0.05</v>
      </c>
      <c r="O199" s="8" t="s">
        <v>39</v>
      </c>
      <c r="P199" s="4">
        <f t="shared" ref="P199" si="82">(C199+(E199*F199*H199))-N199</f>
        <v>0</v>
      </c>
      <c r="Q199" s="8" t="s">
        <v>39</v>
      </c>
      <c r="R199" s="9">
        <f>S199/1.11</f>
        <v>0</v>
      </c>
      <c r="S199" s="9">
        <f t="shared" ref="S199" si="83">P199*(J199-(J199*L199)-((J199-(J199*L199))*M199))</f>
        <v>0</v>
      </c>
    </row>
    <row r="200" spans="1:19" x14ac:dyDescent="0.2">
      <c r="A200" s="2" t="s">
        <v>852</v>
      </c>
      <c r="B200" s="3" t="s">
        <v>17</v>
      </c>
      <c r="D200" s="5" t="s">
        <v>39</v>
      </c>
      <c r="F200" s="7">
        <v>1</v>
      </c>
      <c r="G200" s="8" t="s">
        <v>19</v>
      </c>
      <c r="H200" s="7">
        <f>360/12</f>
        <v>30</v>
      </c>
      <c r="I200" s="8" t="s">
        <v>39</v>
      </c>
      <c r="J200" s="9">
        <f>5400*12</f>
        <v>64800</v>
      </c>
      <c r="K200" s="5" t="s">
        <v>39</v>
      </c>
      <c r="L200" s="10">
        <v>0.125</v>
      </c>
      <c r="M200" s="10">
        <v>0.05</v>
      </c>
      <c r="O200" s="8" t="s">
        <v>39</v>
      </c>
      <c r="P200" s="4">
        <f t="shared" ref="P200" si="84">(C200+(E200*F200*H200))-N200</f>
        <v>0</v>
      </c>
      <c r="Q200" s="8" t="s">
        <v>39</v>
      </c>
      <c r="R200" s="9">
        <f>S200/1.11</f>
        <v>0</v>
      </c>
      <c r="S200" s="9">
        <f t="shared" ref="S200" si="85">P200*(J200-(J200*L200)-((J200-(J200*L200))*M200))</f>
        <v>0</v>
      </c>
    </row>
    <row r="201" spans="1:19" x14ac:dyDescent="0.2">
      <c r="A201" s="2" t="s">
        <v>782</v>
      </c>
      <c r="B201" s="3" t="s">
        <v>17</v>
      </c>
      <c r="D201" s="5" t="s">
        <v>39</v>
      </c>
      <c r="F201" s="7">
        <v>1</v>
      </c>
      <c r="G201" s="8" t="s">
        <v>19</v>
      </c>
      <c r="H201" s="7">
        <f>360/12</f>
        <v>30</v>
      </c>
      <c r="I201" s="8" t="s">
        <v>39</v>
      </c>
      <c r="J201" s="9">
        <f>4800*12</f>
        <v>57600</v>
      </c>
      <c r="K201" s="5" t="s">
        <v>39</v>
      </c>
      <c r="L201" s="10">
        <v>0.125</v>
      </c>
      <c r="M201" s="10">
        <v>0.05</v>
      </c>
      <c r="O201" s="8" t="s">
        <v>39</v>
      </c>
      <c r="P201" s="4">
        <f t="shared" si="70"/>
        <v>0</v>
      </c>
      <c r="Q201" s="8" t="s">
        <v>39</v>
      </c>
      <c r="R201" s="9">
        <f>S201/1.11</f>
        <v>0</v>
      </c>
      <c r="S201" s="9">
        <f t="shared" si="71"/>
        <v>0</v>
      </c>
    </row>
    <row r="202" spans="1:19" x14ac:dyDescent="0.2">
      <c r="A202" s="2" t="s">
        <v>783</v>
      </c>
      <c r="B202" s="3" t="s">
        <v>17</v>
      </c>
      <c r="D202" s="5" t="s">
        <v>39</v>
      </c>
      <c r="F202" s="7">
        <v>1</v>
      </c>
      <c r="G202" s="8" t="s">
        <v>19</v>
      </c>
      <c r="H202" s="7">
        <f>360/12</f>
        <v>30</v>
      </c>
      <c r="I202" s="8" t="s">
        <v>39</v>
      </c>
      <c r="J202" s="9">
        <f>6000*12</f>
        <v>72000</v>
      </c>
      <c r="K202" s="5" t="s">
        <v>39</v>
      </c>
      <c r="L202" s="10">
        <v>0.125</v>
      </c>
      <c r="M202" s="10">
        <v>0.05</v>
      </c>
      <c r="O202" s="8" t="s">
        <v>39</v>
      </c>
      <c r="P202" s="4">
        <f t="shared" si="70"/>
        <v>0</v>
      </c>
      <c r="Q202" s="8" t="s">
        <v>39</v>
      </c>
      <c r="R202" s="9">
        <f>S202/1.11</f>
        <v>0</v>
      </c>
      <c r="S202" s="9">
        <f t="shared" si="71"/>
        <v>0</v>
      </c>
    </row>
    <row r="204" spans="1:19" x14ac:dyDescent="0.2">
      <c r="A204" s="2" t="s">
        <v>136</v>
      </c>
      <c r="B204" s="3" t="s">
        <v>24</v>
      </c>
      <c r="D204" s="5" t="s">
        <v>39</v>
      </c>
      <c r="F204" s="7">
        <v>1</v>
      </c>
      <c r="G204" s="8" t="s">
        <v>19</v>
      </c>
      <c r="H204" s="7">
        <v>36</v>
      </c>
      <c r="I204" s="8" t="s">
        <v>39</v>
      </c>
      <c r="J204" s="9">
        <f>2095200/36</f>
        <v>58200</v>
      </c>
      <c r="K204" s="5" t="s">
        <v>39</v>
      </c>
      <c r="M204" s="10">
        <v>0.17</v>
      </c>
      <c r="O204" s="8" t="s">
        <v>39</v>
      </c>
      <c r="P204" s="4">
        <f t="shared" ref="P204:P230" si="86">(C204+(E204*F204*H204))-N204</f>
        <v>0</v>
      </c>
      <c r="Q204" s="8" t="s">
        <v>39</v>
      </c>
      <c r="R204" s="9">
        <f>S204/1.11</f>
        <v>0</v>
      </c>
      <c r="S204" s="9">
        <f t="shared" ref="S204:S230" si="87">P204*(J204-(J204*L204)-((J204-(J204*L204))*M204))</f>
        <v>0</v>
      </c>
    </row>
    <row r="205" spans="1:19" x14ac:dyDescent="0.2">
      <c r="A205" s="2" t="s">
        <v>740</v>
      </c>
      <c r="B205" s="3" t="s">
        <v>24</v>
      </c>
      <c r="D205" s="5" t="s">
        <v>39</v>
      </c>
      <c r="F205" s="7">
        <v>1</v>
      </c>
      <c r="G205" s="8" t="s">
        <v>19</v>
      </c>
      <c r="H205" s="7">
        <v>36</v>
      </c>
      <c r="I205" s="8" t="s">
        <v>39</v>
      </c>
      <c r="J205" s="9">
        <f>2116800/36</f>
        <v>58800</v>
      </c>
      <c r="K205" s="5" t="s">
        <v>39</v>
      </c>
      <c r="M205" s="10">
        <v>0.17</v>
      </c>
      <c r="O205" s="8" t="s">
        <v>39</v>
      </c>
      <c r="P205" s="4">
        <f t="shared" si="86"/>
        <v>0</v>
      </c>
      <c r="Q205" s="8" t="s">
        <v>39</v>
      </c>
      <c r="R205" s="9">
        <f>S205/1.11</f>
        <v>0</v>
      </c>
      <c r="S205" s="9">
        <f t="shared" si="87"/>
        <v>0</v>
      </c>
    </row>
    <row r="206" spans="1:19" x14ac:dyDescent="0.2">
      <c r="A206" s="2" t="s">
        <v>137</v>
      </c>
      <c r="B206" s="3" t="s">
        <v>24</v>
      </c>
      <c r="D206" s="5" t="s">
        <v>39</v>
      </c>
      <c r="F206" s="7">
        <v>1</v>
      </c>
      <c r="G206" s="8" t="s">
        <v>19</v>
      </c>
      <c r="H206" s="7">
        <v>48</v>
      </c>
      <c r="I206" s="8" t="s">
        <v>39</v>
      </c>
      <c r="J206" s="9">
        <f>2995200/48</f>
        <v>62400</v>
      </c>
      <c r="K206" s="5" t="s">
        <v>39</v>
      </c>
      <c r="M206" s="10">
        <v>0.17</v>
      </c>
      <c r="O206" s="8" t="s">
        <v>39</v>
      </c>
      <c r="P206" s="4">
        <f t="shared" si="86"/>
        <v>0</v>
      </c>
      <c r="Q206" s="8" t="s">
        <v>39</v>
      </c>
      <c r="R206" s="9">
        <f>S206/1.11</f>
        <v>0</v>
      </c>
      <c r="S206" s="9">
        <f t="shared" si="87"/>
        <v>0</v>
      </c>
    </row>
    <row r="207" spans="1:19" x14ac:dyDescent="0.2">
      <c r="A207" s="2" t="s">
        <v>138</v>
      </c>
      <c r="B207" s="3" t="s">
        <v>24</v>
      </c>
      <c r="D207" s="5" t="s">
        <v>39</v>
      </c>
      <c r="F207" s="7">
        <v>1</v>
      </c>
      <c r="G207" s="8" t="s">
        <v>19</v>
      </c>
      <c r="H207" s="7">
        <v>48</v>
      </c>
      <c r="I207" s="8" t="s">
        <v>39</v>
      </c>
      <c r="J207" s="9">
        <f>3916800/48</f>
        <v>81600</v>
      </c>
      <c r="K207" s="5" t="s">
        <v>39</v>
      </c>
      <c r="L207" s="10">
        <v>0.05</v>
      </c>
      <c r="M207" s="10">
        <v>0.17</v>
      </c>
      <c r="O207" s="8" t="s">
        <v>39</v>
      </c>
      <c r="P207" s="4">
        <f t="shared" ref="P207" si="88">(C207+(E207*F207*H207))-N207</f>
        <v>0</v>
      </c>
      <c r="Q207" s="8" t="s">
        <v>39</v>
      </c>
      <c r="R207" s="9">
        <f>S207/1.11</f>
        <v>0</v>
      </c>
      <c r="S207" s="9">
        <f t="shared" ref="S207" si="89">P207*(J207-(J207*L207)-((J207-(J207*L207))*M207))</f>
        <v>0</v>
      </c>
    </row>
    <row r="208" spans="1:19" x14ac:dyDescent="0.2">
      <c r="A208" s="2" t="s">
        <v>918</v>
      </c>
      <c r="B208" s="3" t="s">
        <v>24</v>
      </c>
      <c r="D208" s="5" t="s">
        <v>39</v>
      </c>
      <c r="F208" s="7">
        <v>1</v>
      </c>
      <c r="G208" s="8" t="s">
        <v>19</v>
      </c>
      <c r="H208" s="7">
        <v>48</v>
      </c>
      <c r="I208" s="8" t="s">
        <v>39</v>
      </c>
      <c r="J208" s="9">
        <v>96000</v>
      </c>
      <c r="K208" s="5" t="s">
        <v>39</v>
      </c>
      <c r="M208" s="10">
        <v>0.17</v>
      </c>
      <c r="O208" s="8" t="s">
        <v>39</v>
      </c>
      <c r="P208" s="4">
        <f t="shared" ref="P208" si="90">(C208+(E208*F208*H208))-N208</f>
        <v>0</v>
      </c>
      <c r="Q208" s="8" t="s">
        <v>39</v>
      </c>
      <c r="R208" s="9">
        <f>S208/1.11</f>
        <v>0</v>
      </c>
      <c r="S208" s="9">
        <f t="shared" ref="S208" si="91">P208*(J208-(J208*L208)-((J208-(J208*L208))*M208))</f>
        <v>0</v>
      </c>
    </row>
    <row r="209" spans="1:19" x14ac:dyDescent="0.2">
      <c r="A209" s="2" t="s">
        <v>739</v>
      </c>
      <c r="B209" s="3" t="s">
        <v>24</v>
      </c>
      <c r="D209" s="5" t="s">
        <v>39</v>
      </c>
      <c r="F209" s="7">
        <v>1</v>
      </c>
      <c r="G209" s="8" t="s">
        <v>19</v>
      </c>
      <c r="H209" s="7">
        <v>48</v>
      </c>
      <c r="I209" s="8" t="s">
        <v>39</v>
      </c>
      <c r="J209" s="9">
        <f>4032000/48</f>
        <v>84000</v>
      </c>
      <c r="K209" s="5" t="s">
        <v>39</v>
      </c>
      <c r="M209" s="10">
        <v>0.17</v>
      </c>
      <c r="O209" s="8" t="s">
        <v>39</v>
      </c>
      <c r="P209" s="4">
        <f t="shared" si="86"/>
        <v>0</v>
      </c>
      <c r="Q209" s="8" t="s">
        <v>39</v>
      </c>
      <c r="R209" s="9">
        <f>S209/1.11</f>
        <v>0</v>
      </c>
      <c r="S209" s="9">
        <f t="shared" si="87"/>
        <v>0</v>
      </c>
    </row>
    <row r="210" spans="1:19" x14ac:dyDescent="0.2">
      <c r="A210" s="2" t="s">
        <v>139</v>
      </c>
      <c r="B210" s="3" t="s">
        <v>24</v>
      </c>
      <c r="D210" s="5" t="s">
        <v>39</v>
      </c>
      <c r="F210" s="7">
        <v>1</v>
      </c>
      <c r="G210" s="8" t="s">
        <v>19</v>
      </c>
      <c r="H210" s="7">
        <v>48</v>
      </c>
      <c r="I210" s="8" t="s">
        <v>39</v>
      </c>
      <c r="J210" s="9">
        <f>5100*12</f>
        <v>61200</v>
      </c>
      <c r="K210" s="5" t="s">
        <v>39</v>
      </c>
      <c r="M210" s="10">
        <v>0.17</v>
      </c>
      <c r="O210" s="8" t="s">
        <v>39</v>
      </c>
      <c r="P210" s="4">
        <f t="shared" si="86"/>
        <v>0</v>
      </c>
      <c r="Q210" s="8" t="s">
        <v>39</v>
      </c>
      <c r="R210" s="9">
        <f>S210/1.11</f>
        <v>0</v>
      </c>
      <c r="S210" s="9">
        <f t="shared" si="87"/>
        <v>0</v>
      </c>
    </row>
    <row r="211" spans="1:19" x14ac:dyDescent="0.2">
      <c r="A211" s="2" t="s">
        <v>867</v>
      </c>
      <c r="B211" s="3" t="s">
        <v>24</v>
      </c>
      <c r="D211" s="5" t="s">
        <v>39</v>
      </c>
      <c r="F211" s="7">
        <v>1</v>
      </c>
      <c r="G211" s="8" t="s">
        <v>19</v>
      </c>
      <c r="H211" s="7">
        <v>48</v>
      </c>
      <c r="I211" s="8" t="s">
        <v>39</v>
      </c>
      <c r="J211" s="9">
        <v>58800</v>
      </c>
      <c r="K211" s="5" t="s">
        <v>39</v>
      </c>
      <c r="M211" s="10">
        <v>0.17</v>
      </c>
      <c r="O211" s="8" t="s">
        <v>39</v>
      </c>
      <c r="P211" s="4">
        <f>(C211+(E211*F211*H211))-N211</f>
        <v>0</v>
      </c>
      <c r="Q211" s="8" t="s">
        <v>39</v>
      </c>
      <c r="R211" s="9">
        <f>S211/1.11</f>
        <v>0</v>
      </c>
      <c r="S211" s="9">
        <f>P211*(J211-(J211*L211)-((J211-(J211*L211))*M211))</f>
        <v>0</v>
      </c>
    </row>
    <row r="212" spans="1:19" x14ac:dyDescent="0.2">
      <c r="A212" s="2" t="s">
        <v>868</v>
      </c>
      <c r="B212" s="3" t="s">
        <v>24</v>
      </c>
      <c r="D212" s="5" t="s">
        <v>39</v>
      </c>
      <c r="F212" s="7">
        <v>1</v>
      </c>
      <c r="G212" s="8" t="s">
        <v>19</v>
      </c>
      <c r="H212" s="7">
        <v>48</v>
      </c>
      <c r="I212" s="8" t="s">
        <v>39</v>
      </c>
      <c r="J212" s="9">
        <v>50400</v>
      </c>
      <c r="K212" s="5" t="s">
        <v>39</v>
      </c>
      <c r="M212" s="10">
        <v>0.17</v>
      </c>
      <c r="O212" s="8" t="s">
        <v>39</v>
      </c>
      <c r="P212" s="4">
        <f>(C212+(E212*F212*H212))-N212</f>
        <v>0</v>
      </c>
      <c r="Q212" s="8" t="s">
        <v>39</v>
      </c>
      <c r="R212" s="9">
        <f>S212/1.11</f>
        <v>0</v>
      </c>
      <c r="S212" s="9">
        <f>P212*(J212-(J212*L212)-((J212-(J212*L212))*M212))</f>
        <v>0</v>
      </c>
    </row>
    <row r="213" spans="1:19" x14ac:dyDescent="0.2">
      <c r="A213" s="2" t="s">
        <v>832</v>
      </c>
      <c r="B213" s="3" t="s">
        <v>24</v>
      </c>
      <c r="D213" s="5" t="s">
        <v>39</v>
      </c>
      <c r="F213" s="7">
        <v>1</v>
      </c>
      <c r="G213" s="8" t="s">
        <v>19</v>
      </c>
      <c r="H213" s="7">
        <v>48</v>
      </c>
      <c r="I213" s="8" t="s">
        <v>39</v>
      </c>
      <c r="J213" s="9">
        <v>49200</v>
      </c>
      <c r="K213" s="5" t="s">
        <v>39</v>
      </c>
      <c r="M213" s="10">
        <v>0.17</v>
      </c>
      <c r="O213" s="8" t="s">
        <v>39</v>
      </c>
      <c r="P213" s="4">
        <f t="shared" ref="P213" si="92">(C213+(E213*F213*H213))-N213</f>
        <v>0</v>
      </c>
      <c r="Q213" s="8" t="s">
        <v>39</v>
      </c>
      <c r="R213" s="9">
        <f>S213/1.11</f>
        <v>0</v>
      </c>
      <c r="S213" s="9">
        <f t="shared" ref="S213" si="93">P213*(J213-(J213*L213)-((J213-(J213*L213))*M213))</f>
        <v>0</v>
      </c>
    </row>
    <row r="214" spans="1:19" x14ac:dyDescent="0.2">
      <c r="A214" s="2" t="s">
        <v>140</v>
      </c>
      <c r="B214" s="3" t="s">
        <v>24</v>
      </c>
      <c r="C214" s="4">
        <v>48</v>
      </c>
      <c r="D214" s="5" t="s">
        <v>39</v>
      </c>
      <c r="F214" s="7">
        <v>1</v>
      </c>
      <c r="G214" s="8" t="s">
        <v>19</v>
      </c>
      <c r="H214" s="7">
        <v>48</v>
      </c>
      <c r="I214" s="8" t="s">
        <v>39</v>
      </c>
      <c r="J214" s="9">
        <f>2448000/48</f>
        <v>51000</v>
      </c>
      <c r="K214" s="5" t="s">
        <v>39</v>
      </c>
      <c r="M214" s="10">
        <v>0.17</v>
      </c>
      <c r="O214" s="8" t="s">
        <v>39</v>
      </c>
      <c r="P214" s="4">
        <f t="shared" si="86"/>
        <v>48</v>
      </c>
      <c r="Q214" s="8" t="s">
        <v>39</v>
      </c>
      <c r="R214" s="9">
        <f>S214/1.11</f>
        <v>1830486.4864864864</v>
      </c>
      <c r="S214" s="9">
        <f t="shared" si="87"/>
        <v>2031840</v>
      </c>
    </row>
    <row r="215" spans="1:19" x14ac:dyDescent="0.2">
      <c r="A215" s="2" t="s">
        <v>833</v>
      </c>
      <c r="B215" s="3" t="s">
        <v>24</v>
      </c>
      <c r="C215" s="4">
        <v>48</v>
      </c>
      <c r="D215" s="5" t="s">
        <v>39</v>
      </c>
      <c r="F215" s="7">
        <v>1</v>
      </c>
      <c r="G215" s="8" t="s">
        <v>19</v>
      </c>
      <c r="H215" s="7">
        <v>48</v>
      </c>
      <c r="I215" s="8" t="s">
        <v>39</v>
      </c>
      <c r="J215" s="9">
        <f>2592000/48</f>
        <v>54000</v>
      </c>
      <c r="K215" s="5" t="s">
        <v>39</v>
      </c>
      <c r="L215" s="10">
        <v>0.05</v>
      </c>
      <c r="M215" s="10">
        <v>0.17</v>
      </c>
      <c r="O215" s="8" t="s">
        <v>39</v>
      </c>
      <c r="P215" s="4">
        <f t="shared" ref="P215" si="94">(C215+(E215*F215*H215))-N215</f>
        <v>48</v>
      </c>
      <c r="Q215" s="8" t="s">
        <v>39</v>
      </c>
      <c r="R215" s="9">
        <f>S215/1.11</f>
        <v>1841254.054054054</v>
      </c>
      <c r="S215" s="9">
        <f t="shared" ref="S215" si="95">P215*(J215-(J215*L215)-((J215-(J215*L215))*M215))</f>
        <v>2043792</v>
      </c>
    </row>
    <row r="216" spans="1:19" x14ac:dyDescent="0.2">
      <c r="A216" s="2" t="s">
        <v>869</v>
      </c>
      <c r="B216" s="3" t="s">
        <v>24</v>
      </c>
      <c r="D216" s="5" t="s">
        <v>39</v>
      </c>
      <c r="F216" s="7">
        <v>1</v>
      </c>
      <c r="G216" s="8" t="s">
        <v>19</v>
      </c>
      <c r="H216" s="7">
        <v>48</v>
      </c>
      <c r="I216" s="8" t="s">
        <v>39</v>
      </c>
      <c r="J216" s="9">
        <v>56400</v>
      </c>
      <c r="K216" s="5" t="s">
        <v>39</v>
      </c>
      <c r="M216" s="10">
        <v>0.17</v>
      </c>
      <c r="O216" s="8" t="s">
        <v>39</v>
      </c>
      <c r="P216" s="4">
        <f t="shared" ref="P216" si="96">(C216+(E216*F216*H216))-N216</f>
        <v>0</v>
      </c>
      <c r="Q216" s="8" t="s">
        <v>39</v>
      </c>
      <c r="R216" s="9">
        <f>S216/1.11</f>
        <v>0</v>
      </c>
      <c r="S216" s="9">
        <f t="shared" ref="S216" si="97">P216*(J216-(J216*L216)-((J216-(J216*L216))*M216))</f>
        <v>0</v>
      </c>
    </row>
    <row r="217" spans="1:19" x14ac:dyDescent="0.2">
      <c r="A217" s="2" t="s">
        <v>861</v>
      </c>
      <c r="B217" s="3" t="s">
        <v>24</v>
      </c>
      <c r="C217" s="4">
        <v>36</v>
      </c>
      <c r="D217" s="5" t="s">
        <v>39</v>
      </c>
      <c r="F217" s="7">
        <v>1</v>
      </c>
      <c r="G217" s="8" t="s">
        <v>19</v>
      </c>
      <c r="H217" s="7">
        <v>36</v>
      </c>
      <c r="I217" s="8" t="s">
        <v>39</v>
      </c>
      <c r="J217" s="9">
        <v>50400</v>
      </c>
      <c r="K217" s="5" t="s">
        <v>39</v>
      </c>
      <c r="M217" s="10">
        <v>0.17</v>
      </c>
      <c r="O217" s="8" t="s">
        <v>39</v>
      </c>
      <c r="P217" s="4">
        <f t="shared" ref="P217" si="98">(C217+(E217*F217*H217))-N217</f>
        <v>36</v>
      </c>
      <c r="Q217" s="8" t="s">
        <v>39</v>
      </c>
      <c r="R217" s="9">
        <f>S217/1.11</f>
        <v>1356713.5135135134</v>
      </c>
      <c r="S217" s="9">
        <f t="shared" ref="S217" si="99">P217*(J217-(J217*L217)-((J217-(J217*L217))*M217))</f>
        <v>1505952</v>
      </c>
    </row>
    <row r="218" spans="1:19" x14ac:dyDescent="0.2">
      <c r="A218" s="2" t="s">
        <v>141</v>
      </c>
      <c r="B218" s="3" t="s">
        <v>24</v>
      </c>
      <c r="D218" s="5" t="s">
        <v>39</v>
      </c>
      <c r="F218" s="7">
        <v>1</v>
      </c>
      <c r="G218" s="8" t="s">
        <v>19</v>
      </c>
      <c r="H218" s="7">
        <v>24</v>
      </c>
      <c r="I218" s="8" t="s">
        <v>39</v>
      </c>
      <c r="J218" s="9">
        <f>2491200/24</f>
        <v>103800</v>
      </c>
      <c r="K218" s="5" t="s">
        <v>39</v>
      </c>
      <c r="M218" s="10">
        <v>0.17</v>
      </c>
      <c r="O218" s="8" t="s">
        <v>39</v>
      </c>
      <c r="P218" s="4">
        <f t="shared" si="86"/>
        <v>0</v>
      </c>
      <c r="Q218" s="8" t="s">
        <v>39</v>
      </c>
      <c r="R218" s="9">
        <f>S218/1.11</f>
        <v>0</v>
      </c>
      <c r="S218" s="9">
        <f t="shared" si="87"/>
        <v>0</v>
      </c>
    </row>
    <row r="219" spans="1:19" x14ac:dyDescent="0.2">
      <c r="A219" s="2" t="s">
        <v>142</v>
      </c>
      <c r="B219" s="3" t="s">
        <v>24</v>
      </c>
      <c r="D219" s="5" t="s">
        <v>39</v>
      </c>
      <c r="F219" s="7">
        <v>1</v>
      </c>
      <c r="G219" s="8" t="s">
        <v>19</v>
      </c>
      <c r="H219" s="7">
        <v>36</v>
      </c>
      <c r="I219" s="8" t="s">
        <v>39</v>
      </c>
      <c r="J219" s="9">
        <f>3736800/36</f>
        <v>103800</v>
      </c>
      <c r="K219" s="5" t="s">
        <v>39</v>
      </c>
      <c r="M219" s="10">
        <v>0.17</v>
      </c>
      <c r="O219" s="8" t="s">
        <v>39</v>
      </c>
      <c r="P219" s="4">
        <f t="shared" si="86"/>
        <v>0</v>
      </c>
      <c r="Q219" s="8" t="s">
        <v>39</v>
      </c>
      <c r="R219" s="9">
        <f>S219/1.11</f>
        <v>0</v>
      </c>
      <c r="S219" s="9">
        <f t="shared" si="87"/>
        <v>0</v>
      </c>
    </row>
    <row r="220" spans="1:19" x14ac:dyDescent="0.2">
      <c r="A220" s="2" t="s">
        <v>143</v>
      </c>
      <c r="B220" s="3" t="s">
        <v>24</v>
      </c>
      <c r="D220" s="5" t="s">
        <v>39</v>
      </c>
      <c r="F220" s="7">
        <v>1</v>
      </c>
      <c r="G220" s="8" t="s">
        <v>19</v>
      </c>
      <c r="H220" s="7">
        <v>48</v>
      </c>
      <c r="I220" s="8" t="s">
        <v>39</v>
      </c>
      <c r="J220" s="9">
        <f>2592000/48</f>
        <v>54000</v>
      </c>
      <c r="K220" s="5" t="s">
        <v>39</v>
      </c>
      <c r="M220" s="10">
        <v>0.17</v>
      </c>
      <c r="O220" s="8" t="s">
        <v>39</v>
      </c>
      <c r="P220" s="4">
        <f t="shared" si="86"/>
        <v>0</v>
      </c>
      <c r="Q220" s="8" t="s">
        <v>39</v>
      </c>
      <c r="R220" s="9">
        <f>S220/1.11</f>
        <v>0</v>
      </c>
      <c r="S220" s="9">
        <f t="shared" si="87"/>
        <v>0</v>
      </c>
    </row>
    <row r="221" spans="1:19" x14ac:dyDescent="0.2">
      <c r="A221" s="2" t="s">
        <v>834</v>
      </c>
      <c r="B221" s="3" t="s">
        <v>24</v>
      </c>
      <c r="C221" s="4">
        <v>480</v>
      </c>
      <c r="D221" s="5" t="s">
        <v>39</v>
      </c>
      <c r="F221" s="7">
        <v>1</v>
      </c>
      <c r="G221" s="8" t="s">
        <v>19</v>
      </c>
      <c r="H221" s="7">
        <v>48</v>
      </c>
      <c r="I221" s="8" t="s">
        <v>39</v>
      </c>
      <c r="J221" s="9">
        <f>2880000/48</f>
        <v>60000</v>
      </c>
      <c r="K221" s="5" t="s">
        <v>39</v>
      </c>
      <c r="L221" s="10">
        <v>0.05</v>
      </c>
      <c r="M221" s="10">
        <v>0.17</v>
      </c>
      <c r="O221" s="8" t="s">
        <v>39</v>
      </c>
      <c r="P221" s="4">
        <f t="shared" ref="P221" si="100">(C221+(E221*F221*H221))-N221</f>
        <v>480</v>
      </c>
      <c r="Q221" s="8" t="s">
        <v>39</v>
      </c>
      <c r="R221" s="9">
        <f>S221/1.11</f>
        <v>20458378.378378376</v>
      </c>
      <c r="S221" s="9">
        <f t="shared" ref="S221" si="101">P221*(J221-(J221*L221)-((J221-(J221*L221))*M221))</f>
        <v>22708800</v>
      </c>
    </row>
    <row r="222" spans="1:19" x14ac:dyDescent="0.2">
      <c r="A222" s="2" t="s">
        <v>144</v>
      </c>
      <c r="B222" s="3" t="s">
        <v>24</v>
      </c>
      <c r="C222" s="4">
        <v>48</v>
      </c>
      <c r="D222" s="5" t="s">
        <v>39</v>
      </c>
      <c r="F222" s="7">
        <v>1</v>
      </c>
      <c r="G222" s="8" t="s">
        <v>19</v>
      </c>
      <c r="H222" s="7">
        <v>48</v>
      </c>
      <c r="I222" s="8" t="s">
        <v>39</v>
      </c>
      <c r="J222" s="9">
        <f>2880000/48</f>
        <v>60000</v>
      </c>
      <c r="K222" s="5" t="s">
        <v>39</v>
      </c>
      <c r="L222" s="10">
        <v>0.05</v>
      </c>
      <c r="M222" s="10">
        <v>0.17</v>
      </c>
      <c r="O222" s="8" t="s">
        <v>39</v>
      </c>
      <c r="P222" s="4">
        <f t="shared" ref="P222" si="102">(C222+(E222*F222*H222))-N222</f>
        <v>48</v>
      </c>
      <c r="Q222" s="8" t="s">
        <v>39</v>
      </c>
      <c r="R222" s="9">
        <f>S222/1.11</f>
        <v>2045837.8378378376</v>
      </c>
      <c r="S222" s="9">
        <f t="shared" ref="S222" si="103">P222*(J222-(J222*L222)-((J222-(J222*L222))*M222))</f>
        <v>2270880</v>
      </c>
    </row>
    <row r="223" spans="1:19" x14ac:dyDescent="0.2">
      <c r="A223" s="2" t="s">
        <v>145</v>
      </c>
      <c r="B223" s="3" t="s">
        <v>24</v>
      </c>
      <c r="C223" s="4">
        <v>96</v>
      </c>
      <c r="D223" s="5" t="s">
        <v>39</v>
      </c>
      <c r="F223" s="7">
        <v>1</v>
      </c>
      <c r="G223" s="8" t="s">
        <v>19</v>
      </c>
      <c r="H223" s="7">
        <v>48</v>
      </c>
      <c r="I223" s="8" t="s">
        <v>39</v>
      </c>
      <c r="J223" s="9">
        <f>3024000/48</f>
        <v>63000</v>
      </c>
      <c r="K223" s="5" t="s">
        <v>39</v>
      </c>
      <c r="L223" s="10">
        <v>0.05</v>
      </c>
      <c r="M223" s="10">
        <v>0.17</v>
      </c>
      <c r="O223" s="8" t="s">
        <v>39</v>
      </c>
      <c r="P223" s="4">
        <f t="shared" ref="P223" si="104">(C223+(E223*F223*H223))-N223</f>
        <v>96</v>
      </c>
      <c r="Q223" s="8" t="s">
        <v>39</v>
      </c>
      <c r="R223" s="9">
        <f>S223/1.11</f>
        <v>4296259.4594594594</v>
      </c>
      <c r="S223" s="9">
        <f t="shared" ref="S223" si="105">P223*(J223-(J223*L223)-((J223-(J223*L223))*M223))</f>
        <v>4768848</v>
      </c>
    </row>
    <row r="224" spans="1:19" x14ac:dyDescent="0.2">
      <c r="A224" s="2" t="s">
        <v>146</v>
      </c>
      <c r="B224" s="3" t="s">
        <v>24</v>
      </c>
      <c r="D224" s="5" t="s">
        <v>39</v>
      </c>
      <c r="F224" s="7">
        <v>1</v>
      </c>
      <c r="G224" s="8" t="s">
        <v>19</v>
      </c>
      <c r="H224" s="7">
        <v>48</v>
      </c>
      <c r="I224" s="8" t="s">
        <v>39</v>
      </c>
      <c r="J224" s="9">
        <f>2995200/48</f>
        <v>62400</v>
      </c>
      <c r="K224" s="5" t="s">
        <v>39</v>
      </c>
      <c r="M224" s="10">
        <v>0.17</v>
      </c>
      <c r="O224" s="8" t="s">
        <v>39</v>
      </c>
      <c r="P224" s="4">
        <f t="shared" si="86"/>
        <v>0</v>
      </c>
      <c r="Q224" s="8" t="s">
        <v>39</v>
      </c>
      <c r="R224" s="9">
        <f>S224/1.11</f>
        <v>0</v>
      </c>
      <c r="S224" s="9">
        <f t="shared" si="87"/>
        <v>0</v>
      </c>
    </row>
    <row r="225" spans="1:19" x14ac:dyDescent="0.2">
      <c r="A225" s="2" t="s">
        <v>147</v>
      </c>
      <c r="B225" s="3" t="s">
        <v>24</v>
      </c>
      <c r="D225" s="5" t="s">
        <v>39</v>
      </c>
      <c r="F225" s="7">
        <v>1</v>
      </c>
      <c r="G225" s="8" t="s">
        <v>19</v>
      </c>
      <c r="H225" s="7">
        <v>48</v>
      </c>
      <c r="I225" s="8" t="s">
        <v>39</v>
      </c>
      <c r="J225" s="9">
        <f>2995200/48</f>
        <v>62400</v>
      </c>
      <c r="K225" s="5" t="s">
        <v>39</v>
      </c>
      <c r="M225" s="10">
        <v>0.17</v>
      </c>
      <c r="O225" s="8" t="s">
        <v>39</v>
      </c>
      <c r="P225" s="4">
        <f t="shared" si="86"/>
        <v>0</v>
      </c>
      <c r="Q225" s="8" t="s">
        <v>39</v>
      </c>
      <c r="R225" s="9">
        <f>S225/1.11</f>
        <v>0</v>
      </c>
      <c r="S225" s="9">
        <f t="shared" si="87"/>
        <v>0</v>
      </c>
    </row>
    <row r="226" spans="1:19" x14ac:dyDescent="0.2">
      <c r="A226" s="2" t="s">
        <v>805</v>
      </c>
      <c r="B226" s="3" t="s">
        <v>24</v>
      </c>
      <c r="D226" s="5" t="s">
        <v>39</v>
      </c>
      <c r="F226" s="7">
        <v>1</v>
      </c>
      <c r="G226" s="8" t="s">
        <v>19</v>
      </c>
      <c r="H226" s="7">
        <v>48</v>
      </c>
      <c r="I226" s="8" t="s">
        <v>39</v>
      </c>
      <c r="J226" s="9">
        <v>60000</v>
      </c>
      <c r="K226" s="5" t="s">
        <v>39</v>
      </c>
      <c r="M226" s="10">
        <v>0.17</v>
      </c>
      <c r="O226" s="8" t="s">
        <v>39</v>
      </c>
      <c r="P226" s="4">
        <f t="shared" si="86"/>
        <v>0</v>
      </c>
      <c r="Q226" s="8" t="s">
        <v>39</v>
      </c>
      <c r="R226" s="9">
        <f>S226/1.11</f>
        <v>0</v>
      </c>
      <c r="S226" s="9">
        <f t="shared" ref="S226" si="106">P226*(J226-(J226*L226)-((J226-(J226*L226))*M226))</f>
        <v>0</v>
      </c>
    </row>
    <row r="227" spans="1:19" x14ac:dyDescent="0.2">
      <c r="A227" s="2" t="s">
        <v>862</v>
      </c>
      <c r="B227" s="3" t="s">
        <v>24</v>
      </c>
      <c r="C227" s="4">
        <v>36</v>
      </c>
      <c r="D227" s="5" t="s">
        <v>39</v>
      </c>
      <c r="F227" s="7">
        <v>1</v>
      </c>
      <c r="G227" s="8" t="s">
        <v>19</v>
      </c>
      <c r="H227" s="7">
        <v>36</v>
      </c>
      <c r="I227" s="8" t="s">
        <v>39</v>
      </c>
      <c r="J227" s="9">
        <v>55800</v>
      </c>
      <c r="K227" s="5" t="s">
        <v>39</v>
      </c>
      <c r="M227" s="10">
        <v>0.17</v>
      </c>
      <c r="O227" s="8" t="s">
        <v>39</v>
      </c>
      <c r="P227" s="4">
        <f t="shared" ref="P227" si="107">(C227+(E227*F227*H227))-N227</f>
        <v>36</v>
      </c>
      <c r="Q227" s="8" t="s">
        <v>39</v>
      </c>
      <c r="R227" s="9">
        <f>S227/1.11</f>
        <v>1502075.6756756755</v>
      </c>
      <c r="S227" s="9">
        <f t="shared" ref="S227" si="108">P227*(J227-(J227*L227)-((J227-(J227*L227))*M227))</f>
        <v>1667304</v>
      </c>
    </row>
    <row r="228" spans="1:19" x14ac:dyDescent="0.2">
      <c r="A228" s="2" t="s">
        <v>804</v>
      </c>
      <c r="B228" s="3" t="s">
        <v>24</v>
      </c>
      <c r="C228" s="4">
        <v>96</v>
      </c>
      <c r="D228" s="5" t="s">
        <v>39</v>
      </c>
      <c r="F228" s="7">
        <v>1</v>
      </c>
      <c r="G228" s="8" t="s">
        <v>19</v>
      </c>
      <c r="H228" s="7">
        <v>48</v>
      </c>
      <c r="I228" s="8" t="s">
        <v>39</v>
      </c>
      <c r="J228" s="9">
        <v>69600</v>
      </c>
      <c r="K228" s="5" t="s">
        <v>39</v>
      </c>
      <c r="L228" s="10">
        <v>0.05</v>
      </c>
      <c r="M228" s="10">
        <v>0.17</v>
      </c>
      <c r="O228" s="8" t="s">
        <v>39</v>
      </c>
      <c r="P228" s="4">
        <f t="shared" ref="P228" si="109">(C228+(E228*F228*H228))-N228</f>
        <v>96</v>
      </c>
      <c r="Q228" s="8" t="s">
        <v>39</v>
      </c>
      <c r="R228" s="9">
        <f>S228/1.11</f>
        <v>4746343.7837837832</v>
      </c>
      <c r="S228" s="9">
        <f t="shared" ref="S228" si="110">P228*(J228-(J228*L228)-((J228-(J228*L228))*M228))</f>
        <v>5268441.5999999996</v>
      </c>
    </row>
    <row r="229" spans="1:19" x14ac:dyDescent="0.2">
      <c r="A229" s="2" t="s">
        <v>715</v>
      </c>
      <c r="B229" s="3" t="s">
        <v>24</v>
      </c>
      <c r="D229" s="5" t="s">
        <v>39</v>
      </c>
      <c r="F229" s="7">
        <v>1</v>
      </c>
      <c r="G229" s="8" t="s">
        <v>19</v>
      </c>
      <c r="H229" s="7">
        <v>36</v>
      </c>
      <c r="I229" s="8" t="s">
        <v>39</v>
      </c>
      <c r="J229" s="9">
        <f>3240000/36</f>
        <v>90000</v>
      </c>
      <c r="K229" s="5" t="s">
        <v>39</v>
      </c>
      <c r="M229" s="10">
        <v>0.17</v>
      </c>
      <c r="O229" s="8" t="s">
        <v>39</v>
      </c>
      <c r="P229" s="4">
        <f t="shared" si="86"/>
        <v>0</v>
      </c>
      <c r="Q229" s="8" t="s">
        <v>39</v>
      </c>
      <c r="R229" s="9">
        <f>S229/1.11</f>
        <v>0</v>
      </c>
      <c r="S229" s="9">
        <f t="shared" si="87"/>
        <v>0</v>
      </c>
    </row>
    <row r="230" spans="1:19" x14ac:dyDescent="0.2">
      <c r="A230" s="2" t="s">
        <v>772</v>
      </c>
      <c r="B230" s="3" t="s">
        <v>24</v>
      </c>
      <c r="D230" s="5" t="s">
        <v>39</v>
      </c>
      <c r="F230" s="7">
        <v>1</v>
      </c>
      <c r="G230" s="8" t="s">
        <v>19</v>
      </c>
      <c r="H230" s="7">
        <v>36</v>
      </c>
      <c r="I230" s="8" t="s">
        <v>39</v>
      </c>
      <c r="J230" s="9">
        <f>4406400/36</f>
        <v>122400</v>
      </c>
      <c r="K230" s="5" t="s">
        <v>39</v>
      </c>
      <c r="M230" s="10">
        <v>0.17</v>
      </c>
      <c r="O230" s="8" t="s">
        <v>39</v>
      </c>
      <c r="P230" s="4">
        <f t="shared" si="86"/>
        <v>0</v>
      </c>
      <c r="Q230" s="8" t="s">
        <v>39</v>
      </c>
      <c r="R230" s="9">
        <f>S230/1.11</f>
        <v>0</v>
      </c>
      <c r="S230" s="9">
        <f t="shared" si="87"/>
        <v>0</v>
      </c>
    </row>
    <row r="232" spans="1:19" ht="15.75" x14ac:dyDescent="0.25">
      <c r="A232" s="29" t="s">
        <v>148</v>
      </c>
    </row>
    <row r="233" spans="1:19" x14ac:dyDescent="0.2">
      <c r="A233" s="12" t="s">
        <v>692</v>
      </c>
      <c r="B233" s="3" t="s">
        <v>17</v>
      </c>
      <c r="D233" s="5" t="s">
        <v>150</v>
      </c>
      <c r="F233" s="7">
        <v>12</v>
      </c>
      <c r="G233" s="8" t="s">
        <v>32</v>
      </c>
      <c r="H233" s="7">
        <v>12</v>
      </c>
      <c r="I233" s="8" t="s">
        <v>150</v>
      </c>
      <c r="J233" s="9">
        <v>11000</v>
      </c>
      <c r="K233" s="5" t="s">
        <v>150</v>
      </c>
      <c r="L233" s="10">
        <v>0.125</v>
      </c>
      <c r="M233" s="10">
        <v>0.05</v>
      </c>
      <c r="O233" s="8" t="s">
        <v>150</v>
      </c>
      <c r="P233" s="4">
        <f t="shared" ref="P233:P242" si="111">(C233+(E233*F233*H233))-N233</f>
        <v>0</v>
      </c>
      <c r="Q233" s="8" t="s">
        <v>150</v>
      </c>
      <c r="R233" s="9">
        <f>S233/1.11</f>
        <v>0</v>
      </c>
      <c r="S233" s="9">
        <f t="shared" ref="S233:S242" si="112">P233*(J233-(J233*L233)-((J233-(J233*L233))*M233))</f>
        <v>0</v>
      </c>
    </row>
    <row r="234" spans="1:19" x14ac:dyDescent="0.2">
      <c r="A234" s="12" t="s">
        <v>149</v>
      </c>
      <c r="B234" s="3" t="s">
        <v>17</v>
      </c>
      <c r="D234" s="5" t="s">
        <v>150</v>
      </c>
      <c r="F234" s="7">
        <v>12</v>
      </c>
      <c r="G234" s="8" t="s">
        <v>32</v>
      </c>
      <c r="H234" s="7">
        <v>12</v>
      </c>
      <c r="I234" s="8" t="s">
        <v>150</v>
      </c>
      <c r="J234" s="9">
        <v>11600</v>
      </c>
      <c r="K234" s="5" t="s">
        <v>150</v>
      </c>
      <c r="L234" s="10">
        <v>0.125</v>
      </c>
      <c r="M234" s="10">
        <v>0.05</v>
      </c>
      <c r="O234" s="8" t="s">
        <v>150</v>
      </c>
      <c r="P234" s="4">
        <f t="shared" ref="P234" si="113">(C234+(E234*F234*H234))-N234</f>
        <v>0</v>
      </c>
      <c r="Q234" s="8" t="s">
        <v>150</v>
      </c>
      <c r="R234" s="9">
        <f>S234/1.11</f>
        <v>0</v>
      </c>
      <c r="S234" s="9">
        <f t="shared" ref="S234" si="114">P234*(J234-(J234*L234)-((J234-(J234*L234))*M234))</f>
        <v>0</v>
      </c>
    </row>
    <row r="235" spans="1:19" x14ac:dyDescent="0.2">
      <c r="A235" s="12" t="s">
        <v>151</v>
      </c>
      <c r="B235" s="3" t="s">
        <v>17</v>
      </c>
      <c r="D235" s="5" t="s">
        <v>150</v>
      </c>
      <c r="F235" s="7">
        <v>6</v>
      </c>
      <c r="G235" s="8" t="s">
        <v>32</v>
      </c>
      <c r="H235" s="7">
        <v>24</v>
      </c>
      <c r="I235" s="8" t="s">
        <v>150</v>
      </c>
      <c r="J235" s="9">
        <v>9000</v>
      </c>
      <c r="K235" s="5" t="s">
        <v>150</v>
      </c>
      <c r="L235" s="10">
        <v>0.125</v>
      </c>
      <c r="M235" s="10">
        <v>0.05</v>
      </c>
      <c r="O235" s="8" t="s">
        <v>150</v>
      </c>
      <c r="P235" s="4">
        <f t="shared" si="111"/>
        <v>0</v>
      </c>
      <c r="Q235" s="8" t="s">
        <v>150</v>
      </c>
      <c r="R235" s="9">
        <f>S235/1.11</f>
        <v>0</v>
      </c>
      <c r="S235" s="9">
        <f t="shared" si="112"/>
        <v>0</v>
      </c>
    </row>
    <row r="236" spans="1:19" x14ac:dyDescent="0.2">
      <c r="A236" s="2" t="s">
        <v>152</v>
      </c>
      <c r="B236" s="3" t="s">
        <v>17</v>
      </c>
      <c r="C236" s="4">
        <v>1152</v>
      </c>
      <c r="D236" s="5" t="s">
        <v>150</v>
      </c>
      <c r="F236" s="7">
        <v>1</v>
      </c>
      <c r="G236" s="8" t="s">
        <v>19</v>
      </c>
      <c r="H236" s="7">
        <v>144</v>
      </c>
      <c r="I236" s="8" t="s">
        <v>150</v>
      </c>
      <c r="J236" s="9">
        <v>11900</v>
      </c>
      <c r="K236" s="5" t="s">
        <v>150</v>
      </c>
      <c r="L236" s="10">
        <v>0.125</v>
      </c>
      <c r="M236" s="10">
        <v>0.1</v>
      </c>
      <c r="O236" s="8" t="s">
        <v>150</v>
      </c>
      <c r="P236" s="4">
        <f t="shared" si="111"/>
        <v>1152</v>
      </c>
      <c r="Q236" s="8" t="s">
        <v>150</v>
      </c>
      <c r="R236" s="9">
        <f>S236/1.11</f>
        <v>9725837.8378378376</v>
      </c>
      <c r="S236" s="9">
        <f t="shared" si="112"/>
        <v>10795680</v>
      </c>
    </row>
    <row r="237" spans="1:19" x14ac:dyDescent="0.2">
      <c r="A237" s="2" t="s">
        <v>153</v>
      </c>
      <c r="B237" s="3" t="s">
        <v>17</v>
      </c>
      <c r="C237" s="4">
        <v>792</v>
      </c>
      <c r="D237" s="5" t="s">
        <v>150</v>
      </c>
      <c r="F237" s="7">
        <v>6</v>
      </c>
      <c r="G237" s="8" t="s">
        <v>32</v>
      </c>
      <c r="H237" s="7">
        <v>12</v>
      </c>
      <c r="I237" s="8" t="s">
        <v>150</v>
      </c>
      <c r="J237" s="9">
        <v>23000</v>
      </c>
      <c r="K237" s="5" t="s">
        <v>150</v>
      </c>
      <c r="L237" s="10">
        <v>0.125</v>
      </c>
      <c r="M237" s="10">
        <v>0.05</v>
      </c>
      <c r="O237" s="8" t="s">
        <v>150</v>
      </c>
      <c r="P237" s="4">
        <f t="shared" si="111"/>
        <v>792</v>
      </c>
      <c r="Q237" s="8" t="s">
        <v>150</v>
      </c>
      <c r="R237" s="9">
        <f>S237/1.11</f>
        <v>13641486.486486485</v>
      </c>
      <c r="S237" s="9">
        <f t="shared" si="112"/>
        <v>15142050</v>
      </c>
    </row>
    <row r="238" spans="1:19" x14ac:dyDescent="0.2">
      <c r="A238" s="2" t="s">
        <v>154</v>
      </c>
      <c r="B238" s="3" t="s">
        <v>17</v>
      </c>
      <c r="C238" s="4">
        <v>240</v>
      </c>
      <c r="D238" s="5" t="s">
        <v>150</v>
      </c>
      <c r="F238" s="7">
        <v>8</v>
      </c>
      <c r="G238" s="8" t="s">
        <v>32</v>
      </c>
      <c r="H238" s="7">
        <v>6</v>
      </c>
      <c r="I238" s="8" t="s">
        <v>150</v>
      </c>
      <c r="J238" s="9">
        <v>29600</v>
      </c>
      <c r="K238" s="5" t="s">
        <v>150</v>
      </c>
      <c r="L238" s="10">
        <v>0.125</v>
      </c>
      <c r="M238" s="10">
        <v>0.05</v>
      </c>
      <c r="O238" s="8" t="s">
        <v>150</v>
      </c>
      <c r="P238" s="4">
        <f t="shared" si="111"/>
        <v>240</v>
      </c>
      <c r="Q238" s="8" t="s">
        <v>150</v>
      </c>
      <c r="R238" s="9">
        <f>S238/1.11</f>
        <v>5319999.9999999991</v>
      </c>
      <c r="S238" s="9">
        <f t="shared" si="112"/>
        <v>5905200</v>
      </c>
    </row>
    <row r="239" spans="1:19" x14ac:dyDescent="0.2">
      <c r="A239" s="2" t="s">
        <v>155</v>
      </c>
      <c r="B239" s="3" t="s">
        <v>17</v>
      </c>
      <c r="C239" s="4">
        <v>36</v>
      </c>
      <c r="D239" s="5" t="s">
        <v>150</v>
      </c>
      <c r="F239" s="7">
        <v>6</v>
      </c>
      <c r="G239" s="8" t="s">
        <v>32</v>
      </c>
      <c r="H239" s="7">
        <v>6</v>
      </c>
      <c r="I239" s="8" t="s">
        <v>150</v>
      </c>
      <c r="J239" s="9">
        <v>41500</v>
      </c>
      <c r="K239" s="5" t="s">
        <v>150</v>
      </c>
      <c r="L239" s="10">
        <v>0.125</v>
      </c>
      <c r="M239" s="10">
        <v>0.05</v>
      </c>
      <c r="O239" s="8" t="s">
        <v>150</v>
      </c>
      <c r="P239" s="4">
        <f t="shared" si="111"/>
        <v>36</v>
      </c>
      <c r="Q239" s="8" t="s">
        <v>150</v>
      </c>
      <c r="R239" s="9">
        <f>S239/1.11</f>
        <v>1118817.5675675676</v>
      </c>
      <c r="S239" s="9">
        <f t="shared" si="112"/>
        <v>1241887.5</v>
      </c>
    </row>
    <row r="240" spans="1:19" x14ac:dyDescent="0.2">
      <c r="A240" s="2" t="s">
        <v>156</v>
      </c>
      <c r="B240" s="3" t="s">
        <v>17</v>
      </c>
      <c r="D240" s="5" t="s">
        <v>150</v>
      </c>
      <c r="F240" s="7">
        <v>4</v>
      </c>
      <c r="G240" s="8" t="s">
        <v>32</v>
      </c>
      <c r="H240" s="7">
        <v>6</v>
      </c>
      <c r="I240" s="8" t="s">
        <v>150</v>
      </c>
      <c r="J240" s="9">
        <v>58900</v>
      </c>
      <c r="K240" s="5" t="s">
        <v>150</v>
      </c>
      <c r="L240" s="10">
        <v>0.125</v>
      </c>
      <c r="M240" s="10">
        <v>0.05</v>
      </c>
      <c r="O240" s="8" t="s">
        <v>150</v>
      </c>
      <c r="P240" s="4">
        <f t="shared" si="111"/>
        <v>0</v>
      </c>
      <c r="Q240" s="8" t="s">
        <v>150</v>
      </c>
      <c r="R240" s="9">
        <f>S240/1.11</f>
        <v>0</v>
      </c>
      <c r="S240" s="9">
        <f t="shared" si="112"/>
        <v>0</v>
      </c>
    </row>
    <row r="241" spans="1:19" x14ac:dyDescent="0.2">
      <c r="A241" s="2" t="s">
        <v>157</v>
      </c>
      <c r="B241" s="3" t="s">
        <v>17</v>
      </c>
      <c r="D241" s="5" t="s">
        <v>150</v>
      </c>
      <c r="F241" s="7">
        <v>4</v>
      </c>
      <c r="G241" s="8" t="s">
        <v>32</v>
      </c>
      <c r="H241" s="7">
        <v>6</v>
      </c>
      <c r="I241" s="8" t="s">
        <v>150</v>
      </c>
      <c r="J241" s="9">
        <v>66900</v>
      </c>
      <c r="K241" s="5" t="s">
        <v>150</v>
      </c>
      <c r="L241" s="10">
        <v>0.125</v>
      </c>
      <c r="M241" s="10">
        <v>0.05</v>
      </c>
      <c r="O241" s="8" t="s">
        <v>150</v>
      </c>
      <c r="P241" s="4">
        <f t="shared" si="111"/>
        <v>0</v>
      </c>
      <c r="Q241" s="8" t="s">
        <v>150</v>
      </c>
      <c r="R241" s="9">
        <f>S241/1.11</f>
        <v>0</v>
      </c>
      <c r="S241" s="9">
        <f t="shared" si="112"/>
        <v>0</v>
      </c>
    </row>
    <row r="242" spans="1:19" x14ac:dyDescent="0.2">
      <c r="A242" s="2" t="s">
        <v>686</v>
      </c>
      <c r="B242" s="3" t="s">
        <v>17</v>
      </c>
      <c r="D242" s="5" t="s">
        <v>150</v>
      </c>
      <c r="F242" s="7">
        <v>1</v>
      </c>
      <c r="G242" s="8" t="s">
        <v>19</v>
      </c>
      <c r="H242" s="7">
        <v>24</v>
      </c>
      <c r="I242" s="8" t="s">
        <v>150</v>
      </c>
      <c r="J242" s="9">
        <v>96000</v>
      </c>
      <c r="K242" s="5" t="s">
        <v>150</v>
      </c>
      <c r="L242" s="10">
        <v>0.125</v>
      </c>
      <c r="M242" s="10">
        <v>0.05</v>
      </c>
      <c r="O242" s="8" t="s">
        <v>150</v>
      </c>
      <c r="P242" s="4">
        <f t="shared" si="111"/>
        <v>0</v>
      </c>
      <c r="Q242" s="8" t="s">
        <v>150</v>
      </c>
      <c r="R242" s="9">
        <f>S242/1.11</f>
        <v>0</v>
      </c>
      <c r="S242" s="9">
        <f t="shared" si="112"/>
        <v>0</v>
      </c>
    </row>
    <row r="244" spans="1:19" x14ac:dyDescent="0.2">
      <c r="A244" s="12" t="s">
        <v>158</v>
      </c>
      <c r="B244" s="3" t="s">
        <v>24</v>
      </c>
      <c r="D244" s="5" t="s">
        <v>150</v>
      </c>
      <c r="F244" s="7">
        <v>12</v>
      </c>
      <c r="G244" s="8" t="s">
        <v>39</v>
      </c>
      <c r="H244" s="7">
        <v>12</v>
      </c>
      <c r="I244" s="8" t="s">
        <v>150</v>
      </c>
      <c r="J244" s="9">
        <f>1728000/12/12</f>
        <v>12000</v>
      </c>
      <c r="K244" s="5" t="s">
        <v>150</v>
      </c>
      <c r="M244" s="10">
        <v>0.17</v>
      </c>
      <c r="O244" s="8" t="s">
        <v>150</v>
      </c>
      <c r="P244" s="4">
        <f>(C244+(E244*F244*H244))-N244</f>
        <v>0</v>
      </c>
      <c r="Q244" s="8" t="s">
        <v>150</v>
      </c>
      <c r="R244" s="9">
        <f>S244/1.11</f>
        <v>0</v>
      </c>
      <c r="S244" s="9">
        <f>P244*(J244-(J244*L244)-((J244-(J244*L244))*M244))</f>
        <v>0</v>
      </c>
    </row>
    <row r="245" spans="1:19" x14ac:dyDescent="0.2">
      <c r="A245" s="12" t="s">
        <v>159</v>
      </c>
      <c r="B245" s="3" t="s">
        <v>24</v>
      </c>
      <c r="D245" s="5" t="s">
        <v>150</v>
      </c>
      <c r="F245" s="7">
        <v>6</v>
      </c>
      <c r="G245" s="8" t="s">
        <v>39</v>
      </c>
      <c r="H245" s="7">
        <v>12</v>
      </c>
      <c r="I245" s="8" t="s">
        <v>150</v>
      </c>
      <c r="J245" s="9">
        <f>1548000/6/12</f>
        <v>21500</v>
      </c>
      <c r="K245" s="5" t="s">
        <v>150</v>
      </c>
      <c r="M245" s="10">
        <v>0.17</v>
      </c>
      <c r="O245" s="8" t="s">
        <v>150</v>
      </c>
      <c r="P245" s="4">
        <f>(C245+(E245*F245*H245))-N245</f>
        <v>0</v>
      </c>
      <c r="Q245" s="8" t="s">
        <v>150</v>
      </c>
      <c r="R245" s="9">
        <f>S245/1.11</f>
        <v>0</v>
      </c>
      <c r="S245" s="9">
        <f>P245*(J245-(J245*L245)-((J245-(J245*L245))*M245))</f>
        <v>0</v>
      </c>
    </row>
    <row r="246" spans="1:19" x14ac:dyDescent="0.2">
      <c r="A246" s="12" t="s">
        <v>802</v>
      </c>
      <c r="B246" s="3" t="s">
        <v>24</v>
      </c>
      <c r="D246" s="5" t="s">
        <v>150</v>
      </c>
      <c r="F246" s="7">
        <v>4</v>
      </c>
      <c r="G246" s="8" t="s">
        <v>39</v>
      </c>
      <c r="H246" s="7">
        <v>12</v>
      </c>
      <c r="I246" s="8" t="s">
        <v>150</v>
      </c>
      <c r="J246" s="9">
        <v>28500</v>
      </c>
      <c r="K246" s="5" t="s">
        <v>150</v>
      </c>
      <c r="M246" s="10">
        <v>0.17</v>
      </c>
      <c r="O246" s="8" t="s">
        <v>150</v>
      </c>
      <c r="P246" s="4">
        <f t="shared" ref="P246:P247" si="115">(C246+(E246*F246*H246))-N246</f>
        <v>0</v>
      </c>
      <c r="Q246" s="8" t="s">
        <v>150</v>
      </c>
      <c r="R246" s="9">
        <f>S246/1.11</f>
        <v>0</v>
      </c>
      <c r="S246" s="9">
        <f t="shared" ref="S246:S247" si="116">P246*(J246-(J246*L246)-((J246-(J246*L246))*M246))</f>
        <v>0</v>
      </c>
    </row>
    <row r="247" spans="1:19" x14ac:dyDescent="0.2">
      <c r="A247" s="12" t="s">
        <v>803</v>
      </c>
      <c r="B247" s="3" t="s">
        <v>24</v>
      </c>
      <c r="D247" s="5" t="s">
        <v>150</v>
      </c>
      <c r="F247" s="7">
        <v>4</v>
      </c>
      <c r="G247" s="8" t="s">
        <v>39</v>
      </c>
      <c r="H247" s="7">
        <v>12</v>
      </c>
      <c r="I247" s="8" t="s">
        <v>150</v>
      </c>
      <c r="J247" s="9">
        <v>31125</v>
      </c>
      <c r="K247" s="5" t="s">
        <v>150</v>
      </c>
      <c r="M247" s="10">
        <v>0.17</v>
      </c>
      <c r="O247" s="8" t="s">
        <v>150</v>
      </c>
      <c r="P247" s="4">
        <f t="shared" si="115"/>
        <v>0</v>
      </c>
      <c r="Q247" s="8" t="s">
        <v>150</v>
      </c>
      <c r="R247" s="9">
        <f>S247/1.11</f>
        <v>0</v>
      </c>
      <c r="S247" s="9">
        <f t="shared" si="116"/>
        <v>0</v>
      </c>
    </row>
    <row r="248" spans="1:19" x14ac:dyDescent="0.2">
      <c r="A248" s="12"/>
    </row>
    <row r="249" spans="1:19" x14ac:dyDescent="0.2">
      <c r="A249" s="12" t="s">
        <v>160</v>
      </c>
      <c r="B249" s="3" t="s">
        <v>24</v>
      </c>
      <c r="D249" s="5" t="s">
        <v>150</v>
      </c>
      <c r="F249" s="7">
        <v>8</v>
      </c>
      <c r="G249" s="8" t="s">
        <v>32</v>
      </c>
      <c r="H249" s="7">
        <v>12</v>
      </c>
      <c r="I249" s="8" t="s">
        <v>150</v>
      </c>
      <c r="J249" s="9">
        <v>12500</v>
      </c>
      <c r="K249" s="5" t="s">
        <v>150</v>
      </c>
      <c r="M249" s="10">
        <v>0.17</v>
      </c>
      <c r="O249" s="8" t="s">
        <v>150</v>
      </c>
      <c r="P249" s="4">
        <f t="shared" ref="P249:P256" si="117">(C249+(E249*F249*H249))-N249</f>
        <v>0</v>
      </c>
      <c r="Q249" s="8" t="s">
        <v>150</v>
      </c>
      <c r="R249" s="9">
        <f>S249/1.11</f>
        <v>0</v>
      </c>
      <c r="S249" s="9">
        <f t="shared" ref="S249:S256" si="118">P249*(J249-(J249*L249)-((J249-(J249*L249))*M249))</f>
        <v>0</v>
      </c>
    </row>
    <row r="250" spans="1:19" x14ac:dyDescent="0.2">
      <c r="A250" s="12" t="s">
        <v>161</v>
      </c>
      <c r="B250" s="3" t="s">
        <v>24</v>
      </c>
      <c r="D250" s="5" t="s">
        <v>150</v>
      </c>
      <c r="F250" s="7">
        <v>1</v>
      </c>
      <c r="G250" s="8" t="s">
        <v>19</v>
      </c>
      <c r="H250" s="7">
        <v>144</v>
      </c>
      <c r="I250" s="8" t="s">
        <v>150</v>
      </c>
      <c r="J250" s="9">
        <v>11600</v>
      </c>
      <c r="K250" s="5" t="s">
        <v>150</v>
      </c>
      <c r="M250" s="10">
        <v>0.17</v>
      </c>
      <c r="O250" s="8" t="s">
        <v>150</v>
      </c>
      <c r="P250" s="4">
        <f t="shared" si="117"/>
        <v>0</v>
      </c>
      <c r="Q250" s="8" t="s">
        <v>150</v>
      </c>
      <c r="R250" s="9">
        <f>S250/1.11</f>
        <v>0</v>
      </c>
      <c r="S250" s="9">
        <f t="shared" si="118"/>
        <v>0</v>
      </c>
    </row>
    <row r="251" spans="1:19" x14ac:dyDescent="0.2">
      <c r="A251" s="2" t="s">
        <v>162</v>
      </c>
      <c r="B251" s="3" t="s">
        <v>24</v>
      </c>
      <c r="C251" s="4">
        <v>1152</v>
      </c>
      <c r="D251" s="5" t="s">
        <v>150</v>
      </c>
      <c r="F251" s="7">
        <v>12</v>
      </c>
      <c r="G251" s="8" t="s">
        <v>39</v>
      </c>
      <c r="H251" s="7">
        <v>12</v>
      </c>
      <c r="I251" s="8" t="s">
        <v>150</v>
      </c>
      <c r="J251" s="9">
        <f>2088000/144</f>
        <v>14500</v>
      </c>
      <c r="K251" s="5" t="s">
        <v>150</v>
      </c>
      <c r="M251" s="10">
        <v>0.17</v>
      </c>
      <c r="O251" s="8" t="s">
        <v>150</v>
      </c>
      <c r="P251" s="4">
        <f t="shared" si="117"/>
        <v>1152</v>
      </c>
      <c r="Q251" s="8" t="s">
        <v>150</v>
      </c>
      <c r="R251" s="9">
        <f>S251/1.11</f>
        <v>12490378.378378376</v>
      </c>
      <c r="S251" s="9">
        <f t="shared" si="118"/>
        <v>13864320</v>
      </c>
    </row>
    <row r="252" spans="1:19" x14ac:dyDescent="0.2">
      <c r="A252" s="2" t="s">
        <v>163</v>
      </c>
      <c r="B252" s="3" t="s">
        <v>24</v>
      </c>
      <c r="D252" s="5" t="s">
        <v>150</v>
      </c>
      <c r="F252" s="7">
        <v>6</v>
      </c>
      <c r="G252" s="8" t="s">
        <v>39</v>
      </c>
      <c r="H252" s="7">
        <v>12</v>
      </c>
      <c r="I252" s="8" t="s">
        <v>150</v>
      </c>
      <c r="J252" s="9">
        <f>1944000/72</f>
        <v>27000</v>
      </c>
      <c r="K252" s="5" t="s">
        <v>150</v>
      </c>
      <c r="M252" s="10">
        <v>0.17</v>
      </c>
      <c r="O252" s="8" t="s">
        <v>150</v>
      </c>
      <c r="P252" s="4">
        <f t="shared" si="117"/>
        <v>0</v>
      </c>
      <c r="Q252" s="8" t="s">
        <v>150</v>
      </c>
      <c r="R252" s="9">
        <f>S252/1.11</f>
        <v>0</v>
      </c>
      <c r="S252" s="9">
        <f t="shared" si="118"/>
        <v>0</v>
      </c>
    </row>
    <row r="253" spans="1:19" x14ac:dyDescent="0.2">
      <c r="A253" s="2" t="s">
        <v>164</v>
      </c>
      <c r="B253" s="3" t="s">
        <v>24</v>
      </c>
      <c r="D253" s="5" t="s">
        <v>150</v>
      </c>
      <c r="F253" s="7">
        <v>8</v>
      </c>
      <c r="G253" s="8" t="s">
        <v>32</v>
      </c>
      <c r="H253" s="7">
        <v>6</v>
      </c>
      <c r="I253" s="8" t="s">
        <v>150</v>
      </c>
      <c r="J253" s="9">
        <f>1632000/8/6</f>
        <v>34000</v>
      </c>
      <c r="K253" s="5" t="s">
        <v>150</v>
      </c>
      <c r="M253" s="10">
        <v>0.17</v>
      </c>
      <c r="O253" s="8" t="s">
        <v>150</v>
      </c>
      <c r="P253" s="4">
        <f t="shared" si="117"/>
        <v>0</v>
      </c>
      <c r="Q253" s="8" t="s">
        <v>150</v>
      </c>
      <c r="R253" s="9">
        <f>S253/1.11</f>
        <v>0</v>
      </c>
      <c r="S253" s="9">
        <f t="shared" si="118"/>
        <v>0</v>
      </c>
    </row>
    <row r="254" spans="1:19" x14ac:dyDescent="0.2">
      <c r="A254" s="2" t="s">
        <v>165</v>
      </c>
      <c r="B254" s="3" t="s">
        <v>24</v>
      </c>
      <c r="D254" s="5" t="s">
        <v>150</v>
      </c>
      <c r="F254" s="7">
        <v>6</v>
      </c>
      <c r="G254" s="8" t="s">
        <v>32</v>
      </c>
      <c r="H254" s="7">
        <v>6</v>
      </c>
      <c r="I254" s="8" t="s">
        <v>150</v>
      </c>
      <c r="J254" s="9">
        <f>1710000/6/6</f>
        <v>47500</v>
      </c>
      <c r="K254" s="5" t="s">
        <v>150</v>
      </c>
      <c r="M254" s="10">
        <v>0.17</v>
      </c>
      <c r="O254" s="8" t="s">
        <v>150</v>
      </c>
      <c r="P254" s="4">
        <f t="shared" si="117"/>
        <v>0</v>
      </c>
      <c r="Q254" s="8" t="s">
        <v>150</v>
      </c>
      <c r="R254" s="9">
        <f>S254/1.11</f>
        <v>0</v>
      </c>
      <c r="S254" s="9">
        <f t="shared" si="118"/>
        <v>0</v>
      </c>
    </row>
    <row r="255" spans="1:19" x14ac:dyDescent="0.2">
      <c r="A255" s="2" t="s">
        <v>166</v>
      </c>
      <c r="B255" s="3" t="s">
        <v>24</v>
      </c>
      <c r="D255" s="5" t="s">
        <v>150</v>
      </c>
      <c r="F255" s="7">
        <v>4</v>
      </c>
      <c r="G255" s="8" t="s">
        <v>32</v>
      </c>
      <c r="H255" s="7">
        <v>6</v>
      </c>
      <c r="I255" s="8" t="s">
        <v>150</v>
      </c>
      <c r="J255" s="9">
        <f>1656000/4/6</f>
        <v>69000</v>
      </c>
      <c r="K255" s="5" t="s">
        <v>150</v>
      </c>
      <c r="M255" s="10">
        <v>0.17</v>
      </c>
      <c r="O255" s="8" t="s">
        <v>150</v>
      </c>
      <c r="P255" s="4">
        <f t="shared" si="117"/>
        <v>0</v>
      </c>
      <c r="Q255" s="8" t="s">
        <v>150</v>
      </c>
      <c r="R255" s="9">
        <f>S255/1.11</f>
        <v>0</v>
      </c>
      <c r="S255" s="9">
        <f t="shared" si="118"/>
        <v>0</v>
      </c>
    </row>
    <row r="256" spans="1:19" x14ac:dyDescent="0.2">
      <c r="A256" s="2" t="s">
        <v>167</v>
      </c>
      <c r="B256" s="3" t="s">
        <v>24</v>
      </c>
      <c r="D256" s="5" t="s">
        <v>150</v>
      </c>
      <c r="F256" s="7">
        <v>4</v>
      </c>
      <c r="G256" s="8" t="s">
        <v>32</v>
      </c>
      <c r="H256" s="7">
        <v>6</v>
      </c>
      <c r="I256" s="8" t="s">
        <v>150</v>
      </c>
      <c r="J256" s="9">
        <f>1824000/4/6</f>
        <v>76000</v>
      </c>
      <c r="K256" s="5" t="s">
        <v>150</v>
      </c>
      <c r="M256" s="10">
        <v>0.17</v>
      </c>
      <c r="O256" s="8" t="s">
        <v>150</v>
      </c>
      <c r="P256" s="4">
        <f t="shared" si="117"/>
        <v>0</v>
      </c>
      <c r="Q256" s="8" t="s">
        <v>150</v>
      </c>
      <c r="R256" s="9">
        <f>S256/1.11</f>
        <v>0</v>
      </c>
      <c r="S256" s="9">
        <f t="shared" si="118"/>
        <v>0</v>
      </c>
    </row>
    <row r="258" spans="1:19" x14ac:dyDescent="0.2">
      <c r="A258" s="30" t="s">
        <v>168</v>
      </c>
    </row>
    <row r="259" spans="1:19" x14ac:dyDescent="0.2">
      <c r="A259" s="2" t="s">
        <v>169</v>
      </c>
      <c r="B259" s="3" t="s">
        <v>170</v>
      </c>
      <c r="D259" s="5" t="s">
        <v>150</v>
      </c>
      <c r="F259" s="7">
        <v>1</v>
      </c>
      <c r="G259" s="8" t="s">
        <v>19</v>
      </c>
      <c r="H259" s="7">
        <v>144</v>
      </c>
      <c r="I259" s="8" t="s">
        <v>150</v>
      </c>
      <c r="J259" s="9">
        <v>14000</v>
      </c>
      <c r="K259" s="5" t="s">
        <v>150</v>
      </c>
      <c r="L259" s="10">
        <v>0.05</v>
      </c>
      <c r="M259" s="10">
        <v>0.03</v>
      </c>
      <c r="O259" s="8" t="s">
        <v>150</v>
      </c>
      <c r="P259" s="4">
        <f>(C259+(E259*F259*H259))-N259</f>
        <v>0</v>
      </c>
      <c r="Q259" s="8" t="s">
        <v>150</v>
      </c>
      <c r="R259" s="9">
        <f>S259/1.11</f>
        <v>0</v>
      </c>
      <c r="S259" s="9">
        <f>P259*(J259-(J259*L259)-((J259-(J259*L259))*M259))</f>
        <v>0</v>
      </c>
    </row>
    <row r="261" spans="1:19" x14ac:dyDescent="0.2">
      <c r="A261" s="2" t="s">
        <v>171</v>
      </c>
      <c r="B261" s="3" t="s">
        <v>17</v>
      </c>
      <c r="D261" s="5" t="s">
        <v>150</v>
      </c>
      <c r="F261" s="7">
        <v>12</v>
      </c>
      <c r="G261" s="8" t="s">
        <v>32</v>
      </c>
      <c r="H261" s="7">
        <v>12</v>
      </c>
      <c r="I261" s="8" t="s">
        <v>150</v>
      </c>
      <c r="J261" s="9">
        <v>18600</v>
      </c>
      <c r="K261" s="5" t="s">
        <v>150</v>
      </c>
      <c r="L261" s="10">
        <v>0.125</v>
      </c>
      <c r="M261" s="10">
        <v>0.05</v>
      </c>
      <c r="O261" s="8" t="s">
        <v>150</v>
      </c>
      <c r="P261" s="4">
        <f>(C261+(E261*F261*H261))-N261</f>
        <v>0</v>
      </c>
      <c r="Q261" s="8" t="s">
        <v>150</v>
      </c>
      <c r="R261" s="9">
        <f>S261/1.11</f>
        <v>0</v>
      </c>
      <c r="S261" s="9">
        <f>P261*(J261-(J261*L261)-((J261-(J261*L261))*M261))</f>
        <v>0</v>
      </c>
    </row>
    <row r="262" spans="1:19" x14ac:dyDescent="0.2">
      <c r="A262" s="2" t="s">
        <v>882</v>
      </c>
      <c r="B262" s="3" t="s">
        <v>17</v>
      </c>
      <c r="D262" s="5" t="s">
        <v>150</v>
      </c>
      <c r="F262" s="7">
        <v>6</v>
      </c>
      <c r="G262" s="8" t="s">
        <v>32</v>
      </c>
      <c r="H262" s="7">
        <v>12</v>
      </c>
      <c r="I262" s="8" t="s">
        <v>150</v>
      </c>
      <c r="J262" s="9">
        <v>37200</v>
      </c>
      <c r="K262" s="5" t="s">
        <v>150</v>
      </c>
      <c r="L262" s="10">
        <v>0.125</v>
      </c>
      <c r="M262" s="10">
        <v>0.05</v>
      </c>
      <c r="O262" s="8" t="s">
        <v>150</v>
      </c>
      <c r="P262" s="4">
        <f>(C262+(E262*F262*H262))-N262</f>
        <v>0</v>
      </c>
      <c r="Q262" s="8" t="s">
        <v>150</v>
      </c>
      <c r="R262" s="9">
        <f>S262/1.11</f>
        <v>0</v>
      </c>
      <c r="S262" s="9">
        <f>P262*(J262-(J262*L262)-((J262-(J262*L262))*M262))</f>
        <v>0</v>
      </c>
    </row>
    <row r="263" spans="1:19" x14ac:dyDescent="0.2">
      <c r="A263" s="2" t="s">
        <v>172</v>
      </c>
      <c r="B263" s="3" t="s">
        <v>17</v>
      </c>
      <c r="D263" s="5" t="s">
        <v>150</v>
      </c>
      <c r="F263" s="7">
        <v>12</v>
      </c>
      <c r="G263" s="8" t="s">
        <v>32</v>
      </c>
      <c r="H263" s="7">
        <v>12</v>
      </c>
      <c r="I263" s="8" t="s">
        <v>150</v>
      </c>
      <c r="J263" s="9">
        <v>23900</v>
      </c>
      <c r="K263" s="5" t="s">
        <v>150</v>
      </c>
      <c r="L263" s="10">
        <v>0.125</v>
      </c>
      <c r="M263" s="10">
        <v>0.05</v>
      </c>
      <c r="O263" s="8" t="s">
        <v>150</v>
      </c>
      <c r="P263" s="4">
        <f>(C263+(E263*F263*H263))-N263</f>
        <v>0</v>
      </c>
      <c r="Q263" s="8" t="s">
        <v>150</v>
      </c>
      <c r="R263" s="9">
        <f>S263/1.11</f>
        <v>0</v>
      </c>
      <c r="S263" s="9">
        <f>P263*(J263-(J263*L263)-((J263-(J263*L263))*M263))</f>
        <v>0</v>
      </c>
    </row>
    <row r="264" spans="1:19" x14ac:dyDescent="0.2">
      <c r="A264" s="2" t="s">
        <v>173</v>
      </c>
      <c r="B264" s="3" t="s">
        <v>17</v>
      </c>
      <c r="D264" s="5" t="s">
        <v>150</v>
      </c>
      <c r="F264" s="7">
        <v>12</v>
      </c>
      <c r="G264" s="8" t="s">
        <v>32</v>
      </c>
      <c r="H264" s="7">
        <v>6</v>
      </c>
      <c r="I264" s="8" t="s">
        <v>150</v>
      </c>
      <c r="J264" s="9">
        <v>47800</v>
      </c>
      <c r="K264" s="5" t="s">
        <v>150</v>
      </c>
      <c r="L264" s="10">
        <v>0.125</v>
      </c>
      <c r="M264" s="10">
        <v>0.05</v>
      </c>
      <c r="O264" s="8" t="s">
        <v>150</v>
      </c>
      <c r="P264" s="4">
        <f>(C264+(E264*F264*H264))-N264</f>
        <v>0</v>
      </c>
      <c r="Q264" s="8" t="s">
        <v>150</v>
      </c>
      <c r="R264" s="9">
        <f>S264/1.11</f>
        <v>0</v>
      </c>
      <c r="S264" s="9">
        <f>P264*(J264-(J264*L264)-((J264-(J264*L264))*M264))</f>
        <v>0</v>
      </c>
    </row>
    <row r="266" spans="1:19" x14ac:dyDescent="0.2">
      <c r="A266" s="2" t="s">
        <v>174</v>
      </c>
      <c r="B266" s="3" t="s">
        <v>24</v>
      </c>
      <c r="D266" s="5" t="s">
        <v>150</v>
      </c>
      <c r="F266" s="7">
        <v>12</v>
      </c>
      <c r="G266" s="8" t="s">
        <v>39</v>
      </c>
      <c r="H266" s="7">
        <v>12</v>
      </c>
      <c r="I266" s="8" t="s">
        <v>150</v>
      </c>
      <c r="J266" s="9">
        <f>2592000/12/12</f>
        <v>18000</v>
      </c>
      <c r="K266" s="5" t="s">
        <v>150</v>
      </c>
      <c r="M266" s="10">
        <v>0.17</v>
      </c>
      <c r="O266" s="8" t="s">
        <v>150</v>
      </c>
      <c r="P266" s="4">
        <f t="shared" ref="P266:P270" si="119">(C266+(E266*F266*H266))-N266</f>
        <v>0</v>
      </c>
      <c r="Q266" s="8" t="s">
        <v>150</v>
      </c>
      <c r="R266" s="9">
        <f>S266/1.11</f>
        <v>0</v>
      </c>
      <c r="S266" s="9">
        <f t="shared" ref="S266:S270" si="120">P266*(J266-(J266*L266)-((J266-(J266*L266))*M266))</f>
        <v>0</v>
      </c>
    </row>
    <row r="267" spans="1:19" x14ac:dyDescent="0.2">
      <c r="A267" s="2" t="s">
        <v>175</v>
      </c>
      <c r="B267" s="3" t="s">
        <v>24</v>
      </c>
      <c r="D267" s="5" t="s">
        <v>150</v>
      </c>
      <c r="F267" s="7">
        <v>8</v>
      </c>
      <c r="G267" s="8" t="s">
        <v>39</v>
      </c>
      <c r="H267" s="7">
        <v>12</v>
      </c>
      <c r="I267" s="8" t="s">
        <v>150</v>
      </c>
      <c r="J267" s="9">
        <v>24500</v>
      </c>
      <c r="K267" s="5" t="s">
        <v>150</v>
      </c>
      <c r="M267" s="10">
        <v>0.17</v>
      </c>
      <c r="O267" s="8" t="s">
        <v>150</v>
      </c>
      <c r="P267" s="4">
        <f t="shared" si="119"/>
        <v>0</v>
      </c>
      <c r="Q267" s="8" t="s">
        <v>150</v>
      </c>
      <c r="R267" s="9">
        <f>S267/1.11</f>
        <v>0</v>
      </c>
      <c r="S267" s="9">
        <f t="shared" si="120"/>
        <v>0</v>
      </c>
    </row>
    <row r="268" spans="1:19" x14ac:dyDescent="0.2">
      <c r="A268" s="2" t="s">
        <v>176</v>
      </c>
      <c r="B268" s="3" t="s">
        <v>24</v>
      </c>
      <c r="D268" s="5" t="s">
        <v>150</v>
      </c>
      <c r="F268" s="7">
        <v>12</v>
      </c>
      <c r="G268" s="8" t="s">
        <v>39</v>
      </c>
      <c r="H268" s="7">
        <v>12</v>
      </c>
      <c r="I268" s="8" t="s">
        <v>150</v>
      </c>
      <c r="J268" s="9">
        <f>3888000/144</f>
        <v>27000</v>
      </c>
      <c r="K268" s="5" t="s">
        <v>150</v>
      </c>
      <c r="M268" s="10">
        <v>0.17</v>
      </c>
      <c r="O268" s="8" t="s">
        <v>150</v>
      </c>
      <c r="P268" s="4">
        <f t="shared" si="119"/>
        <v>0</v>
      </c>
      <c r="Q268" s="8" t="s">
        <v>150</v>
      </c>
      <c r="R268" s="9">
        <f>S268/1.11</f>
        <v>0</v>
      </c>
      <c r="S268" s="9">
        <f t="shared" si="120"/>
        <v>0</v>
      </c>
    </row>
    <row r="269" spans="1:19" x14ac:dyDescent="0.2">
      <c r="A269" s="2" t="s">
        <v>955</v>
      </c>
      <c r="B269" s="3" t="s">
        <v>24</v>
      </c>
      <c r="D269" s="5" t="s">
        <v>150</v>
      </c>
      <c r="F269" s="7">
        <v>6</v>
      </c>
      <c r="G269" s="8" t="s">
        <v>39</v>
      </c>
      <c r="H269" s="7">
        <v>12</v>
      </c>
      <c r="I269" s="8" t="s">
        <v>150</v>
      </c>
      <c r="J269" s="9">
        <v>50000</v>
      </c>
      <c r="K269" s="5" t="s">
        <v>150</v>
      </c>
      <c r="M269" s="10">
        <v>0.17</v>
      </c>
      <c r="O269" s="8" t="s">
        <v>150</v>
      </c>
      <c r="P269" s="4">
        <f t="shared" si="119"/>
        <v>0</v>
      </c>
      <c r="Q269" s="8" t="s">
        <v>150</v>
      </c>
      <c r="R269" s="9">
        <f>S269/1.11</f>
        <v>0</v>
      </c>
      <c r="S269" s="9">
        <f t="shared" si="120"/>
        <v>0</v>
      </c>
    </row>
    <row r="270" spans="1:19" x14ac:dyDescent="0.2">
      <c r="A270" s="2" t="s">
        <v>177</v>
      </c>
      <c r="B270" s="3" t="s">
        <v>24</v>
      </c>
      <c r="D270" s="5" t="s">
        <v>150</v>
      </c>
      <c r="F270" s="7">
        <v>6</v>
      </c>
      <c r="G270" s="8" t="s">
        <v>39</v>
      </c>
      <c r="H270" s="7">
        <v>12</v>
      </c>
      <c r="I270" s="8" t="s">
        <v>150</v>
      </c>
      <c r="J270" s="9">
        <v>36000</v>
      </c>
      <c r="K270" s="5" t="s">
        <v>150</v>
      </c>
      <c r="L270" s="10">
        <v>0.05</v>
      </c>
      <c r="M270" s="10">
        <v>0.17</v>
      </c>
      <c r="O270" s="8" t="s">
        <v>150</v>
      </c>
      <c r="P270" s="4">
        <f t="shared" si="119"/>
        <v>0</v>
      </c>
      <c r="Q270" s="8" t="s">
        <v>150</v>
      </c>
      <c r="R270" s="9">
        <f>S270/1.11</f>
        <v>0</v>
      </c>
      <c r="S270" s="9">
        <f t="shared" si="120"/>
        <v>0</v>
      </c>
    </row>
    <row r="272" spans="1:19" x14ac:dyDescent="0.2">
      <c r="A272" s="30" t="s">
        <v>178</v>
      </c>
    </row>
    <row r="273" spans="1:19" x14ac:dyDescent="0.2">
      <c r="A273" s="2" t="s">
        <v>179</v>
      </c>
      <c r="B273" s="3" t="s">
        <v>180</v>
      </c>
      <c r="D273" s="5" t="s">
        <v>39</v>
      </c>
      <c r="F273" s="7">
        <v>1</v>
      </c>
      <c r="G273" s="8" t="s">
        <v>19</v>
      </c>
      <c r="H273" s="7">
        <v>5</v>
      </c>
      <c r="I273" s="8" t="s">
        <v>39</v>
      </c>
      <c r="J273" s="9">
        <v>475000</v>
      </c>
      <c r="K273" s="5" t="s">
        <v>39</v>
      </c>
      <c r="O273" s="8" t="s">
        <v>39</v>
      </c>
      <c r="P273" s="4">
        <f>(C273+(E273*F273*H273))-N273</f>
        <v>0</v>
      </c>
      <c r="Q273" s="8" t="s">
        <v>39</v>
      </c>
      <c r="R273" s="9">
        <f>S273/1.11</f>
        <v>0</v>
      </c>
      <c r="S273" s="9">
        <f>P273*(J273-(J273*L273)-((J273-(J273*L273))*M273))</f>
        <v>0</v>
      </c>
    </row>
    <row r="275" spans="1:19" x14ac:dyDescent="0.2">
      <c r="A275" s="2" t="s">
        <v>703</v>
      </c>
      <c r="B275" s="3" t="s">
        <v>17</v>
      </c>
      <c r="D275" s="5" t="s">
        <v>150</v>
      </c>
      <c r="F275" s="7">
        <v>8</v>
      </c>
      <c r="G275" s="8" t="s">
        <v>32</v>
      </c>
      <c r="H275" s="7">
        <v>12</v>
      </c>
      <c r="I275" s="8" t="s">
        <v>150</v>
      </c>
      <c r="J275" s="9">
        <v>26800</v>
      </c>
      <c r="K275" s="5" t="s">
        <v>150</v>
      </c>
      <c r="L275" s="10">
        <v>0.125</v>
      </c>
      <c r="M275" s="10">
        <v>0.05</v>
      </c>
      <c r="O275" s="8" t="s">
        <v>150</v>
      </c>
      <c r="P275" s="4">
        <f t="shared" ref="P275:P279" si="121">(C275+(E275*F275*H275))-N275</f>
        <v>0</v>
      </c>
      <c r="Q275" s="8" t="s">
        <v>150</v>
      </c>
      <c r="R275" s="9">
        <f>S275/1.11</f>
        <v>0</v>
      </c>
      <c r="S275" s="9">
        <f t="shared" ref="S275:S279" si="122">P275*(J275-(J275*L275)-((J275-(J275*L275))*M275))</f>
        <v>0</v>
      </c>
    </row>
    <row r="276" spans="1:19" x14ac:dyDescent="0.2">
      <c r="A276" s="2" t="s">
        <v>181</v>
      </c>
      <c r="B276" s="3" t="s">
        <v>17</v>
      </c>
      <c r="D276" s="5" t="s">
        <v>150</v>
      </c>
      <c r="F276" s="7">
        <v>6</v>
      </c>
      <c r="G276" s="8" t="s">
        <v>32</v>
      </c>
      <c r="H276" s="7">
        <v>12</v>
      </c>
      <c r="I276" s="8" t="s">
        <v>150</v>
      </c>
      <c r="J276" s="9">
        <v>41500</v>
      </c>
      <c r="K276" s="5" t="s">
        <v>150</v>
      </c>
      <c r="L276" s="10">
        <v>0.125</v>
      </c>
      <c r="M276" s="10">
        <v>0.05</v>
      </c>
      <c r="O276" s="8" t="s">
        <v>150</v>
      </c>
      <c r="P276" s="4">
        <f t="shared" si="121"/>
        <v>0</v>
      </c>
      <c r="Q276" s="8" t="s">
        <v>150</v>
      </c>
      <c r="R276" s="9">
        <f>S276/1.11</f>
        <v>0</v>
      </c>
      <c r="S276" s="9">
        <f t="shared" si="122"/>
        <v>0</v>
      </c>
    </row>
    <row r="277" spans="1:19" x14ac:dyDescent="0.2">
      <c r="A277" s="2" t="s">
        <v>877</v>
      </c>
      <c r="B277" s="3" t="s">
        <v>17</v>
      </c>
      <c r="D277" s="5" t="s">
        <v>150</v>
      </c>
      <c r="F277" s="7">
        <v>1</v>
      </c>
      <c r="G277" s="8" t="s">
        <v>19</v>
      </c>
      <c r="H277" s="7">
        <v>108</v>
      </c>
      <c r="I277" s="8" t="s">
        <v>150</v>
      </c>
      <c r="J277" s="9">
        <v>17500</v>
      </c>
      <c r="K277" s="5" t="s">
        <v>150</v>
      </c>
      <c r="L277" s="10">
        <v>0.125</v>
      </c>
      <c r="M277" s="10">
        <v>0.1</v>
      </c>
      <c r="O277" s="8" t="s">
        <v>150</v>
      </c>
      <c r="P277" s="4">
        <f t="shared" si="121"/>
        <v>0</v>
      </c>
      <c r="Q277" s="8" t="s">
        <v>150</v>
      </c>
      <c r="R277" s="9">
        <f>S277/1.11</f>
        <v>0</v>
      </c>
      <c r="S277" s="9">
        <f t="shared" si="122"/>
        <v>0</v>
      </c>
    </row>
    <row r="278" spans="1:19" x14ac:dyDescent="0.2">
      <c r="A278" s="2" t="s">
        <v>878</v>
      </c>
      <c r="B278" s="3" t="s">
        <v>17</v>
      </c>
      <c r="D278" s="5" t="s">
        <v>150</v>
      </c>
      <c r="F278" s="7">
        <v>1</v>
      </c>
      <c r="G278" s="8" t="s">
        <v>19</v>
      </c>
      <c r="H278" s="7">
        <v>48</v>
      </c>
      <c r="I278" s="8" t="s">
        <v>150</v>
      </c>
      <c r="J278" s="9">
        <v>35000</v>
      </c>
      <c r="K278" s="5" t="s">
        <v>150</v>
      </c>
      <c r="L278" s="10">
        <v>0.125</v>
      </c>
      <c r="M278" s="10">
        <v>0.1</v>
      </c>
      <c r="O278" s="8" t="s">
        <v>150</v>
      </c>
      <c r="P278" s="4">
        <f t="shared" si="121"/>
        <v>0</v>
      </c>
      <c r="Q278" s="8" t="s">
        <v>150</v>
      </c>
      <c r="R278" s="9">
        <f>S278/1.11</f>
        <v>0</v>
      </c>
      <c r="S278" s="9">
        <f t="shared" si="122"/>
        <v>0</v>
      </c>
    </row>
    <row r="279" spans="1:19" x14ac:dyDescent="0.2">
      <c r="A279" s="2" t="s">
        <v>902</v>
      </c>
      <c r="B279" s="3" t="s">
        <v>17</v>
      </c>
      <c r="D279" s="5" t="s">
        <v>150</v>
      </c>
      <c r="F279" s="7">
        <v>1</v>
      </c>
      <c r="G279" s="8" t="s">
        <v>19</v>
      </c>
      <c r="H279" s="7">
        <v>18</v>
      </c>
      <c r="I279" s="8" t="s">
        <v>150</v>
      </c>
      <c r="J279" s="9">
        <v>145000</v>
      </c>
      <c r="K279" s="5" t="s">
        <v>150</v>
      </c>
      <c r="L279" s="10">
        <v>0.125</v>
      </c>
      <c r="M279" s="10">
        <v>0.05</v>
      </c>
      <c r="O279" s="8" t="s">
        <v>150</v>
      </c>
      <c r="P279" s="4">
        <f t="shared" si="121"/>
        <v>0</v>
      </c>
      <c r="Q279" s="8" t="s">
        <v>150</v>
      </c>
      <c r="R279" s="9">
        <f>S279/1.11</f>
        <v>0</v>
      </c>
      <c r="S279" s="9">
        <f t="shared" si="122"/>
        <v>0</v>
      </c>
    </row>
    <row r="281" spans="1:19" ht="15.75" x14ac:dyDescent="0.25">
      <c r="A281" s="29" t="s">
        <v>182</v>
      </c>
    </row>
    <row r="282" spans="1:19" x14ac:dyDescent="0.2">
      <c r="A282" s="30" t="s">
        <v>183</v>
      </c>
    </row>
    <row r="283" spans="1:19" x14ac:dyDescent="0.2">
      <c r="A283" s="2" t="s">
        <v>681</v>
      </c>
      <c r="B283" s="3" t="s">
        <v>17</v>
      </c>
      <c r="D283" s="5" t="s">
        <v>39</v>
      </c>
      <c r="F283" s="7">
        <v>1</v>
      </c>
      <c r="G283" s="8" t="s">
        <v>19</v>
      </c>
      <c r="H283" s="7">
        <v>24</v>
      </c>
      <c r="I283" s="8" t="s">
        <v>39</v>
      </c>
      <c r="J283" s="9">
        <v>27600</v>
      </c>
      <c r="K283" s="5" t="s">
        <v>39</v>
      </c>
      <c r="L283" s="10">
        <v>0.125</v>
      </c>
      <c r="M283" s="10">
        <v>0.05</v>
      </c>
      <c r="O283" s="8" t="s">
        <v>39</v>
      </c>
      <c r="P283" s="4">
        <f t="shared" ref="P283:P289" si="123">(C283+(E283*F283*H283))-N283</f>
        <v>0</v>
      </c>
      <c r="Q283" s="8" t="s">
        <v>39</v>
      </c>
      <c r="R283" s="9">
        <f>S283/1.11</f>
        <v>0</v>
      </c>
      <c r="S283" s="9">
        <f t="shared" ref="S283:S289" si="124">P283*(J283-(J283*L283)-((J283-(J283*L283))*M283))</f>
        <v>0</v>
      </c>
    </row>
    <row r="284" spans="1:19" x14ac:dyDescent="0.2">
      <c r="A284" s="2" t="s">
        <v>184</v>
      </c>
      <c r="B284" s="3" t="s">
        <v>17</v>
      </c>
      <c r="D284" s="5" t="s">
        <v>39</v>
      </c>
      <c r="F284" s="7">
        <v>1</v>
      </c>
      <c r="G284" s="8" t="s">
        <v>19</v>
      </c>
      <c r="H284" s="7">
        <v>24</v>
      </c>
      <c r="I284" s="8" t="s">
        <v>39</v>
      </c>
      <c r="J284" s="9">
        <v>76800</v>
      </c>
      <c r="K284" s="5" t="s">
        <v>39</v>
      </c>
      <c r="L284" s="10">
        <v>0.125</v>
      </c>
      <c r="M284" s="10">
        <v>0.05</v>
      </c>
      <c r="O284" s="8" t="s">
        <v>39</v>
      </c>
      <c r="P284" s="4">
        <f t="shared" ref="P284" si="125">(C284+(E284*F284*H284))-N284</f>
        <v>0</v>
      </c>
      <c r="Q284" s="8" t="s">
        <v>39</v>
      </c>
      <c r="R284" s="9">
        <f>S284/1.11</f>
        <v>0</v>
      </c>
      <c r="S284" s="9">
        <f t="shared" ref="S284" si="126">P284*(J284-(J284*L284)-((J284-(J284*L284))*M284))</f>
        <v>0</v>
      </c>
    </row>
    <row r="285" spans="1:19" x14ac:dyDescent="0.2">
      <c r="A285" s="2" t="s">
        <v>185</v>
      </c>
      <c r="B285" s="3" t="s">
        <v>17</v>
      </c>
      <c r="D285" s="5" t="s">
        <v>39</v>
      </c>
      <c r="F285" s="7">
        <v>1</v>
      </c>
      <c r="G285" s="8" t="s">
        <v>19</v>
      </c>
      <c r="H285" s="7">
        <v>48</v>
      </c>
      <c r="I285" s="8" t="s">
        <v>39</v>
      </c>
      <c r="J285" s="9">
        <v>51600</v>
      </c>
      <c r="K285" s="5" t="s">
        <v>39</v>
      </c>
      <c r="L285" s="10">
        <v>0.125</v>
      </c>
      <c r="M285" s="10">
        <v>0.05</v>
      </c>
      <c r="O285" s="8" t="s">
        <v>39</v>
      </c>
      <c r="P285" s="4">
        <f t="shared" si="123"/>
        <v>0</v>
      </c>
      <c r="Q285" s="8" t="s">
        <v>39</v>
      </c>
      <c r="R285" s="9">
        <f>S285/1.11</f>
        <v>0</v>
      </c>
      <c r="S285" s="9">
        <f t="shared" si="124"/>
        <v>0</v>
      </c>
    </row>
    <row r="286" spans="1:19" x14ac:dyDescent="0.2">
      <c r="A286" s="2" t="s">
        <v>186</v>
      </c>
      <c r="B286" s="3" t="s">
        <v>17</v>
      </c>
      <c r="D286" s="5" t="s">
        <v>39</v>
      </c>
      <c r="F286" s="7">
        <v>1</v>
      </c>
      <c r="G286" s="8" t="s">
        <v>19</v>
      </c>
      <c r="H286" s="7">
        <v>48</v>
      </c>
      <c r="I286" s="8" t="s">
        <v>39</v>
      </c>
      <c r="J286" s="9">
        <v>55800</v>
      </c>
      <c r="K286" s="5" t="s">
        <v>39</v>
      </c>
      <c r="L286" s="10">
        <v>0.125</v>
      </c>
      <c r="M286" s="10">
        <v>0.05</v>
      </c>
      <c r="O286" s="8" t="s">
        <v>39</v>
      </c>
      <c r="P286" s="4">
        <f t="shared" si="123"/>
        <v>0</v>
      </c>
      <c r="Q286" s="8" t="s">
        <v>39</v>
      </c>
      <c r="R286" s="9">
        <f>S286/1.11</f>
        <v>0</v>
      </c>
      <c r="S286" s="9">
        <f t="shared" si="124"/>
        <v>0</v>
      </c>
    </row>
    <row r="287" spans="1:19" x14ac:dyDescent="0.2">
      <c r="A287" s="2" t="s">
        <v>978</v>
      </c>
      <c r="B287" s="3" t="s">
        <v>17</v>
      </c>
      <c r="D287" s="5" t="s">
        <v>815</v>
      </c>
      <c r="F287" s="7">
        <v>1</v>
      </c>
      <c r="G287" s="8" t="s">
        <v>19</v>
      </c>
      <c r="H287" s="7">
        <v>144</v>
      </c>
      <c r="I287" s="8" t="s">
        <v>815</v>
      </c>
      <c r="J287" s="9">
        <v>13500</v>
      </c>
      <c r="K287" s="5" t="s">
        <v>815</v>
      </c>
      <c r="L287" s="10">
        <v>0.125</v>
      </c>
      <c r="M287" s="10">
        <v>0.05</v>
      </c>
      <c r="O287" s="8" t="s">
        <v>815</v>
      </c>
      <c r="P287" s="4">
        <f t="shared" ref="P287" si="127">(C287+(E287*F287*H287))-N287</f>
        <v>0</v>
      </c>
      <c r="Q287" s="8" t="s">
        <v>815</v>
      </c>
      <c r="R287" s="9">
        <f>S287/1.11</f>
        <v>0</v>
      </c>
      <c r="S287" s="9">
        <f t="shared" ref="S287" si="128">P287*(J287-(J287*L287)-((J287-(J287*L287))*M287))</f>
        <v>0</v>
      </c>
    </row>
    <row r="288" spans="1:19" x14ac:dyDescent="0.2">
      <c r="A288" s="2" t="s">
        <v>702</v>
      </c>
      <c r="B288" s="3" t="s">
        <v>17</v>
      </c>
      <c r="D288" s="5" t="s">
        <v>39</v>
      </c>
      <c r="F288" s="7">
        <v>1</v>
      </c>
      <c r="G288" s="8" t="s">
        <v>19</v>
      </c>
      <c r="H288" s="7">
        <f>288/12</f>
        <v>24</v>
      </c>
      <c r="I288" s="8" t="s">
        <v>39</v>
      </c>
      <c r="J288" s="9">
        <f>10600*12</f>
        <v>127200</v>
      </c>
      <c r="K288" s="5" t="s">
        <v>39</v>
      </c>
      <c r="L288" s="10">
        <v>0.125</v>
      </c>
      <c r="M288" s="10">
        <v>0.05</v>
      </c>
      <c r="O288" s="8" t="s">
        <v>39</v>
      </c>
      <c r="P288" s="4">
        <f t="shared" si="123"/>
        <v>0</v>
      </c>
      <c r="Q288" s="8" t="s">
        <v>39</v>
      </c>
      <c r="R288" s="9">
        <f>S288/1.11</f>
        <v>0</v>
      </c>
      <c r="S288" s="9">
        <f t="shared" si="124"/>
        <v>0</v>
      </c>
    </row>
    <row r="289" spans="1:19" x14ac:dyDescent="0.2">
      <c r="A289" s="2" t="s">
        <v>187</v>
      </c>
      <c r="B289" s="3" t="s">
        <v>17</v>
      </c>
      <c r="D289" s="5" t="s">
        <v>39</v>
      </c>
      <c r="F289" s="7">
        <v>1</v>
      </c>
      <c r="G289" s="8" t="s">
        <v>19</v>
      </c>
      <c r="H289" s="7">
        <v>24</v>
      </c>
      <c r="I289" s="8" t="s">
        <v>39</v>
      </c>
      <c r="J289" s="9">
        <v>162000</v>
      </c>
      <c r="K289" s="5" t="s">
        <v>39</v>
      </c>
      <c r="L289" s="10">
        <v>0.125</v>
      </c>
      <c r="M289" s="10">
        <v>0.05</v>
      </c>
      <c r="O289" s="8" t="s">
        <v>39</v>
      </c>
      <c r="P289" s="4">
        <f t="shared" si="123"/>
        <v>0</v>
      </c>
      <c r="Q289" s="8" t="s">
        <v>39</v>
      </c>
      <c r="R289" s="9">
        <f>S289/1.11</f>
        <v>0</v>
      </c>
      <c r="S289" s="9">
        <f t="shared" si="124"/>
        <v>0</v>
      </c>
    </row>
    <row r="291" spans="1:19" x14ac:dyDescent="0.2">
      <c r="A291" s="2" t="s">
        <v>188</v>
      </c>
      <c r="B291" s="3" t="s">
        <v>24</v>
      </c>
      <c r="D291" s="5" t="s">
        <v>39</v>
      </c>
      <c r="F291" s="7">
        <v>1</v>
      </c>
      <c r="G291" s="8" t="s">
        <v>19</v>
      </c>
      <c r="H291" s="7">
        <v>30</v>
      </c>
      <c r="I291" s="8" t="s">
        <v>39</v>
      </c>
      <c r="J291" s="9">
        <f>1566000/30</f>
        <v>52200</v>
      </c>
      <c r="K291" s="5" t="s">
        <v>39</v>
      </c>
      <c r="M291" s="10">
        <v>0.17</v>
      </c>
      <c r="O291" s="8" t="s">
        <v>39</v>
      </c>
      <c r="P291" s="4">
        <f>(C291+(E291*F291*H291))-N291</f>
        <v>0</v>
      </c>
      <c r="Q291" s="8" t="s">
        <v>39</v>
      </c>
      <c r="R291" s="9">
        <f>S291/1.11</f>
        <v>0</v>
      </c>
      <c r="S291" s="9">
        <f>P291*(J291-(J291*L291)-((J291-(J291*L291))*M291))</f>
        <v>0</v>
      </c>
    </row>
    <row r="292" spans="1:19" x14ac:dyDescent="0.2">
      <c r="A292" s="2" t="s">
        <v>189</v>
      </c>
      <c r="B292" s="3" t="s">
        <v>24</v>
      </c>
      <c r="D292" s="5" t="s">
        <v>39</v>
      </c>
      <c r="F292" s="7">
        <v>1</v>
      </c>
      <c r="G292" s="8" t="s">
        <v>19</v>
      </c>
      <c r="H292" s="7">
        <v>30</v>
      </c>
      <c r="I292" s="8" t="s">
        <v>39</v>
      </c>
      <c r="J292" s="9">
        <f>1710000/30</f>
        <v>57000</v>
      </c>
      <c r="K292" s="5" t="s">
        <v>39</v>
      </c>
      <c r="M292" s="10">
        <v>0.17</v>
      </c>
      <c r="O292" s="8" t="s">
        <v>39</v>
      </c>
      <c r="P292" s="4">
        <f>(C292+(E292*F292*H292))-N292</f>
        <v>0</v>
      </c>
      <c r="Q292" s="8" t="s">
        <v>39</v>
      </c>
      <c r="R292" s="9">
        <f>S292/1.11</f>
        <v>0</v>
      </c>
      <c r="S292" s="9">
        <f>P292*(J292-(J292*L292)-((J292-(J292*L292))*M292))</f>
        <v>0</v>
      </c>
    </row>
    <row r="293" spans="1:19" x14ac:dyDescent="0.2">
      <c r="A293" s="2" t="s">
        <v>190</v>
      </c>
      <c r="B293" s="3" t="s">
        <v>24</v>
      </c>
      <c r="C293" s="4">
        <v>80</v>
      </c>
      <c r="D293" s="5" t="s">
        <v>39</v>
      </c>
      <c r="F293" s="7">
        <v>1</v>
      </c>
      <c r="G293" s="8" t="s">
        <v>19</v>
      </c>
      <c r="H293" s="7">
        <v>20</v>
      </c>
      <c r="I293" s="8" t="s">
        <v>39</v>
      </c>
      <c r="J293" s="9">
        <f>2952000/20</f>
        <v>147600</v>
      </c>
      <c r="K293" s="5" t="s">
        <v>39</v>
      </c>
      <c r="M293" s="10">
        <v>0.17</v>
      </c>
      <c r="O293" s="8" t="s">
        <v>39</v>
      </c>
      <c r="P293" s="4">
        <f>(C293+(E293*F293*H293))-N293</f>
        <v>80</v>
      </c>
      <c r="Q293" s="8" t="s">
        <v>39</v>
      </c>
      <c r="R293" s="9">
        <f>S293/1.11</f>
        <v>8829405.405405404</v>
      </c>
      <c r="S293" s="9">
        <f>P293*(J293-(J293*L293)-((J293-(J293*L293))*M293))</f>
        <v>9800640</v>
      </c>
    </row>
    <row r="295" spans="1:19" x14ac:dyDescent="0.2">
      <c r="A295" s="2" t="s">
        <v>652</v>
      </c>
      <c r="B295" s="3" t="s">
        <v>587</v>
      </c>
      <c r="D295" s="5" t="s">
        <v>39</v>
      </c>
      <c r="F295" s="7">
        <v>1</v>
      </c>
      <c r="G295" s="8" t="s">
        <v>19</v>
      </c>
      <c r="H295" s="7">
        <v>48</v>
      </c>
      <c r="I295" s="8" t="s">
        <v>39</v>
      </c>
      <c r="J295" s="9">
        <v>60600</v>
      </c>
      <c r="K295" s="5" t="s">
        <v>39</v>
      </c>
      <c r="L295" s="10">
        <v>0.15</v>
      </c>
      <c r="M295" s="10">
        <v>0.03</v>
      </c>
      <c r="O295" s="8" t="s">
        <v>39</v>
      </c>
      <c r="P295" s="4">
        <f>(C295+(E295*F295*H295))-N295</f>
        <v>0</v>
      </c>
      <c r="Q295" s="8" t="s">
        <v>39</v>
      </c>
      <c r="R295" s="9">
        <f>S295/1.11</f>
        <v>0</v>
      </c>
      <c r="S295" s="9">
        <f>P295*(J295-(J295*L295)-((J295-(J295*L295))*M295))</f>
        <v>0</v>
      </c>
    </row>
    <row r="296" spans="1:19" x14ac:dyDescent="0.2">
      <c r="A296" s="2" t="s">
        <v>956</v>
      </c>
      <c r="B296" s="3" t="s">
        <v>587</v>
      </c>
      <c r="D296" s="5" t="s">
        <v>39</v>
      </c>
      <c r="F296" s="7">
        <v>1</v>
      </c>
      <c r="G296" s="8" t="s">
        <v>19</v>
      </c>
      <c r="H296" s="7">
        <v>24</v>
      </c>
      <c r="I296" s="8" t="s">
        <v>39</v>
      </c>
      <c r="J296" s="9">
        <v>144000</v>
      </c>
      <c r="K296" s="5" t="s">
        <v>39</v>
      </c>
      <c r="L296" s="10">
        <v>0.15</v>
      </c>
      <c r="M296" s="10">
        <v>0.03</v>
      </c>
      <c r="O296" s="8" t="s">
        <v>39</v>
      </c>
      <c r="P296" s="4">
        <f>(C296+(E296*F296*H296))-N296</f>
        <v>0</v>
      </c>
      <c r="Q296" s="8" t="s">
        <v>39</v>
      </c>
      <c r="R296" s="9">
        <f>S296/1.11</f>
        <v>0</v>
      </c>
      <c r="S296" s="9">
        <f>P296*(J296-(J296*L296)-((J296-(J296*L296))*M296))</f>
        <v>0</v>
      </c>
    </row>
    <row r="298" spans="1:19" x14ac:dyDescent="0.2">
      <c r="A298" s="2" t="s">
        <v>758</v>
      </c>
      <c r="B298" s="2" t="s">
        <v>170</v>
      </c>
      <c r="C298" s="18">
        <v>240</v>
      </c>
      <c r="D298" s="19" t="s">
        <v>39</v>
      </c>
      <c r="E298" s="20"/>
      <c r="F298" s="21">
        <v>1</v>
      </c>
      <c r="G298" s="17" t="s">
        <v>19</v>
      </c>
      <c r="H298" s="21">
        <v>120</v>
      </c>
      <c r="I298" s="17" t="s">
        <v>39</v>
      </c>
      <c r="J298" s="22">
        <v>7500</v>
      </c>
      <c r="K298" s="19" t="s">
        <v>39</v>
      </c>
      <c r="L298" s="23">
        <v>0.05</v>
      </c>
      <c r="M298" s="23"/>
      <c r="N298" s="21"/>
      <c r="O298" s="17" t="s">
        <v>39</v>
      </c>
      <c r="P298" s="18">
        <f>(C298+(E298*F298*H298))-N298</f>
        <v>240</v>
      </c>
      <c r="Q298" s="17" t="s">
        <v>39</v>
      </c>
      <c r="R298" s="22">
        <f>S298/1.11</f>
        <v>1540540.5405405404</v>
      </c>
      <c r="S298" s="22">
        <f>P298*(J298-(J298*L298)-((J298-(J298*L298))*M298))</f>
        <v>1710000</v>
      </c>
    </row>
    <row r="299" spans="1:19" x14ac:dyDescent="0.2">
      <c r="A299" s="2" t="s">
        <v>764</v>
      </c>
      <c r="B299" s="2" t="s">
        <v>170</v>
      </c>
      <c r="C299" s="18"/>
      <c r="D299" s="19" t="s">
        <v>39</v>
      </c>
      <c r="E299" s="20"/>
      <c r="F299" s="21">
        <v>1</v>
      </c>
      <c r="G299" s="17" t="s">
        <v>19</v>
      </c>
      <c r="H299" s="21">
        <v>20</v>
      </c>
      <c r="I299" s="17" t="s">
        <v>39</v>
      </c>
      <c r="J299" s="22">
        <f>5500*12</f>
        <v>66000</v>
      </c>
      <c r="K299" s="19" t="s">
        <v>39</v>
      </c>
      <c r="L299" s="23">
        <v>0.05</v>
      </c>
      <c r="M299" s="23"/>
      <c r="N299" s="21"/>
      <c r="O299" s="17" t="s">
        <v>39</v>
      </c>
      <c r="P299" s="18">
        <f>(C299+(E299*F299*H299))-N299</f>
        <v>0</v>
      </c>
      <c r="Q299" s="17" t="s">
        <v>39</v>
      </c>
      <c r="R299" s="22">
        <f>S299/1.11</f>
        <v>0</v>
      </c>
      <c r="S299" s="22">
        <f>P299*(J299-(J299*L299)-((J299-(J299*L299))*M299))</f>
        <v>0</v>
      </c>
    </row>
    <row r="301" spans="1:19" x14ac:dyDescent="0.2">
      <c r="A301" s="30" t="s">
        <v>191</v>
      </c>
    </row>
    <row r="302" spans="1:19" x14ac:dyDescent="0.2">
      <c r="A302" s="2" t="s">
        <v>1025</v>
      </c>
      <c r="B302" s="3" t="s">
        <v>17</v>
      </c>
      <c r="D302" s="5" t="s">
        <v>39</v>
      </c>
      <c r="F302" s="7">
        <v>1</v>
      </c>
      <c r="G302" s="8" t="s">
        <v>19</v>
      </c>
      <c r="H302" s="7">
        <v>120</v>
      </c>
      <c r="I302" s="8" t="s">
        <v>39</v>
      </c>
      <c r="J302" s="9">
        <v>24600</v>
      </c>
      <c r="K302" s="5" t="s">
        <v>39</v>
      </c>
      <c r="L302" s="10">
        <v>0.125</v>
      </c>
      <c r="M302" s="10">
        <v>0.05</v>
      </c>
      <c r="O302" s="8" t="s">
        <v>39</v>
      </c>
      <c r="P302" s="4">
        <f>(C302+(E302*F302*H302))-N302</f>
        <v>0</v>
      </c>
      <c r="Q302" s="8" t="s">
        <v>39</v>
      </c>
      <c r="R302" s="9">
        <f>S302/1.11</f>
        <v>0</v>
      </c>
      <c r="S302" s="9">
        <f>P302*(J302-(J302*L302)-((J302-(J302*L302))*M302))</f>
        <v>0</v>
      </c>
    </row>
    <row r="303" spans="1:19" x14ac:dyDescent="0.2">
      <c r="A303" s="2" t="s">
        <v>719</v>
      </c>
      <c r="B303" s="3" t="s">
        <v>17</v>
      </c>
      <c r="D303" s="5" t="s">
        <v>39</v>
      </c>
      <c r="F303" s="7">
        <v>1</v>
      </c>
      <c r="G303" s="8" t="s">
        <v>19</v>
      </c>
      <c r="H303" s="7">
        <v>40</v>
      </c>
      <c r="I303" s="8" t="s">
        <v>39</v>
      </c>
      <c r="J303" s="9">
        <v>49200</v>
      </c>
      <c r="K303" s="5" t="s">
        <v>39</v>
      </c>
      <c r="L303" s="10">
        <v>0.125</v>
      </c>
      <c r="M303" s="10">
        <v>0.05</v>
      </c>
      <c r="O303" s="8" t="s">
        <v>39</v>
      </c>
      <c r="P303" s="4">
        <f>(C303+(E303*F303*H303))-N303</f>
        <v>0</v>
      </c>
      <c r="Q303" s="8" t="s">
        <v>39</v>
      </c>
      <c r="R303" s="9">
        <f>S303/1.11</f>
        <v>0</v>
      </c>
      <c r="S303" s="9">
        <f>P303*(J303-(J303*L303)-((J303-(J303*L303))*M303))</f>
        <v>0</v>
      </c>
    </row>
    <row r="305" spans="1:19" x14ac:dyDescent="0.2">
      <c r="A305" s="2" t="s">
        <v>192</v>
      </c>
      <c r="B305" s="3" t="s">
        <v>24</v>
      </c>
      <c r="C305" s="4">
        <v>720</v>
      </c>
      <c r="D305" s="5" t="s">
        <v>39</v>
      </c>
      <c r="F305" s="7">
        <v>1</v>
      </c>
      <c r="G305" s="8" t="s">
        <v>19</v>
      </c>
      <c r="H305" s="7">
        <v>120</v>
      </c>
      <c r="I305" s="8" t="s">
        <v>39</v>
      </c>
      <c r="J305" s="9">
        <f>3888000/120</f>
        <v>32400</v>
      </c>
      <c r="K305" s="5" t="s">
        <v>39</v>
      </c>
      <c r="L305" s="10">
        <v>0.03</v>
      </c>
      <c r="M305" s="10">
        <v>0.17</v>
      </c>
      <c r="O305" s="8" t="s">
        <v>39</v>
      </c>
      <c r="P305" s="4">
        <f>(C305+(E305*F305*H305))-N305</f>
        <v>720</v>
      </c>
      <c r="Q305" s="8" t="s">
        <v>39</v>
      </c>
      <c r="R305" s="9">
        <f>S305/1.11</f>
        <v>16920155.675675672</v>
      </c>
      <c r="S305" s="9">
        <f>P305*(J305-(J305*L305)-((J305-(J305*L305))*M305))</f>
        <v>18781372.799999997</v>
      </c>
    </row>
    <row r="306" spans="1:19" x14ac:dyDescent="0.2">
      <c r="A306" s="2" t="s">
        <v>193</v>
      </c>
      <c r="B306" s="3" t="s">
        <v>24</v>
      </c>
      <c r="C306" s="4">
        <v>2700</v>
      </c>
      <c r="D306" s="5" t="s">
        <v>39</v>
      </c>
      <c r="F306" s="7">
        <v>1</v>
      </c>
      <c r="G306" s="8" t="s">
        <v>19</v>
      </c>
      <c r="H306" s="7">
        <v>60</v>
      </c>
      <c r="I306" s="8" t="s">
        <v>39</v>
      </c>
      <c r="J306" s="9">
        <f>3888000/60</f>
        <v>64800</v>
      </c>
      <c r="K306" s="5" t="s">
        <v>39</v>
      </c>
      <c r="L306" s="10">
        <v>0.03</v>
      </c>
      <c r="M306" s="10">
        <v>0.17</v>
      </c>
      <c r="O306" s="8" t="s">
        <v>39</v>
      </c>
      <c r="P306" s="4">
        <f>(C306+(E306*F306*H306))-N306</f>
        <v>2700</v>
      </c>
      <c r="Q306" s="8" t="s">
        <v>39</v>
      </c>
      <c r="R306" s="9">
        <f>S306/1.11</f>
        <v>126901167.56756756</v>
      </c>
      <c r="S306" s="9">
        <f>P306*(J306-(J306*L306)-((J306-(J306*L306))*M306))</f>
        <v>140860296</v>
      </c>
    </row>
    <row r="308" spans="1:19" x14ac:dyDescent="0.2">
      <c r="A308" s="30" t="s">
        <v>194</v>
      </c>
    </row>
    <row r="309" spans="1:19" x14ac:dyDescent="0.2">
      <c r="A309" s="2" t="s">
        <v>780</v>
      </c>
      <c r="B309" s="3" t="s">
        <v>17</v>
      </c>
      <c r="D309" s="5" t="s">
        <v>18</v>
      </c>
      <c r="F309" s="7">
        <v>1</v>
      </c>
      <c r="G309" s="8" t="s">
        <v>19</v>
      </c>
      <c r="H309" s="7">
        <v>20</v>
      </c>
      <c r="I309" s="8" t="s">
        <v>18</v>
      </c>
      <c r="J309" s="9">
        <v>124000</v>
      </c>
      <c r="K309" s="5" t="s">
        <v>18</v>
      </c>
      <c r="L309" s="10">
        <v>0.125</v>
      </c>
      <c r="M309" s="10">
        <v>0.05</v>
      </c>
      <c r="O309" s="8" t="s">
        <v>18</v>
      </c>
      <c r="P309" s="4">
        <f>(C309+(E309*F309*H309))-N309</f>
        <v>0</v>
      </c>
      <c r="Q309" s="8" t="s">
        <v>18</v>
      </c>
      <c r="R309" s="9">
        <f>S309/1.11</f>
        <v>0</v>
      </c>
      <c r="S309" s="9">
        <f>P309*(J309-(J309*L309)-((J309-(J309*L309))*M309))</f>
        <v>0</v>
      </c>
    </row>
    <row r="310" spans="1:19" x14ac:dyDescent="0.2">
      <c r="A310" s="2" t="s">
        <v>195</v>
      </c>
      <c r="B310" s="3" t="s">
        <v>17</v>
      </c>
      <c r="D310" s="5" t="s">
        <v>18</v>
      </c>
      <c r="F310" s="7">
        <v>1</v>
      </c>
      <c r="G310" s="8" t="s">
        <v>19</v>
      </c>
      <c r="H310" s="7">
        <v>5</v>
      </c>
      <c r="I310" s="8" t="s">
        <v>18</v>
      </c>
      <c r="J310" s="9">
        <v>214000</v>
      </c>
      <c r="K310" s="5" t="s">
        <v>18</v>
      </c>
      <c r="L310" s="10">
        <v>0.125</v>
      </c>
      <c r="M310" s="10">
        <v>0.05</v>
      </c>
      <c r="O310" s="8" t="s">
        <v>18</v>
      </c>
      <c r="P310" s="4">
        <f>(C310+(E310*F310*H310))-N310</f>
        <v>0</v>
      </c>
      <c r="Q310" s="8" t="s">
        <v>18</v>
      </c>
      <c r="R310" s="9">
        <f>S310/1.11</f>
        <v>0</v>
      </c>
      <c r="S310" s="9">
        <f>P310*(J310-(J310*L310)-((J310-(J310*L310))*M310))</f>
        <v>0</v>
      </c>
    </row>
    <row r="311" spans="1:19" x14ac:dyDescent="0.2">
      <c r="A311" s="2" t="s">
        <v>196</v>
      </c>
      <c r="B311" s="3" t="s">
        <v>17</v>
      </c>
      <c r="D311" s="5" t="s">
        <v>18</v>
      </c>
      <c r="F311" s="7">
        <v>1</v>
      </c>
      <c r="G311" s="8" t="s">
        <v>19</v>
      </c>
      <c r="H311" s="7">
        <v>5</v>
      </c>
      <c r="I311" s="8" t="s">
        <v>18</v>
      </c>
      <c r="J311" s="9">
        <v>219000</v>
      </c>
      <c r="K311" s="5" t="s">
        <v>18</v>
      </c>
      <c r="L311" s="10">
        <v>0.125</v>
      </c>
      <c r="M311" s="10">
        <v>0.05</v>
      </c>
      <c r="O311" s="8" t="s">
        <v>18</v>
      </c>
      <c r="P311" s="4">
        <f>(C311+(E311*F311*H311))-N311</f>
        <v>0</v>
      </c>
      <c r="Q311" s="8" t="s">
        <v>18</v>
      </c>
      <c r="R311" s="9">
        <f>S311/1.11</f>
        <v>0</v>
      </c>
      <c r="S311" s="9">
        <f>P311*(J311-(J311*L311)-((J311-(J311*L311))*M311))</f>
        <v>0</v>
      </c>
    </row>
    <row r="312" spans="1:19" x14ac:dyDescent="0.2">
      <c r="A312" s="2" t="s">
        <v>197</v>
      </c>
      <c r="B312" s="3" t="s">
        <v>17</v>
      </c>
      <c r="D312" s="5" t="s">
        <v>18</v>
      </c>
      <c r="F312" s="7">
        <v>1</v>
      </c>
      <c r="G312" s="8" t="s">
        <v>19</v>
      </c>
      <c r="H312" s="7">
        <v>4</v>
      </c>
      <c r="I312" s="8" t="s">
        <v>18</v>
      </c>
      <c r="J312" s="9">
        <v>291000</v>
      </c>
      <c r="K312" s="5" t="s">
        <v>18</v>
      </c>
      <c r="L312" s="10">
        <v>0.125</v>
      </c>
      <c r="M312" s="10">
        <v>0.05</v>
      </c>
      <c r="O312" s="8" t="s">
        <v>18</v>
      </c>
      <c r="P312" s="4">
        <f>(C312+(E312*F312*H312))-N312</f>
        <v>0</v>
      </c>
      <c r="Q312" s="8" t="s">
        <v>18</v>
      </c>
      <c r="R312" s="9">
        <f>S312/1.11</f>
        <v>0</v>
      </c>
      <c r="S312" s="9">
        <f>P312*(J312-(J312*L312)-((J312-(J312*L312))*M312))</f>
        <v>0</v>
      </c>
    </row>
    <row r="314" spans="1:19" x14ac:dyDescent="0.2">
      <c r="A314" s="2" t="s">
        <v>198</v>
      </c>
      <c r="B314" s="3" t="s">
        <v>24</v>
      </c>
      <c r="D314" s="5" t="s">
        <v>18</v>
      </c>
      <c r="F314" s="7">
        <v>1</v>
      </c>
      <c r="G314" s="8" t="s">
        <v>19</v>
      </c>
      <c r="H314" s="7">
        <v>5</v>
      </c>
      <c r="I314" s="8" t="s">
        <v>18</v>
      </c>
      <c r="J314" s="9">
        <f>1125000/5</f>
        <v>225000</v>
      </c>
      <c r="K314" s="5" t="s">
        <v>18</v>
      </c>
      <c r="M314" s="10">
        <v>0.17</v>
      </c>
      <c r="O314" s="8" t="s">
        <v>18</v>
      </c>
      <c r="P314" s="4">
        <f>(C314+(E314*F314*H314))-N314</f>
        <v>0</v>
      </c>
      <c r="Q314" s="8" t="s">
        <v>18</v>
      </c>
      <c r="R314" s="9">
        <f>S314/1.11</f>
        <v>0</v>
      </c>
      <c r="S314" s="9">
        <f>P314*(J314-(J314*L314)-((J314-(J314*L314))*M314))</f>
        <v>0</v>
      </c>
    </row>
    <row r="315" spans="1:19" x14ac:dyDescent="0.2">
      <c r="A315" s="2" t="s">
        <v>199</v>
      </c>
      <c r="B315" s="3" t="s">
        <v>24</v>
      </c>
      <c r="D315" s="5" t="s">
        <v>18</v>
      </c>
      <c r="F315" s="7">
        <v>1</v>
      </c>
      <c r="G315" s="8" t="s">
        <v>19</v>
      </c>
      <c r="H315" s="7">
        <v>5</v>
      </c>
      <c r="I315" s="8" t="s">
        <v>18</v>
      </c>
      <c r="J315" s="9">
        <v>235000</v>
      </c>
      <c r="K315" s="5" t="s">
        <v>18</v>
      </c>
      <c r="M315" s="10">
        <v>0.17</v>
      </c>
      <c r="O315" s="8" t="s">
        <v>18</v>
      </c>
      <c r="P315" s="4">
        <f>(C315+(E315*F315*H315))-N315</f>
        <v>0</v>
      </c>
      <c r="Q315" s="8" t="s">
        <v>18</v>
      </c>
      <c r="R315" s="9">
        <f>S315/1.11</f>
        <v>0</v>
      </c>
      <c r="S315" s="9">
        <f>P315*(J315-(J315*L315)-((J315-(J315*L315))*M315))</f>
        <v>0</v>
      </c>
    </row>
    <row r="316" spans="1:19" x14ac:dyDescent="0.2">
      <c r="A316" s="2" t="s">
        <v>200</v>
      </c>
      <c r="B316" s="3" t="s">
        <v>24</v>
      </c>
      <c r="D316" s="5" t="s">
        <v>18</v>
      </c>
      <c r="F316" s="7">
        <v>1</v>
      </c>
      <c r="G316" s="8" t="s">
        <v>19</v>
      </c>
      <c r="H316" s="7">
        <v>4</v>
      </c>
      <c r="I316" s="8" t="s">
        <v>18</v>
      </c>
      <c r="J316" s="9">
        <f>1180000/4</f>
        <v>295000</v>
      </c>
      <c r="K316" s="5" t="s">
        <v>18</v>
      </c>
      <c r="M316" s="10">
        <v>0.17</v>
      </c>
      <c r="O316" s="8" t="s">
        <v>18</v>
      </c>
      <c r="P316" s="4">
        <f>(C316+(E316*F316*H316))-N316</f>
        <v>0</v>
      </c>
      <c r="Q316" s="8" t="s">
        <v>18</v>
      </c>
      <c r="R316" s="9">
        <f>S316/1.11</f>
        <v>0</v>
      </c>
      <c r="S316" s="9">
        <f>P316*(J316-(J316*L316)-((J316-(J316*L316))*M316))</f>
        <v>0</v>
      </c>
    </row>
    <row r="318" spans="1:19" ht="15.75" x14ac:dyDescent="0.25">
      <c r="A318" s="29" t="s">
        <v>730</v>
      </c>
    </row>
    <row r="319" spans="1:19" x14ac:dyDescent="0.2">
      <c r="A319" s="2" t="s">
        <v>731</v>
      </c>
      <c r="B319" s="3" t="s">
        <v>587</v>
      </c>
      <c r="D319" s="5" t="s">
        <v>18</v>
      </c>
      <c r="F319" s="7">
        <v>1</v>
      </c>
      <c r="G319" s="8" t="s">
        <v>19</v>
      </c>
      <c r="H319" s="7">
        <v>48</v>
      </c>
      <c r="I319" s="8" t="s">
        <v>18</v>
      </c>
      <c r="J319" s="9">
        <v>53000</v>
      </c>
      <c r="K319" s="5" t="s">
        <v>18</v>
      </c>
      <c r="L319" s="10">
        <v>0.17499999999999999</v>
      </c>
      <c r="M319" s="10">
        <v>1.0999999999999999E-2</v>
      </c>
      <c r="O319" s="8" t="s">
        <v>18</v>
      </c>
      <c r="P319" s="4">
        <f>(C319+(E319*F319*H319))-N319</f>
        <v>0</v>
      </c>
      <c r="Q319" s="8" t="s">
        <v>18</v>
      </c>
      <c r="R319" s="9">
        <f>S319/1.11</f>
        <v>0</v>
      </c>
      <c r="S319" s="9">
        <f>P319*(J319-(J319*L319)-((J319-(J319*L319))*M319))</f>
        <v>0</v>
      </c>
    </row>
    <row r="321" spans="1:19" ht="15.75" x14ac:dyDescent="0.25">
      <c r="A321" s="29" t="s">
        <v>201</v>
      </c>
    </row>
    <row r="322" spans="1:19" x14ac:dyDescent="0.2">
      <c r="A322" s="2" t="s">
        <v>789</v>
      </c>
      <c r="B322" s="3" t="s">
        <v>17</v>
      </c>
      <c r="D322" s="5" t="s">
        <v>18</v>
      </c>
      <c r="F322" s="7">
        <v>8</v>
      </c>
      <c r="G322" s="8" t="s">
        <v>32</v>
      </c>
      <c r="H322" s="7">
        <v>12</v>
      </c>
      <c r="I322" s="8" t="s">
        <v>18</v>
      </c>
      <c r="J322" s="9">
        <v>11500</v>
      </c>
      <c r="K322" s="5" t="s">
        <v>18</v>
      </c>
      <c r="L322" s="10">
        <v>0.125</v>
      </c>
      <c r="M322" s="10">
        <v>0.05</v>
      </c>
      <c r="O322" s="8" t="s">
        <v>18</v>
      </c>
      <c r="P322" s="4">
        <f>(C322+(E322*F322*H322))-N322</f>
        <v>0</v>
      </c>
      <c r="Q322" s="8" t="s">
        <v>18</v>
      </c>
      <c r="R322" s="9">
        <f>S322/1.11</f>
        <v>0</v>
      </c>
      <c r="S322" s="9">
        <f>P322*(J322-(J322*L322)-((J322-(J322*L322))*M322))</f>
        <v>0</v>
      </c>
    </row>
    <row r="323" spans="1:19" x14ac:dyDescent="0.2">
      <c r="A323" s="2" t="s">
        <v>202</v>
      </c>
      <c r="B323" s="3" t="s">
        <v>17</v>
      </c>
      <c r="D323" s="5" t="s">
        <v>18</v>
      </c>
      <c r="F323" s="7">
        <v>1</v>
      </c>
      <c r="G323" s="8" t="s">
        <v>19</v>
      </c>
      <c r="H323" s="7">
        <v>90</v>
      </c>
      <c r="I323" s="8" t="s">
        <v>18</v>
      </c>
      <c r="J323" s="9">
        <v>24000</v>
      </c>
      <c r="K323" s="5" t="s">
        <v>18</v>
      </c>
      <c r="L323" s="10">
        <v>0.125</v>
      </c>
      <c r="M323" s="10">
        <v>0.05</v>
      </c>
      <c r="O323" s="8" t="s">
        <v>18</v>
      </c>
      <c r="P323" s="4">
        <f>(C323+(E323*F323*H323))-N323</f>
        <v>0</v>
      </c>
      <c r="Q323" s="8" t="s">
        <v>18</v>
      </c>
      <c r="R323" s="9">
        <f>S323/1.11</f>
        <v>0</v>
      </c>
      <c r="S323" s="9">
        <f>P323*(J323-(J323*L323)-((J323-(J323*L323))*M323))</f>
        <v>0</v>
      </c>
    </row>
    <row r="324" spans="1:19" x14ac:dyDescent="0.2">
      <c r="A324" s="2" t="s">
        <v>203</v>
      </c>
      <c r="B324" s="3" t="s">
        <v>17</v>
      </c>
      <c r="C324" s="4">
        <v>48</v>
      </c>
      <c r="D324" s="5" t="s">
        <v>18</v>
      </c>
      <c r="F324" s="7">
        <v>1</v>
      </c>
      <c r="G324" s="8" t="s">
        <v>19</v>
      </c>
      <c r="H324" s="7">
        <v>48</v>
      </c>
      <c r="I324" s="8" t="s">
        <v>18</v>
      </c>
      <c r="J324" s="9">
        <v>26200</v>
      </c>
      <c r="K324" s="5" t="s">
        <v>18</v>
      </c>
      <c r="L324" s="10">
        <v>0.125</v>
      </c>
      <c r="M324" s="10">
        <v>0.05</v>
      </c>
      <c r="O324" s="8" t="s">
        <v>18</v>
      </c>
      <c r="P324" s="4">
        <f>(C324+(E324*F324*H324))-N324</f>
        <v>48</v>
      </c>
      <c r="Q324" s="8" t="s">
        <v>18</v>
      </c>
      <c r="R324" s="9">
        <f>S324/1.11</f>
        <v>941783.78378378367</v>
      </c>
      <c r="S324" s="9">
        <f>P324*(J324-(J324*L324)-((J324-(J324*L324))*M324))</f>
        <v>1045380</v>
      </c>
    </row>
    <row r="325" spans="1:19" x14ac:dyDescent="0.2">
      <c r="A325" s="2" t="s">
        <v>818</v>
      </c>
      <c r="B325" s="3" t="s">
        <v>17</v>
      </c>
      <c r="D325" s="5" t="s">
        <v>18</v>
      </c>
      <c r="F325" s="7">
        <v>1</v>
      </c>
      <c r="G325" s="8" t="s">
        <v>19</v>
      </c>
      <c r="H325" s="7">
        <v>50</v>
      </c>
      <c r="I325" s="8" t="s">
        <v>18</v>
      </c>
      <c r="J325" s="9">
        <v>20500</v>
      </c>
      <c r="K325" s="5" t="s">
        <v>18</v>
      </c>
      <c r="L325" s="10">
        <v>0.125</v>
      </c>
      <c r="M325" s="10">
        <v>0.05</v>
      </c>
      <c r="O325" s="8" t="s">
        <v>18</v>
      </c>
      <c r="P325" s="4">
        <f>(C325+(E325*F325*H325))-N325</f>
        <v>0</v>
      </c>
      <c r="Q325" s="8" t="s">
        <v>18</v>
      </c>
      <c r="R325" s="9">
        <f>S325/1.11</f>
        <v>0</v>
      </c>
      <c r="S325" s="9">
        <f>P325*(J325-(J325*L325)-((J325-(J325*L325))*M325))</f>
        <v>0</v>
      </c>
    </row>
    <row r="327" spans="1:19" x14ac:dyDescent="0.2">
      <c r="A327" s="2" t="s">
        <v>204</v>
      </c>
      <c r="B327" s="3" t="s">
        <v>24</v>
      </c>
      <c r="D327" s="5" t="s">
        <v>18</v>
      </c>
      <c r="F327" s="7">
        <v>1</v>
      </c>
      <c r="G327" s="8" t="s">
        <v>19</v>
      </c>
      <c r="H327" s="7">
        <v>24</v>
      </c>
      <c r="I327" s="8" t="s">
        <v>18</v>
      </c>
      <c r="J327" s="9">
        <f>720000/24</f>
        <v>30000</v>
      </c>
      <c r="K327" s="5" t="s">
        <v>18</v>
      </c>
      <c r="M327" s="10">
        <v>0.17</v>
      </c>
      <c r="O327" s="8" t="s">
        <v>18</v>
      </c>
      <c r="P327" s="4">
        <f>(C327+(E327*F327*H327))-N327</f>
        <v>0</v>
      </c>
      <c r="Q327" s="8" t="s">
        <v>18</v>
      </c>
      <c r="R327" s="9">
        <f>S327/1.11</f>
        <v>0</v>
      </c>
      <c r="S327" s="9">
        <f>P327*(J327-(J327*L327)-((J327-(J327*L327))*M327))</f>
        <v>0</v>
      </c>
    </row>
    <row r="328" spans="1:19" x14ac:dyDescent="0.2">
      <c r="A328" s="2" t="s">
        <v>205</v>
      </c>
      <c r="B328" s="3" t="s">
        <v>24</v>
      </c>
      <c r="D328" s="5" t="s">
        <v>18</v>
      </c>
      <c r="F328" s="7">
        <v>1</v>
      </c>
      <c r="G328" s="8" t="s">
        <v>19</v>
      </c>
      <c r="H328" s="7">
        <v>48</v>
      </c>
      <c r="I328" s="8" t="s">
        <v>18</v>
      </c>
      <c r="J328" s="9">
        <f>1152000/48</f>
        <v>24000</v>
      </c>
      <c r="K328" s="5" t="s">
        <v>18</v>
      </c>
      <c r="M328" s="10">
        <v>0.17</v>
      </c>
      <c r="O328" s="8" t="s">
        <v>18</v>
      </c>
      <c r="P328" s="4">
        <f>(C328+(E328*F328*H328))-N328</f>
        <v>0</v>
      </c>
      <c r="Q328" s="8" t="s">
        <v>18</v>
      </c>
      <c r="R328" s="9">
        <f>S328/1.11</f>
        <v>0</v>
      </c>
      <c r="S328" s="9">
        <f>P328*(J328-(J328*L328)-((J328-(J328*L328))*M328))</f>
        <v>0</v>
      </c>
    </row>
    <row r="330" spans="1:19" ht="15.75" x14ac:dyDescent="0.25">
      <c r="A330" s="29" t="s">
        <v>206</v>
      </c>
    </row>
    <row r="331" spans="1:19" x14ac:dyDescent="0.2">
      <c r="A331" s="30" t="s">
        <v>750</v>
      </c>
    </row>
    <row r="332" spans="1:19" x14ac:dyDescent="0.2">
      <c r="A332" s="2" t="s">
        <v>751</v>
      </c>
      <c r="B332" s="3" t="s">
        <v>24</v>
      </c>
      <c r="D332" s="5" t="s">
        <v>39</v>
      </c>
      <c r="F332" s="7">
        <v>1</v>
      </c>
      <c r="G332" s="8" t="s">
        <v>19</v>
      </c>
      <c r="H332" s="7">
        <v>40</v>
      </c>
      <c r="I332" s="8" t="s">
        <v>39</v>
      </c>
      <c r="J332" s="9">
        <v>32400</v>
      </c>
      <c r="K332" s="5" t="s">
        <v>39</v>
      </c>
      <c r="M332" s="10">
        <v>0.17</v>
      </c>
      <c r="O332" s="8" t="s">
        <v>39</v>
      </c>
      <c r="P332" s="4">
        <f>(C332+(E332*F332*H332))-N332</f>
        <v>0</v>
      </c>
      <c r="Q332" s="8" t="s">
        <v>39</v>
      </c>
      <c r="R332" s="9">
        <f>S332/1.11</f>
        <v>0</v>
      </c>
      <c r="S332" s="9">
        <f>P332*(J332-(J332*L332)-((J332-(J332*L332))*M332))</f>
        <v>0</v>
      </c>
    </row>
    <row r="334" spans="1:19" x14ac:dyDescent="0.2">
      <c r="A334" s="30" t="s">
        <v>207</v>
      </c>
    </row>
    <row r="335" spans="1:19" x14ac:dyDescent="0.2">
      <c r="A335" s="2" t="s">
        <v>208</v>
      </c>
      <c r="B335" s="3" t="s">
        <v>17</v>
      </c>
      <c r="D335" s="5" t="s">
        <v>18</v>
      </c>
      <c r="F335" s="7">
        <v>1</v>
      </c>
      <c r="G335" s="8" t="s">
        <v>19</v>
      </c>
      <c r="H335" s="7">
        <v>40</v>
      </c>
      <c r="I335" s="8" t="s">
        <v>18</v>
      </c>
      <c r="J335" s="9">
        <v>38500</v>
      </c>
      <c r="K335" s="5" t="s">
        <v>18</v>
      </c>
      <c r="L335" s="10">
        <v>0.125</v>
      </c>
      <c r="M335" s="10">
        <v>0.05</v>
      </c>
      <c r="O335" s="8" t="s">
        <v>18</v>
      </c>
      <c r="P335" s="4">
        <f>(C335+(E335*F335*H335))-N335</f>
        <v>0</v>
      </c>
      <c r="Q335" s="8" t="s">
        <v>18</v>
      </c>
      <c r="R335" s="9">
        <f>S335/1.11</f>
        <v>0</v>
      </c>
      <c r="S335" s="9">
        <f>P335*(J335-(J335*L335)-((J335-(J335*L335))*M335))</f>
        <v>0</v>
      </c>
    </row>
    <row r="337" spans="1:19" x14ac:dyDescent="0.2">
      <c r="A337" s="30" t="s">
        <v>209</v>
      </c>
    </row>
    <row r="338" spans="1:19" x14ac:dyDescent="0.2">
      <c r="A338" s="2" t="s">
        <v>720</v>
      </c>
      <c r="B338" s="3" t="s">
        <v>17</v>
      </c>
      <c r="D338" s="5" t="s">
        <v>18</v>
      </c>
      <c r="F338" s="7">
        <v>1</v>
      </c>
      <c r="G338" s="8" t="s">
        <v>19</v>
      </c>
      <c r="H338" s="7">
        <v>48</v>
      </c>
      <c r="I338" s="8" t="s">
        <v>18</v>
      </c>
      <c r="J338" s="9">
        <v>17600</v>
      </c>
      <c r="K338" s="5" t="s">
        <v>18</v>
      </c>
      <c r="L338" s="10">
        <v>0.125</v>
      </c>
      <c r="M338" s="10">
        <v>0.05</v>
      </c>
      <c r="O338" s="8" t="s">
        <v>18</v>
      </c>
      <c r="P338" s="4">
        <f>(C338+(E338*F338*H338))-N338</f>
        <v>0</v>
      </c>
      <c r="Q338" s="8" t="s">
        <v>18</v>
      </c>
      <c r="R338" s="9">
        <f>S338/1.11</f>
        <v>0</v>
      </c>
      <c r="S338" s="9">
        <f>P338*(J338-(J338*L338)-((J338-(J338*L338))*M338))</f>
        <v>0</v>
      </c>
    </row>
    <row r="340" spans="1:19" ht="15.75" x14ac:dyDescent="0.25">
      <c r="A340" s="29" t="s">
        <v>210</v>
      </c>
    </row>
    <row r="341" spans="1:19" x14ac:dyDescent="0.2">
      <c r="A341" s="30" t="s">
        <v>211</v>
      </c>
    </row>
    <row r="342" spans="1:19" x14ac:dyDescent="0.2">
      <c r="A342" s="2" t="s">
        <v>212</v>
      </c>
      <c r="B342" s="3" t="s">
        <v>24</v>
      </c>
      <c r="D342" s="5" t="s">
        <v>39</v>
      </c>
      <c r="F342" s="7">
        <v>1</v>
      </c>
      <c r="G342" s="8" t="s">
        <v>19</v>
      </c>
      <c r="H342" s="7">
        <v>50</v>
      </c>
      <c r="I342" s="8" t="s">
        <v>39</v>
      </c>
      <c r="J342" s="9">
        <v>37800</v>
      </c>
      <c r="K342" s="5" t="s">
        <v>39</v>
      </c>
      <c r="M342" s="10">
        <v>0.17</v>
      </c>
      <c r="O342" s="8" t="s">
        <v>39</v>
      </c>
      <c r="P342" s="4">
        <f>(C342+(E342*F342*H342))-N342</f>
        <v>0</v>
      </c>
      <c r="Q342" s="8" t="s">
        <v>39</v>
      </c>
      <c r="R342" s="9">
        <f>S342/1.11</f>
        <v>0</v>
      </c>
      <c r="S342" s="9">
        <f>P342*(J342-(J342*L342)-((J342-(J342*L342))*M342))</f>
        <v>0</v>
      </c>
    </row>
    <row r="343" spans="1:19" x14ac:dyDescent="0.2">
      <c r="A343" s="2" t="s">
        <v>738</v>
      </c>
      <c r="B343" s="3" t="s">
        <v>24</v>
      </c>
      <c r="D343" s="5" t="s">
        <v>39</v>
      </c>
      <c r="F343" s="7">
        <v>1</v>
      </c>
      <c r="G343" s="8" t="s">
        <v>19</v>
      </c>
      <c r="H343" s="7">
        <v>25</v>
      </c>
      <c r="I343" s="8" t="s">
        <v>39</v>
      </c>
      <c r="J343" s="9">
        <v>70800</v>
      </c>
      <c r="K343" s="5" t="s">
        <v>39</v>
      </c>
      <c r="M343" s="10">
        <v>0.17</v>
      </c>
      <c r="O343" s="8" t="s">
        <v>39</v>
      </c>
      <c r="P343" s="4">
        <f t="shared" ref="P343" si="129">(C343+(E343*F343*H343))-N343</f>
        <v>0</v>
      </c>
      <c r="Q343" s="8" t="s">
        <v>39</v>
      </c>
      <c r="R343" s="9">
        <f>S343/1.11</f>
        <v>0</v>
      </c>
      <c r="S343" s="9">
        <f t="shared" ref="S343" si="130">P343*(J343-(J343*L343)-((J343-(J343*L343))*M343))</f>
        <v>0</v>
      </c>
    </row>
    <row r="344" spans="1:19" x14ac:dyDescent="0.2">
      <c r="A344" s="2" t="s">
        <v>213</v>
      </c>
      <c r="B344" s="3" t="s">
        <v>24</v>
      </c>
      <c r="C344" s="4">
        <v>25</v>
      </c>
      <c r="D344" s="5" t="s">
        <v>39</v>
      </c>
      <c r="F344" s="7">
        <v>1</v>
      </c>
      <c r="G344" s="8" t="s">
        <v>19</v>
      </c>
      <c r="H344" s="7">
        <v>25</v>
      </c>
      <c r="I344" s="8" t="s">
        <v>39</v>
      </c>
      <c r="J344" s="9">
        <f>2100000/25</f>
        <v>84000</v>
      </c>
      <c r="K344" s="5" t="s">
        <v>39</v>
      </c>
      <c r="M344" s="10">
        <v>0.17</v>
      </c>
      <c r="O344" s="8" t="s">
        <v>39</v>
      </c>
      <c r="P344" s="4">
        <f t="shared" ref="P344:P348" si="131">(C344+(E344*F344*H344))-N344</f>
        <v>25</v>
      </c>
      <c r="Q344" s="8" t="s">
        <v>39</v>
      </c>
      <c r="R344" s="9">
        <f>S344/1.11</f>
        <v>1570270.2702702701</v>
      </c>
      <c r="S344" s="9">
        <f t="shared" ref="S344:S348" si="132">P344*(J344-(J344*L344)-((J344-(J344*L344))*M344))</f>
        <v>1743000</v>
      </c>
    </row>
    <row r="345" spans="1:19" x14ac:dyDescent="0.2">
      <c r="A345" s="2" t="s">
        <v>214</v>
      </c>
      <c r="B345" s="3" t="s">
        <v>24</v>
      </c>
      <c r="D345" s="5" t="s">
        <v>39</v>
      </c>
      <c r="F345" s="7">
        <v>1</v>
      </c>
      <c r="G345" s="8" t="s">
        <v>19</v>
      </c>
      <c r="H345" s="7">
        <v>10</v>
      </c>
      <c r="I345" s="8" t="s">
        <v>39</v>
      </c>
      <c r="J345" s="9">
        <f>1632000/10</f>
        <v>163200</v>
      </c>
      <c r="K345" s="5" t="s">
        <v>39</v>
      </c>
      <c r="M345" s="10">
        <v>0.17</v>
      </c>
      <c r="O345" s="8" t="s">
        <v>39</v>
      </c>
      <c r="P345" s="4">
        <f t="shared" si="131"/>
        <v>0</v>
      </c>
      <c r="Q345" s="8" t="s">
        <v>39</v>
      </c>
      <c r="R345" s="9">
        <f>S345/1.11</f>
        <v>0</v>
      </c>
      <c r="S345" s="9">
        <f t="shared" si="132"/>
        <v>0</v>
      </c>
    </row>
    <row r="346" spans="1:19" x14ac:dyDescent="0.2">
      <c r="A346" s="2" t="s">
        <v>215</v>
      </c>
      <c r="B346" s="3" t="s">
        <v>24</v>
      </c>
      <c r="D346" s="5" t="s">
        <v>39</v>
      </c>
      <c r="F346" s="7">
        <v>1</v>
      </c>
      <c r="G346" s="8" t="s">
        <v>19</v>
      </c>
      <c r="H346" s="7">
        <v>10</v>
      </c>
      <c r="I346" s="8" t="s">
        <v>39</v>
      </c>
      <c r="J346" s="9">
        <v>215400</v>
      </c>
      <c r="K346" s="5" t="s">
        <v>39</v>
      </c>
      <c r="M346" s="10">
        <v>0.17</v>
      </c>
      <c r="O346" s="8" t="s">
        <v>39</v>
      </c>
      <c r="P346" s="4">
        <f t="shared" ref="P346" si="133">(C346+(E346*F346*H346))-N346</f>
        <v>0</v>
      </c>
      <c r="Q346" s="8" t="s">
        <v>39</v>
      </c>
      <c r="R346" s="9">
        <f>S346/1.11</f>
        <v>0</v>
      </c>
      <c r="S346" s="9">
        <f t="shared" ref="S346" si="134">P346*(J346-(J346*L346)-((J346-(J346*L346))*M346))</f>
        <v>0</v>
      </c>
    </row>
    <row r="347" spans="1:19" x14ac:dyDescent="0.2">
      <c r="A347" s="2" t="s">
        <v>216</v>
      </c>
      <c r="B347" s="3" t="s">
        <v>24</v>
      </c>
      <c r="D347" s="5" t="s">
        <v>39</v>
      </c>
      <c r="F347" s="7">
        <v>1</v>
      </c>
      <c r="G347" s="8" t="s">
        <v>19</v>
      </c>
      <c r="H347" s="7">
        <v>10</v>
      </c>
      <c r="I347" s="8" t="s">
        <v>39</v>
      </c>
      <c r="J347" s="9">
        <f>2520000/10</f>
        <v>252000</v>
      </c>
      <c r="K347" s="5" t="s">
        <v>39</v>
      </c>
      <c r="M347" s="10">
        <v>0.17</v>
      </c>
      <c r="O347" s="8" t="s">
        <v>39</v>
      </c>
      <c r="P347" s="4">
        <f t="shared" si="131"/>
        <v>0</v>
      </c>
      <c r="Q347" s="8" t="s">
        <v>39</v>
      </c>
      <c r="R347" s="9">
        <f>S347/1.11</f>
        <v>0</v>
      </c>
      <c r="S347" s="9">
        <f t="shared" si="132"/>
        <v>0</v>
      </c>
    </row>
    <row r="348" spans="1:19" x14ac:dyDescent="0.2">
      <c r="A348" s="2" t="s">
        <v>217</v>
      </c>
      <c r="B348" s="3" t="s">
        <v>24</v>
      </c>
      <c r="D348" s="5" t="s">
        <v>18</v>
      </c>
      <c r="F348" s="7">
        <v>10</v>
      </c>
      <c r="G348" s="8" t="s">
        <v>39</v>
      </c>
      <c r="H348" s="7">
        <v>12</v>
      </c>
      <c r="I348" s="8" t="s">
        <v>18</v>
      </c>
      <c r="J348" s="9">
        <f>5220000/10/12</f>
        <v>43500</v>
      </c>
      <c r="K348" s="5" t="s">
        <v>18</v>
      </c>
      <c r="M348" s="10">
        <v>0.17</v>
      </c>
      <c r="O348" s="8" t="s">
        <v>18</v>
      </c>
      <c r="P348" s="4">
        <f t="shared" si="131"/>
        <v>0</v>
      </c>
      <c r="Q348" s="8" t="s">
        <v>18</v>
      </c>
      <c r="R348" s="9">
        <f>S348/1.11</f>
        <v>0</v>
      </c>
      <c r="S348" s="9">
        <f t="shared" si="132"/>
        <v>0</v>
      </c>
    </row>
    <row r="350" spans="1:19" x14ac:dyDescent="0.2">
      <c r="A350" s="30" t="s">
        <v>654</v>
      </c>
    </row>
    <row r="351" spans="1:19" x14ac:dyDescent="0.2">
      <c r="A351" s="2" t="s">
        <v>749</v>
      </c>
      <c r="D351" s="5" t="s">
        <v>39</v>
      </c>
      <c r="F351" s="7">
        <v>20</v>
      </c>
      <c r="G351" s="8" t="s">
        <v>32</v>
      </c>
      <c r="H351" s="7">
        <v>4</v>
      </c>
      <c r="I351" s="8" t="s">
        <v>39</v>
      </c>
      <c r="J351" s="9">
        <f>1400*12</f>
        <v>16800</v>
      </c>
      <c r="K351" s="5" t="s">
        <v>39</v>
      </c>
      <c r="L351" s="10">
        <v>0.05</v>
      </c>
      <c r="O351" s="8" t="s">
        <v>39</v>
      </c>
      <c r="P351" s="4">
        <f>(C351+(E351*F351*H351))-N351</f>
        <v>0</v>
      </c>
      <c r="Q351" s="8" t="s">
        <v>39</v>
      </c>
      <c r="R351" s="9">
        <f>S351/1.11</f>
        <v>0</v>
      </c>
      <c r="S351" s="9">
        <f>P351*(J351-(J351*L351)-((J351-(J351*L351))*M351))</f>
        <v>0</v>
      </c>
    </row>
    <row r="353" spans="1:19" x14ac:dyDescent="0.2">
      <c r="A353" s="2" t="s">
        <v>919</v>
      </c>
      <c r="B353" s="3" t="s">
        <v>170</v>
      </c>
      <c r="D353" s="5" t="s">
        <v>150</v>
      </c>
      <c r="F353" s="7">
        <v>1</v>
      </c>
      <c r="G353" s="8" t="s">
        <v>19</v>
      </c>
      <c r="H353" s="7">
        <v>640</v>
      </c>
      <c r="I353" s="8" t="s">
        <v>150</v>
      </c>
      <c r="J353" s="9">
        <v>2400</v>
      </c>
      <c r="K353" s="5" t="s">
        <v>150</v>
      </c>
      <c r="O353" s="8" t="s">
        <v>150</v>
      </c>
      <c r="P353" s="4">
        <f>(C353+(E353*F353*H353))-N353</f>
        <v>0</v>
      </c>
      <c r="Q353" s="8" t="s">
        <v>150</v>
      </c>
      <c r="R353" s="9">
        <f>S353/1.11</f>
        <v>0</v>
      </c>
      <c r="S353" s="9">
        <f>P353*(J353-(J353*L353)-((J353-(J353*L353))*M353))</f>
        <v>0</v>
      </c>
    </row>
    <row r="354" spans="1:19" x14ac:dyDescent="0.2">
      <c r="A354" s="2" t="s">
        <v>944</v>
      </c>
      <c r="B354" s="3" t="s">
        <v>170</v>
      </c>
      <c r="D354" s="5" t="s">
        <v>150</v>
      </c>
      <c r="F354" s="7">
        <v>1</v>
      </c>
      <c r="G354" s="8" t="s">
        <v>19</v>
      </c>
      <c r="H354" s="7">
        <v>640</v>
      </c>
      <c r="I354" s="8" t="s">
        <v>150</v>
      </c>
      <c r="J354" s="9">
        <v>2600</v>
      </c>
      <c r="K354" s="5" t="s">
        <v>150</v>
      </c>
      <c r="O354" s="8" t="s">
        <v>150</v>
      </c>
      <c r="P354" s="4">
        <f>(C354+(E354*F354*H354))-N354</f>
        <v>0</v>
      </c>
      <c r="Q354" s="8" t="s">
        <v>150</v>
      </c>
      <c r="R354" s="9">
        <f>S354/1.11</f>
        <v>0</v>
      </c>
      <c r="S354" s="9">
        <f>P354*(J354-(J354*L354)-((J354-(J354*L354))*M354))</f>
        <v>0</v>
      </c>
    </row>
    <row r="355" spans="1:19" x14ac:dyDescent="0.2">
      <c r="A355" s="2" t="s">
        <v>979</v>
      </c>
      <c r="B355" s="3" t="s">
        <v>170</v>
      </c>
      <c r="C355" s="4">
        <v>640</v>
      </c>
      <c r="D355" s="5" t="s">
        <v>150</v>
      </c>
      <c r="F355" s="7">
        <v>1</v>
      </c>
      <c r="G355" s="8" t="s">
        <v>19</v>
      </c>
      <c r="H355" s="7">
        <v>640</v>
      </c>
      <c r="I355" s="8" t="s">
        <v>150</v>
      </c>
      <c r="J355" s="9">
        <v>2400</v>
      </c>
      <c r="K355" s="5" t="s">
        <v>150</v>
      </c>
      <c r="L355" s="10">
        <v>7.0000000000000007E-2</v>
      </c>
      <c r="O355" s="8" t="s">
        <v>150</v>
      </c>
      <c r="P355" s="4">
        <f t="shared" ref="P355:P359" si="135">(C355+(E355*F355*H355))-N355</f>
        <v>640</v>
      </c>
      <c r="Q355" s="8" t="s">
        <v>150</v>
      </c>
      <c r="R355" s="9">
        <f>S355/1.11</f>
        <v>1286918.9189189188</v>
      </c>
      <c r="S355" s="9">
        <f t="shared" ref="S355:S359" si="136">P355*(J355-(J355*L355)-((J355-(J355*L355))*M355))</f>
        <v>1428480</v>
      </c>
    </row>
    <row r="356" spans="1:19" x14ac:dyDescent="0.2">
      <c r="A356" s="2" t="s">
        <v>980</v>
      </c>
      <c r="B356" s="3" t="s">
        <v>170</v>
      </c>
      <c r="C356" s="4">
        <v>640</v>
      </c>
      <c r="D356" s="5" t="s">
        <v>150</v>
      </c>
      <c r="F356" s="7">
        <v>1</v>
      </c>
      <c r="G356" s="8" t="s">
        <v>19</v>
      </c>
      <c r="H356" s="7">
        <v>640</v>
      </c>
      <c r="I356" s="8" t="s">
        <v>150</v>
      </c>
      <c r="J356" s="9">
        <v>2400</v>
      </c>
      <c r="K356" s="5" t="s">
        <v>150</v>
      </c>
      <c r="L356" s="10">
        <v>7.0000000000000007E-2</v>
      </c>
      <c r="O356" s="8" t="s">
        <v>150</v>
      </c>
      <c r="P356" s="4">
        <f t="shared" si="135"/>
        <v>640</v>
      </c>
      <c r="Q356" s="8" t="s">
        <v>150</v>
      </c>
      <c r="R356" s="9">
        <f>S356/1.11</f>
        <v>1286918.9189189188</v>
      </c>
      <c r="S356" s="9">
        <f t="shared" si="136"/>
        <v>1428480</v>
      </c>
    </row>
    <row r="357" spans="1:19" x14ac:dyDescent="0.2">
      <c r="A357" s="2" t="s">
        <v>944</v>
      </c>
      <c r="B357" s="3" t="s">
        <v>170</v>
      </c>
      <c r="C357" s="4">
        <v>640</v>
      </c>
      <c r="D357" s="5" t="s">
        <v>150</v>
      </c>
      <c r="F357" s="7">
        <v>1</v>
      </c>
      <c r="G357" s="8" t="s">
        <v>19</v>
      </c>
      <c r="H357" s="7">
        <v>640</v>
      </c>
      <c r="I357" s="8" t="s">
        <v>150</v>
      </c>
      <c r="J357" s="9">
        <v>2400</v>
      </c>
      <c r="K357" s="5" t="s">
        <v>150</v>
      </c>
      <c r="L357" s="10">
        <v>7.0000000000000007E-2</v>
      </c>
      <c r="O357" s="8" t="s">
        <v>150</v>
      </c>
      <c r="P357" s="4">
        <f t="shared" si="135"/>
        <v>640</v>
      </c>
      <c r="Q357" s="8" t="s">
        <v>150</v>
      </c>
      <c r="R357" s="9">
        <f>S357/1.11</f>
        <v>1286918.9189189188</v>
      </c>
      <c r="S357" s="9">
        <f t="shared" si="136"/>
        <v>1428480</v>
      </c>
    </row>
    <row r="358" spans="1:19" x14ac:dyDescent="0.2">
      <c r="A358" s="2" t="s">
        <v>981</v>
      </c>
      <c r="B358" s="3" t="s">
        <v>170</v>
      </c>
      <c r="C358" s="4">
        <v>640</v>
      </c>
      <c r="D358" s="5" t="s">
        <v>150</v>
      </c>
      <c r="F358" s="7">
        <v>1</v>
      </c>
      <c r="G358" s="8" t="s">
        <v>19</v>
      </c>
      <c r="H358" s="7">
        <v>640</v>
      </c>
      <c r="I358" s="8" t="s">
        <v>150</v>
      </c>
      <c r="J358" s="9">
        <v>2400</v>
      </c>
      <c r="K358" s="5" t="s">
        <v>150</v>
      </c>
      <c r="L358" s="10">
        <v>7.0000000000000007E-2</v>
      </c>
      <c r="O358" s="8" t="s">
        <v>150</v>
      </c>
      <c r="P358" s="4">
        <f t="shared" si="135"/>
        <v>640</v>
      </c>
      <c r="Q358" s="8" t="s">
        <v>150</v>
      </c>
      <c r="R358" s="9">
        <f>S358/1.11</f>
        <v>1286918.9189189188</v>
      </c>
      <c r="S358" s="9">
        <f t="shared" si="136"/>
        <v>1428480</v>
      </c>
    </row>
    <row r="359" spans="1:19" x14ac:dyDescent="0.2">
      <c r="A359" s="2" t="s">
        <v>982</v>
      </c>
      <c r="B359" s="3" t="s">
        <v>170</v>
      </c>
      <c r="D359" s="5" t="s">
        <v>150</v>
      </c>
      <c r="F359" s="7">
        <v>1</v>
      </c>
      <c r="G359" s="8" t="s">
        <v>19</v>
      </c>
      <c r="H359" s="7">
        <v>640</v>
      </c>
      <c r="I359" s="8" t="s">
        <v>150</v>
      </c>
      <c r="J359" s="9">
        <v>2400</v>
      </c>
      <c r="K359" s="5" t="s">
        <v>150</v>
      </c>
      <c r="L359" s="10">
        <v>7.0000000000000007E-2</v>
      </c>
      <c r="O359" s="8" t="s">
        <v>150</v>
      </c>
      <c r="P359" s="4">
        <f t="shared" si="135"/>
        <v>0</v>
      </c>
      <c r="Q359" s="8" t="s">
        <v>150</v>
      </c>
      <c r="R359" s="9">
        <f>S359/1.11</f>
        <v>0</v>
      </c>
      <c r="S359" s="9">
        <f t="shared" si="136"/>
        <v>0</v>
      </c>
    </row>
    <row r="361" spans="1:19" ht="15.75" x14ac:dyDescent="0.25">
      <c r="A361" s="29" t="s">
        <v>945</v>
      </c>
    </row>
    <row r="362" spans="1:19" x14ac:dyDescent="0.2">
      <c r="A362" s="2" t="s">
        <v>946</v>
      </c>
      <c r="B362" s="3" t="s">
        <v>17</v>
      </c>
      <c r="D362" s="5" t="s">
        <v>32</v>
      </c>
      <c r="F362" s="7">
        <v>1</v>
      </c>
      <c r="G362" s="8" t="s">
        <v>974</v>
      </c>
      <c r="H362" s="7">
        <v>4</v>
      </c>
      <c r="I362" s="8" t="s">
        <v>32</v>
      </c>
      <c r="J362" s="9">
        <v>216000</v>
      </c>
      <c r="K362" s="5" t="s">
        <v>32</v>
      </c>
      <c r="L362" s="10">
        <v>0.125</v>
      </c>
      <c r="M362" s="10">
        <v>0.05</v>
      </c>
      <c r="O362" s="8" t="s">
        <v>32</v>
      </c>
      <c r="P362" s="4">
        <f>(C362+(E362*F362*H362))-N362</f>
        <v>0</v>
      </c>
      <c r="Q362" s="8" t="s">
        <v>32</v>
      </c>
      <c r="R362" s="9">
        <f>S362/1.11</f>
        <v>0</v>
      </c>
      <c r="S362" s="9">
        <f>P362*(J362-(J362*L362)-((J362-(J362*L362))*M362))</f>
        <v>0</v>
      </c>
    </row>
    <row r="363" spans="1:19" x14ac:dyDescent="0.2">
      <c r="A363" s="2" t="s">
        <v>947</v>
      </c>
      <c r="B363" s="3" t="s">
        <v>17</v>
      </c>
      <c r="D363" s="5" t="s">
        <v>32</v>
      </c>
      <c r="F363" s="7">
        <v>1</v>
      </c>
      <c r="G363" s="8" t="s">
        <v>974</v>
      </c>
      <c r="H363" s="7">
        <v>4</v>
      </c>
      <c r="I363" s="8" t="s">
        <v>32</v>
      </c>
      <c r="J363" s="9">
        <v>184000</v>
      </c>
      <c r="K363" s="5" t="s">
        <v>32</v>
      </c>
      <c r="L363" s="10">
        <v>0.125</v>
      </c>
      <c r="M363" s="10">
        <v>0.05</v>
      </c>
      <c r="O363" s="8" t="s">
        <v>32</v>
      </c>
      <c r="P363" s="4">
        <f>(C363+(E363*F363*H363))-N363</f>
        <v>0</v>
      </c>
      <c r="Q363" s="8" t="s">
        <v>32</v>
      </c>
      <c r="R363" s="9">
        <f>S363/1.11</f>
        <v>0</v>
      </c>
      <c r="S363" s="9">
        <f>P363*(J363-(J363*L363)-((J363-(J363*L363))*M363))</f>
        <v>0</v>
      </c>
    </row>
    <row r="364" spans="1:19" ht="15.75" x14ac:dyDescent="0.25">
      <c r="A364" s="3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5.75" x14ac:dyDescent="0.25">
      <c r="A365" s="29" t="s">
        <v>218</v>
      </c>
    </row>
    <row r="366" spans="1:19" x14ac:dyDescent="0.2">
      <c r="A366" s="2" t="s">
        <v>219</v>
      </c>
      <c r="B366" s="3" t="s">
        <v>17</v>
      </c>
      <c r="D366" s="5" t="s">
        <v>18</v>
      </c>
      <c r="F366" s="7">
        <v>12</v>
      </c>
      <c r="G366" s="8" t="s">
        <v>32</v>
      </c>
      <c r="H366" s="7">
        <v>12</v>
      </c>
      <c r="I366" s="8" t="s">
        <v>18</v>
      </c>
      <c r="J366" s="9">
        <f>52500/12</f>
        <v>4375</v>
      </c>
      <c r="K366" s="5" t="s">
        <v>18</v>
      </c>
      <c r="L366" s="10">
        <v>0.125</v>
      </c>
      <c r="M366" s="10">
        <v>0.05</v>
      </c>
      <c r="O366" s="8" t="s">
        <v>18</v>
      </c>
      <c r="P366" s="4">
        <f t="shared" ref="P366:P379" si="137">(C366+(E366*F366*H366))-N366</f>
        <v>0</v>
      </c>
      <c r="Q366" s="8" t="s">
        <v>18</v>
      </c>
      <c r="R366" s="9">
        <f>S366/1.11</f>
        <v>0</v>
      </c>
      <c r="S366" s="9">
        <f t="shared" ref="S366:S379" si="138">P366*(J366-(J366*L366)-((J366-(J366*L366))*M366))</f>
        <v>0</v>
      </c>
    </row>
    <row r="367" spans="1:19" x14ac:dyDescent="0.2">
      <c r="A367" s="2" t="s">
        <v>806</v>
      </c>
      <c r="B367" s="3" t="s">
        <v>17</v>
      </c>
      <c r="D367" s="5" t="s">
        <v>18</v>
      </c>
      <c r="F367" s="7">
        <v>12</v>
      </c>
      <c r="G367" s="8" t="s">
        <v>32</v>
      </c>
      <c r="H367" s="7">
        <v>12</v>
      </c>
      <c r="I367" s="8" t="s">
        <v>18</v>
      </c>
      <c r="J367" s="9">
        <v>7200</v>
      </c>
      <c r="K367" s="5" t="s">
        <v>18</v>
      </c>
      <c r="L367" s="10">
        <v>0.125</v>
      </c>
      <c r="M367" s="10">
        <v>0.05</v>
      </c>
      <c r="O367" s="8" t="s">
        <v>18</v>
      </c>
      <c r="P367" s="4">
        <f t="shared" ref="P367" si="139">(C367+(E367*F367*H367))-N367</f>
        <v>0</v>
      </c>
      <c r="Q367" s="8" t="s">
        <v>18</v>
      </c>
      <c r="R367" s="9">
        <f>S367/1.11</f>
        <v>0</v>
      </c>
      <c r="S367" s="9">
        <f>P367*(J367-(J367*L367)-((J367-(J367*L367))*M367))</f>
        <v>0</v>
      </c>
    </row>
    <row r="368" spans="1:19" x14ac:dyDescent="0.2">
      <c r="A368" s="2" t="s">
        <v>220</v>
      </c>
      <c r="B368" s="3" t="s">
        <v>17</v>
      </c>
      <c r="D368" s="5" t="s">
        <v>18</v>
      </c>
      <c r="F368" s="7">
        <v>12</v>
      </c>
      <c r="G368" s="8" t="s">
        <v>32</v>
      </c>
      <c r="H368" s="7">
        <v>12</v>
      </c>
      <c r="I368" s="8" t="s">
        <v>18</v>
      </c>
      <c r="J368" s="9">
        <v>20500</v>
      </c>
      <c r="K368" s="5" t="s">
        <v>18</v>
      </c>
      <c r="L368" s="10">
        <v>0.125</v>
      </c>
      <c r="M368" s="10">
        <v>0.05</v>
      </c>
      <c r="O368" s="8" t="s">
        <v>18</v>
      </c>
      <c r="P368" s="4">
        <f t="shared" si="137"/>
        <v>0</v>
      </c>
      <c r="Q368" s="8" t="s">
        <v>18</v>
      </c>
      <c r="R368" s="9">
        <f>S368/1.11</f>
        <v>0</v>
      </c>
      <c r="S368" s="9">
        <f t="shared" si="138"/>
        <v>0</v>
      </c>
    </row>
    <row r="369" spans="1:19" x14ac:dyDescent="0.2">
      <c r="A369" s="2" t="s">
        <v>221</v>
      </c>
      <c r="B369" s="3" t="s">
        <v>17</v>
      </c>
      <c r="D369" s="5" t="s">
        <v>18</v>
      </c>
      <c r="F369" s="7">
        <v>12</v>
      </c>
      <c r="G369" s="8" t="s">
        <v>32</v>
      </c>
      <c r="H369" s="7">
        <v>12</v>
      </c>
      <c r="I369" s="8" t="s">
        <v>18</v>
      </c>
      <c r="J369" s="9">
        <v>22000</v>
      </c>
      <c r="K369" s="5" t="s">
        <v>18</v>
      </c>
      <c r="L369" s="10">
        <v>0.125</v>
      </c>
      <c r="M369" s="10">
        <v>0.05</v>
      </c>
      <c r="O369" s="8" t="s">
        <v>18</v>
      </c>
      <c r="P369" s="4">
        <f t="shared" si="137"/>
        <v>0</v>
      </c>
      <c r="Q369" s="8" t="s">
        <v>18</v>
      </c>
      <c r="R369" s="9">
        <f>S369/1.11</f>
        <v>0</v>
      </c>
      <c r="S369" s="9">
        <f t="shared" si="138"/>
        <v>0</v>
      </c>
    </row>
    <row r="370" spans="1:19" x14ac:dyDescent="0.2">
      <c r="A370" s="2" t="s">
        <v>222</v>
      </c>
      <c r="B370" s="3" t="s">
        <v>17</v>
      </c>
      <c r="D370" s="5" t="s">
        <v>18</v>
      </c>
      <c r="F370" s="7">
        <v>12</v>
      </c>
      <c r="G370" s="8" t="s">
        <v>32</v>
      </c>
      <c r="H370" s="7">
        <v>12</v>
      </c>
      <c r="I370" s="8" t="s">
        <v>18</v>
      </c>
      <c r="J370" s="9">
        <v>4350</v>
      </c>
      <c r="K370" s="5" t="s">
        <v>18</v>
      </c>
      <c r="L370" s="10">
        <v>0.125</v>
      </c>
      <c r="M370" s="10">
        <v>0.05</v>
      </c>
      <c r="O370" s="8" t="s">
        <v>18</v>
      </c>
      <c r="P370" s="4">
        <f t="shared" si="137"/>
        <v>0</v>
      </c>
      <c r="Q370" s="8" t="s">
        <v>18</v>
      </c>
      <c r="R370" s="9">
        <f>S370/1.11</f>
        <v>0</v>
      </c>
      <c r="S370" s="9">
        <f t="shared" si="138"/>
        <v>0</v>
      </c>
    </row>
    <row r="371" spans="1:19" x14ac:dyDescent="0.2">
      <c r="A371" s="2" t="s">
        <v>223</v>
      </c>
      <c r="B371" s="3" t="s">
        <v>17</v>
      </c>
      <c r="D371" s="5" t="s">
        <v>18</v>
      </c>
      <c r="F371" s="7">
        <v>12</v>
      </c>
      <c r="G371" s="8" t="s">
        <v>32</v>
      </c>
      <c r="H371" s="7">
        <v>12</v>
      </c>
      <c r="I371" s="8" t="s">
        <v>18</v>
      </c>
      <c r="J371" s="9">
        <v>6500</v>
      </c>
      <c r="K371" s="5" t="s">
        <v>18</v>
      </c>
      <c r="L371" s="10">
        <v>0.125</v>
      </c>
      <c r="M371" s="10">
        <v>0.05</v>
      </c>
      <c r="O371" s="8" t="s">
        <v>18</v>
      </c>
      <c r="P371" s="4">
        <f t="shared" si="137"/>
        <v>0</v>
      </c>
      <c r="Q371" s="8" t="s">
        <v>18</v>
      </c>
      <c r="R371" s="9">
        <f>S371/1.11</f>
        <v>0</v>
      </c>
      <c r="S371" s="9">
        <f t="shared" si="138"/>
        <v>0</v>
      </c>
    </row>
    <row r="372" spans="1:19" x14ac:dyDescent="0.2">
      <c r="A372" s="2" t="s">
        <v>224</v>
      </c>
      <c r="B372" s="3" t="s">
        <v>17</v>
      </c>
      <c r="D372" s="5" t="s">
        <v>18</v>
      </c>
      <c r="F372" s="7">
        <v>12</v>
      </c>
      <c r="G372" s="8" t="s">
        <v>32</v>
      </c>
      <c r="H372" s="7">
        <v>12</v>
      </c>
      <c r="I372" s="8" t="s">
        <v>18</v>
      </c>
      <c r="J372" s="9">
        <v>9750</v>
      </c>
      <c r="K372" s="5" t="s">
        <v>18</v>
      </c>
      <c r="L372" s="10">
        <v>0.125</v>
      </c>
      <c r="M372" s="10">
        <v>0.05</v>
      </c>
      <c r="O372" s="8" t="s">
        <v>18</v>
      </c>
      <c r="P372" s="4">
        <f t="shared" si="137"/>
        <v>0</v>
      </c>
      <c r="Q372" s="8" t="s">
        <v>18</v>
      </c>
      <c r="R372" s="9">
        <f>S372/1.11</f>
        <v>0</v>
      </c>
      <c r="S372" s="9">
        <f t="shared" si="138"/>
        <v>0</v>
      </c>
    </row>
    <row r="373" spans="1:19" x14ac:dyDescent="0.2">
      <c r="A373" s="2" t="s">
        <v>885</v>
      </c>
      <c r="B373" s="3" t="s">
        <v>17</v>
      </c>
      <c r="D373" s="5" t="s">
        <v>18</v>
      </c>
      <c r="F373" s="7">
        <v>12</v>
      </c>
      <c r="G373" s="8" t="s">
        <v>32</v>
      </c>
      <c r="H373" s="7">
        <v>12</v>
      </c>
      <c r="I373" s="8" t="s">
        <v>18</v>
      </c>
      <c r="J373" s="9">
        <v>17700</v>
      </c>
      <c r="K373" s="5" t="s">
        <v>18</v>
      </c>
      <c r="L373" s="10">
        <v>0.125</v>
      </c>
      <c r="M373" s="10">
        <v>0.05</v>
      </c>
      <c r="O373" s="8" t="s">
        <v>18</v>
      </c>
      <c r="P373" s="4">
        <f t="shared" ref="P373" si="140">(C373+(E373*F373*H373))-N373</f>
        <v>0</v>
      </c>
      <c r="Q373" s="8" t="s">
        <v>18</v>
      </c>
      <c r="R373" s="9">
        <f>S373/1.11</f>
        <v>0</v>
      </c>
      <c r="S373" s="9">
        <f t="shared" ref="S373" si="141">P373*(J373-(J373*L373)-((J373-(J373*L373))*M373))</f>
        <v>0</v>
      </c>
    </row>
    <row r="374" spans="1:19" x14ac:dyDescent="0.2">
      <c r="A374" s="2" t="s">
        <v>225</v>
      </c>
      <c r="B374" s="3" t="s">
        <v>17</v>
      </c>
      <c r="D374" s="5" t="s">
        <v>18</v>
      </c>
      <c r="F374" s="7">
        <v>6</v>
      </c>
      <c r="G374" s="8" t="s">
        <v>32</v>
      </c>
      <c r="H374" s="7">
        <v>12</v>
      </c>
      <c r="I374" s="8" t="s">
        <v>18</v>
      </c>
      <c r="J374" s="9">
        <v>19200</v>
      </c>
      <c r="K374" s="5" t="s">
        <v>18</v>
      </c>
      <c r="L374" s="10">
        <v>0.125</v>
      </c>
      <c r="M374" s="10">
        <v>0.05</v>
      </c>
      <c r="O374" s="8" t="s">
        <v>18</v>
      </c>
      <c r="P374" s="4">
        <f t="shared" si="137"/>
        <v>0</v>
      </c>
      <c r="Q374" s="8" t="s">
        <v>18</v>
      </c>
      <c r="R374" s="9">
        <f>S374/1.11</f>
        <v>0</v>
      </c>
      <c r="S374" s="9">
        <f t="shared" si="138"/>
        <v>0</v>
      </c>
    </row>
    <row r="375" spans="1:19" x14ac:dyDescent="0.2">
      <c r="A375" s="2" t="s">
        <v>226</v>
      </c>
      <c r="B375" s="3" t="s">
        <v>17</v>
      </c>
      <c r="D375" s="5" t="s">
        <v>18</v>
      </c>
      <c r="F375" s="7">
        <v>12</v>
      </c>
      <c r="G375" s="8" t="s">
        <v>32</v>
      </c>
      <c r="H375" s="7">
        <v>12</v>
      </c>
      <c r="I375" s="8" t="s">
        <v>18</v>
      </c>
      <c r="J375" s="9">
        <v>6100</v>
      </c>
      <c r="K375" s="5" t="s">
        <v>18</v>
      </c>
      <c r="L375" s="10">
        <v>0.125</v>
      </c>
      <c r="M375" s="10">
        <v>0.05</v>
      </c>
      <c r="O375" s="8" t="s">
        <v>18</v>
      </c>
      <c r="P375" s="4">
        <f t="shared" ref="P375" si="142">(C375+(E375*F375*H375))-N375</f>
        <v>0</v>
      </c>
      <c r="Q375" s="8" t="s">
        <v>18</v>
      </c>
      <c r="R375" s="9">
        <f>S375/1.11</f>
        <v>0</v>
      </c>
      <c r="S375" s="9">
        <f t="shared" ref="S375" si="143">P375*(J375-(J375*L375)-((J375-(J375*L375))*M375))</f>
        <v>0</v>
      </c>
    </row>
    <row r="376" spans="1:19" x14ac:dyDescent="0.2">
      <c r="A376" s="2" t="s">
        <v>227</v>
      </c>
      <c r="B376" s="3" t="s">
        <v>17</v>
      </c>
      <c r="D376" s="5" t="s">
        <v>18</v>
      </c>
      <c r="F376" s="7">
        <v>12</v>
      </c>
      <c r="G376" s="8" t="s">
        <v>32</v>
      </c>
      <c r="H376" s="7">
        <v>12</v>
      </c>
      <c r="I376" s="8" t="s">
        <v>18</v>
      </c>
      <c r="J376" s="9">
        <v>7700</v>
      </c>
      <c r="K376" s="5" t="s">
        <v>18</v>
      </c>
      <c r="L376" s="10">
        <v>0.125</v>
      </c>
      <c r="M376" s="10">
        <v>0.05</v>
      </c>
      <c r="O376" s="8" t="s">
        <v>18</v>
      </c>
      <c r="P376" s="4">
        <f t="shared" si="137"/>
        <v>0</v>
      </c>
      <c r="Q376" s="8" t="s">
        <v>18</v>
      </c>
      <c r="R376" s="9">
        <f>S376/1.11</f>
        <v>0</v>
      </c>
      <c r="S376" s="9">
        <f t="shared" si="138"/>
        <v>0</v>
      </c>
    </row>
    <row r="377" spans="1:19" x14ac:dyDescent="0.2">
      <c r="A377" s="2" t="s">
        <v>228</v>
      </c>
      <c r="B377" s="3" t="s">
        <v>17</v>
      </c>
      <c r="C377" s="64"/>
      <c r="D377" s="5" t="s">
        <v>18</v>
      </c>
      <c r="F377" s="7">
        <v>12</v>
      </c>
      <c r="G377" s="8" t="s">
        <v>32</v>
      </c>
      <c r="H377" s="7">
        <v>12</v>
      </c>
      <c r="I377" s="8" t="s">
        <v>18</v>
      </c>
      <c r="J377" s="9">
        <v>12000</v>
      </c>
      <c r="K377" s="5" t="s">
        <v>18</v>
      </c>
      <c r="L377" s="10">
        <v>0.125</v>
      </c>
      <c r="M377" s="10">
        <v>0.05</v>
      </c>
      <c r="O377" s="8" t="s">
        <v>18</v>
      </c>
      <c r="P377" s="4">
        <f t="shared" ref="P377" si="144">(C377+(E377*F377*H377))-N377</f>
        <v>0</v>
      </c>
      <c r="Q377" s="8" t="s">
        <v>18</v>
      </c>
      <c r="R377" s="9">
        <f>S377/1.11</f>
        <v>0</v>
      </c>
      <c r="S377" s="9">
        <f t="shared" ref="S377" si="145">P377*(J377-(J377*L377)-((J377-(J377*L377))*M377))</f>
        <v>0</v>
      </c>
    </row>
    <row r="378" spans="1:19" x14ac:dyDescent="0.2">
      <c r="A378" s="2" t="s">
        <v>229</v>
      </c>
      <c r="B378" s="3" t="s">
        <v>17</v>
      </c>
      <c r="D378" s="5" t="s">
        <v>18</v>
      </c>
      <c r="F378" s="7">
        <v>12</v>
      </c>
      <c r="G378" s="8" t="s">
        <v>32</v>
      </c>
      <c r="H378" s="7">
        <v>12</v>
      </c>
      <c r="I378" s="8" t="s">
        <v>18</v>
      </c>
      <c r="J378" s="9">
        <v>7600</v>
      </c>
      <c r="K378" s="5" t="s">
        <v>18</v>
      </c>
      <c r="L378" s="10">
        <v>0.125</v>
      </c>
      <c r="M378" s="10">
        <v>0.05</v>
      </c>
      <c r="O378" s="8" t="s">
        <v>18</v>
      </c>
      <c r="P378" s="4">
        <f t="shared" si="137"/>
        <v>0</v>
      </c>
      <c r="Q378" s="8" t="s">
        <v>18</v>
      </c>
      <c r="R378" s="9">
        <f>S378/1.11</f>
        <v>0</v>
      </c>
      <c r="S378" s="9">
        <f t="shared" si="138"/>
        <v>0</v>
      </c>
    </row>
    <row r="379" spans="1:19" x14ac:dyDescent="0.2">
      <c r="A379" s="2" t="s">
        <v>230</v>
      </c>
      <c r="B379" s="3" t="s">
        <v>17</v>
      </c>
      <c r="D379" s="5" t="s">
        <v>18</v>
      </c>
      <c r="F379" s="7">
        <v>8</v>
      </c>
      <c r="G379" s="8" t="s">
        <v>32</v>
      </c>
      <c r="H379" s="7">
        <v>6</v>
      </c>
      <c r="I379" s="8" t="s">
        <v>18</v>
      </c>
      <c r="J379" s="9">
        <v>65000</v>
      </c>
      <c r="K379" s="5" t="s">
        <v>18</v>
      </c>
      <c r="L379" s="10">
        <v>0.125</v>
      </c>
      <c r="M379" s="10">
        <v>0.05</v>
      </c>
      <c r="O379" s="8" t="s">
        <v>18</v>
      </c>
      <c r="P379" s="4">
        <f t="shared" si="137"/>
        <v>0</v>
      </c>
      <c r="Q379" s="8" t="s">
        <v>18</v>
      </c>
      <c r="R379" s="9">
        <f>S379/1.11</f>
        <v>0</v>
      </c>
      <c r="S379" s="9">
        <f t="shared" si="138"/>
        <v>0</v>
      </c>
    </row>
    <row r="381" spans="1:19" x14ac:dyDescent="0.2">
      <c r="A381" s="2" t="s">
        <v>231</v>
      </c>
      <c r="B381" s="3" t="s">
        <v>24</v>
      </c>
      <c r="D381" s="5" t="s">
        <v>39</v>
      </c>
      <c r="F381" s="7">
        <v>1</v>
      </c>
      <c r="G381" s="8" t="s">
        <v>19</v>
      </c>
      <c r="H381" s="7">
        <v>25</v>
      </c>
      <c r="I381" s="8" t="s">
        <v>39</v>
      </c>
      <c r="J381" s="9">
        <v>56400</v>
      </c>
      <c r="K381" s="5" t="s">
        <v>39</v>
      </c>
      <c r="M381" s="10">
        <v>0.17</v>
      </c>
      <c r="O381" s="8" t="s">
        <v>39</v>
      </c>
      <c r="P381" s="4">
        <f t="shared" ref="P381:P385" si="146">(C381+(E381*F381*H381))-N381</f>
        <v>0</v>
      </c>
      <c r="Q381" s="8" t="s">
        <v>39</v>
      </c>
      <c r="R381" s="9">
        <f>S381/1.11</f>
        <v>0</v>
      </c>
      <c r="S381" s="9">
        <f t="shared" ref="S381:S385" si="147">P381*(J381-(J381*L381)-((J381-(J381*L381))*M381))</f>
        <v>0</v>
      </c>
    </row>
    <row r="382" spans="1:19" x14ac:dyDescent="0.2">
      <c r="A382" s="2" t="s">
        <v>232</v>
      </c>
      <c r="B382" s="3" t="s">
        <v>24</v>
      </c>
      <c r="C382" s="4">
        <v>150</v>
      </c>
      <c r="D382" s="5" t="s">
        <v>39</v>
      </c>
      <c r="F382" s="7">
        <v>1</v>
      </c>
      <c r="G382" s="8" t="s">
        <v>19</v>
      </c>
      <c r="H382" s="7">
        <v>25</v>
      </c>
      <c r="I382" s="8" t="s">
        <v>39</v>
      </c>
      <c r="J382" s="9">
        <v>79800</v>
      </c>
      <c r="K382" s="5" t="s">
        <v>39</v>
      </c>
      <c r="M382" s="10">
        <v>0.17</v>
      </c>
      <c r="O382" s="8" t="s">
        <v>39</v>
      </c>
      <c r="P382" s="4">
        <f t="shared" si="146"/>
        <v>150</v>
      </c>
      <c r="Q382" s="8" t="s">
        <v>39</v>
      </c>
      <c r="R382" s="9">
        <f>S382/1.11</f>
        <v>8950540.5405405406</v>
      </c>
      <c r="S382" s="9">
        <f t="shared" si="147"/>
        <v>9935100</v>
      </c>
    </row>
    <row r="383" spans="1:19" x14ac:dyDescent="0.2">
      <c r="A383" s="2" t="s">
        <v>233</v>
      </c>
      <c r="B383" s="3" t="s">
        <v>24</v>
      </c>
      <c r="D383" s="5" t="s">
        <v>39</v>
      </c>
      <c r="F383" s="7">
        <v>1</v>
      </c>
      <c r="G383" s="8" t="s">
        <v>19</v>
      </c>
      <c r="H383" s="7">
        <v>10</v>
      </c>
      <c r="I383" s="8" t="s">
        <v>39</v>
      </c>
      <c r="J383" s="9">
        <v>118800</v>
      </c>
      <c r="K383" s="5" t="s">
        <v>39</v>
      </c>
      <c r="M383" s="10">
        <v>0.17</v>
      </c>
      <c r="O383" s="8" t="s">
        <v>39</v>
      </c>
      <c r="P383" s="4">
        <f t="shared" si="146"/>
        <v>0</v>
      </c>
      <c r="Q383" s="8" t="s">
        <v>39</v>
      </c>
      <c r="R383" s="9">
        <f>S383/1.11</f>
        <v>0</v>
      </c>
      <c r="S383" s="9">
        <f t="shared" si="147"/>
        <v>0</v>
      </c>
    </row>
    <row r="384" spans="1:19" x14ac:dyDescent="0.2">
      <c r="A384" s="2" t="s">
        <v>668</v>
      </c>
      <c r="B384" s="3" t="s">
        <v>24</v>
      </c>
      <c r="D384" s="5" t="s">
        <v>39</v>
      </c>
      <c r="F384" s="7">
        <v>1</v>
      </c>
      <c r="G384" s="8" t="s">
        <v>19</v>
      </c>
      <c r="H384" s="7">
        <v>25</v>
      </c>
      <c r="I384" s="8" t="s">
        <v>39</v>
      </c>
      <c r="J384" s="9">
        <f>2010000/25</f>
        <v>80400</v>
      </c>
      <c r="K384" s="5" t="s">
        <v>39</v>
      </c>
      <c r="M384" s="10">
        <v>0.17</v>
      </c>
      <c r="O384" s="8" t="s">
        <v>39</v>
      </c>
      <c r="P384" s="4">
        <f t="shared" si="146"/>
        <v>0</v>
      </c>
      <c r="Q384" s="8" t="s">
        <v>39</v>
      </c>
      <c r="R384" s="9">
        <f>S384/1.11</f>
        <v>0</v>
      </c>
      <c r="S384" s="9">
        <f t="shared" si="147"/>
        <v>0</v>
      </c>
    </row>
    <row r="385" spans="1:19" x14ac:dyDescent="0.2">
      <c r="A385" s="2" t="s">
        <v>234</v>
      </c>
      <c r="B385" s="3" t="s">
        <v>24</v>
      </c>
      <c r="C385" s="4">
        <v>10</v>
      </c>
      <c r="D385" s="5" t="s">
        <v>39</v>
      </c>
      <c r="F385" s="7">
        <v>1</v>
      </c>
      <c r="G385" s="8" t="s">
        <v>19</v>
      </c>
      <c r="H385" s="7">
        <v>10</v>
      </c>
      <c r="I385" s="8" t="s">
        <v>39</v>
      </c>
      <c r="J385" s="9">
        <f>1260000/10</f>
        <v>126000</v>
      </c>
      <c r="K385" s="5" t="s">
        <v>39</v>
      </c>
      <c r="M385" s="10">
        <v>0.17</v>
      </c>
      <c r="O385" s="8" t="s">
        <v>39</v>
      </c>
      <c r="P385" s="4">
        <f t="shared" si="146"/>
        <v>10</v>
      </c>
      <c r="Q385" s="8" t="s">
        <v>39</v>
      </c>
      <c r="R385" s="9">
        <f>S385/1.11</f>
        <v>942162.16216216213</v>
      </c>
      <c r="S385" s="9">
        <f t="shared" si="147"/>
        <v>1045800</v>
      </c>
    </row>
    <row r="387" spans="1:19" ht="15.75" x14ac:dyDescent="0.25">
      <c r="A387" s="29" t="s">
        <v>235</v>
      </c>
    </row>
    <row r="388" spans="1:19" x14ac:dyDescent="0.2">
      <c r="A388" s="15" t="s">
        <v>236</v>
      </c>
      <c r="B388" s="3" t="s">
        <v>24</v>
      </c>
      <c r="D388" s="5" t="s">
        <v>18</v>
      </c>
      <c r="F388" s="7">
        <v>20</v>
      </c>
      <c r="G388" s="8" t="s">
        <v>32</v>
      </c>
      <c r="H388" s="7">
        <v>10</v>
      </c>
      <c r="I388" s="8" t="s">
        <v>18</v>
      </c>
      <c r="J388" s="9">
        <f>3800000/20/10</f>
        <v>19000</v>
      </c>
      <c r="K388" s="5" t="s">
        <v>18</v>
      </c>
      <c r="M388" s="10">
        <v>0.17</v>
      </c>
      <c r="O388" s="8" t="s">
        <v>18</v>
      </c>
      <c r="P388" s="4">
        <f>(C388+(E388*F388*H388))-N388</f>
        <v>0</v>
      </c>
      <c r="Q388" s="8" t="s">
        <v>18</v>
      </c>
      <c r="R388" s="9">
        <f>S388/1.11</f>
        <v>0</v>
      </c>
      <c r="S388" s="9">
        <f>P388*(J388-(J388*L388)-((J388-(J388*L388))*M388))</f>
        <v>0</v>
      </c>
    </row>
    <row r="389" spans="1:19" x14ac:dyDescent="0.2">
      <c r="A389" s="15" t="s">
        <v>237</v>
      </c>
      <c r="B389" s="3" t="s">
        <v>24</v>
      </c>
      <c r="D389" s="5" t="s">
        <v>18</v>
      </c>
      <c r="F389" s="7">
        <v>20</v>
      </c>
      <c r="G389" s="8" t="s">
        <v>32</v>
      </c>
      <c r="H389" s="7">
        <v>12</v>
      </c>
      <c r="I389" s="8" t="s">
        <v>18</v>
      </c>
      <c r="J389" s="9">
        <f>3120000/20/12</f>
        <v>13000</v>
      </c>
      <c r="K389" s="5" t="s">
        <v>18</v>
      </c>
      <c r="M389" s="10">
        <v>0.17</v>
      </c>
      <c r="O389" s="8" t="s">
        <v>18</v>
      </c>
      <c r="P389" s="4">
        <f>(C389+(E389*F389*H389))-N389</f>
        <v>0</v>
      </c>
      <c r="Q389" s="8" t="s">
        <v>18</v>
      </c>
      <c r="R389" s="9">
        <f>S389/1.11</f>
        <v>0</v>
      </c>
      <c r="S389" s="9">
        <f>P389*(J389-(J389*L389)-((J389-(J389*L389))*M389))</f>
        <v>0</v>
      </c>
    </row>
    <row r="391" spans="1:19" ht="15.75" x14ac:dyDescent="0.25">
      <c r="A391" s="29" t="s">
        <v>238</v>
      </c>
    </row>
    <row r="392" spans="1:19" x14ac:dyDescent="0.2">
      <c r="A392" s="33" t="s">
        <v>888</v>
      </c>
      <c r="B392" s="3" t="s">
        <v>17</v>
      </c>
      <c r="D392" s="5" t="s">
        <v>39</v>
      </c>
      <c r="F392" s="7">
        <v>1</v>
      </c>
      <c r="G392" s="8" t="s">
        <v>19</v>
      </c>
      <c r="H392" s="7">
        <v>24</v>
      </c>
      <c r="I392" s="8" t="s">
        <v>39</v>
      </c>
      <c r="J392" s="9">
        <v>118800</v>
      </c>
      <c r="K392" s="5" t="s">
        <v>39</v>
      </c>
      <c r="L392" s="10">
        <v>0.125</v>
      </c>
      <c r="M392" s="10">
        <v>0.05</v>
      </c>
      <c r="O392" s="8" t="s">
        <v>39</v>
      </c>
      <c r="P392" s="4">
        <f t="shared" ref="P392" si="148">(C392+(E392*F392*H392))-N392</f>
        <v>0</v>
      </c>
      <c r="Q392" s="8" t="s">
        <v>39</v>
      </c>
      <c r="R392" s="9">
        <f>S392/1.11</f>
        <v>0</v>
      </c>
      <c r="S392" s="9">
        <f t="shared" ref="S392" si="149">P392*(J392-(J392*L392)-((J392-(J392*L392))*M392))</f>
        <v>0</v>
      </c>
    </row>
    <row r="393" spans="1:19" x14ac:dyDescent="0.2">
      <c r="A393" s="33" t="s">
        <v>239</v>
      </c>
      <c r="B393" s="3" t="s">
        <v>17</v>
      </c>
      <c r="D393" s="5" t="s">
        <v>39</v>
      </c>
      <c r="F393" s="7">
        <v>1</v>
      </c>
      <c r="G393" s="8" t="s">
        <v>19</v>
      </c>
      <c r="H393" s="7">
        <v>24</v>
      </c>
      <c r="I393" s="8" t="s">
        <v>39</v>
      </c>
      <c r="J393" s="9">
        <v>89400</v>
      </c>
      <c r="K393" s="5" t="s">
        <v>39</v>
      </c>
      <c r="L393" s="10">
        <v>0.125</v>
      </c>
      <c r="M393" s="10">
        <v>0.05</v>
      </c>
      <c r="O393" s="8" t="s">
        <v>39</v>
      </c>
      <c r="P393" s="4">
        <f t="shared" ref="P393" si="150">(C393+(E393*F393*H393))-N393</f>
        <v>0</v>
      </c>
      <c r="Q393" s="8" t="s">
        <v>39</v>
      </c>
      <c r="R393" s="9">
        <f>S393/1.11</f>
        <v>0</v>
      </c>
      <c r="S393" s="9">
        <f t="shared" ref="S393" si="151">P393*(J393-(J393*L393)-((J393-(J393*L393))*M393))</f>
        <v>0</v>
      </c>
    </row>
    <row r="394" spans="1:19" x14ac:dyDescent="0.2">
      <c r="A394" s="2" t="s">
        <v>645</v>
      </c>
      <c r="B394" s="3" t="s">
        <v>17</v>
      </c>
      <c r="D394" s="5" t="s">
        <v>39</v>
      </c>
      <c r="F394" s="7">
        <v>1</v>
      </c>
      <c r="G394" s="8" t="s">
        <v>19</v>
      </c>
      <c r="H394" s="7">
        <v>24</v>
      </c>
      <c r="I394" s="8" t="s">
        <v>39</v>
      </c>
      <c r="J394" s="9">
        <v>118800</v>
      </c>
      <c r="K394" s="5" t="s">
        <v>39</v>
      </c>
      <c r="L394" s="10">
        <v>0.125</v>
      </c>
      <c r="M394" s="10">
        <v>0.05</v>
      </c>
      <c r="O394" s="8" t="s">
        <v>39</v>
      </c>
      <c r="P394" s="4">
        <f t="shared" ref="P394" si="152">(C394+(E394*F394*H394))-N394</f>
        <v>0</v>
      </c>
      <c r="Q394" s="8" t="s">
        <v>39</v>
      </c>
      <c r="R394" s="9">
        <f>S394/1.11</f>
        <v>0</v>
      </c>
      <c r="S394" s="9">
        <f t="shared" ref="S394" si="153">P394*(J394-(J394*L394)-((J394-(J394*L394))*M394))</f>
        <v>0</v>
      </c>
    </row>
    <row r="395" spans="1:19" x14ac:dyDescent="0.2">
      <c r="A395" s="2" t="s">
        <v>240</v>
      </c>
      <c r="B395" s="3" t="s">
        <v>17</v>
      </c>
      <c r="D395" s="5" t="s">
        <v>39</v>
      </c>
      <c r="F395" s="7">
        <v>1</v>
      </c>
      <c r="G395" s="8" t="s">
        <v>19</v>
      </c>
      <c r="H395" s="7">
        <v>24</v>
      </c>
      <c r="I395" s="8" t="s">
        <v>39</v>
      </c>
      <c r="J395" s="9">
        <v>89400</v>
      </c>
      <c r="K395" s="5" t="s">
        <v>39</v>
      </c>
      <c r="L395" s="10">
        <v>0.125</v>
      </c>
      <c r="M395" s="10">
        <v>0.05</v>
      </c>
      <c r="O395" s="8" t="s">
        <v>39</v>
      </c>
      <c r="P395" s="4">
        <f t="shared" ref="P395" si="154">(C395+(E395*F395*H395))-N395</f>
        <v>0</v>
      </c>
      <c r="Q395" s="8" t="s">
        <v>39</v>
      </c>
      <c r="R395" s="9">
        <f>S395/1.11</f>
        <v>0</v>
      </c>
      <c r="S395" s="9">
        <f t="shared" ref="S395" si="155">P395*(J395-(J395*L395)-((J395-(J395*L395))*M395))</f>
        <v>0</v>
      </c>
    </row>
    <row r="396" spans="1:19" x14ac:dyDescent="0.2">
      <c r="A396" s="2" t="s">
        <v>241</v>
      </c>
      <c r="B396" s="3" t="s">
        <v>17</v>
      </c>
      <c r="D396" s="5" t="s">
        <v>39</v>
      </c>
      <c r="F396" s="7">
        <v>1</v>
      </c>
      <c r="G396" s="8" t="s">
        <v>19</v>
      </c>
      <c r="H396" s="7">
        <v>24</v>
      </c>
      <c r="I396" s="8" t="s">
        <v>39</v>
      </c>
      <c r="J396" s="9">
        <v>90600</v>
      </c>
      <c r="K396" s="5" t="s">
        <v>39</v>
      </c>
      <c r="L396" s="10">
        <v>0.125</v>
      </c>
      <c r="M396" s="10">
        <v>0.05</v>
      </c>
      <c r="O396" s="8" t="s">
        <v>39</v>
      </c>
      <c r="P396" s="4">
        <f t="shared" ref="P396" si="156">(C396+(E396*F396*H396))-N396</f>
        <v>0</v>
      </c>
      <c r="Q396" s="8" t="s">
        <v>39</v>
      </c>
      <c r="R396" s="9">
        <f>S396/1.11</f>
        <v>0</v>
      </c>
      <c r="S396" s="9">
        <f t="shared" ref="S396" si="157">P396*(J396-(J396*L396)-((J396-(J396*L396))*M396))</f>
        <v>0</v>
      </c>
    </row>
    <row r="397" spans="1:19" x14ac:dyDescent="0.2">
      <c r="A397" s="33" t="s">
        <v>889</v>
      </c>
      <c r="B397" s="3" t="s">
        <v>17</v>
      </c>
      <c r="D397" s="5" t="s">
        <v>39</v>
      </c>
      <c r="F397" s="7">
        <v>1</v>
      </c>
      <c r="G397" s="8" t="s">
        <v>19</v>
      </c>
      <c r="H397" s="7">
        <v>24</v>
      </c>
      <c r="I397" s="8" t="s">
        <v>39</v>
      </c>
      <c r="J397" s="9">
        <v>139200</v>
      </c>
      <c r="K397" s="5" t="s">
        <v>39</v>
      </c>
      <c r="L397" s="10">
        <v>0.125</v>
      </c>
      <c r="M397" s="10">
        <v>0.05</v>
      </c>
      <c r="O397" s="8" t="s">
        <v>39</v>
      </c>
      <c r="P397" s="4">
        <f t="shared" ref="P397:P405" si="158">(C397+(E397*F397*H397))-N397</f>
        <v>0</v>
      </c>
      <c r="Q397" s="8" t="s">
        <v>39</v>
      </c>
      <c r="R397" s="9">
        <f>S397/1.11</f>
        <v>0</v>
      </c>
      <c r="S397" s="9">
        <f t="shared" ref="S397:S405" si="159">P397*(J397-(J397*L397)-((J397-(J397*L397))*M397))</f>
        <v>0</v>
      </c>
    </row>
    <row r="398" spans="1:19" x14ac:dyDescent="0.2">
      <c r="A398" s="33" t="s">
        <v>890</v>
      </c>
      <c r="B398" s="3" t="s">
        <v>17</v>
      </c>
      <c r="D398" s="5" t="s">
        <v>39</v>
      </c>
      <c r="F398" s="7">
        <v>1</v>
      </c>
      <c r="G398" s="8" t="s">
        <v>19</v>
      </c>
      <c r="H398" s="7">
        <v>12</v>
      </c>
      <c r="I398" s="8" t="s">
        <v>39</v>
      </c>
      <c r="J398" s="9">
        <v>182400</v>
      </c>
      <c r="K398" s="5" t="s">
        <v>39</v>
      </c>
      <c r="L398" s="10">
        <v>0.125</v>
      </c>
      <c r="M398" s="10">
        <v>0.05</v>
      </c>
      <c r="O398" s="8" t="s">
        <v>39</v>
      </c>
      <c r="P398" s="4">
        <f t="shared" si="158"/>
        <v>0</v>
      </c>
      <c r="Q398" s="8" t="s">
        <v>39</v>
      </c>
      <c r="R398" s="9">
        <f>S398/1.11</f>
        <v>0</v>
      </c>
      <c r="S398" s="9">
        <f t="shared" si="159"/>
        <v>0</v>
      </c>
    </row>
    <row r="399" spans="1:19" x14ac:dyDescent="0.2">
      <c r="A399" s="2" t="s">
        <v>906</v>
      </c>
      <c r="B399" s="3" t="s">
        <v>17</v>
      </c>
      <c r="D399" s="5" t="s">
        <v>150</v>
      </c>
      <c r="F399" s="7">
        <v>1</v>
      </c>
      <c r="G399" s="8" t="s">
        <v>19</v>
      </c>
      <c r="H399" s="7">
        <v>24</v>
      </c>
      <c r="I399" s="8" t="s">
        <v>32</v>
      </c>
      <c r="J399" s="9">
        <v>34800</v>
      </c>
      <c r="K399" s="5" t="s">
        <v>32</v>
      </c>
      <c r="L399" s="10">
        <v>0.125</v>
      </c>
      <c r="M399" s="10">
        <v>0.05</v>
      </c>
      <c r="O399" s="8" t="s">
        <v>32</v>
      </c>
      <c r="P399" s="4">
        <f t="shared" ref="P399" si="160">(C399+(E399*F399*H399))-N399</f>
        <v>0</v>
      </c>
      <c r="Q399" s="8" t="s">
        <v>32</v>
      </c>
      <c r="R399" s="9">
        <f>S399/1.11</f>
        <v>0</v>
      </c>
      <c r="S399" s="9">
        <f t="shared" ref="S399" si="161">P399*(J399-(J399*L399)-((J399-(J399*L399))*M399))</f>
        <v>0</v>
      </c>
    </row>
    <row r="400" spans="1:19" x14ac:dyDescent="0.2">
      <c r="A400" s="2" t="s">
        <v>242</v>
      </c>
      <c r="B400" s="3" t="s">
        <v>17</v>
      </c>
      <c r="D400" s="5" t="s">
        <v>150</v>
      </c>
      <c r="F400" s="7">
        <v>12</v>
      </c>
      <c r="G400" s="8" t="s">
        <v>32</v>
      </c>
      <c r="H400" s="7">
        <v>24</v>
      </c>
      <c r="I400" s="8" t="s">
        <v>150</v>
      </c>
      <c r="J400" s="9">
        <v>12000</v>
      </c>
      <c r="K400" s="5" t="s">
        <v>150</v>
      </c>
      <c r="L400" s="10">
        <v>0.125</v>
      </c>
      <c r="M400" s="10">
        <v>0.05</v>
      </c>
      <c r="O400" s="8" t="s">
        <v>150</v>
      </c>
      <c r="P400" s="4">
        <f t="shared" si="158"/>
        <v>0</v>
      </c>
      <c r="Q400" s="8" t="s">
        <v>150</v>
      </c>
      <c r="R400" s="9">
        <f>S400/1.11</f>
        <v>0</v>
      </c>
      <c r="S400" s="9">
        <f t="shared" si="159"/>
        <v>0</v>
      </c>
    </row>
    <row r="401" spans="1:19" x14ac:dyDescent="0.2">
      <c r="A401" s="2" t="s">
        <v>243</v>
      </c>
      <c r="B401" s="3" t="s">
        <v>17</v>
      </c>
      <c r="D401" s="5" t="s">
        <v>150</v>
      </c>
      <c r="F401" s="7">
        <v>10</v>
      </c>
      <c r="G401" s="8" t="s">
        <v>32</v>
      </c>
      <c r="H401" s="7">
        <v>10</v>
      </c>
      <c r="I401" s="8" t="s">
        <v>150</v>
      </c>
      <c r="J401" s="9">
        <v>28000</v>
      </c>
      <c r="K401" s="5" t="s">
        <v>150</v>
      </c>
      <c r="L401" s="10">
        <v>0.125</v>
      </c>
      <c r="M401" s="10">
        <v>0.05</v>
      </c>
      <c r="O401" s="8" t="s">
        <v>150</v>
      </c>
      <c r="P401" s="4">
        <f t="shared" si="158"/>
        <v>0</v>
      </c>
      <c r="Q401" s="8" t="s">
        <v>150</v>
      </c>
      <c r="R401" s="9">
        <f>S401/1.11</f>
        <v>0</v>
      </c>
      <c r="S401" s="9">
        <f t="shared" si="159"/>
        <v>0</v>
      </c>
    </row>
    <row r="402" spans="1:19" x14ac:dyDescent="0.2">
      <c r="A402" s="2" t="s">
        <v>244</v>
      </c>
      <c r="B402" s="3" t="s">
        <v>17</v>
      </c>
      <c r="D402" s="5" t="s">
        <v>150</v>
      </c>
      <c r="F402" s="7">
        <v>10</v>
      </c>
      <c r="G402" s="8" t="s">
        <v>32</v>
      </c>
      <c r="H402" s="7">
        <v>10</v>
      </c>
      <c r="I402" s="8" t="s">
        <v>150</v>
      </c>
      <c r="J402" s="9">
        <v>33500</v>
      </c>
      <c r="K402" s="5" t="s">
        <v>150</v>
      </c>
      <c r="L402" s="10">
        <v>0.125</v>
      </c>
      <c r="M402" s="10">
        <v>0.05</v>
      </c>
      <c r="O402" s="8" t="s">
        <v>150</v>
      </c>
      <c r="P402" s="4">
        <f t="shared" si="158"/>
        <v>0</v>
      </c>
      <c r="Q402" s="8" t="s">
        <v>150</v>
      </c>
      <c r="R402" s="9">
        <f>S402/1.11</f>
        <v>0</v>
      </c>
      <c r="S402" s="9">
        <f t="shared" si="159"/>
        <v>0</v>
      </c>
    </row>
    <row r="403" spans="1:19" x14ac:dyDescent="0.2">
      <c r="A403" s="2" t="s">
        <v>245</v>
      </c>
      <c r="B403" s="3" t="s">
        <v>17</v>
      </c>
      <c r="D403" s="5" t="s">
        <v>150</v>
      </c>
      <c r="F403" s="7">
        <v>8</v>
      </c>
      <c r="G403" s="8" t="s">
        <v>32</v>
      </c>
      <c r="H403" s="7">
        <v>10</v>
      </c>
      <c r="I403" s="8" t="s">
        <v>150</v>
      </c>
      <c r="J403" s="9">
        <v>48500</v>
      </c>
      <c r="K403" s="5" t="s">
        <v>150</v>
      </c>
      <c r="L403" s="10">
        <v>0.125</v>
      </c>
      <c r="M403" s="10">
        <v>0.05</v>
      </c>
      <c r="O403" s="8" t="s">
        <v>150</v>
      </c>
      <c r="P403" s="4">
        <f t="shared" si="158"/>
        <v>0</v>
      </c>
      <c r="Q403" s="8" t="s">
        <v>150</v>
      </c>
      <c r="R403" s="9">
        <f>S403/1.11</f>
        <v>0</v>
      </c>
      <c r="S403" s="9">
        <f t="shared" si="159"/>
        <v>0</v>
      </c>
    </row>
    <row r="404" spans="1:19" x14ac:dyDescent="0.2">
      <c r="A404" s="2" t="s">
        <v>246</v>
      </c>
      <c r="B404" s="3" t="s">
        <v>17</v>
      </c>
      <c r="D404" s="5" t="s">
        <v>150</v>
      </c>
      <c r="F404" s="7">
        <v>10</v>
      </c>
      <c r="G404" s="8" t="s">
        <v>32</v>
      </c>
      <c r="H404" s="7">
        <v>12</v>
      </c>
      <c r="I404" s="8" t="s">
        <v>150</v>
      </c>
      <c r="J404" s="9">
        <v>17000</v>
      </c>
      <c r="K404" s="5" t="s">
        <v>150</v>
      </c>
      <c r="L404" s="10">
        <v>0.125</v>
      </c>
      <c r="M404" s="10">
        <v>0.05</v>
      </c>
      <c r="O404" s="8" t="s">
        <v>150</v>
      </c>
      <c r="P404" s="4">
        <f t="shared" si="158"/>
        <v>0</v>
      </c>
      <c r="Q404" s="8" t="s">
        <v>150</v>
      </c>
      <c r="R404" s="9">
        <f>S404/1.11</f>
        <v>0</v>
      </c>
      <c r="S404" s="9">
        <f t="shared" si="159"/>
        <v>0</v>
      </c>
    </row>
    <row r="405" spans="1:19" x14ac:dyDescent="0.2">
      <c r="A405" s="2" t="s">
        <v>247</v>
      </c>
      <c r="B405" s="3" t="s">
        <v>17</v>
      </c>
      <c r="D405" s="5" t="s">
        <v>150</v>
      </c>
      <c r="F405" s="7">
        <v>24</v>
      </c>
      <c r="G405" s="8" t="s">
        <v>32</v>
      </c>
      <c r="H405" s="7">
        <v>12</v>
      </c>
      <c r="I405" s="8" t="s">
        <v>150</v>
      </c>
      <c r="J405" s="9">
        <v>13300</v>
      </c>
      <c r="K405" s="5" t="s">
        <v>150</v>
      </c>
      <c r="L405" s="10">
        <v>0.125</v>
      </c>
      <c r="M405" s="10">
        <v>0.05</v>
      </c>
      <c r="O405" s="8" t="s">
        <v>150</v>
      </c>
      <c r="P405" s="4">
        <f t="shared" si="158"/>
        <v>0</v>
      </c>
      <c r="Q405" s="8" t="s">
        <v>150</v>
      </c>
      <c r="R405" s="9">
        <f>S405/1.11</f>
        <v>0</v>
      </c>
      <c r="S405" s="9">
        <f t="shared" si="159"/>
        <v>0</v>
      </c>
    </row>
    <row r="407" spans="1:19" x14ac:dyDescent="0.2">
      <c r="A407" s="12" t="s">
        <v>248</v>
      </c>
      <c r="B407" s="3" t="s">
        <v>24</v>
      </c>
      <c r="D407" s="5" t="s">
        <v>18</v>
      </c>
      <c r="F407" s="7">
        <v>24</v>
      </c>
      <c r="G407" s="8" t="s">
        <v>39</v>
      </c>
      <c r="H407" s="7">
        <v>12</v>
      </c>
      <c r="I407" s="8" t="s">
        <v>18</v>
      </c>
      <c r="J407" s="9">
        <f>2160000/24/12</f>
        <v>7500</v>
      </c>
      <c r="K407" s="5" t="s">
        <v>18</v>
      </c>
      <c r="M407" s="10">
        <v>0.17</v>
      </c>
      <c r="O407" s="8" t="s">
        <v>18</v>
      </c>
      <c r="P407" s="4">
        <f t="shared" ref="P407:P410" si="162">(C407+(E407*F407*H407))-N407</f>
        <v>0</v>
      </c>
      <c r="Q407" s="8" t="s">
        <v>18</v>
      </c>
      <c r="R407" s="9">
        <f>S407/1.11</f>
        <v>0</v>
      </c>
      <c r="S407" s="9">
        <f t="shared" ref="S407:S410" si="163">P407*(J407-(J407*L407)-((J407-(J407*L407))*M407))</f>
        <v>0</v>
      </c>
    </row>
    <row r="408" spans="1:19" x14ac:dyDescent="0.2">
      <c r="A408" s="12" t="s">
        <v>249</v>
      </c>
      <c r="B408" s="3" t="s">
        <v>24</v>
      </c>
      <c r="D408" s="5" t="s">
        <v>18</v>
      </c>
      <c r="F408" s="7">
        <v>24</v>
      </c>
      <c r="G408" s="8" t="s">
        <v>39</v>
      </c>
      <c r="H408" s="7">
        <v>12</v>
      </c>
      <c r="I408" s="8" t="s">
        <v>18</v>
      </c>
      <c r="J408" s="9">
        <f>2160000/24/12</f>
        <v>7500</v>
      </c>
      <c r="K408" s="5" t="s">
        <v>18</v>
      </c>
      <c r="M408" s="10">
        <v>0.17</v>
      </c>
      <c r="O408" s="8" t="s">
        <v>18</v>
      </c>
      <c r="P408" s="4">
        <f t="shared" si="162"/>
        <v>0</v>
      </c>
      <c r="Q408" s="8" t="s">
        <v>18</v>
      </c>
      <c r="R408" s="9">
        <f>S408/1.11</f>
        <v>0</v>
      </c>
      <c r="S408" s="9">
        <f t="shared" si="163"/>
        <v>0</v>
      </c>
    </row>
    <row r="409" spans="1:19" x14ac:dyDescent="0.2">
      <c r="A409" s="12" t="s">
        <v>773</v>
      </c>
      <c r="B409" s="3" t="s">
        <v>24</v>
      </c>
      <c r="D409" s="5" t="s">
        <v>18</v>
      </c>
      <c r="F409" s="7">
        <v>24</v>
      </c>
      <c r="G409" s="8" t="s">
        <v>39</v>
      </c>
      <c r="H409" s="7">
        <v>12</v>
      </c>
      <c r="I409" s="8" t="s">
        <v>18</v>
      </c>
      <c r="J409" s="9">
        <f>2160000/24/12</f>
        <v>7500</v>
      </c>
      <c r="K409" s="5" t="s">
        <v>18</v>
      </c>
      <c r="M409" s="10">
        <v>0.17</v>
      </c>
      <c r="O409" s="8" t="s">
        <v>18</v>
      </c>
      <c r="P409" s="4">
        <f t="shared" si="162"/>
        <v>0</v>
      </c>
      <c r="Q409" s="8" t="s">
        <v>18</v>
      </c>
      <c r="R409" s="9">
        <f>S409/1.11</f>
        <v>0</v>
      </c>
      <c r="S409" s="9">
        <f t="shared" si="163"/>
        <v>0</v>
      </c>
    </row>
    <row r="410" spans="1:19" x14ac:dyDescent="0.2">
      <c r="A410" s="12" t="s">
        <v>774</v>
      </c>
      <c r="B410" s="3" t="s">
        <v>24</v>
      </c>
      <c r="D410" s="5" t="s">
        <v>18</v>
      </c>
      <c r="F410" s="7">
        <v>12</v>
      </c>
      <c r="G410" s="8" t="s">
        <v>39</v>
      </c>
      <c r="H410" s="7">
        <v>12</v>
      </c>
      <c r="I410" s="8" t="s">
        <v>18</v>
      </c>
      <c r="J410" s="9">
        <f>3024000/12/12</f>
        <v>21000</v>
      </c>
      <c r="K410" s="5" t="s">
        <v>18</v>
      </c>
      <c r="M410" s="10">
        <v>0.17</v>
      </c>
      <c r="O410" s="8" t="s">
        <v>18</v>
      </c>
      <c r="P410" s="4">
        <f t="shared" si="162"/>
        <v>0</v>
      </c>
      <c r="Q410" s="8" t="s">
        <v>18</v>
      </c>
      <c r="R410" s="9">
        <f>S410/1.11</f>
        <v>0</v>
      </c>
      <c r="S410" s="9">
        <f t="shared" si="163"/>
        <v>0</v>
      </c>
    </row>
    <row r="412" spans="1:19" ht="15.75" x14ac:dyDescent="0.25">
      <c r="A412" s="29" t="s">
        <v>250</v>
      </c>
    </row>
    <row r="413" spans="1:19" x14ac:dyDescent="0.2">
      <c r="A413" s="2" t="s">
        <v>251</v>
      </c>
      <c r="B413" s="3" t="s">
        <v>17</v>
      </c>
      <c r="D413" s="5" t="s">
        <v>32</v>
      </c>
      <c r="F413" s="7">
        <v>1</v>
      </c>
      <c r="G413" s="8" t="s">
        <v>19</v>
      </c>
      <c r="H413" s="7">
        <v>20</v>
      </c>
      <c r="I413" s="8" t="s">
        <v>32</v>
      </c>
      <c r="J413" s="9">
        <f>6200*12</f>
        <v>74400</v>
      </c>
      <c r="K413" s="5" t="s">
        <v>32</v>
      </c>
      <c r="L413" s="10">
        <v>0.125</v>
      </c>
      <c r="M413" s="10">
        <v>0.05</v>
      </c>
      <c r="O413" s="8" t="s">
        <v>32</v>
      </c>
      <c r="P413" s="4">
        <f>(C413+(E413*F413*H413))-N413</f>
        <v>0</v>
      </c>
      <c r="Q413" s="8" t="s">
        <v>32</v>
      </c>
      <c r="R413" s="9">
        <f>S413/1.11</f>
        <v>0</v>
      </c>
      <c r="S413" s="9">
        <f>P413*(J413-(J413*L413)-((J413-(J413*L413))*M413))</f>
        <v>0</v>
      </c>
    </row>
    <row r="414" spans="1:19" x14ac:dyDescent="0.2">
      <c r="A414" s="2" t="s">
        <v>252</v>
      </c>
      <c r="B414" s="3" t="s">
        <v>17</v>
      </c>
      <c r="D414" s="5" t="s">
        <v>32</v>
      </c>
      <c r="F414" s="7">
        <v>1</v>
      </c>
      <c r="G414" s="8" t="s">
        <v>19</v>
      </c>
      <c r="H414" s="7">
        <v>20</v>
      </c>
      <c r="I414" s="8" t="s">
        <v>32</v>
      </c>
      <c r="J414" s="9">
        <f>6800*12</f>
        <v>81600</v>
      </c>
      <c r="K414" s="5" t="s">
        <v>32</v>
      </c>
      <c r="L414" s="10">
        <v>0.125</v>
      </c>
      <c r="M414" s="10">
        <v>0.05</v>
      </c>
      <c r="O414" s="8" t="s">
        <v>32</v>
      </c>
      <c r="P414" s="4">
        <f>(C414+(E414*F414*H414))-N414</f>
        <v>0</v>
      </c>
      <c r="Q414" s="8" t="s">
        <v>32</v>
      </c>
      <c r="R414" s="9">
        <f>S414/1.11</f>
        <v>0</v>
      </c>
      <c r="S414" s="9">
        <f>P414*(J414-(J414*L414)-((J414-(J414*L414))*M414))</f>
        <v>0</v>
      </c>
    </row>
    <row r="415" spans="1:19" x14ac:dyDescent="0.2">
      <c r="A415" s="2" t="s">
        <v>850</v>
      </c>
      <c r="B415" s="3" t="s">
        <v>17</v>
      </c>
      <c r="D415" s="5" t="s">
        <v>32</v>
      </c>
      <c r="F415" s="7">
        <v>1</v>
      </c>
      <c r="G415" s="8" t="s">
        <v>19</v>
      </c>
      <c r="H415" s="7">
        <v>10</v>
      </c>
      <c r="I415" s="8" t="s">
        <v>32</v>
      </c>
      <c r="J415" s="9">
        <v>135600</v>
      </c>
      <c r="K415" s="5" t="s">
        <v>32</v>
      </c>
      <c r="L415" s="10">
        <v>0.125</v>
      </c>
      <c r="M415" s="10">
        <v>0.05</v>
      </c>
      <c r="O415" s="8" t="s">
        <v>32</v>
      </c>
      <c r="P415" s="4">
        <f>(C415+(E415*F415*H415))-N415</f>
        <v>0</v>
      </c>
      <c r="Q415" s="8" t="s">
        <v>32</v>
      </c>
      <c r="R415" s="9">
        <f>S415/1.11</f>
        <v>0</v>
      </c>
      <c r="S415" s="9">
        <f>P415*(J415-(J415*L415)-((J415-(J415*L415))*M415))</f>
        <v>0</v>
      </c>
    </row>
    <row r="417" spans="1:19" ht="15.75" x14ac:dyDescent="0.25">
      <c r="A417" s="29" t="s">
        <v>253</v>
      </c>
    </row>
    <row r="418" spans="1:19" x14ac:dyDescent="0.2">
      <c r="A418" s="30" t="s">
        <v>254</v>
      </c>
    </row>
    <row r="419" spans="1:19" x14ac:dyDescent="0.2">
      <c r="A419" s="2" t="s">
        <v>255</v>
      </c>
      <c r="B419" s="3" t="s">
        <v>24</v>
      </c>
      <c r="D419" s="5" t="s">
        <v>97</v>
      </c>
      <c r="F419" s="7">
        <v>1</v>
      </c>
      <c r="G419" s="8" t="s">
        <v>19</v>
      </c>
      <c r="H419" s="7">
        <v>50</v>
      </c>
      <c r="I419" s="8" t="s">
        <v>97</v>
      </c>
      <c r="J419" s="9">
        <f>740000/50</f>
        <v>14800</v>
      </c>
      <c r="K419" s="5" t="s">
        <v>97</v>
      </c>
      <c r="M419" s="10">
        <v>0.17</v>
      </c>
      <c r="O419" s="8" t="s">
        <v>97</v>
      </c>
      <c r="P419" s="4">
        <f>(C419+(E419*F419*H419))-N419</f>
        <v>0</v>
      </c>
      <c r="Q419" s="8" t="s">
        <v>97</v>
      </c>
      <c r="R419" s="9">
        <f>S419/1.11</f>
        <v>0</v>
      </c>
      <c r="S419" s="9">
        <f>P419*(J419-(J419*L419)-((J419-(J419*L419))*M419))</f>
        <v>0</v>
      </c>
    </row>
    <row r="421" spans="1:19" x14ac:dyDescent="0.2">
      <c r="A421" s="30" t="s">
        <v>256</v>
      </c>
    </row>
    <row r="422" spans="1:19" x14ac:dyDescent="0.2">
      <c r="A422" s="2" t="s">
        <v>257</v>
      </c>
      <c r="B422" s="3" t="s">
        <v>258</v>
      </c>
      <c r="C422" s="4">
        <v>150</v>
      </c>
      <c r="D422" s="5" t="s">
        <v>97</v>
      </c>
      <c r="F422" s="7">
        <v>1</v>
      </c>
      <c r="G422" s="8" t="s">
        <v>19</v>
      </c>
      <c r="H422" s="7">
        <v>50</v>
      </c>
      <c r="I422" s="8" t="s">
        <v>97</v>
      </c>
      <c r="J422" s="9">
        <v>32500</v>
      </c>
      <c r="K422" s="5" t="s">
        <v>97</v>
      </c>
      <c r="O422" s="8" t="s">
        <v>97</v>
      </c>
      <c r="P422" s="4">
        <f>(C422+(E422*F422*H422))-N422</f>
        <v>150</v>
      </c>
      <c r="Q422" s="8" t="s">
        <v>97</v>
      </c>
      <c r="R422" s="9">
        <f>S422/1.11</f>
        <v>4391891.8918918911</v>
      </c>
      <c r="S422" s="9">
        <f>P422*(J422-(J422*L422)-((J422-(J422*L422))*M422))</f>
        <v>4875000</v>
      </c>
    </row>
    <row r="424" spans="1:19" x14ac:dyDescent="0.2">
      <c r="A424" s="30" t="s">
        <v>994</v>
      </c>
    </row>
    <row r="425" spans="1:19" x14ac:dyDescent="0.2">
      <c r="A425" s="2" t="s">
        <v>995</v>
      </c>
      <c r="B425" s="3" t="s">
        <v>1027</v>
      </c>
      <c r="D425" s="5" t="s">
        <v>815</v>
      </c>
      <c r="F425" s="7">
        <v>1</v>
      </c>
      <c r="G425" s="8" t="s">
        <v>19</v>
      </c>
      <c r="H425" s="7">
        <v>900</v>
      </c>
      <c r="I425" s="8" t="s">
        <v>815</v>
      </c>
      <c r="J425" s="9">
        <v>2200</v>
      </c>
      <c r="K425" s="5" t="s">
        <v>815</v>
      </c>
      <c r="L425" s="10">
        <v>0.1</v>
      </c>
      <c r="M425" s="10">
        <v>0.1</v>
      </c>
      <c r="O425" s="8" t="s">
        <v>815</v>
      </c>
      <c r="P425" s="4">
        <f>(C425+(E425*F425*H425))-N425</f>
        <v>0</v>
      </c>
      <c r="Q425" s="8" t="s">
        <v>815</v>
      </c>
      <c r="R425" s="9">
        <f>S425/1.11</f>
        <v>0</v>
      </c>
      <c r="S425" s="9">
        <f>P425*(J425-(J425*L425)-((J425-(J425*L425))*M425))</f>
        <v>0</v>
      </c>
    </row>
    <row r="426" spans="1:19" x14ac:dyDescent="0.2">
      <c r="A426" s="2" t="s">
        <v>996</v>
      </c>
      <c r="B426" s="3" t="s">
        <v>1027</v>
      </c>
      <c r="D426" s="5" t="s">
        <v>815</v>
      </c>
      <c r="F426" s="7">
        <v>1</v>
      </c>
      <c r="G426" s="8" t="s">
        <v>19</v>
      </c>
      <c r="H426" s="7">
        <v>750</v>
      </c>
      <c r="I426" s="8" t="s">
        <v>815</v>
      </c>
      <c r="J426" s="9">
        <v>2600</v>
      </c>
      <c r="K426" s="5" t="s">
        <v>815</v>
      </c>
      <c r="L426" s="10">
        <v>0.1</v>
      </c>
      <c r="M426" s="10">
        <v>0.1</v>
      </c>
      <c r="O426" s="8" t="s">
        <v>815</v>
      </c>
      <c r="P426" s="4">
        <f>(C426+(E426*F426*H426))-N426</f>
        <v>0</v>
      </c>
      <c r="Q426" s="8" t="s">
        <v>815</v>
      </c>
      <c r="R426" s="9">
        <f>S426/1.11</f>
        <v>0</v>
      </c>
      <c r="S426" s="9">
        <f>P426*(J426-(J426*L426)-((J426-(J426*L426))*M426))</f>
        <v>0</v>
      </c>
    </row>
    <row r="428" spans="1:19" ht="15.75" x14ac:dyDescent="0.25">
      <c r="A428" s="29" t="s">
        <v>259</v>
      </c>
    </row>
    <row r="429" spans="1:19" x14ac:dyDescent="0.2">
      <c r="A429" s="2" t="s">
        <v>260</v>
      </c>
      <c r="B429" s="3" t="s">
        <v>17</v>
      </c>
      <c r="D429" s="5" t="s">
        <v>101</v>
      </c>
      <c r="F429" s="7">
        <v>8</v>
      </c>
      <c r="G429" s="8" t="s">
        <v>32</v>
      </c>
      <c r="H429" s="7">
        <v>25</v>
      </c>
      <c r="I429" s="8" t="s">
        <v>101</v>
      </c>
      <c r="J429" s="9">
        <v>4800</v>
      </c>
      <c r="K429" s="5" t="s">
        <v>101</v>
      </c>
      <c r="L429" s="10">
        <v>0.125</v>
      </c>
      <c r="M429" s="10">
        <v>0.05</v>
      </c>
      <c r="O429" s="8" t="s">
        <v>101</v>
      </c>
      <c r="P429" s="4">
        <f>(C429+(E429*F429*H429))-N429</f>
        <v>0</v>
      </c>
      <c r="Q429" s="8" t="s">
        <v>101</v>
      </c>
      <c r="R429" s="9">
        <f>S429/1.11</f>
        <v>0</v>
      </c>
      <c r="S429" s="9">
        <f>P429*(J429-(J429*L429)-((J429-(J429*L429))*M429))</f>
        <v>0</v>
      </c>
    </row>
    <row r="430" spans="1:19" x14ac:dyDescent="0.2">
      <c r="A430" s="2" t="s">
        <v>261</v>
      </c>
      <c r="B430" s="3" t="s">
        <v>17</v>
      </c>
      <c r="D430" s="5" t="s">
        <v>75</v>
      </c>
      <c r="F430" s="7">
        <v>1</v>
      </c>
      <c r="G430" s="8" t="s">
        <v>19</v>
      </c>
      <c r="H430" s="7">
        <v>40</v>
      </c>
      <c r="I430" s="8" t="s">
        <v>75</v>
      </c>
      <c r="J430" s="9">
        <v>33750</v>
      </c>
      <c r="K430" s="5" t="s">
        <v>75</v>
      </c>
      <c r="L430" s="10">
        <v>0.125</v>
      </c>
      <c r="M430" s="10">
        <v>0.05</v>
      </c>
      <c r="O430" s="8" t="s">
        <v>75</v>
      </c>
      <c r="P430" s="4">
        <f>(C430+(E430*F430*H430))-N430</f>
        <v>0</v>
      </c>
      <c r="Q430" s="8" t="s">
        <v>75</v>
      </c>
      <c r="R430" s="9">
        <f>S430/1.11</f>
        <v>0</v>
      </c>
      <c r="S430" s="9">
        <f>P430*(J430-(J430*L430)-((J430-(J430*L430))*M430))</f>
        <v>0</v>
      </c>
    </row>
    <row r="431" spans="1:19" x14ac:dyDescent="0.2">
      <c r="A431" s="2" t="s">
        <v>262</v>
      </c>
      <c r="B431" s="3" t="s">
        <v>17</v>
      </c>
      <c r="D431" s="5" t="s">
        <v>75</v>
      </c>
      <c r="F431" s="7">
        <v>1</v>
      </c>
      <c r="G431" s="8" t="s">
        <v>19</v>
      </c>
      <c r="H431" s="7">
        <v>48</v>
      </c>
      <c r="I431" s="8" t="s">
        <v>75</v>
      </c>
      <c r="J431" s="9">
        <v>23000</v>
      </c>
      <c r="K431" s="5" t="s">
        <v>75</v>
      </c>
      <c r="L431" s="10">
        <v>0.125</v>
      </c>
      <c r="M431" s="10">
        <v>0.05</v>
      </c>
      <c r="O431" s="8" t="s">
        <v>75</v>
      </c>
      <c r="P431" s="4">
        <f>(C431+(E431*F431*H431))-N431</f>
        <v>0</v>
      </c>
      <c r="Q431" s="8" t="s">
        <v>75</v>
      </c>
      <c r="R431" s="9">
        <f>S431/1.11</f>
        <v>0</v>
      </c>
      <c r="S431" s="9">
        <f>P431*(J431-(J431*L431)-((J431-(J431*L431))*M431))</f>
        <v>0</v>
      </c>
    </row>
    <row r="433" spans="1:19" x14ac:dyDescent="0.2">
      <c r="A433" s="2" t="s">
        <v>263</v>
      </c>
      <c r="B433" s="3" t="s">
        <v>24</v>
      </c>
      <c r="D433" s="5" t="s">
        <v>101</v>
      </c>
      <c r="F433" s="7">
        <v>80</v>
      </c>
      <c r="G433" s="8" t="s">
        <v>32</v>
      </c>
      <c r="H433" s="7">
        <v>25</v>
      </c>
      <c r="I433" s="8" t="s">
        <v>101</v>
      </c>
      <c r="J433" s="9">
        <v>4500</v>
      </c>
      <c r="K433" s="5" t="s">
        <v>101</v>
      </c>
      <c r="M433" s="10">
        <v>0.17</v>
      </c>
      <c r="O433" s="8" t="s">
        <v>101</v>
      </c>
      <c r="P433" s="4">
        <f>(C433+(E433*F433*H433))-N433</f>
        <v>0</v>
      </c>
      <c r="Q433" s="8" t="s">
        <v>101</v>
      </c>
      <c r="R433" s="9">
        <f>S433/1.11</f>
        <v>0</v>
      </c>
      <c r="S433" s="9">
        <f>P433*(J433-(J433*L433)-((J433-(J433*L433))*M433))</f>
        <v>0</v>
      </c>
    </row>
    <row r="434" spans="1:19" x14ac:dyDescent="0.2">
      <c r="A434" s="2" t="s">
        <v>264</v>
      </c>
      <c r="B434" s="3" t="s">
        <v>24</v>
      </c>
      <c r="D434" s="5" t="s">
        <v>75</v>
      </c>
      <c r="F434" s="7">
        <v>1</v>
      </c>
      <c r="G434" s="8" t="s">
        <v>19</v>
      </c>
      <c r="H434" s="7">
        <v>48</v>
      </c>
      <c r="I434" s="8" t="s">
        <v>75</v>
      </c>
      <c r="J434" s="9">
        <v>23500</v>
      </c>
      <c r="K434" s="5" t="s">
        <v>75</v>
      </c>
      <c r="M434" s="10">
        <v>0.17</v>
      </c>
      <c r="O434" s="8" t="s">
        <v>75</v>
      </c>
      <c r="P434" s="4">
        <f>(C434+(E434*F434*H434))-N434</f>
        <v>0</v>
      </c>
      <c r="Q434" s="8" t="s">
        <v>75</v>
      </c>
      <c r="R434" s="9">
        <f>S434/1.11</f>
        <v>0</v>
      </c>
      <c r="S434" s="9">
        <f>P434*(J434-(J434*L434)-((J434-(J434*L434))*M434))</f>
        <v>0</v>
      </c>
    </row>
    <row r="436" spans="1:19" ht="15.75" x14ac:dyDescent="0.25">
      <c r="A436" s="29" t="s">
        <v>265</v>
      </c>
    </row>
    <row r="437" spans="1:19" x14ac:dyDescent="0.2">
      <c r="A437" s="2" t="s">
        <v>266</v>
      </c>
      <c r="B437" s="3" t="s">
        <v>17</v>
      </c>
      <c r="D437" s="5" t="s">
        <v>150</v>
      </c>
      <c r="F437" s="7">
        <v>10</v>
      </c>
      <c r="G437" s="8" t="s">
        <v>32</v>
      </c>
      <c r="H437" s="7">
        <v>24</v>
      </c>
      <c r="I437" s="8" t="s">
        <v>150</v>
      </c>
      <c r="J437" s="9">
        <v>8800</v>
      </c>
      <c r="K437" s="5" t="s">
        <v>150</v>
      </c>
      <c r="L437" s="10">
        <v>0.125</v>
      </c>
      <c r="M437" s="10">
        <v>0.05</v>
      </c>
      <c r="O437" s="8" t="s">
        <v>150</v>
      </c>
      <c r="P437" s="4">
        <f t="shared" ref="P437:P457" si="164">(C437+(E437*F437*H437))-N437</f>
        <v>0</v>
      </c>
      <c r="Q437" s="8" t="s">
        <v>150</v>
      </c>
      <c r="R437" s="9">
        <f>S437/1.11</f>
        <v>0</v>
      </c>
      <c r="S437" s="9">
        <f t="shared" ref="S437:S457" si="165">P437*(J437-(J437*L437)-((J437-(J437*L437))*M437))</f>
        <v>0</v>
      </c>
    </row>
    <row r="438" spans="1:19" x14ac:dyDescent="0.2">
      <c r="A438" s="2" t="s">
        <v>267</v>
      </c>
      <c r="B438" s="3" t="s">
        <v>17</v>
      </c>
      <c r="D438" s="5" t="s">
        <v>150</v>
      </c>
      <c r="F438" s="7">
        <v>6</v>
      </c>
      <c r="G438" s="8" t="s">
        <v>32</v>
      </c>
      <c r="H438" s="7">
        <v>24</v>
      </c>
      <c r="I438" s="8" t="s">
        <v>150</v>
      </c>
      <c r="J438" s="9">
        <v>29500</v>
      </c>
      <c r="K438" s="5" t="s">
        <v>150</v>
      </c>
      <c r="L438" s="10">
        <v>0.125</v>
      </c>
      <c r="M438" s="10">
        <v>0.05</v>
      </c>
      <c r="O438" s="8" t="s">
        <v>150</v>
      </c>
      <c r="P438" s="4">
        <f t="shared" si="164"/>
        <v>0</v>
      </c>
      <c r="Q438" s="8" t="s">
        <v>150</v>
      </c>
      <c r="R438" s="9">
        <f>S438/1.11</f>
        <v>0</v>
      </c>
      <c r="S438" s="9">
        <f t="shared" si="165"/>
        <v>0</v>
      </c>
    </row>
    <row r="439" spans="1:19" x14ac:dyDescent="0.2">
      <c r="A439" s="2" t="s">
        <v>268</v>
      </c>
      <c r="B439" s="3" t="s">
        <v>17</v>
      </c>
      <c r="D439" s="5" t="s">
        <v>150</v>
      </c>
      <c r="F439" s="7">
        <v>12</v>
      </c>
      <c r="G439" s="8" t="s">
        <v>32</v>
      </c>
      <c r="H439" s="7">
        <v>12</v>
      </c>
      <c r="I439" s="8" t="s">
        <v>150</v>
      </c>
      <c r="J439" s="9">
        <v>19600</v>
      </c>
      <c r="K439" s="5" t="s">
        <v>150</v>
      </c>
      <c r="L439" s="10">
        <v>0.125</v>
      </c>
      <c r="M439" s="10">
        <v>0.05</v>
      </c>
      <c r="O439" s="8" t="s">
        <v>150</v>
      </c>
      <c r="P439" s="4">
        <f t="shared" si="164"/>
        <v>0</v>
      </c>
      <c r="Q439" s="8" t="s">
        <v>150</v>
      </c>
      <c r="R439" s="9">
        <f>S439/1.11</f>
        <v>0</v>
      </c>
      <c r="S439" s="9">
        <f t="shared" si="165"/>
        <v>0</v>
      </c>
    </row>
    <row r="440" spans="1:19" x14ac:dyDescent="0.2">
      <c r="A440" s="2" t="s">
        <v>269</v>
      </c>
      <c r="B440" s="3" t="s">
        <v>17</v>
      </c>
      <c r="D440" s="5" t="s">
        <v>150</v>
      </c>
      <c r="F440" s="7">
        <v>12</v>
      </c>
      <c r="G440" s="8" t="s">
        <v>32</v>
      </c>
      <c r="H440" s="7">
        <v>12</v>
      </c>
      <c r="I440" s="8" t="s">
        <v>150</v>
      </c>
      <c r="J440" s="9">
        <v>18500</v>
      </c>
      <c r="K440" s="5" t="s">
        <v>150</v>
      </c>
      <c r="L440" s="10">
        <v>0.125</v>
      </c>
      <c r="M440" s="10">
        <v>0.05</v>
      </c>
      <c r="O440" s="8" t="s">
        <v>150</v>
      </c>
      <c r="P440" s="4">
        <f t="shared" si="164"/>
        <v>0</v>
      </c>
      <c r="Q440" s="8" t="s">
        <v>150</v>
      </c>
      <c r="R440" s="9">
        <f>S440/1.11</f>
        <v>0</v>
      </c>
      <c r="S440" s="9">
        <f t="shared" si="165"/>
        <v>0</v>
      </c>
    </row>
    <row r="441" spans="1:19" x14ac:dyDescent="0.2">
      <c r="A441" s="2" t="s">
        <v>270</v>
      </c>
      <c r="B441" s="3" t="s">
        <v>17</v>
      </c>
      <c r="D441" s="5" t="s">
        <v>150</v>
      </c>
      <c r="F441" s="7">
        <v>10</v>
      </c>
      <c r="G441" s="8" t="s">
        <v>32</v>
      </c>
      <c r="H441" s="7">
        <v>24</v>
      </c>
      <c r="I441" s="8" t="s">
        <v>150</v>
      </c>
      <c r="J441" s="9">
        <v>10600</v>
      </c>
      <c r="K441" s="5" t="s">
        <v>150</v>
      </c>
      <c r="L441" s="10">
        <v>0.125</v>
      </c>
      <c r="M441" s="10">
        <v>0.05</v>
      </c>
      <c r="O441" s="8" t="s">
        <v>150</v>
      </c>
      <c r="P441" s="4">
        <f t="shared" si="164"/>
        <v>0</v>
      </c>
      <c r="Q441" s="8" t="s">
        <v>150</v>
      </c>
      <c r="R441" s="9">
        <f>S441/1.11</f>
        <v>0</v>
      </c>
      <c r="S441" s="9">
        <f t="shared" si="165"/>
        <v>0</v>
      </c>
    </row>
    <row r="442" spans="1:19" x14ac:dyDescent="0.2">
      <c r="A442" s="2" t="s">
        <v>271</v>
      </c>
      <c r="B442" s="3" t="s">
        <v>17</v>
      </c>
      <c r="D442" s="5" t="s">
        <v>150</v>
      </c>
      <c r="F442" s="7">
        <v>20</v>
      </c>
      <c r="G442" s="8" t="s">
        <v>32</v>
      </c>
      <c r="H442" s="7">
        <v>12</v>
      </c>
      <c r="I442" s="8" t="s">
        <v>150</v>
      </c>
      <c r="J442" s="9">
        <v>7800</v>
      </c>
      <c r="K442" s="5" t="s">
        <v>150</v>
      </c>
      <c r="L442" s="10">
        <v>0.125</v>
      </c>
      <c r="M442" s="10">
        <v>0.05</v>
      </c>
      <c r="O442" s="8" t="s">
        <v>150</v>
      </c>
      <c r="P442" s="4">
        <f t="shared" ref="P442" si="166">(C442+(E442*F442*H442))-N442</f>
        <v>0</v>
      </c>
      <c r="Q442" s="8" t="s">
        <v>150</v>
      </c>
      <c r="R442" s="9">
        <f>S442/1.11</f>
        <v>0</v>
      </c>
      <c r="S442" s="9">
        <f t="shared" ref="S442" si="167">P442*(J442-(J442*L442)-((J442-(J442*L442))*M442))</f>
        <v>0</v>
      </c>
    </row>
    <row r="443" spans="1:19" x14ac:dyDescent="0.2">
      <c r="A443" s="2" t="s">
        <v>726</v>
      </c>
      <c r="B443" s="3" t="s">
        <v>17</v>
      </c>
      <c r="D443" s="5" t="s">
        <v>150</v>
      </c>
      <c r="F443" s="7">
        <v>12</v>
      </c>
      <c r="G443" s="8" t="s">
        <v>32</v>
      </c>
      <c r="H443" s="7">
        <v>12</v>
      </c>
      <c r="I443" s="8" t="s">
        <v>150</v>
      </c>
      <c r="J443" s="9">
        <v>34500</v>
      </c>
      <c r="K443" s="5" t="s">
        <v>150</v>
      </c>
      <c r="L443" s="10">
        <v>0.125</v>
      </c>
      <c r="M443" s="10">
        <v>0.05</v>
      </c>
      <c r="O443" s="8" t="s">
        <v>150</v>
      </c>
      <c r="P443" s="4">
        <f t="shared" si="164"/>
        <v>0</v>
      </c>
      <c r="Q443" s="8" t="s">
        <v>150</v>
      </c>
      <c r="R443" s="9">
        <f>S443/1.11</f>
        <v>0</v>
      </c>
      <c r="S443" s="9">
        <f t="shared" si="165"/>
        <v>0</v>
      </c>
    </row>
    <row r="444" spans="1:19" x14ac:dyDescent="0.2">
      <c r="A444" s="2" t="s">
        <v>891</v>
      </c>
      <c r="B444" s="3" t="s">
        <v>17</v>
      </c>
      <c r="D444" s="5" t="s">
        <v>150</v>
      </c>
      <c r="F444" s="7">
        <v>1</v>
      </c>
      <c r="G444" s="8" t="s">
        <v>19</v>
      </c>
      <c r="H444" s="7">
        <v>240</v>
      </c>
      <c r="I444" s="8" t="s">
        <v>39</v>
      </c>
      <c r="J444" s="9">
        <v>28800</v>
      </c>
      <c r="K444" s="5" t="s">
        <v>39</v>
      </c>
      <c r="L444" s="10">
        <v>0.125</v>
      </c>
      <c r="M444" s="10">
        <v>0.05</v>
      </c>
      <c r="O444" s="8" t="s">
        <v>39</v>
      </c>
      <c r="P444" s="4">
        <f t="shared" ref="P444" si="168">(C444+(E444*F444*H444))-N444</f>
        <v>0</v>
      </c>
      <c r="Q444" s="8" t="s">
        <v>39</v>
      </c>
      <c r="R444" s="9">
        <f>S444/1.11</f>
        <v>0</v>
      </c>
      <c r="S444" s="9">
        <f t="shared" ref="S444" si="169">P444*(J444-(J444*L444)-((J444-(J444*L444))*M444))</f>
        <v>0</v>
      </c>
    </row>
    <row r="445" spans="1:19" x14ac:dyDescent="0.2">
      <c r="A445" s="2" t="s">
        <v>835</v>
      </c>
      <c r="B445" s="3" t="s">
        <v>17</v>
      </c>
      <c r="D445" s="5" t="s">
        <v>150</v>
      </c>
      <c r="F445" s="7">
        <v>1</v>
      </c>
      <c r="G445" s="8" t="s">
        <v>19</v>
      </c>
      <c r="H445" s="7">
        <v>240</v>
      </c>
      <c r="I445" s="8" t="s">
        <v>39</v>
      </c>
      <c r="J445" s="9">
        <v>26400</v>
      </c>
      <c r="K445" s="5" t="s">
        <v>39</v>
      </c>
      <c r="L445" s="10">
        <v>0.125</v>
      </c>
      <c r="M445" s="10">
        <v>0.05</v>
      </c>
      <c r="O445" s="8" t="s">
        <v>39</v>
      </c>
      <c r="P445" s="4">
        <f t="shared" si="164"/>
        <v>0</v>
      </c>
      <c r="Q445" s="8" t="s">
        <v>39</v>
      </c>
      <c r="R445" s="9">
        <f>S445/1.11</f>
        <v>0</v>
      </c>
      <c r="S445" s="9">
        <f t="shared" si="165"/>
        <v>0</v>
      </c>
    </row>
    <row r="446" spans="1:19" x14ac:dyDescent="0.2">
      <c r="A446" s="2" t="s">
        <v>836</v>
      </c>
      <c r="B446" s="3" t="s">
        <v>17</v>
      </c>
      <c r="D446" s="5" t="s">
        <v>150</v>
      </c>
      <c r="F446" s="7">
        <v>1</v>
      </c>
      <c r="G446" s="8" t="s">
        <v>19</v>
      </c>
      <c r="H446" s="7">
        <v>240</v>
      </c>
      <c r="I446" s="8" t="s">
        <v>39</v>
      </c>
      <c r="J446" s="9">
        <v>26400</v>
      </c>
      <c r="K446" s="5" t="s">
        <v>39</v>
      </c>
      <c r="L446" s="10">
        <v>0.125</v>
      </c>
      <c r="M446" s="10">
        <v>0.05</v>
      </c>
      <c r="O446" s="8" t="s">
        <v>39</v>
      </c>
      <c r="P446" s="4">
        <f t="shared" si="164"/>
        <v>0</v>
      </c>
      <c r="Q446" s="8" t="s">
        <v>39</v>
      </c>
      <c r="R446" s="9">
        <f>S446/1.11</f>
        <v>0</v>
      </c>
      <c r="S446" s="9">
        <f t="shared" si="165"/>
        <v>0</v>
      </c>
    </row>
    <row r="447" spans="1:19" x14ac:dyDescent="0.2">
      <c r="A447" s="2" t="s">
        <v>837</v>
      </c>
      <c r="B447" s="3" t="s">
        <v>17</v>
      </c>
      <c r="D447" s="5" t="s">
        <v>150</v>
      </c>
      <c r="F447" s="7">
        <v>1</v>
      </c>
      <c r="G447" s="8" t="s">
        <v>19</v>
      </c>
      <c r="H447" s="7">
        <v>240</v>
      </c>
      <c r="I447" s="8" t="s">
        <v>39</v>
      </c>
      <c r="J447" s="9">
        <v>30000</v>
      </c>
      <c r="K447" s="5" t="s">
        <v>39</v>
      </c>
      <c r="L447" s="10">
        <v>0.125</v>
      </c>
      <c r="M447" s="10">
        <v>0.05</v>
      </c>
      <c r="O447" s="8" t="s">
        <v>39</v>
      </c>
      <c r="P447" s="4">
        <f t="shared" si="164"/>
        <v>0</v>
      </c>
      <c r="Q447" s="8" t="s">
        <v>39</v>
      </c>
      <c r="R447" s="9">
        <f>S447/1.11</f>
        <v>0</v>
      </c>
      <c r="S447" s="9">
        <f t="shared" si="165"/>
        <v>0</v>
      </c>
    </row>
    <row r="448" spans="1:19" x14ac:dyDescent="0.2">
      <c r="A448" s="2" t="s">
        <v>838</v>
      </c>
      <c r="B448" s="3" t="s">
        <v>17</v>
      </c>
      <c r="D448" s="5" t="s">
        <v>150</v>
      </c>
      <c r="F448" s="7">
        <v>1</v>
      </c>
      <c r="G448" s="8" t="s">
        <v>19</v>
      </c>
      <c r="H448" s="7">
        <v>240</v>
      </c>
      <c r="I448" s="8" t="s">
        <v>39</v>
      </c>
      <c r="J448" s="9">
        <v>31200</v>
      </c>
      <c r="K448" s="5" t="s">
        <v>39</v>
      </c>
      <c r="L448" s="10">
        <v>0.125</v>
      </c>
      <c r="M448" s="10">
        <v>0.05</v>
      </c>
      <c r="O448" s="8" t="s">
        <v>39</v>
      </c>
      <c r="P448" s="4">
        <f t="shared" si="164"/>
        <v>0</v>
      </c>
      <c r="Q448" s="8" t="s">
        <v>39</v>
      </c>
      <c r="R448" s="9">
        <f>S448/1.11</f>
        <v>0</v>
      </c>
      <c r="S448" s="9">
        <f t="shared" si="165"/>
        <v>0</v>
      </c>
    </row>
    <row r="449" spans="1:19" x14ac:dyDescent="0.2">
      <c r="A449" s="2" t="s">
        <v>839</v>
      </c>
      <c r="B449" s="3" t="s">
        <v>17</v>
      </c>
      <c r="D449" s="5" t="s">
        <v>150</v>
      </c>
      <c r="F449" s="7">
        <v>1</v>
      </c>
      <c r="G449" s="8" t="s">
        <v>19</v>
      </c>
      <c r="H449" s="7">
        <v>240</v>
      </c>
      <c r="I449" s="8" t="s">
        <v>39</v>
      </c>
      <c r="J449" s="9">
        <v>34200</v>
      </c>
      <c r="K449" s="5" t="s">
        <v>39</v>
      </c>
      <c r="L449" s="10">
        <v>0.125</v>
      </c>
      <c r="M449" s="10">
        <v>0.05</v>
      </c>
      <c r="O449" s="8" t="s">
        <v>39</v>
      </c>
      <c r="P449" s="4">
        <f t="shared" ref="P449" si="170">(C449+(E449*F449*H449))-N449</f>
        <v>0</v>
      </c>
      <c r="Q449" s="8" t="s">
        <v>39</v>
      </c>
      <c r="R449" s="9">
        <f>S449/1.11</f>
        <v>0</v>
      </c>
      <c r="S449" s="9">
        <f t="shared" ref="S449" si="171">P449*(J449-(J449*L449)-((J449-(J449*L449))*M449))</f>
        <v>0</v>
      </c>
    </row>
    <row r="450" spans="1:19" x14ac:dyDescent="0.2">
      <c r="A450" s="2" t="s">
        <v>840</v>
      </c>
      <c r="B450" s="3" t="s">
        <v>17</v>
      </c>
      <c r="D450" s="5" t="s">
        <v>150</v>
      </c>
      <c r="F450" s="7">
        <v>1</v>
      </c>
      <c r="G450" s="8" t="s">
        <v>19</v>
      </c>
      <c r="H450" s="7">
        <v>240</v>
      </c>
      <c r="I450" s="8" t="s">
        <v>39</v>
      </c>
      <c r="J450" s="9">
        <v>37800</v>
      </c>
      <c r="K450" s="5" t="s">
        <v>39</v>
      </c>
      <c r="L450" s="10">
        <v>0.125</v>
      </c>
      <c r="M450" s="10">
        <v>0.05</v>
      </c>
      <c r="O450" s="8" t="s">
        <v>39</v>
      </c>
      <c r="P450" s="4">
        <f t="shared" si="164"/>
        <v>0</v>
      </c>
      <c r="Q450" s="8" t="s">
        <v>39</v>
      </c>
      <c r="R450" s="9">
        <f>S450/1.11</f>
        <v>0</v>
      </c>
      <c r="S450" s="9">
        <f t="shared" si="165"/>
        <v>0</v>
      </c>
    </row>
    <row r="451" spans="1:19" x14ac:dyDescent="0.2">
      <c r="A451" s="2" t="s">
        <v>841</v>
      </c>
      <c r="B451" s="3" t="s">
        <v>17</v>
      </c>
      <c r="D451" s="5" t="s">
        <v>150</v>
      </c>
      <c r="F451" s="7">
        <v>1</v>
      </c>
      <c r="G451" s="8" t="s">
        <v>19</v>
      </c>
      <c r="I451" s="8" t="s">
        <v>39</v>
      </c>
      <c r="K451" s="5" t="s">
        <v>39</v>
      </c>
      <c r="L451" s="10">
        <v>0.125</v>
      </c>
      <c r="M451" s="10">
        <v>0.05</v>
      </c>
      <c r="O451" s="8" t="s">
        <v>39</v>
      </c>
      <c r="P451" s="4">
        <f t="shared" si="164"/>
        <v>0</v>
      </c>
      <c r="Q451" s="8" t="s">
        <v>39</v>
      </c>
      <c r="R451" s="9">
        <f>S451/1.11</f>
        <v>0</v>
      </c>
      <c r="S451" s="9">
        <f t="shared" si="165"/>
        <v>0</v>
      </c>
    </row>
    <row r="452" spans="1:19" x14ac:dyDescent="0.2">
      <c r="A452" s="2" t="s">
        <v>842</v>
      </c>
      <c r="B452" s="3" t="s">
        <v>17</v>
      </c>
      <c r="D452" s="5" t="s">
        <v>150</v>
      </c>
      <c r="F452" s="7">
        <v>1</v>
      </c>
      <c r="G452" s="8" t="s">
        <v>19</v>
      </c>
      <c r="H452" s="7">
        <v>240</v>
      </c>
      <c r="I452" s="8" t="s">
        <v>39</v>
      </c>
      <c r="J452" s="9">
        <v>41400</v>
      </c>
      <c r="K452" s="5" t="s">
        <v>39</v>
      </c>
      <c r="L452" s="10">
        <v>0.125</v>
      </c>
      <c r="M452" s="10">
        <v>0.05</v>
      </c>
      <c r="O452" s="8" t="s">
        <v>39</v>
      </c>
      <c r="P452" s="4">
        <f t="shared" si="164"/>
        <v>0</v>
      </c>
      <c r="Q452" s="8" t="s">
        <v>39</v>
      </c>
      <c r="R452" s="9">
        <f>S452/1.11</f>
        <v>0</v>
      </c>
      <c r="S452" s="9">
        <f t="shared" si="165"/>
        <v>0</v>
      </c>
    </row>
    <row r="453" spans="1:19" x14ac:dyDescent="0.2">
      <c r="A453" s="2" t="s">
        <v>843</v>
      </c>
      <c r="B453" s="3" t="s">
        <v>17</v>
      </c>
      <c r="D453" s="5" t="s">
        <v>150</v>
      </c>
      <c r="F453" s="7">
        <v>1</v>
      </c>
      <c r="G453" s="8" t="s">
        <v>19</v>
      </c>
      <c r="H453" s="7">
        <v>240</v>
      </c>
      <c r="I453" s="8" t="s">
        <v>39</v>
      </c>
      <c r="J453" s="9">
        <v>45600</v>
      </c>
      <c r="K453" s="5" t="s">
        <v>39</v>
      </c>
      <c r="L453" s="10">
        <v>0.125</v>
      </c>
      <c r="M453" s="10">
        <v>0.05</v>
      </c>
      <c r="O453" s="8" t="s">
        <v>39</v>
      </c>
      <c r="P453" s="4">
        <f t="shared" si="164"/>
        <v>0</v>
      </c>
      <c r="Q453" s="8" t="s">
        <v>39</v>
      </c>
      <c r="R453" s="9">
        <f>S453/1.11</f>
        <v>0</v>
      </c>
      <c r="S453" s="9">
        <f t="shared" si="165"/>
        <v>0</v>
      </c>
    </row>
    <row r="454" spans="1:19" x14ac:dyDescent="0.2">
      <c r="A454" s="2" t="s">
        <v>844</v>
      </c>
      <c r="B454" s="3" t="s">
        <v>17</v>
      </c>
      <c r="D454" s="5" t="s">
        <v>150</v>
      </c>
      <c r="F454" s="7">
        <v>1</v>
      </c>
      <c r="G454" s="8" t="s">
        <v>19</v>
      </c>
      <c r="H454" s="7">
        <v>108</v>
      </c>
      <c r="I454" s="8" t="s">
        <v>39</v>
      </c>
      <c r="J454" s="9">
        <v>51000</v>
      </c>
      <c r="K454" s="5" t="s">
        <v>39</v>
      </c>
      <c r="L454" s="10">
        <v>0.125</v>
      </c>
      <c r="M454" s="10">
        <v>0.05</v>
      </c>
      <c r="O454" s="8" t="s">
        <v>39</v>
      </c>
      <c r="P454" s="4">
        <f t="shared" si="164"/>
        <v>0</v>
      </c>
      <c r="Q454" s="8" t="s">
        <v>39</v>
      </c>
      <c r="R454" s="9">
        <f>S454/1.11</f>
        <v>0</v>
      </c>
      <c r="S454" s="9">
        <f t="shared" si="165"/>
        <v>0</v>
      </c>
    </row>
    <row r="455" spans="1:19" x14ac:dyDescent="0.2">
      <c r="A455" s="2" t="s">
        <v>845</v>
      </c>
      <c r="B455" s="3" t="s">
        <v>17</v>
      </c>
      <c r="D455" s="5" t="s">
        <v>150</v>
      </c>
      <c r="F455" s="7">
        <v>1</v>
      </c>
      <c r="G455" s="8" t="s">
        <v>19</v>
      </c>
      <c r="H455" s="7">
        <v>108</v>
      </c>
      <c r="I455" s="8" t="s">
        <v>39</v>
      </c>
      <c r="J455" s="9">
        <v>55200</v>
      </c>
      <c r="K455" s="5" t="s">
        <v>39</v>
      </c>
      <c r="L455" s="10">
        <v>0.125</v>
      </c>
      <c r="M455" s="10">
        <v>0.05</v>
      </c>
      <c r="O455" s="8" t="s">
        <v>39</v>
      </c>
      <c r="P455" s="4">
        <f t="shared" si="164"/>
        <v>0</v>
      </c>
      <c r="Q455" s="8" t="s">
        <v>39</v>
      </c>
      <c r="R455" s="9">
        <f>S455/1.11</f>
        <v>0</v>
      </c>
      <c r="S455" s="9">
        <f t="shared" si="165"/>
        <v>0</v>
      </c>
    </row>
    <row r="456" spans="1:19" x14ac:dyDescent="0.2">
      <c r="A456" s="2" t="s">
        <v>846</v>
      </c>
      <c r="B456" s="3" t="s">
        <v>17</v>
      </c>
      <c r="D456" s="5" t="s">
        <v>150</v>
      </c>
      <c r="F456" s="7">
        <v>1</v>
      </c>
      <c r="G456" s="8" t="s">
        <v>19</v>
      </c>
      <c r="H456" s="7">
        <v>108</v>
      </c>
      <c r="I456" s="8" t="s">
        <v>39</v>
      </c>
      <c r="J456" s="9">
        <v>60300</v>
      </c>
      <c r="K456" s="5" t="s">
        <v>39</v>
      </c>
      <c r="L456" s="10">
        <v>0.125</v>
      </c>
      <c r="M456" s="10">
        <v>0.05</v>
      </c>
      <c r="O456" s="8" t="s">
        <v>39</v>
      </c>
      <c r="P456" s="4">
        <f t="shared" si="164"/>
        <v>0</v>
      </c>
      <c r="Q456" s="8" t="s">
        <v>39</v>
      </c>
      <c r="R456" s="9">
        <f>S456/1.11</f>
        <v>0</v>
      </c>
      <c r="S456" s="9">
        <f t="shared" si="165"/>
        <v>0</v>
      </c>
    </row>
    <row r="457" spans="1:19" x14ac:dyDescent="0.2">
      <c r="A457" s="2" t="s">
        <v>847</v>
      </c>
      <c r="B457" s="3" t="s">
        <v>17</v>
      </c>
      <c r="D457" s="5" t="s">
        <v>150</v>
      </c>
      <c r="F457" s="7">
        <v>1</v>
      </c>
      <c r="G457" s="8" t="s">
        <v>19</v>
      </c>
      <c r="H457" s="7">
        <v>108</v>
      </c>
      <c r="I457" s="8" t="s">
        <v>39</v>
      </c>
      <c r="J457" s="9">
        <v>65400</v>
      </c>
      <c r="K457" s="5" t="s">
        <v>39</v>
      </c>
      <c r="L457" s="10">
        <v>0.125</v>
      </c>
      <c r="M457" s="10">
        <v>0.05</v>
      </c>
      <c r="O457" s="8" t="s">
        <v>39</v>
      </c>
      <c r="P457" s="4">
        <f t="shared" si="164"/>
        <v>0</v>
      </c>
      <c r="Q457" s="8" t="s">
        <v>39</v>
      </c>
      <c r="R457" s="9">
        <f>S457/1.11</f>
        <v>0</v>
      </c>
      <c r="S457" s="9">
        <f t="shared" si="165"/>
        <v>0</v>
      </c>
    </row>
    <row r="459" spans="1:19" ht="15.75" x14ac:dyDescent="0.25">
      <c r="A459" s="29" t="s">
        <v>272</v>
      </c>
    </row>
    <row r="460" spans="1:19" x14ac:dyDescent="0.2">
      <c r="A460" s="30" t="s">
        <v>273</v>
      </c>
    </row>
    <row r="461" spans="1:19" x14ac:dyDescent="0.2">
      <c r="A461" s="2" t="s">
        <v>274</v>
      </c>
      <c r="B461" s="3" t="s">
        <v>17</v>
      </c>
      <c r="D461" s="5" t="s">
        <v>275</v>
      </c>
      <c r="F461" s="7">
        <v>100</v>
      </c>
      <c r="G461" s="8" t="s">
        <v>97</v>
      </c>
      <c r="H461" s="7">
        <v>10</v>
      </c>
      <c r="I461" s="8" t="s">
        <v>275</v>
      </c>
      <c r="J461" s="9">
        <v>2050</v>
      </c>
      <c r="K461" s="5" t="s">
        <v>275</v>
      </c>
      <c r="L461" s="10">
        <v>0.125</v>
      </c>
      <c r="M461" s="10">
        <v>0.05</v>
      </c>
      <c r="O461" s="8" t="s">
        <v>275</v>
      </c>
      <c r="P461" s="4">
        <f t="shared" ref="P461:P470" si="172">(C461+(E461*F461*H461))-N461</f>
        <v>0</v>
      </c>
      <c r="Q461" s="8" t="s">
        <v>275</v>
      </c>
      <c r="R461" s="9">
        <f>S461/1.11</f>
        <v>0</v>
      </c>
      <c r="S461" s="9">
        <f t="shared" ref="S461:S470" si="173">P461*(J461-(J461*L461)-((J461-(J461*L461))*M461))</f>
        <v>0</v>
      </c>
    </row>
    <row r="462" spans="1:19" x14ac:dyDescent="0.2">
      <c r="A462" s="2" t="s">
        <v>276</v>
      </c>
      <c r="B462" s="3" t="s">
        <v>17</v>
      </c>
      <c r="D462" s="5" t="s">
        <v>275</v>
      </c>
      <c r="F462" s="7">
        <v>100</v>
      </c>
      <c r="G462" s="8" t="s">
        <v>97</v>
      </c>
      <c r="H462" s="7">
        <v>10</v>
      </c>
      <c r="I462" s="8" t="s">
        <v>275</v>
      </c>
      <c r="J462" s="9">
        <v>3000</v>
      </c>
      <c r="K462" s="5" t="s">
        <v>275</v>
      </c>
      <c r="L462" s="10">
        <v>0.125</v>
      </c>
      <c r="M462" s="10">
        <v>0.05</v>
      </c>
      <c r="O462" s="8" t="s">
        <v>275</v>
      </c>
      <c r="P462" s="4">
        <f t="shared" si="172"/>
        <v>0</v>
      </c>
      <c r="Q462" s="8" t="s">
        <v>275</v>
      </c>
      <c r="R462" s="9">
        <f>S462/1.11</f>
        <v>0</v>
      </c>
      <c r="S462" s="9">
        <f t="shared" si="173"/>
        <v>0</v>
      </c>
    </row>
    <row r="463" spans="1:19" x14ac:dyDescent="0.2">
      <c r="A463" s="2" t="s">
        <v>860</v>
      </c>
      <c r="B463" s="3" t="s">
        <v>17</v>
      </c>
      <c r="D463" s="5" t="s">
        <v>275</v>
      </c>
      <c r="F463" s="7">
        <v>50</v>
      </c>
      <c r="G463" s="8" t="s">
        <v>97</v>
      </c>
      <c r="H463" s="7">
        <v>10</v>
      </c>
      <c r="I463" s="8" t="s">
        <v>275</v>
      </c>
      <c r="J463" s="9">
        <v>3300</v>
      </c>
      <c r="K463" s="5" t="s">
        <v>275</v>
      </c>
      <c r="L463" s="10">
        <v>0.125</v>
      </c>
      <c r="M463" s="10">
        <v>0.05</v>
      </c>
      <c r="O463" s="8" t="s">
        <v>275</v>
      </c>
      <c r="P463" s="4">
        <f t="shared" ref="P463" si="174">(C463+(E463*F463*H463))-N463</f>
        <v>0</v>
      </c>
      <c r="Q463" s="8" t="s">
        <v>275</v>
      </c>
      <c r="R463" s="9">
        <f>S463/1.11</f>
        <v>0</v>
      </c>
      <c r="S463" s="9">
        <f t="shared" ref="S463" si="175">P463*(J463-(J463*L463)-((J463-(J463*L463))*M463))</f>
        <v>0</v>
      </c>
    </row>
    <row r="464" spans="1:19" x14ac:dyDescent="0.2">
      <c r="A464" s="2" t="s">
        <v>277</v>
      </c>
      <c r="B464" s="3" t="s">
        <v>17</v>
      </c>
      <c r="C464" s="4">
        <v>500</v>
      </c>
      <c r="D464" s="5" t="s">
        <v>275</v>
      </c>
      <c r="F464" s="7">
        <v>50</v>
      </c>
      <c r="G464" s="8" t="s">
        <v>97</v>
      </c>
      <c r="H464" s="7">
        <v>10</v>
      </c>
      <c r="I464" s="8" t="s">
        <v>275</v>
      </c>
      <c r="J464" s="9">
        <v>3050</v>
      </c>
      <c r="K464" s="5" t="s">
        <v>275</v>
      </c>
      <c r="L464" s="10">
        <v>0.125</v>
      </c>
      <c r="M464" s="10">
        <v>0.05</v>
      </c>
      <c r="O464" s="8" t="s">
        <v>275</v>
      </c>
      <c r="P464" s="4">
        <f t="shared" si="172"/>
        <v>500</v>
      </c>
      <c r="Q464" s="8" t="s">
        <v>275</v>
      </c>
      <c r="R464" s="9">
        <f>S464/1.11</f>
        <v>1142032.6576576575</v>
      </c>
      <c r="S464" s="9">
        <f t="shared" si="173"/>
        <v>1267656.25</v>
      </c>
    </row>
    <row r="465" spans="1:19" x14ac:dyDescent="0.2">
      <c r="A465" s="2" t="s">
        <v>278</v>
      </c>
      <c r="B465" s="3" t="s">
        <v>17</v>
      </c>
      <c r="D465" s="5" t="s">
        <v>275</v>
      </c>
      <c r="F465" s="7">
        <v>50</v>
      </c>
      <c r="G465" s="8" t="s">
        <v>97</v>
      </c>
      <c r="H465" s="7">
        <v>10</v>
      </c>
      <c r="I465" s="8" t="s">
        <v>275</v>
      </c>
      <c r="J465" s="9">
        <v>4200</v>
      </c>
      <c r="K465" s="5" t="s">
        <v>275</v>
      </c>
      <c r="L465" s="10">
        <v>0.125</v>
      </c>
      <c r="M465" s="10">
        <v>0.05</v>
      </c>
      <c r="O465" s="8" t="s">
        <v>275</v>
      </c>
      <c r="P465" s="4">
        <f t="shared" si="172"/>
        <v>0</v>
      </c>
      <c r="Q465" s="8" t="s">
        <v>275</v>
      </c>
      <c r="R465" s="9">
        <f>S465/1.11</f>
        <v>0</v>
      </c>
      <c r="S465" s="9">
        <f t="shared" si="173"/>
        <v>0</v>
      </c>
    </row>
    <row r="466" spans="1:19" x14ac:dyDescent="0.2">
      <c r="A466" s="13" t="s">
        <v>279</v>
      </c>
      <c r="B466" s="3" t="s">
        <v>17</v>
      </c>
      <c r="D466" s="5" t="s">
        <v>275</v>
      </c>
      <c r="F466" s="7">
        <v>50</v>
      </c>
      <c r="G466" s="8" t="s">
        <v>97</v>
      </c>
      <c r="H466" s="7">
        <v>10</v>
      </c>
      <c r="I466" s="8" t="s">
        <v>275</v>
      </c>
      <c r="J466" s="9">
        <v>4300</v>
      </c>
      <c r="K466" s="5" t="s">
        <v>275</v>
      </c>
      <c r="L466" s="10">
        <v>0.125</v>
      </c>
      <c r="M466" s="10">
        <v>0.05</v>
      </c>
      <c r="O466" s="8" t="s">
        <v>275</v>
      </c>
      <c r="P466" s="4">
        <f t="shared" si="172"/>
        <v>0</v>
      </c>
      <c r="Q466" s="8" t="s">
        <v>275</v>
      </c>
      <c r="R466" s="9">
        <f>S466/1.11</f>
        <v>0</v>
      </c>
      <c r="S466" s="9">
        <f t="shared" si="173"/>
        <v>0</v>
      </c>
    </row>
    <row r="467" spans="1:19" x14ac:dyDescent="0.2">
      <c r="A467" s="13" t="s">
        <v>280</v>
      </c>
      <c r="B467" s="3" t="s">
        <v>17</v>
      </c>
      <c r="D467" s="5" t="s">
        <v>275</v>
      </c>
      <c r="F467" s="7">
        <v>100</v>
      </c>
      <c r="G467" s="8" t="s">
        <v>97</v>
      </c>
      <c r="H467" s="7">
        <v>10</v>
      </c>
      <c r="I467" s="8" t="s">
        <v>275</v>
      </c>
      <c r="J467" s="9">
        <v>3000</v>
      </c>
      <c r="K467" s="5" t="s">
        <v>275</v>
      </c>
      <c r="L467" s="10">
        <v>0.125</v>
      </c>
      <c r="M467" s="10">
        <v>0.05</v>
      </c>
      <c r="O467" s="8" t="s">
        <v>275</v>
      </c>
      <c r="P467" s="4">
        <f t="shared" si="172"/>
        <v>0</v>
      </c>
      <c r="Q467" s="8" t="s">
        <v>275</v>
      </c>
      <c r="R467" s="9">
        <f>S467/1.11</f>
        <v>0</v>
      </c>
      <c r="S467" s="9">
        <f t="shared" si="173"/>
        <v>0</v>
      </c>
    </row>
    <row r="468" spans="1:19" x14ac:dyDescent="0.2">
      <c r="A468" s="13" t="s">
        <v>281</v>
      </c>
      <c r="B468" s="3" t="s">
        <v>17</v>
      </c>
      <c r="D468" s="5" t="s">
        <v>275</v>
      </c>
      <c r="F468" s="7">
        <v>100</v>
      </c>
      <c r="G468" s="8" t="s">
        <v>97</v>
      </c>
      <c r="H468" s="7">
        <v>10</v>
      </c>
      <c r="I468" s="8" t="s">
        <v>275</v>
      </c>
      <c r="J468" s="9">
        <v>3000</v>
      </c>
      <c r="K468" s="5" t="s">
        <v>275</v>
      </c>
      <c r="L468" s="10">
        <v>0.125</v>
      </c>
      <c r="M468" s="10">
        <v>0.05</v>
      </c>
      <c r="O468" s="8" t="s">
        <v>275</v>
      </c>
      <c r="P468" s="4">
        <f t="shared" si="172"/>
        <v>0</v>
      </c>
      <c r="Q468" s="8" t="s">
        <v>275</v>
      </c>
      <c r="R468" s="9">
        <f>S468/1.11</f>
        <v>0</v>
      </c>
      <c r="S468" s="9">
        <f t="shared" si="173"/>
        <v>0</v>
      </c>
    </row>
    <row r="469" spans="1:19" x14ac:dyDescent="0.2">
      <c r="A469" s="13" t="s">
        <v>282</v>
      </c>
      <c r="B469" s="3" t="s">
        <v>17</v>
      </c>
      <c r="D469" s="5" t="s">
        <v>275</v>
      </c>
      <c r="F469" s="7">
        <v>50</v>
      </c>
      <c r="G469" s="8" t="s">
        <v>97</v>
      </c>
      <c r="H469" s="7">
        <v>10</v>
      </c>
      <c r="I469" s="8" t="s">
        <v>275</v>
      </c>
      <c r="J469" s="9">
        <v>4300</v>
      </c>
      <c r="K469" s="5" t="s">
        <v>275</v>
      </c>
      <c r="L469" s="10">
        <v>0.125</v>
      </c>
      <c r="M469" s="10">
        <v>0.05</v>
      </c>
      <c r="O469" s="8" t="s">
        <v>275</v>
      </c>
      <c r="P469" s="4">
        <f t="shared" si="172"/>
        <v>0</v>
      </c>
      <c r="Q469" s="8" t="s">
        <v>275</v>
      </c>
      <c r="R469" s="9">
        <f>S469/1.11</f>
        <v>0</v>
      </c>
      <c r="S469" s="9">
        <f t="shared" si="173"/>
        <v>0</v>
      </c>
    </row>
    <row r="470" spans="1:19" x14ac:dyDescent="0.2">
      <c r="A470" s="13" t="s">
        <v>283</v>
      </c>
      <c r="B470" s="3" t="s">
        <v>17</v>
      </c>
      <c r="D470" s="5" t="s">
        <v>97</v>
      </c>
      <c r="F470" s="7">
        <v>1</v>
      </c>
      <c r="G470" s="8" t="s">
        <v>19</v>
      </c>
      <c r="H470" s="7">
        <v>50</v>
      </c>
      <c r="I470" s="8" t="s">
        <v>97</v>
      </c>
      <c r="J470" s="9">
        <v>15500</v>
      </c>
      <c r="K470" s="5" t="s">
        <v>97</v>
      </c>
      <c r="L470" s="10">
        <v>0.125</v>
      </c>
      <c r="M470" s="10">
        <v>0.05</v>
      </c>
      <c r="O470" s="8" t="s">
        <v>97</v>
      </c>
      <c r="P470" s="4">
        <f t="shared" si="172"/>
        <v>0</v>
      </c>
      <c r="Q470" s="8" t="s">
        <v>97</v>
      </c>
      <c r="R470" s="9">
        <f>S470/1.11</f>
        <v>0</v>
      </c>
      <c r="S470" s="9">
        <f t="shared" si="173"/>
        <v>0</v>
      </c>
    </row>
    <row r="471" spans="1:19" x14ac:dyDescent="0.2">
      <c r="A471" s="17"/>
    </row>
    <row r="472" spans="1:19" x14ac:dyDescent="0.2">
      <c r="A472" s="2" t="s">
        <v>284</v>
      </c>
      <c r="B472" s="3" t="s">
        <v>24</v>
      </c>
      <c r="C472" s="4">
        <v>100</v>
      </c>
      <c r="D472" s="5" t="s">
        <v>285</v>
      </c>
      <c r="F472" s="7">
        <v>1</v>
      </c>
      <c r="G472" s="8" t="s">
        <v>19</v>
      </c>
      <c r="H472" s="7">
        <v>50</v>
      </c>
      <c r="I472" s="8" t="s">
        <v>285</v>
      </c>
      <c r="J472" s="9">
        <f>1050000/50</f>
        <v>21000</v>
      </c>
      <c r="K472" s="5" t="s">
        <v>285</v>
      </c>
      <c r="M472" s="10">
        <v>0.17</v>
      </c>
      <c r="O472" s="8" t="s">
        <v>285</v>
      </c>
      <c r="P472" s="4">
        <f>(C472+(E472*F472*H472))-N472</f>
        <v>100</v>
      </c>
      <c r="Q472" s="8" t="s">
        <v>285</v>
      </c>
      <c r="R472" s="9">
        <f>S472/1.11</f>
        <v>1570270.2702702701</v>
      </c>
      <c r="S472" s="9">
        <f>P472*(J472-(J472*L472)-((J472-(J472*L472))*M472))</f>
        <v>1743000</v>
      </c>
    </row>
    <row r="473" spans="1:19" x14ac:dyDescent="0.2">
      <c r="A473" s="2" t="s">
        <v>286</v>
      </c>
      <c r="B473" s="3" t="s">
        <v>24</v>
      </c>
      <c r="D473" s="5" t="s">
        <v>285</v>
      </c>
      <c r="F473" s="7">
        <v>1</v>
      </c>
      <c r="G473" s="8" t="s">
        <v>19</v>
      </c>
      <c r="H473" s="7">
        <v>50</v>
      </c>
      <c r="I473" s="8" t="s">
        <v>285</v>
      </c>
      <c r="J473" s="9">
        <f>1350000/50</f>
        <v>27000</v>
      </c>
      <c r="K473" s="5" t="s">
        <v>285</v>
      </c>
      <c r="M473" s="10">
        <v>0.17</v>
      </c>
      <c r="O473" s="8" t="s">
        <v>285</v>
      </c>
      <c r="P473" s="4">
        <f>(C473+(E473*F473*H473))-N473</f>
        <v>0</v>
      </c>
      <c r="Q473" s="8" t="s">
        <v>285</v>
      </c>
      <c r="R473" s="9">
        <f>S473/1.11</f>
        <v>0</v>
      </c>
      <c r="S473" s="9">
        <f>P473*(J473-(J473*L473)-((J473-(J473*L473))*M473))</f>
        <v>0</v>
      </c>
    </row>
    <row r="475" spans="1:19" x14ac:dyDescent="0.2">
      <c r="A475" s="30" t="s">
        <v>287</v>
      </c>
    </row>
    <row r="476" spans="1:19" x14ac:dyDescent="0.2">
      <c r="A476" s="2" t="s">
        <v>288</v>
      </c>
      <c r="B476" s="3" t="s">
        <v>17</v>
      </c>
      <c r="D476" s="5" t="s">
        <v>18</v>
      </c>
      <c r="F476" s="7">
        <v>1</v>
      </c>
      <c r="G476" s="8" t="s">
        <v>19</v>
      </c>
      <c r="H476" s="7">
        <v>20</v>
      </c>
      <c r="I476" s="8" t="s">
        <v>18</v>
      </c>
      <c r="J476" s="9">
        <v>40500</v>
      </c>
      <c r="K476" s="5" t="s">
        <v>18</v>
      </c>
      <c r="L476" s="10">
        <v>0.125</v>
      </c>
      <c r="M476" s="10">
        <v>0.05</v>
      </c>
      <c r="O476" s="8" t="s">
        <v>18</v>
      </c>
      <c r="P476" s="4">
        <f>(C476+(E476*F476*H476))-N476</f>
        <v>0</v>
      </c>
      <c r="Q476" s="8" t="s">
        <v>18</v>
      </c>
      <c r="R476" s="9">
        <f>S476/1.11</f>
        <v>0</v>
      </c>
      <c r="S476" s="9">
        <f>P476*(J476-(J476*L476)-((J476-(J476*L476))*M476))</f>
        <v>0</v>
      </c>
    </row>
    <row r="477" spans="1:19" x14ac:dyDescent="0.2">
      <c r="A477" s="2" t="s">
        <v>848</v>
      </c>
      <c r="B477" s="3" t="s">
        <v>17</v>
      </c>
      <c r="D477" s="5" t="s">
        <v>18</v>
      </c>
      <c r="F477" s="7">
        <v>1</v>
      </c>
      <c r="G477" s="8" t="s">
        <v>19</v>
      </c>
      <c r="H477" s="7">
        <v>20</v>
      </c>
      <c r="I477" s="8" t="s">
        <v>18</v>
      </c>
      <c r="J477" s="9">
        <v>94500</v>
      </c>
      <c r="K477" s="5" t="s">
        <v>18</v>
      </c>
      <c r="L477" s="10">
        <v>0.125</v>
      </c>
      <c r="M477" s="10">
        <v>0.05</v>
      </c>
      <c r="O477" s="8" t="s">
        <v>18</v>
      </c>
      <c r="P477" s="4">
        <f>(C477+(E477*F477*H477))-N477</f>
        <v>0</v>
      </c>
      <c r="Q477" s="8" t="s">
        <v>18</v>
      </c>
      <c r="R477" s="9">
        <f>S477/1.11</f>
        <v>0</v>
      </c>
      <c r="S477" s="9">
        <f>P477*(J477-(J477*L477)-((J477-(J477*L477))*M477))</f>
        <v>0</v>
      </c>
    </row>
    <row r="478" spans="1:19" x14ac:dyDescent="0.2">
      <c r="A478" s="2" t="s">
        <v>1003</v>
      </c>
      <c r="B478" s="3" t="s">
        <v>17</v>
      </c>
      <c r="D478" s="5" t="s">
        <v>18</v>
      </c>
      <c r="F478" s="7">
        <v>1</v>
      </c>
      <c r="G478" s="8" t="s">
        <v>19</v>
      </c>
      <c r="H478" s="7">
        <v>20</v>
      </c>
      <c r="I478" s="8" t="s">
        <v>18</v>
      </c>
      <c r="J478" s="9">
        <v>94500</v>
      </c>
      <c r="K478" s="5" t="s">
        <v>18</v>
      </c>
      <c r="L478" s="10">
        <v>0.125</v>
      </c>
      <c r="M478" s="10">
        <v>0.05</v>
      </c>
      <c r="O478" s="8" t="s">
        <v>18</v>
      </c>
      <c r="P478" s="4">
        <f>(C478+(E478*F478*H478))-N478</f>
        <v>0</v>
      </c>
      <c r="Q478" s="8" t="s">
        <v>18</v>
      </c>
      <c r="R478" s="9">
        <f>S478/1.11</f>
        <v>0</v>
      </c>
      <c r="S478" s="9">
        <f>P478*(J478-(J478*L478)-((J478-(J478*L478))*M478))</f>
        <v>0</v>
      </c>
    </row>
    <row r="480" spans="1:19" x14ac:dyDescent="0.2">
      <c r="A480" s="2" t="s">
        <v>289</v>
      </c>
      <c r="B480" s="3" t="s">
        <v>24</v>
      </c>
      <c r="C480" s="4">
        <v>50</v>
      </c>
      <c r="D480" s="5" t="s">
        <v>18</v>
      </c>
      <c r="F480" s="7">
        <v>1</v>
      </c>
      <c r="G480" s="8" t="s">
        <v>19</v>
      </c>
      <c r="H480" s="7">
        <v>50</v>
      </c>
      <c r="I480" s="8" t="s">
        <v>18</v>
      </c>
      <c r="J480" s="9">
        <f>2250000/50</f>
        <v>45000</v>
      </c>
      <c r="K480" s="5" t="s">
        <v>18</v>
      </c>
      <c r="M480" s="10">
        <v>0.17</v>
      </c>
      <c r="O480" s="8" t="s">
        <v>18</v>
      </c>
      <c r="P480" s="4">
        <f>(C480+(E480*F480*H480))-N480</f>
        <v>50</v>
      </c>
      <c r="Q480" s="8" t="s">
        <v>18</v>
      </c>
      <c r="R480" s="9">
        <f>S480/1.11</f>
        <v>1682432.4324324322</v>
      </c>
      <c r="S480" s="9">
        <f>P480*(J480-(J480*L480)-((J480-(J480*L480))*M480))</f>
        <v>1867500</v>
      </c>
    </row>
    <row r="481" spans="1:19" x14ac:dyDescent="0.2">
      <c r="A481" s="2" t="s">
        <v>290</v>
      </c>
      <c r="B481" s="3" t="s">
        <v>24</v>
      </c>
      <c r="C481" s="4">
        <v>100</v>
      </c>
      <c r="D481" s="5" t="s">
        <v>18</v>
      </c>
      <c r="F481" s="7">
        <v>1</v>
      </c>
      <c r="G481" s="8" t="s">
        <v>19</v>
      </c>
      <c r="H481" s="7">
        <v>50</v>
      </c>
      <c r="I481" s="8" t="s">
        <v>18</v>
      </c>
      <c r="J481" s="9">
        <f>2750000/50</f>
        <v>55000</v>
      </c>
      <c r="K481" s="5" t="s">
        <v>18</v>
      </c>
      <c r="M481" s="10">
        <v>0.17</v>
      </c>
      <c r="O481" s="8" t="s">
        <v>18</v>
      </c>
      <c r="P481" s="4">
        <f>(C481+(E481*F481*H481))-N481</f>
        <v>100</v>
      </c>
      <c r="Q481" s="8" t="s">
        <v>18</v>
      </c>
      <c r="R481" s="9">
        <f>S481/1.11</f>
        <v>4112612.6126126121</v>
      </c>
      <c r="S481" s="9">
        <f>P481*(J481-(J481*L481)-((J481-(J481*L481))*M481))</f>
        <v>4565000</v>
      </c>
    </row>
    <row r="482" spans="1:19" x14ac:dyDescent="0.2">
      <c r="A482" s="12" t="s">
        <v>291</v>
      </c>
      <c r="B482" s="3" t="s">
        <v>24</v>
      </c>
      <c r="D482" s="5" t="s">
        <v>18</v>
      </c>
      <c r="F482" s="7">
        <v>1</v>
      </c>
      <c r="G482" s="8" t="s">
        <v>19</v>
      </c>
      <c r="H482" s="7">
        <v>50</v>
      </c>
      <c r="I482" s="8" t="s">
        <v>18</v>
      </c>
      <c r="J482" s="9">
        <f>4750000/50</f>
        <v>95000</v>
      </c>
      <c r="K482" s="5" t="s">
        <v>18</v>
      </c>
      <c r="M482" s="10">
        <v>0.17</v>
      </c>
      <c r="O482" s="8" t="s">
        <v>18</v>
      </c>
      <c r="P482" s="4">
        <f>(C482+(E482*F482*H482))-N482</f>
        <v>0</v>
      </c>
      <c r="Q482" s="8" t="s">
        <v>18</v>
      </c>
      <c r="R482" s="9">
        <f>S482/1.11</f>
        <v>0</v>
      </c>
      <c r="S482" s="9">
        <f>P482*(J482-(J482*L482)-((J482-(J482*L482))*M482))</f>
        <v>0</v>
      </c>
    </row>
    <row r="484" spans="1:19" ht="15.75" x14ac:dyDescent="0.25">
      <c r="A484" s="29" t="s">
        <v>292</v>
      </c>
    </row>
    <row r="485" spans="1:19" x14ac:dyDescent="0.2">
      <c r="A485" s="2" t="s">
        <v>776</v>
      </c>
      <c r="B485" s="3" t="s">
        <v>17</v>
      </c>
      <c r="D485" s="5" t="s">
        <v>97</v>
      </c>
      <c r="F485" s="7">
        <v>1</v>
      </c>
      <c r="G485" s="8" t="s">
        <v>19</v>
      </c>
      <c r="H485" s="7">
        <v>10</v>
      </c>
      <c r="I485" s="8" t="s">
        <v>97</v>
      </c>
      <c r="J485" s="9">
        <v>85000</v>
      </c>
      <c r="K485" s="5" t="s">
        <v>97</v>
      </c>
      <c r="L485" s="10">
        <v>0.125</v>
      </c>
      <c r="M485" s="10">
        <v>0.05</v>
      </c>
      <c r="O485" s="8" t="s">
        <v>97</v>
      </c>
      <c r="P485" s="4">
        <f>(C485+(E485*F485*H485))-N485</f>
        <v>0</v>
      </c>
      <c r="Q485" s="8" t="s">
        <v>97</v>
      </c>
      <c r="R485" s="9">
        <f>S485/1.11</f>
        <v>0</v>
      </c>
      <c r="S485" s="9">
        <f>P485*(J485-(J485*L485)-((J485-(J485*L485))*M485))</f>
        <v>0</v>
      </c>
    </row>
    <row r="486" spans="1:19" x14ac:dyDescent="0.2">
      <c r="A486" s="2" t="s">
        <v>293</v>
      </c>
      <c r="B486" s="3" t="s">
        <v>17</v>
      </c>
      <c r="D486" s="5" t="s">
        <v>97</v>
      </c>
      <c r="F486" s="7">
        <v>1</v>
      </c>
      <c r="G486" s="8" t="s">
        <v>19</v>
      </c>
      <c r="H486" s="7">
        <v>10</v>
      </c>
      <c r="I486" s="8" t="s">
        <v>97</v>
      </c>
      <c r="J486" s="9">
        <v>86000</v>
      </c>
      <c r="K486" s="5" t="s">
        <v>97</v>
      </c>
      <c r="L486" s="10">
        <v>0.125</v>
      </c>
      <c r="M486" s="10">
        <v>0.05</v>
      </c>
      <c r="O486" s="8" t="s">
        <v>97</v>
      </c>
      <c r="P486" s="4">
        <f>(C486+(E486*F486*H486))-N486</f>
        <v>0</v>
      </c>
      <c r="Q486" s="8" t="s">
        <v>97</v>
      </c>
      <c r="R486" s="9">
        <f>S486/1.11</f>
        <v>0</v>
      </c>
      <c r="S486" s="9">
        <f>P486*(J486-(J486*L486)-((J486-(J486*L486))*M486))</f>
        <v>0</v>
      </c>
    </row>
    <row r="488" spans="1:19" x14ac:dyDescent="0.2">
      <c r="A488" s="2" t="s">
        <v>294</v>
      </c>
      <c r="B488" s="3" t="s">
        <v>24</v>
      </c>
      <c r="D488" s="5" t="s">
        <v>97</v>
      </c>
      <c r="F488" s="7">
        <v>1</v>
      </c>
      <c r="G488" s="8" t="s">
        <v>19</v>
      </c>
      <c r="H488" s="7">
        <v>10</v>
      </c>
      <c r="I488" s="8" t="s">
        <v>97</v>
      </c>
      <c r="J488" s="9">
        <f>1150000/10</f>
        <v>115000</v>
      </c>
      <c r="K488" s="5" t="s">
        <v>97</v>
      </c>
      <c r="M488" s="10">
        <v>0.17</v>
      </c>
      <c r="O488" s="8" t="s">
        <v>97</v>
      </c>
      <c r="P488" s="4">
        <f>(C488+(E488*F488*H488))-N488</f>
        <v>0</v>
      </c>
      <c r="Q488" s="8" t="s">
        <v>97</v>
      </c>
      <c r="R488" s="9">
        <f>S488/1.11</f>
        <v>0</v>
      </c>
      <c r="S488" s="9">
        <f>P488*(J488-(J488*L488)-((J488-(J488*L488))*M488))</f>
        <v>0</v>
      </c>
    </row>
    <row r="490" spans="1:19" x14ac:dyDescent="0.2">
      <c r="A490" s="2" t="s">
        <v>1004</v>
      </c>
      <c r="B490" s="3" t="s">
        <v>170</v>
      </c>
      <c r="C490" s="4">
        <v>10</v>
      </c>
      <c r="D490" s="5" t="s">
        <v>97</v>
      </c>
      <c r="F490" s="7">
        <v>1</v>
      </c>
      <c r="G490" s="8" t="s">
        <v>19</v>
      </c>
      <c r="H490" s="7">
        <v>10</v>
      </c>
      <c r="I490" s="8" t="s">
        <v>97</v>
      </c>
      <c r="J490" s="9">
        <v>61500</v>
      </c>
      <c r="K490" s="5" t="s">
        <v>97</v>
      </c>
      <c r="L490" s="10">
        <v>7.0000000000000007E-2</v>
      </c>
      <c r="O490" s="8" t="s">
        <v>97</v>
      </c>
      <c r="P490" s="4">
        <f>(C490+(E490*F490*H490))-N490</f>
        <v>10</v>
      </c>
      <c r="Q490" s="8" t="s">
        <v>97</v>
      </c>
      <c r="R490" s="9">
        <f>S490/1.11</f>
        <v>515270.27027027024</v>
      </c>
      <c r="S490" s="9">
        <f>P490*(J490-(J490*L490)-((J490-(J490*L490))*M490))</f>
        <v>571950</v>
      </c>
    </row>
    <row r="492" spans="1:19" ht="15.75" x14ac:dyDescent="0.25">
      <c r="A492" s="29" t="s">
        <v>295</v>
      </c>
    </row>
    <row r="493" spans="1:19" x14ac:dyDescent="0.2">
      <c r="A493" s="30" t="s">
        <v>296</v>
      </c>
    </row>
    <row r="494" spans="1:19" x14ac:dyDescent="0.2">
      <c r="A494" s="2" t="s">
        <v>297</v>
      </c>
      <c r="B494" s="3" t="s">
        <v>17</v>
      </c>
      <c r="D494" s="5" t="s">
        <v>39</v>
      </c>
      <c r="F494" s="7">
        <v>48</v>
      </c>
      <c r="G494" s="8" t="s">
        <v>32</v>
      </c>
      <c r="H494" s="7">
        <v>1</v>
      </c>
      <c r="I494" s="8" t="s">
        <v>39</v>
      </c>
      <c r="J494" s="9">
        <v>19800</v>
      </c>
      <c r="K494" s="5" t="s">
        <v>39</v>
      </c>
      <c r="L494" s="10">
        <v>0.125</v>
      </c>
      <c r="M494" s="10">
        <v>0.05</v>
      </c>
      <c r="O494" s="8" t="s">
        <v>39</v>
      </c>
      <c r="P494" s="4">
        <f t="shared" ref="P494" si="176">(C494+(E494*F494*H494))-N494</f>
        <v>0</v>
      </c>
      <c r="Q494" s="8" t="s">
        <v>39</v>
      </c>
      <c r="R494" s="9">
        <f>S494/1.11</f>
        <v>0</v>
      </c>
      <c r="S494" s="9">
        <f t="shared" ref="S494" si="177">P494*(J494-(J494*L494)-((J494-(J494*L494))*M494))</f>
        <v>0</v>
      </c>
    </row>
    <row r="495" spans="1:19" x14ac:dyDescent="0.2">
      <c r="A495" s="2" t="s">
        <v>712</v>
      </c>
      <c r="B495" s="3" t="s">
        <v>17</v>
      </c>
      <c r="D495" s="5" t="s">
        <v>39</v>
      </c>
      <c r="F495" s="7">
        <v>24</v>
      </c>
      <c r="G495" s="8" t="s">
        <v>32</v>
      </c>
      <c r="H495" s="7">
        <v>1</v>
      </c>
      <c r="I495" s="8" t="s">
        <v>39</v>
      </c>
      <c r="J495" s="9">
        <f>2500*12</f>
        <v>30000</v>
      </c>
      <c r="K495" s="5" t="s">
        <v>39</v>
      </c>
      <c r="L495" s="10">
        <v>0.125</v>
      </c>
      <c r="M495" s="10">
        <v>0.05</v>
      </c>
      <c r="O495" s="8" t="s">
        <v>39</v>
      </c>
      <c r="P495" s="4">
        <f t="shared" ref="P495:P499" si="178">(C495+(E495*F495*H495))-N495</f>
        <v>0</v>
      </c>
      <c r="Q495" s="8" t="s">
        <v>39</v>
      </c>
      <c r="R495" s="9">
        <f>S495/1.11</f>
        <v>0</v>
      </c>
      <c r="S495" s="9">
        <f t="shared" ref="S495:S499" si="179">P495*(J495-(J495*L495)-((J495-(J495*L495))*M495))</f>
        <v>0</v>
      </c>
    </row>
    <row r="496" spans="1:19" x14ac:dyDescent="0.2">
      <c r="A496" s="17" t="s">
        <v>298</v>
      </c>
      <c r="B496" s="3" t="s">
        <v>17</v>
      </c>
      <c r="C496" s="4">
        <v>96</v>
      </c>
      <c r="D496" s="5" t="s">
        <v>39</v>
      </c>
      <c r="F496" s="7">
        <v>48</v>
      </c>
      <c r="G496" s="8" t="s">
        <v>32</v>
      </c>
      <c r="H496" s="7">
        <v>1</v>
      </c>
      <c r="I496" s="8" t="s">
        <v>39</v>
      </c>
      <c r="J496" s="9">
        <f>1550*12</f>
        <v>18600</v>
      </c>
      <c r="K496" s="5" t="s">
        <v>39</v>
      </c>
      <c r="L496" s="10">
        <v>0.125</v>
      </c>
      <c r="M496" s="10">
        <v>0.05</v>
      </c>
      <c r="O496" s="8" t="s">
        <v>39</v>
      </c>
      <c r="P496" s="4">
        <f t="shared" si="178"/>
        <v>96</v>
      </c>
      <c r="Q496" s="8" t="s">
        <v>39</v>
      </c>
      <c r="R496" s="9">
        <f>S496/1.11</f>
        <v>1337189.1891891891</v>
      </c>
      <c r="S496" s="9">
        <f t="shared" si="179"/>
        <v>1484280</v>
      </c>
    </row>
    <row r="497" spans="1:19" x14ac:dyDescent="0.2">
      <c r="A497" s="17" t="s">
        <v>299</v>
      </c>
      <c r="B497" s="3" t="s">
        <v>17</v>
      </c>
      <c r="D497" s="5" t="s">
        <v>39</v>
      </c>
      <c r="F497" s="7">
        <v>24</v>
      </c>
      <c r="G497" s="8" t="s">
        <v>32</v>
      </c>
      <c r="H497" s="7">
        <v>1</v>
      </c>
      <c r="I497" s="8" t="s">
        <v>39</v>
      </c>
      <c r="J497" s="9">
        <f>2150*12</f>
        <v>25800</v>
      </c>
      <c r="K497" s="5" t="s">
        <v>39</v>
      </c>
      <c r="L497" s="10">
        <v>0.125</v>
      </c>
      <c r="M497" s="10">
        <v>0.05</v>
      </c>
      <c r="O497" s="8" t="s">
        <v>39</v>
      </c>
      <c r="P497" s="4">
        <f t="shared" si="178"/>
        <v>0</v>
      </c>
      <c r="Q497" s="8" t="s">
        <v>39</v>
      </c>
      <c r="R497" s="9">
        <f>S497/1.11</f>
        <v>0</v>
      </c>
      <c r="S497" s="9">
        <f t="shared" si="179"/>
        <v>0</v>
      </c>
    </row>
    <row r="498" spans="1:19" x14ac:dyDescent="0.2">
      <c r="A498" s="17" t="s">
        <v>807</v>
      </c>
      <c r="B498" s="3" t="s">
        <v>17</v>
      </c>
      <c r="D498" s="5" t="s">
        <v>39</v>
      </c>
      <c r="F498" s="7">
        <v>24</v>
      </c>
      <c r="G498" s="8" t="s">
        <v>32</v>
      </c>
      <c r="H498" s="7">
        <v>1</v>
      </c>
      <c r="I498" s="8" t="s">
        <v>39</v>
      </c>
      <c r="J498" s="9">
        <v>31200</v>
      </c>
      <c r="K498" s="5" t="s">
        <v>39</v>
      </c>
      <c r="L498" s="10">
        <v>0.125</v>
      </c>
      <c r="M498" s="10">
        <v>0.05</v>
      </c>
      <c r="O498" s="8" t="s">
        <v>39</v>
      </c>
      <c r="P498" s="4">
        <f t="shared" si="178"/>
        <v>0</v>
      </c>
      <c r="Q498" s="8" t="s">
        <v>39</v>
      </c>
      <c r="R498" s="9">
        <f>S498/1.11</f>
        <v>0</v>
      </c>
      <c r="S498" s="9">
        <f t="shared" si="179"/>
        <v>0</v>
      </c>
    </row>
    <row r="499" spans="1:19" x14ac:dyDescent="0.2">
      <c r="A499" s="2" t="s">
        <v>300</v>
      </c>
      <c r="B499" s="3" t="s">
        <v>17</v>
      </c>
      <c r="D499" s="5" t="s">
        <v>39</v>
      </c>
      <c r="F499" s="7">
        <v>24</v>
      </c>
      <c r="G499" s="8" t="s">
        <v>32</v>
      </c>
      <c r="H499" s="7">
        <v>1</v>
      </c>
      <c r="I499" s="8" t="s">
        <v>39</v>
      </c>
      <c r="J499" s="9">
        <f>3000*12</f>
        <v>36000</v>
      </c>
      <c r="K499" s="5" t="s">
        <v>39</v>
      </c>
      <c r="L499" s="10">
        <v>0.125</v>
      </c>
      <c r="M499" s="10">
        <v>0.05</v>
      </c>
      <c r="O499" s="8" t="s">
        <v>39</v>
      </c>
      <c r="P499" s="4">
        <f t="shared" si="178"/>
        <v>0</v>
      </c>
      <c r="Q499" s="8" t="s">
        <v>39</v>
      </c>
      <c r="R499" s="9">
        <f>S499/1.11</f>
        <v>0</v>
      </c>
      <c r="S499" s="9">
        <f t="shared" si="179"/>
        <v>0</v>
      </c>
    </row>
    <row r="501" spans="1:19" x14ac:dyDescent="0.2">
      <c r="A501" s="2" t="s">
        <v>301</v>
      </c>
      <c r="B501" s="3" t="s">
        <v>24</v>
      </c>
      <c r="D501" s="5" t="s">
        <v>39</v>
      </c>
      <c r="F501" s="7">
        <v>1</v>
      </c>
      <c r="G501" s="8" t="s">
        <v>19</v>
      </c>
      <c r="H501" s="7">
        <v>20</v>
      </c>
      <c r="I501" s="8" t="s">
        <v>39</v>
      </c>
      <c r="J501" s="9">
        <f>396000/20</f>
        <v>19800</v>
      </c>
      <c r="K501" s="5" t="s">
        <v>39</v>
      </c>
      <c r="M501" s="10">
        <v>0.17</v>
      </c>
      <c r="O501" s="8" t="s">
        <v>39</v>
      </c>
      <c r="P501" s="4">
        <f>(C501+(E501*F501*H501))-N501</f>
        <v>0</v>
      </c>
      <c r="Q501" s="8" t="s">
        <v>39</v>
      </c>
      <c r="R501" s="9">
        <f>S501/1.11</f>
        <v>0</v>
      </c>
      <c r="S501" s="9">
        <f>P501*(J501-(J501*L501)-((J501-(J501*L501))*M501))</f>
        <v>0</v>
      </c>
    </row>
    <row r="502" spans="1:19" x14ac:dyDescent="0.2">
      <c r="A502" s="2" t="s">
        <v>302</v>
      </c>
      <c r="B502" s="3" t="s">
        <v>24</v>
      </c>
      <c r="D502" s="5" t="s">
        <v>39</v>
      </c>
      <c r="F502" s="7">
        <v>1</v>
      </c>
      <c r="G502" s="8" t="s">
        <v>19</v>
      </c>
      <c r="H502" s="7">
        <v>20</v>
      </c>
      <c r="I502" s="8" t="s">
        <v>39</v>
      </c>
      <c r="J502" s="9">
        <f>504000/20</f>
        <v>25200</v>
      </c>
      <c r="K502" s="5" t="s">
        <v>39</v>
      </c>
      <c r="M502" s="10">
        <v>0.17</v>
      </c>
      <c r="O502" s="8" t="s">
        <v>39</v>
      </c>
      <c r="P502" s="4">
        <f>(C502+(E502*F502*H502))-N502</f>
        <v>0</v>
      </c>
      <c r="Q502" s="8" t="s">
        <v>39</v>
      </c>
      <c r="R502" s="9">
        <f>S502/1.11</f>
        <v>0</v>
      </c>
      <c r="S502" s="9">
        <f>P502*(J502-(J502*L502)-((J502-(J502*L502))*M502))</f>
        <v>0</v>
      </c>
    </row>
    <row r="503" spans="1:19" x14ac:dyDescent="0.2">
      <c r="A503" s="2" t="s">
        <v>303</v>
      </c>
      <c r="B503" s="3" t="s">
        <v>24</v>
      </c>
      <c r="D503" s="5" t="s">
        <v>39</v>
      </c>
      <c r="F503" s="7">
        <v>1</v>
      </c>
      <c r="G503" s="8" t="s">
        <v>19</v>
      </c>
      <c r="H503" s="7">
        <v>20</v>
      </c>
      <c r="I503" s="8" t="s">
        <v>39</v>
      </c>
      <c r="J503" s="9">
        <f>480000/20</f>
        <v>24000</v>
      </c>
      <c r="K503" s="5" t="s">
        <v>39</v>
      </c>
      <c r="M503" s="10">
        <v>0.17</v>
      </c>
      <c r="O503" s="8" t="s">
        <v>39</v>
      </c>
      <c r="P503" s="4">
        <f>(C503+(E503*F503*H503))-N503</f>
        <v>0</v>
      </c>
      <c r="Q503" s="8" t="s">
        <v>39</v>
      </c>
      <c r="R503" s="9">
        <f>S503/1.11</f>
        <v>0</v>
      </c>
      <c r="S503" s="9">
        <f>P503*(J503-(J503*L503)-((J503-(J503*L503))*M503))</f>
        <v>0</v>
      </c>
    </row>
    <row r="504" spans="1:19" x14ac:dyDescent="0.2">
      <c r="A504" s="2" t="s">
        <v>957</v>
      </c>
      <c r="B504" s="3" t="s">
        <v>24</v>
      </c>
      <c r="C504" s="4">
        <v>144</v>
      </c>
      <c r="D504" s="5" t="s">
        <v>39</v>
      </c>
      <c r="F504" s="7">
        <v>1</v>
      </c>
      <c r="G504" s="8" t="s">
        <v>19</v>
      </c>
      <c r="H504" s="7">
        <v>144</v>
      </c>
      <c r="I504" s="8" t="s">
        <v>897</v>
      </c>
      <c r="J504" s="9">
        <v>48000</v>
      </c>
      <c r="K504" s="5" t="s">
        <v>39</v>
      </c>
      <c r="M504" s="10">
        <v>0.17</v>
      </c>
      <c r="O504" s="8" t="s">
        <v>39</v>
      </c>
      <c r="P504" s="4">
        <f>(C504+(E504*F504*H504))-N504</f>
        <v>144</v>
      </c>
      <c r="Q504" s="8" t="s">
        <v>39</v>
      </c>
      <c r="R504" s="9">
        <f>S504/1.11</f>
        <v>5168432.4324324317</v>
      </c>
      <c r="S504" s="9">
        <f>P504*(J504-(J504*L504)-((J504-(J504*L504))*M504))</f>
        <v>5736960</v>
      </c>
    </row>
    <row r="506" spans="1:19" x14ac:dyDescent="0.2">
      <c r="A506" s="2" t="s">
        <v>820</v>
      </c>
      <c r="B506" s="2" t="s">
        <v>170</v>
      </c>
      <c r="C506" s="4">
        <v>2592</v>
      </c>
      <c r="D506" s="5" t="s">
        <v>815</v>
      </c>
      <c r="F506" s="7">
        <v>1</v>
      </c>
      <c r="G506" s="8" t="s">
        <v>19</v>
      </c>
      <c r="H506" s="7">
        <v>432</v>
      </c>
      <c r="I506" s="8" t="s">
        <v>815</v>
      </c>
      <c r="J506" s="9">
        <v>1400</v>
      </c>
      <c r="K506" s="5" t="s">
        <v>815</v>
      </c>
      <c r="M506" s="10">
        <v>0.05</v>
      </c>
      <c r="O506" s="8" t="s">
        <v>815</v>
      </c>
      <c r="P506" s="4">
        <f>(C506+(E506*F506*H506))-N506</f>
        <v>2592</v>
      </c>
      <c r="Q506" s="8" t="s">
        <v>815</v>
      </c>
      <c r="R506" s="9">
        <f>S506/1.11</f>
        <v>3105729.7297297292</v>
      </c>
      <c r="S506" s="9">
        <f>P506*(J506-(J506*L506)-((J506-(J506*L506))*M506))</f>
        <v>3447360</v>
      </c>
    </row>
    <row r="508" spans="1:19" x14ac:dyDescent="0.2">
      <c r="A508" s="30" t="s">
        <v>304</v>
      </c>
      <c r="R508" s="9">
        <f>S508/1.11</f>
        <v>0</v>
      </c>
    </row>
    <row r="509" spans="1:19" x14ac:dyDescent="0.2">
      <c r="A509" s="2" t="s">
        <v>305</v>
      </c>
      <c r="B509" s="3" t="s">
        <v>17</v>
      </c>
      <c r="D509" s="5" t="s">
        <v>32</v>
      </c>
      <c r="F509" s="7">
        <v>1</v>
      </c>
      <c r="G509" s="8" t="s">
        <v>19</v>
      </c>
      <c r="H509" s="7">
        <v>64</v>
      </c>
      <c r="I509" s="8" t="s">
        <v>32</v>
      </c>
      <c r="J509" s="9">
        <f>2100*12</f>
        <v>25200</v>
      </c>
      <c r="K509" s="5" t="s">
        <v>32</v>
      </c>
      <c r="L509" s="10">
        <v>0.125</v>
      </c>
      <c r="M509" s="10">
        <v>0.05</v>
      </c>
      <c r="O509" s="8" t="s">
        <v>32</v>
      </c>
      <c r="P509" s="4">
        <f t="shared" ref="P509:P515" si="180">(C509+(E509*F509*H509))-N509</f>
        <v>0</v>
      </c>
      <c r="Q509" s="8" t="s">
        <v>32</v>
      </c>
      <c r="R509" s="9">
        <f>S509/1.11</f>
        <v>0</v>
      </c>
      <c r="S509" s="9">
        <f t="shared" ref="S509:S515" si="181">P509*(J509-(J509*L509)-((J509-(J509*L509))*M509))</f>
        <v>0</v>
      </c>
    </row>
    <row r="510" spans="1:19" x14ac:dyDescent="0.2">
      <c r="A510" s="2" t="s">
        <v>307</v>
      </c>
      <c r="B510" s="3" t="s">
        <v>17</v>
      </c>
      <c r="D510" s="5" t="s">
        <v>32</v>
      </c>
      <c r="F510" s="7">
        <v>1</v>
      </c>
      <c r="G510" s="8" t="s">
        <v>19</v>
      </c>
      <c r="H510" s="7">
        <v>36</v>
      </c>
      <c r="I510" s="8" t="s">
        <v>32</v>
      </c>
      <c r="J510" s="9">
        <f>2100*24</f>
        <v>50400</v>
      </c>
      <c r="K510" s="5" t="s">
        <v>32</v>
      </c>
      <c r="L510" s="10">
        <v>0.125</v>
      </c>
      <c r="M510" s="10">
        <v>0.05</v>
      </c>
      <c r="O510" s="8" t="s">
        <v>32</v>
      </c>
      <c r="P510" s="4">
        <f t="shared" si="180"/>
        <v>0</v>
      </c>
      <c r="Q510" s="8" t="s">
        <v>32</v>
      </c>
      <c r="R510" s="9">
        <f>S510/1.11</f>
        <v>0</v>
      </c>
      <c r="S510" s="9">
        <f t="shared" si="181"/>
        <v>0</v>
      </c>
    </row>
    <row r="511" spans="1:19" x14ac:dyDescent="0.2">
      <c r="A511" s="15" t="s">
        <v>711</v>
      </c>
      <c r="B511" s="3" t="s">
        <v>17</v>
      </c>
      <c r="D511" s="5" t="s">
        <v>32</v>
      </c>
      <c r="F511" s="7">
        <v>1</v>
      </c>
      <c r="G511" s="8" t="s">
        <v>19</v>
      </c>
      <c r="H511" s="7">
        <v>36</v>
      </c>
      <c r="I511" s="8" t="s">
        <v>32</v>
      </c>
      <c r="J511" s="9">
        <f>2300*24</f>
        <v>55200</v>
      </c>
      <c r="K511" s="5" t="s">
        <v>32</v>
      </c>
      <c r="L511" s="10">
        <v>0.125</v>
      </c>
      <c r="M511" s="10">
        <v>0.05</v>
      </c>
      <c r="O511" s="8" t="s">
        <v>32</v>
      </c>
      <c r="P511" s="4">
        <f t="shared" si="180"/>
        <v>0</v>
      </c>
      <c r="Q511" s="8" t="s">
        <v>32</v>
      </c>
      <c r="R511" s="9">
        <f>S511/1.11</f>
        <v>0</v>
      </c>
      <c r="S511" s="9">
        <f t="shared" si="181"/>
        <v>0</v>
      </c>
    </row>
    <row r="512" spans="1:19" x14ac:dyDescent="0.2">
      <c r="A512" s="2" t="s">
        <v>710</v>
      </c>
      <c r="B512" s="3" t="s">
        <v>17</v>
      </c>
      <c r="D512" s="5" t="s">
        <v>32</v>
      </c>
      <c r="F512" s="7">
        <v>1</v>
      </c>
      <c r="G512" s="8" t="s">
        <v>19</v>
      </c>
      <c r="H512" s="7">
        <v>32</v>
      </c>
      <c r="I512" s="8" t="s">
        <v>32</v>
      </c>
      <c r="J512" s="9">
        <f>1300*12</f>
        <v>15600</v>
      </c>
      <c r="K512" s="5" t="s">
        <v>32</v>
      </c>
      <c r="L512" s="10">
        <v>0.125</v>
      </c>
      <c r="M512" s="10">
        <v>0.05</v>
      </c>
      <c r="O512" s="8" t="s">
        <v>32</v>
      </c>
      <c r="P512" s="4">
        <f t="shared" si="180"/>
        <v>0</v>
      </c>
      <c r="Q512" s="8" t="s">
        <v>32</v>
      </c>
      <c r="R512" s="9">
        <f>S512/1.11</f>
        <v>0</v>
      </c>
      <c r="S512" s="9">
        <f t="shared" si="181"/>
        <v>0</v>
      </c>
    </row>
    <row r="513" spans="1:19" x14ac:dyDescent="0.2">
      <c r="A513" s="2" t="s">
        <v>306</v>
      </c>
      <c r="B513" s="3" t="s">
        <v>17</v>
      </c>
      <c r="D513" s="5" t="s">
        <v>32</v>
      </c>
      <c r="F513" s="7">
        <v>1</v>
      </c>
      <c r="G513" s="8" t="s">
        <v>19</v>
      </c>
      <c r="H513" s="7">
        <v>54</v>
      </c>
      <c r="I513" s="8" t="s">
        <v>32</v>
      </c>
      <c r="J513" s="9">
        <v>39600</v>
      </c>
      <c r="K513" s="5" t="s">
        <v>32</v>
      </c>
      <c r="L513" s="10">
        <v>0.125</v>
      </c>
      <c r="M513" s="10">
        <v>0.05</v>
      </c>
      <c r="O513" s="8" t="s">
        <v>32</v>
      </c>
      <c r="P513" s="4">
        <f t="shared" ref="P513" si="182">(C513+(E513*F513*H513))-N513</f>
        <v>0</v>
      </c>
      <c r="Q513" s="8" t="s">
        <v>32</v>
      </c>
      <c r="R513" s="9">
        <f>S513/1.11</f>
        <v>0</v>
      </c>
      <c r="S513" s="9">
        <f t="shared" ref="S513" si="183">P513*(J513-(J513*L513)-((J513-(J513*L513))*M513))</f>
        <v>0</v>
      </c>
    </row>
    <row r="514" spans="1:19" x14ac:dyDescent="0.2">
      <c r="A514" s="15" t="s">
        <v>753</v>
      </c>
      <c r="B514" s="3" t="s">
        <v>17</v>
      </c>
      <c r="D514" s="5" t="s">
        <v>32</v>
      </c>
      <c r="F514" s="7">
        <v>1</v>
      </c>
      <c r="G514" s="8" t="s">
        <v>19</v>
      </c>
      <c r="H514" s="7">
        <v>24</v>
      </c>
      <c r="I514" s="8" t="s">
        <v>32</v>
      </c>
      <c r="J514" s="9">
        <f>3300*24</f>
        <v>79200</v>
      </c>
      <c r="K514" s="5" t="s">
        <v>32</v>
      </c>
      <c r="L514" s="10">
        <v>0.125</v>
      </c>
      <c r="M514" s="10">
        <v>0.05</v>
      </c>
      <c r="O514" s="8" t="s">
        <v>32</v>
      </c>
      <c r="P514" s="4">
        <f t="shared" si="180"/>
        <v>0</v>
      </c>
      <c r="Q514" s="8" t="s">
        <v>32</v>
      </c>
      <c r="R514" s="9">
        <f>S514/1.11</f>
        <v>0</v>
      </c>
      <c r="S514" s="9">
        <f t="shared" si="181"/>
        <v>0</v>
      </c>
    </row>
    <row r="515" spans="1:19" x14ac:dyDescent="0.2">
      <c r="A515" s="15" t="s">
        <v>308</v>
      </c>
      <c r="B515" s="3" t="s">
        <v>17</v>
      </c>
      <c r="D515" s="5" t="s">
        <v>32</v>
      </c>
      <c r="F515" s="7">
        <v>1</v>
      </c>
      <c r="G515" s="8" t="s">
        <v>19</v>
      </c>
      <c r="H515" s="7">
        <v>36</v>
      </c>
      <c r="I515" s="8" t="s">
        <v>32</v>
      </c>
      <c r="J515" s="9">
        <f>2450*24</f>
        <v>58800</v>
      </c>
      <c r="K515" s="5" t="s">
        <v>32</v>
      </c>
      <c r="L515" s="10">
        <v>0.125</v>
      </c>
      <c r="M515" s="10">
        <v>0.05</v>
      </c>
      <c r="O515" s="8" t="s">
        <v>32</v>
      </c>
      <c r="P515" s="4">
        <f t="shared" si="180"/>
        <v>0</v>
      </c>
      <c r="Q515" s="8" t="s">
        <v>32</v>
      </c>
      <c r="R515" s="9">
        <f>S515/1.11</f>
        <v>0</v>
      </c>
      <c r="S515" s="9">
        <f t="shared" si="181"/>
        <v>0</v>
      </c>
    </row>
    <row r="516" spans="1:19" x14ac:dyDescent="0.2">
      <c r="A516" s="15" t="s">
        <v>892</v>
      </c>
      <c r="B516" s="3" t="s">
        <v>17</v>
      </c>
      <c r="D516" s="5" t="s">
        <v>32</v>
      </c>
      <c r="F516" s="7">
        <v>1</v>
      </c>
      <c r="G516" s="8" t="s">
        <v>19</v>
      </c>
      <c r="H516" s="7">
        <v>36</v>
      </c>
      <c r="I516" s="8" t="s">
        <v>32</v>
      </c>
      <c r="J516" s="9">
        <v>56400</v>
      </c>
      <c r="K516" s="5" t="s">
        <v>32</v>
      </c>
      <c r="L516" s="10">
        <v>0.125</v>
      </c>
      <c r="M516" s="10">
        <v>0.05</v>
      </c>
      <c r="O516" s="8" t="s">
        <v>32</v>
      </c>
      <c r="P516" s="4">
        <f t="shared" ref="P516:P517" si="184">(C516+(E516*F516*H516))-N516</f>
        <v>0</v>
      </c>
      <c r="Q516" s="8" t="s">
        <v>32</v>
      </c>
      <c r="R516" s="9">
        <f>S516/1.11</f>
        <v>0</v>
      </c>
      <c r="S516" s="9">
        <f t="shared" ref="S516:S517" si="185">P516*(J516-(J516*L516)-((J516-(J516*L516))*M516))</f>
        <v>0</v>
      </c>
    </row>
    <row r="517" spans="1:19" x14ac:dyDescent="0.2">
      <c r="A517" s="2" t="s">
        <v>707</v>
      </c>
      <c r="B517" s="3" t="s">
        <v>17</v>
      </c>
      <c r="D517" s="5" t="s">
        <v>32</v>
      </c>
      <c r="F517" s="7">
        <v>1</v>
      </c>
      <c r="G517" s="8" t="s">
        <v>19</v>
      </c>
      <c r="H517" s="7">
        <v>36</v>
      </c>
      <c r="I517" s="8" t="s">
        <v>32</v>
      </c>
      <c r="J517" s="9">
        <v>52800</v>
      </c>
      <c r="K517" s="5" t="s">
        <v>32</v>
      </c>
      <c r="L517" s="10">
        <v>0.125</v>
      </c>
      <c r="M517" s="10">
        <v>0.05</v>
      </c>
      <c r="O517" s="8" t="s">
        <v>32</v>
      </c>
      <c r="P517" s="4">
        <f t="shared" si="184"/>
        <v>0</v>
      </c>
      <c r="Q517" s="8" t="s">
        <v>32</v>
      </c>
      <c r="R517" s="9">
        <f>S517/1.11</f>
        <v>0</v>
      </c>
      <c r="S517" s="9">
        <f t="shared" si="185"/>
        <v>0</v>
      </c>
    </row>
    <row r="519" spans="1:19" x14ac:dyDescent="0.2">
      <c r="A519" s="2" t="s">
        <v>309</v>
      </c>
      <c r="B519" s="3" t="s">
        <v>24</v>
      </c>
      <c r="D519" s="5" t="s">
        <v>32</v>
      </c>
      <c r="F519" s="7">
        <v>1</v>
      </c>
      <c r="G519" s="8" t="s">
        <v>19</v>
      </c>
      <c r="H519" s="7">
        <v>36</v>
      </c>
      <c r="I519" s="8" t="s">
        <v>32</v>
      </c>
      <c r="J519" s="9">
        <f>2376000/36</f>
        <v>66000</v>
      </c>
      <c r="K519" s="5" t="s">
        <v>32</v>
      </c>
      <c r="M519" s="10">
        <v>0.17</v>
      </c>
      <c r="O519" s="8" t="s">
        <v>32</v>
      </c>
      <c r="P519" s="4">
        <f>(C519+(E519*F519*H519))-N519</f>
        <v>0</v>
      </c>
      <c r="Q519" s="8" t="s">
        <v>32</v>
      </c>
      <c r="R519" s="9">
        <f>S519/1.11</f>
        <v>0</v>
      </c>
      <c r="S519" s="9">
        <f>P519*(J519-(J519*L519)-((J519-(J519*L519))*M519))</f>
        <v>0</v>
      </c>
    </row>
    <row r="520" spans="1:19" x14ac:dyDescent="0.2">
      <c r="A520" s="2" t="s">
        <v>310</v>
      </c>
      <c r="B520" s="3" t="s">
        <v>24</v>
      </c>
      <c r="D520" s="5" t="s">
        <v>32</v>
      </c>
      <c r="F520" s="7">
        <v>1</v>
      </c>
      <c r="G520" s="8" t="s">
        <v>19</v>
      </c>
      <c r="H520" s="7">
        <v>36</v>
      </c>
      <c r="I520" s="8" t="s">
        <v>32</v>
      </c>
      <c r="J520" s="9">
        <f>2592000/36</f>
        <v>72000</v>
      </c>
      <c r="K520" s="5" t="s">
        <v>32</v>
      </c>
      <c r="M520" s="10">
        <v>0.17</v>
      </c>
      <c r="O520" s="8" t="s">
        <v>32</v>
      </c>
      <c r="P520" s="4">
        <f>(C520+(E520*F520*H520))-N520</f>
        <v>0</v>
      </c>
      <c r="Q520" s="8" t="s">
        <v>32</v>
      </c>
      <c r="R520" s="9">
        <f>S520/1.11</f>
        <v>0</v>
      </c>
      <c r="S520" s="9">
        <f>P520*(J520-(J520*L520)-((J520-(J520*L520))*M520))</f>
        <v>0</v>
      </c>
    </row>
    <row r="521" spans="1:19" x14ac:dyDescent="0.2">
      <c r="A521" s="2" t="s">
        <v>311</v>
      </c>
      <c r="B521" s="3" t="s">
        <v>24</v>
      </c>
      <c r="D521" s="5" t="s">
        <v>32</v>
      </c>
      <c r="F521" s="7">
        <v>1</v>
      </c>
      <c r="G521" s="8" t="s">
        <v>19</v>
      </c>
      <c r="H521" s="7">
        <v>36</v>
      </c>
      <c r="I521" s="8" t="s">
        <v>32</v>
      </c>
      <c r="J521" s="9">
        <f>2160000/36</f>
        <v>60000</v>
      </c>
      <c r="K521" s="5" t="s">
        <v>32</v>
      </c>
      <c r="M521" s="10">
        <v>0.17</v>
      </c>
      <c r="O521" s="8" t="s">
        <v>32</v>
      </c>
      <c r="P521" s="4">
        <f>(C521+(E521*F521*H521))-N521</f>
        <v>0</v>
      </c>
      <c r="Q521" s="8" t="s">
        <v>32</v>
      </c>
      <c r="R521" s="9">
        <f>S521/1.11</f>
        <v>0</v>
      </c>
      <c r="S521" s="9">
        <f>P521*(J521-(J521*L521)-((J521-(J521*L521))*M521))</f>
        <v>0</v>
      </c>
    </row>
    <row r="523" spans="1:19" x14ac:dyDescent="0.2">
      <c r="A523" s="30" t="s">
        <v>759</v>
      </c>
    </row>
    <row r="524" spans="1:19" x14ac:dyDescent="0.2">
      <c r="A524" s="2" t="s">
        <v>312</v>
      </c>
      <c r="B524" s="3" t="s">
        <v>24</v>
      </c>
      <c r="D524" s="5" t="s">
        <v>101</v>
      </c>
      <c r="F524" s="7">
        <v>1</v>
      </c>
      <c r="G524" s="8" t="s">
        <v>19</v>
      </c>
      <c r="H524" s="7">
        <v>60</v>
      </c>
      <c r="I524" s="8" t="s">
        <v>101</v>
      </c>
      <c r="J524" s="9">
        <v>18600</v>
      </c>
      <c r="K524" s="5" t="s">
        <v>101</v>
      </c>
      <c r="M524" s="10">
        <v>0.17</v>
      </c>
      <c r="O524" s="8" t="s">
        <v>101</v>
      </c>
      <c r="P524" s="4">
        <f>(C524+(E524*F524*H524))-N524</f>
        <v>0</v>
      </c>
      <c r="Q524" s="8" t="s">
        <v>101</v>
      </c>
      <c r="R524" s="9">
        <f>S524/1.11</f>
        <v>0</v>
      </c>
      <c r="S524" s="9">
        <f>P524*(J524-(J524*L524)-((J524-(J524*L524))*M524))</f>
        <v>0</v>
      </c>
    </row>
    <row r="526" spans="1:19" x14ac:dyDescent="0.2">
      <c r="A526" s="2" t="s">
        <v>760</v>
      </c>
      <c r="B526" s="2" t="s">
        <v>170</v>
      </c>
      <c r="C526" s="18"/>
      <c r="D526" s="19" t="s">
        <v>39</v>
      </c>
      <c r="E526" s="20"/>
      <c r="F526" s="21">
        <v>1</v>
      </c>
      <c r="G526" s="17" t="s">
        <v>19</v>
      </c>
      <c r="H526" s="21">
        <v>160</v>
      </c>
      <c r="I526" s="17" t="s">
        <v>39</v>
      </c>
      <c r="J526" s="22">
        <v>7750</v>
      </c>
      <c r="K526" s="19" t="s">
        <v>39</v>
      </c>
      <c r="L526" s="23">
        <v>0.05</v>
      </c>
      <c r="M526" s="23"/>
      <c r="N526" s="21"/>
      <c r="O526" s="17" t="s">
        <v>39</v>
      </c>
      <c r="P526" s="18">
        <f>(C526+(E526*F526*H526))-N526</f>
        <v>0</v>
      </c>
      <c r="Q526" s="17" t="s">
        <v>39</v>
      </c>
      <c r="R526" s="22">
        <f>S526/1.11</f>
        <v>0</v>
      </c>
      <c r="S526" s="22">
        <f>P526*(J526-(J526*L526)-((J526-(J526*L526))*M526))</f>
        <v>0</v>
      </c>
    </row>
    <row r="528" spans="1:19" x14ac:dyDescent="0.2">
      <c r="A528" s="30" t="s">
        <v>313</v>
      </c>
    </row>
    <row r="529" spans="1:19" x14ac:dyDescent="0.2">
      <c r="A529" s="2" t="s">
        <v>314</v>
      </c>
      <c r="B529" s="3" t="s">
        <v>315</v>
      </c>
      <c r="D529" s="5" t="s">
        <v>316</v>
      </c>
      <c r="F529" s="7">
        <v>1</v>
      </c>
      <c r="G529" s="8" t="s">
        <v>19</v>
      </c>
      <c r="H529" s="7">
        <v>25</v>
      </c>
      <c r="I529" s="8" t="s">
        <v>316</v>
      </c>
      <c r="J529" s="9">
        <v>55000</v>
      </c>
      <c r="K529" s="5" t="s">
        <v>316</v>
      </c>
      <c r="O529" s="8" t="s">
        <v>316</v>
      </c>
      <c r="P529" s="4">
        <f>(C529+(E529*F529*H529))-N529</f>
        <v>0</v>
      </c>
      <c r="Q529" s="8" t="s">
        <v>316</v>
      </c>
      <c r="R529" s="9">
        <f>S529/1.11</f>
        <v>0</v>
      </c>
      <c r="S529" s="9">
        <f>P529*(J529-(J529*L529)-((J529-(J529*L529))*M529))</f>
        <v>0</v>
      </c>
    </row>
    <row r="531" spans="1:19" ht="15.75" x14ac:dyDescent="0.25">
      <c r="A531" s="29" t="s">
        <v>317</v>
      </c>
    </row>
    <row r="532" spans="1:19" x14ac:dyDescent="0.2">
      <c r="A532" s="2" t="s">
        <v>318</v>
      </c>
      <c r="B532" s="3" t="s">
        <v>17</v>
      </c>
      <c r="D532" s="5" t="s">
        <v>97</v>
      </c>
      <c r="F532" s="7">
        <v>1</v>
      </c>
      <c r="G532" s="8" t="s">
        <v>19</v>
      </c>
      <c r="H532" s="7">
        <v>192</v>
      </c>
      <c r="I532" s="8" t="s">
        <v>97</v>
      </c>
      <c r="J532" s="9">
        <v>3450</v>
      </c>
      <c r="K532" s="5" t="s">
        <v>97</v>
      </c>
      <c r="L532" s="10">
        <v>0.125</v>
      </c>
      <c r="M532" s="10">
        <v>0.05</v>
      </c>
      <c r="O532" s="8" t="s">
        <v>97</v>
      </c>
      <c r="P532" s="4">
        <f t="shared" ref="P532:P537" si="186">(C532+(E532*F532*H532))-N532</f>
        <v>0</v>
      </c>
      <c r="Q532" s="8" t="s">
        <v>97</v>
      </c>
      <c r="R532" s="9">
        <f>S532/1.11</f>
        <v>0</v>
      </c>
      <c r="S532" s="9">
        <f t="shared" ref="S532:S537" si="187">P532*(J532-(J532*L532)-((J532-(J532*L532))*M532))</f>
        <v>0</v>
      </c>
    </row>
    <row r="533" spans="1:19" x14ac:dyDescent="0.2">
      <c r="A533" s="2" t="s">
        <v>319</v>
      </c>
      <c r="B533" s="3" t="s">
        <v>17</v>
      </c>
      <c r="C533" s="4">
        <v>19840</v>
      </c>
      <c r="D533" s="5" t="s">
        <v>97</v>
      </c>
      <c r="F533" s="7">
        <v>1</v>
      </c>
      <c r="G533" s="8" t="s">
        <v>19</v>
      </c>
      <c r="H533" s="7">
        <v>160</v>
      </c>
      <c r="I533" s="8" t="s">
        <v>97</v>
      </c>
      <c r="J533" s="9">
        <v>5400</v>
      </c>
      <c r="K533" s="5" t="s">
        <v>97</v>
      </c>
      <c r="L533" s="10">
        <v>0.125</v>
      </c>
      <c r="M533" s="10">
        <v>0.05</v>
      </c>
      <c r="O533" s="8" t="s">
        <v>97</v>
      </c>
      <c r="P533" s="4">
        <f t="shared" si="186"/>
        <v>19840</v>
      </c>
      <c r="Q533" s="8" t="s">
        <v>97</v>
      </c>
      <c r="R533" s="9">
        <f>S533/1.11</f>
        <v>80231351.351351351</v>
      </c>
      <c r="S533" s="9">
        <f t="shared" si="187"/>
        <v>89056800</v>
      </c>
    </row>
    <row r="534" spans="1:19" x14ac:dyDescent="0.2">
      <c r="A534" s="2" t="s">
        <v>320</v>
      </c>
      <c r="B534" s="3" t="s">
        <v>17</v>
      </c>
      <c r="D534" s="5" t="s">
        <v>97</v>
      </c>
      <c r="F534" s="7">
        <v>1</v>
      </c>
      <c r="G534" s="8" t="s">
        <v>19</v>
      </c>
      <c r="H534" s="7">
        <v>192</v>
      </c>
      <c r="I534" s="8" t="s">
        <v>97</v>
      </c>
      <c r="J534" s="9">
        <v>3600</v>
      </c>
      <c r="K534" s="5" t="s">
        <v>97</v>
      </c>
      <c r="L534" s="10">
        <v>0.125</v>
      </c>
      <c r="M534" s="10">
        <v>0.05</v>
      </c>
      <c r="O534" s="8" t="s">
        <v>97</v>
      </c>
      <c r="P534" s="4">
        <f t="shared" si="186"/>
        <v>0</v>
      </c>
      <c r="Q534" s="8" t="s">
        <v>97</v>
      </c>
      <c r="R534" s="9">
        <f>S534/1.11</f>
        <v>0</v>
      </c>
      <c r="S534" s="9">
        <f t="shared" si="187"/>
        <v>0</v>
      </c>
    </row>
    <row r="535" spans="1:19" x14ac:dyDescent="0.2">
      <c r="A535" s="2" t="s">
        <v>321</v>
      </c>
      <c r="B535" s="3" t="s">
        <v>17</v>
      </c>
      <c r="D535" s="5" t="s">
        <v>97</v>
      </c>
      <c r="F535" s="7">
        <v>1</v>
      </c>
      <c r="G535" s="8" t="s">
        <v>19</v>
      </c>
      <c r="H535" s="7">
        <v>96</v>
      </c>
      <c r="I535" s="8" t="s">
        <v>97</v>
      </c>
      <c r="J535" s="9">
        <v>7000</v>
      </c>
      <c r="K535" s="5" t="s">
        <v>97</v>
      </c>
      <c r="L535" s="10">
        <v>0.125</v>
      </c>
      <c r="M535" s="10">
        <v>0.05</v>
      </c>
      <c r="O535" s="8" t="s">
        <v>97</v>
      </c>
      <c r="P535" s="4">
        <f t="shared" si="186"/>
        <v>0</v>
      </c>
      <c r="Q535" s="8" t="s">
        <v>97</v>
      </c>
      <c r="R535" s="9">
        <f>S535/1.11</f>
        <v>0</v>
      </c>
      <c r="S535" s="9">
        <f t="shared" si="187"/>
        <v>0</v>
      </c>
    </row>
    <row r="536" spans="1:19" x14ac:dyDescent="0.2">
      <c r="A536" s="2" t="s">
        <v>744</v>
      </c>
      <c r="B536" s="3" t="s">
        <v>17</v>
      </c>
      <c r="D536" s="5" t="s">
        <v>97</v>
      </c>
      <c r="F536" s="7">
        <v>1</v>
      </c>
      <c r="G536" s="8" t="s">
        <v>19</v>
      </c>
      <c r="H536" s="7">
        <v>160</v>
      </c>
      <c r="I536" s="8" t="s">
        <v>97</v>
      </c>
      <c r="J536" s="9">
        <v>5700</v>
      </c>
      <c r="K536" s="5" t="s">
        <v>97</v>
      </c>
      <c r="L536" s="10">
        <v>0.125</v>
      </c>
      <c r="M536" s="10">
        <v>0.05</v>
      </c>
      <c r="O536" s="8" t="s">
        <v>97</v>
      </c>
      <c r="P536" s="4">
        <f t="shared" si="186"/>
        <v>0</v>
      </c>
      <c r="Q536" s="8" t="s">
        <v>97</v>
      </c>
      <c r="R536" s="9">
        <f>S536/1.11</f>
        <v>0</v>
      </c>
      <c r="S536" s="9">
        <f t="shared" si="187"/>
        <v>0</v>
      </c>
    </row>
    <row r="537" spans="1:19" x14ac:dyDescent="0.2">
      <c r="A537" s="2" t="s">
        <v>322</v>
      </c>
      <c r="B537" s="3" t="s">
        <v>17</v>
      </c>
      <c r="D537" s="5" t="s">
        <v>97</v>
      </c>
      <c r="F537" s="7">
        <v>1</v>
      </c>
      <c r="G537" s="8" t="s">
        <v>19</v>
      </c>
      <c r="H537" s="7">
        <v>80</v>
      </c>
      <c r="I537" s="8" t="s">
        <v>97</v>
      </c>
      <c r="J537" s="9">
        <v>10800</v>
      </c>
      <c r="K537" s="5" t="s">
        <v>97</v>
      </c>
      <c r="L537" s="10">
        <v>0.125</v>
      </c>
      <c r="M537" s="10">
        <v>0.05</v>
      </c>
      <c r="O537" s="8" t="s">
        <v>97</v>
      </c>
      <c r="P537" s="4">
        <f t="shared" si="186"/>
        <v>0</v>
      </c>
      <c r="Q537" s="8" t="s">
        <v>97</v>
      </c>
      <c r="R537" s="9">
        <f>S537/1.11</f>
        <v>0</v>
      </c>
      <c r="S537" s="9">
        <f t="shared" si="187"/>
        <v>0</v>
      </c>
    </row>
    <row r="539" spans="1:19" x14ac:dyDescent="0.2">
      <c r="A539" s="2" t="s">
        <v>323</v>
      </c>
      <c r="B539" s="3" t="s">
        <v>24</v>
      </c>
      <c r="D539" s="5" t="s">
        <v>97</v>
      </c>
      <c r="F539" s="7">
        <v>1</v>
      </c>
      <c r="G539" s="8" t="s">
        <v>19</v>
      </c>
      <c r="H539" s="7">
        <v>192</v>
      </c>
      <c r="I539" s="8" t="s">
        <v>97</v>
      </c>
      <c r="J539" s="9">
        <f>844800/192</f>
        <v>4400</v>
      </c>
      <c r="K539" s="5" t="s">
        <v>97</v>
      </c>
      <c r="M539" s="10">
        <v>0.17</v>
      </c>
      <c r="O539" s="8" t="s">
        <v>97</v>
      </c>
      <c r="P539" s="4">
        <f>(C539+(E539*F539*H539))-N539</f>
        <v>0</v>
      </c>
      <c r="Q539" s="8" t="s">
        <v>97</v>
      </c>
      <c r="R539" s="9">
        <f>S539/1.11</f>
        <v>0</v>
      </c>
      <c r="S539" s="9">
        <f>P539*(J539-(J539*L539)-((J539-(J539*L539))*M539))</f>
        <v>0</v>
      </c>
    </row>
    <row r="540" spans="1:19" x14ac:dyDescent="0.2">
      <c r="A540" s="2" t="s">
        <v>324</v>
      </c>
      <c r="B540" s="3" t="s">
        <v>24</v>
      </c>
      <c r="D540" s="5" t="s">
        <v>97</v>
      </c>
      <c r="F540" s="7">
        <v>1</v>
      </c>
      <c r="G540" s="8" t="s">
        <v>19</v>
      </c>
      <c r="H540" s="7">
        <v>96</v>
      </c>
      <c r="I540" s="8" t="s">
        <v>97</v>
      </c>
      <c r="J540" s="9">
        <f>801600/96</f>
        <v>8350</v>
      </c>
      <c r="K540" s="5" t="s">
        <v>97</v>
      </c>
      <c r="M540" s="10">
        <v>0.17</v>
      </c>
      <c r="O540" s="8" t="s">
        <v>97</v>
      </c>
      <c r="P540" s="4">
        <f>(C540+(E540*F540*H540))-N540</f>
        <v>0</v>
      </c>
      <c r="Q540" s="8" t="s">
        <v>97</v>
      </c>
      <c r="R540" s="9">
        <f>S540/1.11</f>
        <v>0</v>
      </c>
      <c r="S540" s="9">
        <f>P540*(J540-(J540*L540)-((J540-(J540*L540))*M540))</f>
        <v>0</v>
      </c>
    </row>
    <row r="541" spans="1:19" x14ac:dyDescent="0.2">
      <c r="A541" s="2" t="s">
        <v>325</v>
      </c>
      <c r="B541" s="3" t="s">
        <v>24</v>
      </c>
      <c r="D541" s="5" t="s">
        <v>97</v>
      </c>
      <c r="F541" s="7">
        <v>1</v>
      </c>
      <c r="G541" s="8" t="s">
        <v>19</v>
      </c>
      <c r="H541" s="7">
        <v>160</v>
      </c>
      <c r="I541" s="8" t="s">
        <v>97</v>
      </c>
      <c r="J541" s="9">
        <f>1104000/160</f>
        <v>6900</v>
      </c>
      <c r="K541" s="5" t="s">
        <v>97</v>
      </c>
      <c r="M541" s="10">
        <v>0.17</v>
      </c>
      <c r="O541" s="8" t="s">
        <v>97</v>
      </c>
      <c r="P541" s="4">
        <f>(C541+(E541*F541*H541))-N541</f>
        <v>0</v>
      </c>
      <c r="Q541" s="8" t="s">
        <v>97</v>
      </c>
      <c r="R541" s="9">
        <f>S541/1.11</f>
        <v>0</v>
      </c>
      <c r="S541" s="9">
        <f>P541*(J541-(J541*L541)-((J541-(J541*L541))*M541))</f>
        <v>0</v>
      </c>
    </row>
    <row r="542" spans="1:19" x14ac:dyDescent="0.2">
      <c r="A542" s="2" t="s">
        <v>326</v>
      </c>
      <c r="B542" s="3" t="s">
        <v>24</v>
      </c>
      <c r="D542" s="5" t="s">
        <v>97</v>
      </c>
      <c r="F542" s="7">
        <v>1</v>
      </c>
      <c r="G542" s="8" t="s">
        <v>19</v>
      </c>
      <c r="H542" s="7">
        <v>80</v>
      </c>
      <c r="I542" s="8" t="s">
        <v>97</v>
      </c>
      <c r="J542" s="9">
        <f>1040000/80</f>
        <v>13000</v>
      </c>
      <c r="K542" s="5" t="s">
        <v>97</v>
      </c>
      <c r="M542" s="10">
        <v>0.17</v>
      </c>
      <c r="O542" s="8" t="s">
        <v>97</v>
      </c>
      <c r="P542" s="4">
        <f>(C542+(E542*F542*H542))-N542</f>
        <v>0</v>
      </c>
      <c r="Q542" s="8" t="s">
        <v>97</v>
      </c>
      <c r="R542" s="9">
        <f>S542/1.11</f>
        <v>0</v>
      </c>
      <c r="S542" s="9">
        <f>P542*(J542-(J542*L542)-((J542-(J542*L542))*M542))</f>
        <v>0</v>
      </c>
    </row>
    <row r="544" spans="1:19" ht="15.75" x14ac:dyDescent="0.25">
      <c r="A544" s="29" t="s">
        <v>765</v>
      </c>
      <c r="L544" s="34"/>
      <c r="M544" s="34"/>
    </row>
    <row r="545" spans="1:20" x14ac:dyDescent="0.2">
      <c r="A545" s="2" t="s">
        <v>766</v>
      </c>
      <c r="B545" s="2" t="s">
        <v>170</v>
      </c>
      <c r="C545" s="18"/>
      <c r="D545" s="19" t="s">
        <v>18</v>
      </c>
      <c r="E545" s="20"/>
      <c r="F545" s="21">
        <v>1</v>
      </c>
      <c r="G545" s="17" t="s">
        <v>19</v>
      </c>
      <c r="H545" s="21">
        <v>10</v>
      </c>
      <c r="I545" s="17" t="s">
        <v>18</v>
      </c>
      <c r="J545" s="22">
        <v>55000</v>
      </c>
      <c r="K545" s="19" t="s">
        <v>18</v>
      </c>
      <c r="L545" s="23">
        <v>0.05</v>
      </c>
      <c r="M545" s="23"/>
      <c r="N545" s="21"/>
      <c r="O545" s="17" t="s">
        <v>18</v>
      </c>
      <c r="P545" s="18">
        <f>(C545+(E545*F545*H545))-N545</f>
        <v>0</v>
      </c>
      <c r="Q545" s="17" t="s">
        <v>18</v>
      </c>
      <c r="R545" s="22">
        <f>S545/1.11</f>
        <v>0</v>
      </c>
      <c r="S545" s="22">
        <f>P545*(J545-(J545*L545)-((J545-(J545*L545))*M545))</f>
        <v>0</v>
      </c>
    </row>
    <row r="547" spans="1:20" ht="15.75" x14ac:dyDescent="0.25">
      <c r="A547" s="29" t="s">
        <v>327</v>
      </c>
      <c r="L547" s="34"/>
      <c r="M547" s="34"/>
    </row>
    <row r="548" spans="1:20" x14ac:dyDescent="0.2">
      <c r="A548" s="30" t="s">
        <v>328</v>
      </c>
      <c r="L548" s="34"/>
      <c r="M548" s="34"/>
    </row>
    <row r="549" spans="1:20" x14ac:dyDescent="0.2">
      <c r="A549" s="2" t="s">
        <v>329</v>
      </c>
      <c r="B549" s="3" t="s">
        <v>17</v>
      </c>
      <c r="D549" s="5" t="s">
        <v>18</v>
      </c>
      <c r="F549" s="7">
        <v>1</v>
      </c>
      <c r="G549" s="8" t="s">
        <v>19</v>
      </c>
      <c r="H549" s="7">
        <v>24</v>
      </c>
      <c r="I549" s="8" t="s">
        <v>18</v>
      </c>
      <c r="J549" s="9">
        <v>35000</v>
      </c>
      <c r="K549" s="5" t="s">
        <v>18</v>
      </c>
      <c r="L549" s="10">
        <v>0.125</v>
      </c>
      <c r="M549" s="10">
        <v>0.05</v>
      </c>
      <c r="O549" s="8" t="s">
        <v>18</v>
      </c>
      <c r="P549" s="4">
        <f t="shared" ref="P549:P554" si="188">(C549+(E549*F549*H549))-N549</f>
        <v>0</v>
      </c>
      <c r="Q549" s="8" t="s">
        <v>18</v>
      </c>
      <c r="R549" s="9">
        <f>S549/1.11</f>
        <v>0</v>
      </c>
      <c r="S549" s="9">
        <f t="shared" ref="S549:S554" si="189">P549*(J549-(J549*L549)-((J549-(J549*L549))*M549))</f>
        <v>0</v>
      </c>
    </row>
    <row r="550" spans="1:20" x14ac:dyDescent="0.2">
      <c r="A550" s="2" t="s">
        <v>330</v>
      </c>
      <c r="B550" s="3" t="s">
        <v>17</v>
      </c>
      <c r="D550" s="5" t="s">
        <v>18</v>
      </c>
      <c r="F550" s="7">
        <v>1</v>
      </c>
      <c r="G550" s="8" t="s">
        <v>19</v>
      </c>
      <c r="H550" s="7">
        <v>72</v>
      </c>
      <c r="I550" s="8" t="s">
        <v>18</v>
      </c>
      <c r="J550" s="9">
        <v>15800</v>
      </c>
      <c r="K550" s="5" t="s">
        <v>18</v>
      </c>
      <c r="L550" s="10">
        <v>0.125</v>
      </c>
      <c r="M550" s="10">
        <v>0.05</v>
      </c>
      <c r="O550" s="8" t="s">
        <v>18</v>
      </c>
      <c r="P550" s="4">
        <f t="shared" si="188"/>
        <v>0</v>
      </c>
      <c r="Q550" s="8" t="s">
        <v>18</v>
      </c>
      <c r="R550" s="9">
        <f>S550/1.11</f>
        <v>0</v>
      </c>
      <c r="S550" s="9">
        <f t="shared" si="189"/>
        <v>0</v>
      </c>
      <c r="T550" s="9"/>
    </row>
    <row r="551" spans="1:20" x14ac:dyDescent="0.2">
      <c r="A551" s="2" t="s">
        <v>331</v>
      </c>
      <c r="B551" s="3" t="s">
        <v>17</v>
      </c>
      <c r="D551" s="5" t="s">
        <v>18</v>
      </c>
      <c r="F551" s="7">
        <v>1</v>
      </c>
      <c r="G551" s="8" t="s">
        <v>19</v>
      </c>
      <c r="H551" s="7">
        <v>72</v>
      </c>
      <c r="I551" s="8" t="s">
        <v>18</v>
      </c>
      <c r="J551" s="9">
        <v>15800</v>
      </c>
      <c r="K551" s="5" t="s">
        <v>18</v>
      </c>
      <c r="L551" s="10">
        <v>0.125</v>
      </c>
      <c r="M551" s="10">
        <v>0.05</v>
      </c>
      <c r="O551" s="8" t="s">
        <v>18</v>
      </c>
      <c r="P551" s="4">
        <f t="shared" si="188"/>
        <v>0</v>
      </c>
      <c r="Q551" s="8" t="s">
        <v>18</v>
      </c>
      <c r="R551" s="9">
        <f>S551/1.11</f>
        <v>0</v>
      </c>
      <c r="S551" s="9">
        <f t="shared" si="189"/>
        <v>0</v>
      </c>
      <c r="T551" s="9"/>
    </row>
    <row r="552" spans="1:20" x14ac:dyDescent="0.2">
      <c r="A552" s="2" t="s">
        <v>332</v>
      </c>
      <c r="B552" s="3" t="s">
        <v>17</v>
      </c>
      <c r="D552" s="5" t="s">
        <v>18</v>
      </c>
      <c r="F552" s="7">
        <v>1</v>
      </c>
      <c r="G552" s="8" t="s">
        <v>19</v>
      </c>
      <c r="H552" s="7">
        <v>72</v>
      </c>
      <c r="I552" s="8" t="s">
        <v>18</v>
      </c>
      <c r="J552" s="9">
        <v>20700</v>
      </c>
      <c r="K552" s="5" t="s">
        <v>18</v>
      </c>
      <c r="L552" s="10">
        <v>0.125</v>
      </c>
      <c r="M552" s="10">
        <v>0.05</v>
      </c>
      <c r="O552" s="8" t="s">
        <v>18</v>
      </c>
      <c r="P552" s="4">
        <f t="shared" si="188"/>
        <v>0</v>
      </c>
      <c r="Q552" s="8" t="s">
        <v>18</v>
      </c>
      <c r="R552" s="9">
        <f>S552/1.11</f>
        <v>0</v>
      </c>
      <c r="S552" s="9">
        <f t="shared" si="189"/>
        <v>0</v>
      </c>
    </row>
    <row r="553" spans="1:20" x14ac:dyDescent="0.2">
      <c r="A553" s="2" t="s">
        <v>333</v>
      </c>
      <c r="B553" s="3" t="s">
        <v>17</v>
      </c>
      <c r="D553" s="5" t="s">
        <v>18</v>
      </c>
      <c r="F553" s="7">
        <v>1</v>
      </c>
      <c r="G553" s="8" t="s">
        <v>19</v>
      </c>
      <c r="H553" s="7">
        <v>72</v>
      </c>
      <c r="I553" s="8" t="s">
        <v>18</v>
      </c>
      <c r="J553" s="9">
        <v>20700</v>
      </c>
      <c r="K553" s="5" t="s">
        <v>18</v>
      </c>
      <c r="L553" s="10">
        <v>0.125</v>
      </c>
      <c r="M553" s="10">
        <v>0.05</v>
      </c>
      <c r="O553" s="8" t="s">
        <v>18</v>
      </c>
      <c r="P553" s="4">
        <f t="shared" si="188"/>
        <v>0</v>
      </c>
      <c r="Q553" s="8" t="s">
        <v>18</v>
      </c>
      <c r="R553" s="9">
        <f>S553/1.11</f>
        <v>0</v>
      </c>
      <c r="S553" s="9">
        <f t="shared" si="189"/>
        <v>0</v>
      </c>
    </row>
    <row r="554" spans="1:20" x14ac:dyDescent="0.2">
      <c r="A554" s="2" t="s">
        <v>913</v>
      </c>
      <c r="B554" s="3" t="s">
        <v>17</v>
      </c>
      <c r="D554" s="5" t="s">
        <v>18</v>
      </c>
      <c r="F554" s="7">
        <v>1</v>
      </c>
      <c r="G554" s="8" t="s">
        <v>19</v>
      </c>
      <c r="H554" s="7">
        <v>96</v>
      </c>
      <c r="I554" s="8" t="s">
        <v>18</v>
      </c>
      <c r="J554" s="9">
        <v>19500</v>
      </c>
      <c r="K554" s="5" t="s">
        <v>18</v>
      </c>
      <c r="L554" s="10">
        <v>0.125</v>
      </c>
      <c r="M554" s="10">
        <v>0.05</v>
      </c>
      <c r="O554" s="8" t="s">
        <v>18</v>
      </c>
      <c r="P554" s="4">
        <f t="shared" si="188"/>
        <v>0</v>
      </c>
      <c r="Q554" s="8" t="s">
        <v>18</v>
      </c>
      <c r="R554" s="9">
        <f>S554/1.11</f>
        <v>0</v>
      </c>
      <c r="S554" s="9">
        <f t="shared" si="189"/>
        <v>0</v>
      </c>
    </row>
    <row r="556" spans="1:20" x14ac:dyDescent="0.2">
      <c r="A556" s="2" t="s">
        <v>334</v>
      </c>
      <c r="B556" s="3" t="s">
        <v>24</v>
      </c>
      <c r="D556" s="5" t="s">
        <v>18</v>
      </c>
      <c r="F556" s="7">
        <v>1</v>
      </c>
      <c r="G556" s="8" t="s">
        <v>19</v>
      </c>
      <c r="H556" s="7">
        <v>72</v>
      </c>
      <c r="I556" s="8" t="s">
        <v>18</v>
      </c>
      <c r="J556" s="9">
        <f>1310400/72</f>
        <v>18200</v>
      </c>
      <c r="K556" s="5" t="s">
        <v>18</v>
      </c>
      <c r="M556" s="10">
        <v>0.17</v>
      </c>
      <c r="O556" s="8" t="s">
        <v>18</v>
      </c>
      <c r="P556" s="4">
        <f>(C556+(E556*F556*H556))-N556</f>
        <v>0</v>
      </c>
      <c r="Q556" s="8" t="s">
        <v>18</v>
      </c>
      <c r="R556" s="9">
        <f>S556/1.11</f>
        <v>0</v>
      </c>
      <c r="S556" s="9">
        <f>P556*(J556-(J556*L556)-((J556-(J556*L556))*M556))</f>
        <v>0</v>
      </c>
    </row>
    <row r="557" spans="1:20" x14ac:dyDescent="0.2">
      <c r="A557" s="2" t="s">
        <v>335</v>
      </c>
      <c r="B557" s="3" t="s">
        <v>24</v>
      </c>
      <c r="D557" s="5" t="s">
        <v>18</v>
      </c>
      <c r="F557" s="7">
        <v>1</v>
      </c>
      <c r="G557" s="8" t="s">
        <v>19</v>
      </c>
      <c r="H557" s="7">
        <v>72</v>
      </c>
      <c r="I557" s="8" t="s">
        <v>18</v>
      </c>
      <c r="J557" s="9">
        <f>1512000/72</f>
        <v>21000</v>
      </c>
      <c r="K557" s="5" t="s">
        <v>18</v>
      </c>
      <c r="L557" s="10">
        <v>0.125</v>
      </c>
      <c r="M557" s="10">
        <v>0.05</v>
      </c>
      <c r="O557" s="8" t="s">
        <v>18</v>
      </c>
      <c r="P557" s="4">
        <f>(C557+(E557*F557*H557))-N557</f>
        <v>0</v>
      </c>
      <c r="Q557" s="8" t="s">
        <v>18</v>
      </c>
      <c r="R557" s="9">
        <f>S557/1.11</f>
        <v>0</v>
      </c>
      <c r="S557" s="9">
        <f>P557*(J557-(J557*L557)-((J557-(J557*L557))*M557))</f>
        <v>0</v>
      </c>
    </row>
    <row r="558" spans="1:20" x14ac:dyDescent="0.2">
      <c r="A558" s="2" t="s">
        <v>771</v>
      </c>
      <c r="B558" s="3" t="s">
        <v>24</v>
      </c>
      <c r="D558" s="5" t="s">
        <v>18</v>
      </c>
      <c r="F558" s="7">
        <v>1</v>
      </c>
      <c r="G558" s="8" t="s">
        <v>19</v>
      </c>
      <c r="H558" s="7">
        <v>72</v>
      </c>
      <c r="I558" s="8" t="s">
        <v>18</v>
      </c>
      <c r="J558" s="9">
        <f>1224000/72</f>
        <v>17000</v>
      </c>
      <c r="K558" s="5" t="s">
        <v>18</v>
      </c>
      <c r="M558" s="10">
        <v>0.17</v>
      </c>
      <c r="O558" s="8" t="s">
        <v>18</v>
      </c>
      <c r="P558" s="4">
        <f>(C558+(E558*F558*H558))-N558</f>
        <v>0</v>
      </c>
      <c r="Q558" s="8" t="s">
        <v>18</v>
      </c>
      <c r="R558" s="9">
        <f>S558/1.11</f>
        <v>0</v>
      </c>
      <c r="S558" s="9">
        <f>P558*(J558-(J558*L558)-((J558-(J558*L558))*M558))</f>
        <v>0</v>
      </c>
    </row>
    <row r="559" spans="1:20" x14ac:dyDescent="0.2">
      <c r="A559" s="2" t="s">
        <v>336</v>
      </c>
      <c r="B559" s="3" t="s">
        <v>24</v>
      </c>
      <c r="D559" s="5" t="s">
        <v>18</v>
      </c>
      <c r="F559" s="7">
        <v>1</v>
      </c>
      <c r="G559" s="8" t="s">
        <v>19</v>
      </c>
      <c r="H559" s="7">
        <v>120</v>
      </c>
      <c r="I559" s="8" t="s">
        <v>18</v>
      </c>
      <c r="J559" s="9">
        <v>9000</v>
      </c>
      <c r="K559" s="5" t="s">
        <v>18</v>
      </c>
      <c r="M559" s="10">
        <v>0.17</v>
      </c>
      <c r="O559" s="8" t="s">
        <v>18</v>
      </c>
      <c r="P559" s="4">
        <f>(C559+(E559*F559*H559))-N559</f>
        <v>0</v>
      </c>
      <c r="Q559" s="8" t="s">
        <v>18</v>
      </c>
      <c r="R559" s="9">
        <f>S559/1.11</f>
        <v>0</v>
      </c>
      <c r="S559" s="9">
        <f>P559*(J559-(J559*L559)-((J559-(J559*L559))*M559))</f>
        <v>0</v>
      </c>
    </row>
    <row r="561" spans="1:20" x14ac:dyDescent="0.2">
      <c r="A561" s="30" t="s">
        <v>337</v>
      </c>
    </row>
    <row r="562" spans="1:20" x14ac:dyDescent="0.2">
      <c r="A562" s="2" t="s">
        <v>338</v>
      </c>
      <c r="B562" s="3" t="s">
        <v>17</v>
      </c>
      <c r="D562" s="5" t="s">
        <v>18</v>
      </c>
      <c r="F562" s="7">
        <v>2</v>
      </c>
      <c r="G562" s="8" t="s">
        <v>32</v>
      </c>
      <c r="H562" s="7">
        <v>24</v>
      </c>
      <c r="I562" s="8" t="s">
        <v>18</v>
      </c>
      <c r="J562" s="9">
        <v>9200</v>
      </c>
      <c r="K562" s="5" t="s">
        <v>18</v>
      </c>
      <c r="L562" s="10">
        <v>0.125</v>
      </c>
      <c r="M562" s="10">
        <v>0.05</v>
      </c>
      <c r="O562" s="8" t="s">
        <v>18</v>
      </c>
      <c r="P562" s="4">
        <f>(C562+(E562*F562*H562))-N562</f>
        <v>0</v>
      </c>
      <c r="Q562" s="8" t="s">
        <v>18</v>
      </c>
      <c r="R562" s="9">
        <f>S562/1.11</f>
        <v>0</v>
      </c>
      <c r="S562" s="9">
        <f>P562*(J562-(J562*L562)-((J562-(J562*L562))*M562))</f>
        <v>0</v>
      </c>
    </row>
    <row r="563" spans="1:20" x14ac:dyDescent="0.2">
      <c r="A563" s="2" t="s">
        <v>721</v>
      </c>
      <c r="B563" s="3" t="s">
        <v>17</v>
      </c>
      <c r="D563" s="5" t="s">
        <v>18</v>
      </c>
      <c r="F563" s="7">
        <v>4</v>
      </c>
      <c r="G563" s="8" t="s">
        <v>32</v>
      </c>
      <c r="H563" s="7">
        <v>24</v>
      </c>
      <c r="I563" s="8" t="s">
        <v>18</v>
      </c>
      <c r="J563" s="9">
        <v>6300</v>
      </c>
      <c r="K563" s="5" t="s">
        <v>18</v>
      </c>
      <c r="L563" s="10">
        <v>0.125</v>
      </c>
      <c r="M563" s="10">
        <v>0.05</v>
      </c>
      <c r="O563" s="8" t="s">
        <v>18</v>
      </c>
      <c r="P563" s="4">
        <f>(C563+(E563*F563*H563))-N563</f>
        <v>0</v>
      </c>
      <c r="Q563" s="8" t="s">
        <v>18</v>
      </c>
      <c r="R563" s="9">
        <f>S563/1.11</f>
        <v>0</v>
      </c>
      <c r="S563" s="9">
        <f>P563*(J563-(J563*L563)-((J563-(J563*L563))*M563))</f>
        <v>0</v>
      </c>
    </row>
    <row r="565" spans="1:20" x14ac:dyDescent="0.2">
      <c r="A565" s="2" t="s">
        <v>339</v>
      </c>
      <c r="B565" s="3" t="s">
        <v>24</v>
      </c>
      <c r="D565" s="5" t="s">
        <v>39</v>
      </c>
      <c r="F565" s="7">
        <v>1</v>
      </c>
      <c r="G565" s="8" t="s">
        <v>19</v>
      </c>
      <c r="H565" s="7">
        <v>12</v>
      </c>
      <c r="I565" s="8" t="s">
        <v>39</v>
      </c>
      <c r="J565" s="9">
        <f>741600/12</f>
        <v>61800</v>
      </c>
      <c r="K565" s="5" t="s">
        <v>39</v>
      </c>
      <c r="M565" s="10">
        <v>0.17</v>
      </c>
      <c r="O565" s="8" t="s">
        <v>39</v>
      </c>
      <c r="P565" s="4">
        <f>(C565+(E565*F565*H565))-N565</f>
        <v>0</v>
      </c>
      <c r="Q565" s="8" t="s">
        <v>39</v>
      </c>
      <c r="R565" s="9">
        <f>S565/1.11</f>
        <v>0</v>
      </c>
      <c r="S565" s="9">
        <f>P565*(J565-(J565*L565)-((J565-(J565*L565))*M565))</f>
        <v>0</v>
      </c>
    </row>
    <row r="566" spans="1:20" x14ac:dyDescent="0.2">
      <c r="A566" s="2" t="s">
        <v>340</v>
      </c>
      <c r="B566" s="3" t="s">
        <v>24</v>
      </c>
      <c r="D566" s="5" t="s">
        <v>39</v>
      </c>
      <c r="F566" s="7">
        <v>1</v>
      </c>
      <c r="G566" s="8" t="s">
        <v>19</v>
      </c>
      <c r="H566" s="7">
        <v>20</v>
      </c>
      <c r="I566" s="8" t="s">
        <v>39</v>
      </c>
      <c r="J566" s="9">
        <f>804000/20</f>
        <v>40200</v>
      </c>
      <c r="K566" s="5" t="s">
        <v>39</v>
      </c>
      <c r="M566" s="10">
        <v>0.17</v>
      </c>
      <c r="O566" s="8" t="s">
        <v>39</v>
      </c>
      <c r="P566" s="4">
        <f>(C566+(E566*F566*H566))-N566</f>
        <v>0</v>
      </c>
      <c r="Q566" s="8" t="s">
        <v>39</v>
      </c>
      <c r="R566" s="9">
        <f>S566/1.11</f>
        <v>0</v>
      </c>
      <c r="S566" s="9">
        <f>P566*(J566-(J566*L566)-((J566-(J566*L566))*M566))</f>
        <v>0</v>
      </c>
    </row>
    <row r="567" spans="1:20" x14ac:dyDescent="0.2">
      <c r="A567" s="2" t="s">
        <v>341</v>
      </c>
      <c r="B567" s="3" t="s">
        <v>24</v>
      </c>
      <c r="D567" s="5" t="s">
        <v>39</v>
      </c>
      <c r="F567" s="7">
        <v>1</v>
      </c>
      <c r="G567" s="8" t="s">
        <v>19</v>
      </c>
      <c r="H567" s="7">
        <v>6</v>
      </c>
      <c r="I567" s="8" t="s">
        <v>39</v>
      </c>
      <c r="J567" s="9">
        <f>810000/6</f>
        <v>135000</v>
      </c>
      <c r="K567" s="5" t="s">
        <v>39</v>
      </c>
      <c r="M567" s="10">
        <v>0.17</v>
      </c>
      <c r="O567" s="8" t="s">
        <v>39</v>
      </c>
      <c r="P567" s="4">
        <f>(C567+(E567*F567*H567))-N567</f>
        <v>0</v>
      </c>
      <c r="Q567" s="8" t="s">
        <v>39</v>
      </c>
      <c r="R567" s="9">
        <f>S567/1.11</f>
        <v>0</v>
      </c>
      <c r="S567" s="9">
        <f>P567*(J567-(J567*L567)-((J567-(J567*L567))*M567))</f>
        <v>0</v>
      </c>
    </row>
    <row r="569" spans="1:20" x14ac:dyDescent="0.2">
      <c r="A569" s="2" t="s">
        <v>1041</v>
      </c>
      <c r="B569" s="3" t="s">
        <v>170</v>
      </c>
      <c r="F569" s="7">
        <v>1</v>
      </c>
      <c r="G569" s="8" t="s">
        <v>19</v>
      </c>
      <c r="H569" s="7">
        <v>96</v>
      </c>
      <c r="I569" s="8" t="s">
        <v>815</v>
      </c>
      <c r="J569" s="9">
        <v>16500</v>
      </c>
      <c r="K569" s="5" t="s">
        <v>815</v>
      </c>
      <c r="L569" s="10">
        <v>7.0000000000000007E-2</v>
      </c>
      <c r="O569" s="8" t="s">
        <v>815</v>
      </c>
      <c r="P569" s="4">
        <f>(C569+(E569*F569*H569))-N569</f>
        <v>0</v>
      </c>
      <c r="Q569" s="8" t="s">
        <v>97</v>
      </c>
      <c r="R569" s="9">
        <f>S569/1.11</f>
        <v>0</v>
      </c>
      <c r="S569" s="9">
        <f>P569*(J569-(J569*L569)-((J569-(J569*L569))*M569))</f>
        <v>0</v>
      </c>
    </row>
    <row r="570" spans="1:20" x14ac:dyDescent="0.2">
      <c r="A570" s="2" t="s">
        <v>1042</v>
      </c>
      <c r="B570" s="3" t="s">
        <v>170</v>
      </c>
      <c r="F570" s="7">
        <v>1</v>
      </c>
      <c r="G570" s="8" t="s">
        <v>19</v>
      </c>
      <c r="H570" s="7">
        <v>96</v>
      </c>
      <c r="I570" s="8" t="s">
        <v>815</v>
      </c>
      <c r="J570" s="9">
        <v>16500</v>
      </c>
      <c r="K570" s="5" t="s">
        <v>815</v>
      </c>
      <c r="L570" s="10">
        <v>7.0000000000000007E-2</v>
      </c>
      <c r="O570" s="8" t="s">
        <v>815</v>
      </c>
      <c r="P570" s="4">
        <f>(C570+(E570*F570*H570))-N570</f>
        <v>0</v>
      </c>
      <c r="Q570" s="8" t="s">
        <v>97</v>
      </c>
      <c r="R570" s="9">
        <f>S570/1.11</f>
        <v>0</v>
      </c>
      <c r="S570" s="9">
        <f>P570*(J570-(J570*L570)-((J570-(J570*L570))*M570))</f>
        <v>0</v>
      </c>
    </row>
    <row r="571" spans="1:20" x14ac:dyDescent="0.2">
      <c r="A571" s="2" t="s">
        <v>1043</v>
      </c>
      <c r="B571" s="3" t="s">
        <v>170</v>
      </c>
      <c r="F571" s="7">
        <v>1</v>
      </c>
      <c r="G571" s="8" t="s">
        <v>19</v>
      </c>
      <c r="H571" s="7">
        <v>160</v>
      </c>
      <c r="I571" s="8" t="s">
        <v>815</v>
      </c>
      <c r="J571" s="9">
        <v>10000</v>
      </c>
      <c r="K571" s="5" t="s">
        <v>815</v>
      </c>
      <c r="L571" s="10">
        <v>7.0000000000000007E-2</v>
      </c>
      <c r="O571" s="8" t="s">
        <v>815</v>
      </c>
      <c r="P571" s="4">
        <f>(C571+(E571*F571*H571))-N571</f>
        <v>0</v>
      </c>
      <c r="Q571" s="8" t="s">
        <v>97</v>
      </c>
      <c r="R571" s="9">
        <f>S571/1.11</f>
        <v>0</v>
      </c>
      <c r="S571" s="9">
        <f>P571*(J571-(J571*L571)-((J571-(J571*L571))*M571))</f>
        <v>0</v>
      </c>
    </row>
    <row r="572" spans="1:20" x14ac:dyDescent="0.2">
      <c r="A572" s="2" t="s">
        <v>1044</v>
      </c>
      <c r="B572" s="3" t="s">
        <v>170</v>
      </c>
      <c r="F572" s="7">
        <v>1</v>
      </c>
      <c r="G572" s="8" t="s">
        <v>19</v>
      </c>
      <c r="H572" s="7">
        <v>160</v>
      </c>
      <c r="I572" s="8" t="s">
        <v>815</v>
      </c>
      <c r="J572" s="9">
        <v>10000</v>
      </c>
      <c r="K572" s="5" t="s">
        <v>815</v>
      </c>
      <c r="L572" s="10">
        <v>7.0000000000000007E-2</v>
      </c>
      <c r="O572" s="8" t="s">
        <v>815</v>
      </c>
      <c r="P572" s="4">
        <f t="shared" ref="P572:P573" si="190">(C572+(E572*F572*H572))-N572</f>
        <v>0</v>
      </c>
      <c r="Q572" s="8" t="s">
        <v>97</v>
      </c>
      <c r="R572" s="9">
        <f>S572/1.11</f>
        <v>0</v>
      </c>
      <c r="S572" s="9">
        <f t="shared" ref="S572:S573" si="191">P572*(J572-(J572*L572)-((J572-(J572*L572))*M572))</f>
        <v>0</v>
      </c>
    </row>
    <row r="573" spans="1:20" x14ac:dyDescent="0.2">
      <c r="A573" s="2" t="s">
        <v>1045</v>
      </c>
      <c r="B573" s="3" t="s">
        <v>170</v>
      </c>
      <c r="F573" s="7">
        <v>1</v>
      </c>
      <c r="G573" s="8" t="s">
        <v>19</v>
      </c>
      <c r="H573" s="7">
        <v>160</v>
      </c>
      <c r="I573" s="8" t="s">
        <v>815</v>
      </c>
      <c r="J573" s="9">
        <v>10000</v>
      </c>
      <c r="K573" s="5" t="s">
        <v>815</v>
      </c>
      <c r="L573" s="10">
        <v>7.0000000000000007E-2</v>
      </c>
      <c r="O573" s="8" t="s">
        <v>815</v>
      </c>
      <c r="P573" s="4">
        <f t="shared" si="190"/>
        <v>0</v>
      </c>
      <c r="Q573" s="8" t="s">
        <v>97</v>
      </c>
      <c r="R573" s="9">
        <f>S573/1.11</f>
        <v>0</v>
      </c>
      <c r="S573" s="9">
        <f t="shared" si="191"/>
        <v>0</v>
      </c>
    </row>
    <row r="575" spans="1:20" x14ac:dyDescent="0.2">
      <c r="A575" s="30" t="s">
        <v>342</v>
      </c>
      <c r="L575" s="34"/>
      <c r="M575" s="34"/>
    </row>
    <row r="576" spans="1:20" x14ac:dyDescent="0.2">
      <c r="A576" s="2" t="s">
        <v>343</v>
      </c>
      <c r="B576" s="3" t="s">
        <v>17</v>
      </c>
      <c r="D576" s="5" t="s">
        <v>150</v>
      </c>
      <c r="F576" s="7">
        <v>36</v>
      </c>
      <c r="G576" s="8" t="s">
        <v>32</v>
      </c>
      <c r="H576" s="7">
        <v>30</v>
      </c>
      <c r="I576" s="8" t="s">
        <v>150</v>
      </c>
      <c r="J576" s="9">
        <v>3200</v>
      </c>
      <c r="K576" s="5" t="s">
        <v>150</v>
      </c>
      <c r="L576" s="10">
        <v>0.125</v>
      </c>
      <c r="M576" s="10">
        <v>0.05</v>
      </c>
      <c r="O576" s="8" t="s">
        <v>150</v>
      </c>
      <c r="P576" s="4">
        <f>(C576+(E576*F576*H576))-N576</f>
        <v>0</v>
      </c>
      <c r="Q576" s="8" t="s">
        <v>150</v>
      </c>
      <c r="R576" s="9">
        <f>S576/1.11</f>
        <v>0</v>
      </c>
      <c r="S576" s="9">
        <f>P576*(J576-(J576*L576)-((J576-(J576*L576))*M576))</f>
        <v>0</v>
      </c>
      <c r="T576" s="9"/>
    </row>
    <row r="577" spans="1:20" x14ac:dyDescent="0.2">
      <c r="A577" s="2" t="s">
        <v>344</v>
      </c>
      <c r="B577" s="3" t="s">
        <v>17</v>
      </c>
      <c r="D577" s="5" t="s">
        <v>150</v>
      </c>
      <c r="F577" s="7">
        <v>36</v>
      </c>
      <c r="G577" s="8" t="s">
        <v>32</v>
      </c>
      <c r="H577" s="7">
        <v>30</v>
      </c>
      <c r="I577" s="8" t="s">
        <v>150</v>
      </c>
      <c r="J577" s="9">
        <v>2900</v>
      </c>
      <c r="K577" s="5" t="s">
        <v>150</v>
      </c>
      <c r="L577" s="10">
        <v>0.125</v>
      </c>
      <c r="M577" s="10">
        <v>0.05</v>
      </c>
      <c r="O577" s="8" t="s">
        <v>150</v>
      </c>
      <c r="P577" s="4">
        <f>(C577+(E577*F577*H577))-N577</f>
        <v>0</v>
      </c>
      <c r="Q577" s="8" t="s">
        <v>150</v>
      </c>
      <c r="R577" s="9">
        <f>S577/1.11</f>
        <v>0</v>
      </c>
      <c r="S577" s="9">
        <f>P577*(J577-(J577*L577)-((J577-(J577*L577))*M577))</f>
        <v>0</v>
      </c>
      <c r="T577" s="9"/>
    </row>
    <row r="579" spans="1:20" ht="15.75" x14ac:dyDescent="0.25">
      <c r="A579" s="29" t="s">
        <v>345</v>
      </c>
    </row>
    <row r="580" spans="1:20" x14ac:dyDescent="0.2">
      <c r="A580" s="12" t="s">
        <v>348</v>
      </c>
      <c r="B580" s="3" t="s">
        <v>17</v>
      </c>
      <c r="D580" s="5" t="s">
        <v>97</v>
      </c>
      <c r="F580" s="7">
        <v>1</v>
      </c>
      <c r="G580" s="8" t="s">
        <v>19</v>
      </c>
      <c r="H580" s="7">
        <v>100</v>
      </c>
      <c r="I580" s="8" t="s">
        <v>97</v>
      </c>
      <c r="J580" s="9">
        <v>7600</v>
      </c>
      <c r="K580" s="5" t="s">
        <v>97</v>
      </c>
      <c r="L580" s="10">
        <v>0.125</v>
      </c>
      <c r="M580" s="10">
        <v>0.05</v>
      </c>
      <c r="O580" s="8" t="s">
        <v>97</v>
      </c>
      <c r="P580" s="4">
        <f>(C580+(E580*F580*H580))-N580</f>
        <v>0</v>
      </c>
      <c r="Q580" s="8" t="s">
        <v>97</v>
      </c>
      <c r="R580" s="9">
        <f>S580/1.11</f>
        <v>0</v>
      </c>
      <c r="S580" s="9">
        <f>P580*(J580-(J580*L580)-((J580-(J580*L580))*M580))</f>
        <v>0</v>
      </c>
      <c r="T580" s="9"/>
    </row>
    <row r="581" spans="1:20" x14ac:dyDescent="0.2">
      <c r="A581" s="12" t="s">
        <v>349</v>
      </c>
      <c r="B581" s="3" t="s">
        <v>17</v>
      </c>
      <c r="D581" s="5" t="s">
        <v>97</v>
      </c>
      <c r="F581" s="7">
        <v>1</v>
      </c>
      <c r="G581" s="8" t="s">
        <v>19</v>
      </c>
      <c r="H581" s="7">
        <v>100</v>
      </c>
      <c r="I581" s="8" t="s">
        <v>97</v>
      </c>
      <c r="J581" s="9">
        <v>8400</v>
      </c>
      <c r="K581" s="5" t="s">
        <v>97</v>
      </c>
      <c r="L581" s="10">
        <v>0.125</v>
      </c>
      <c r="M581" s="10">
        <v>0.05</v>
      </c>
      <c r="O581" s="8" t="s">
        <v>97</v>
      </c>
      <c r="P581" s="4">
        <f>(C581+(E581*F581*H581))-N581</f>
        <v>0</v>
      </c>
      <c r="Q581" s="8" t="s">
        <v>97</v>
      </c>
      <c r="R581" s="9">
        <f>S581/1.11</f>
        <v>0</v>
      </c>
      <c r="S581" s="9">
        <f>P581*(J581-(J581*L581)-((J581-(J581*L581))*M581))</f>
        <v>0</v>
      </c>
      <c r="T581" s="9"/>
    </row>
    <row r="582" spans="1:20" x14ac:dyDescent="0.2">
      <c r="A582" s="12"/>
      <c r="T582" s="9"/>
    </row>
    <row r="583" spans="1:20" x14ac:dyDescent="0.2">
      <c r="A583" s="12" t="s">
        <v>346</v>
      </c>
      <c r="B583" s="3" t="s">
        <v>24</v>
      </c>
      <c r="D583" s="5" t="s">
        <v>32</v>
      </c>
      <c r="F583" s="7">
        <v>10</v>
      </c>
      <c r="G583" s="8" t="s">
        <v>97</v>
      </c>
      <c r="H583" s="7">
        <v>10</v>
      </c>
      <c r="I583" s="8" t="s">
        <v>32</v>
      </c>
      <c r="J583" s="9">
        <f>980000/100</f>
        <v>9800</v>
      </c>
      <c r="K583" s="5" t="s">
        <v>32</v>
      </c>
      <c r="M583" s="10">
        <v>0.17</v>
      </c>
      <c r="O583" s="8" t="s">
        <v>32</v>
      </c>
      <c r="P583" s="4">
        <f>(C583+(E583*F583*H583))-N583</f>
        <v>0</v>
      </c>
      <c r="Q583" s="8" t="s">
        <v>32</v>
      </c>
      <c r="R583" s="9">
        <f>S583/1.11</f>
        <v>0</v>
      </c>
      <c r="S583" s="9">
        <f>P583*(J583-(J583*L583)-((J583-(J583*L583))*M583))</f>
        <v>0</v>
      </c>
    </row>
    <row r="584" spans="1:20" x14ac:dyDescent="0.2">
      <c r="A584" s="12" t="s">
        <v>347</v>
      </c>
      <c r="B584" s="3" t="s">
        <v>24</v>
      </c>
      <c r="D584" s="5" t="s">
        <v>32</v>
      </c>
      <c r="F584" s="7">
        <v>10</v>
      </c>
      <c r="G584" s="8" t="s">
        <v>97</v>
      </c>
      <c r="H584" s="7">
        <v>10</v>
      </c>
      <c r="I584" s="8" t="s">
        <v>32</v>
      </c>
      <c r="J584" s="9">
        <f>980000/100</f>
        <v>9800</v>
      </c>
      <c r="K584" s="5" t="s">
        <v>32</v>
      </c>
      <c r="M584" s="10">
        <v>0.17</v>
      </c>
      <c r="O584" s="8" t="s">
        <v>32</v>
      </c>
      <c r="P584" s="4">
        <f>(C584+(E584*F584*H584))-N584</f>
        <v>0</v>
      </c>
      <c r="Q584" s="8" t="s">
        <v>32</v>
      </c>
      <c r="R584" s="9">
        <f>S584/1.11</f>
        <v>0</v>
      </c>
      <c r="S584" s="9">
        <f>P584*(J584-(J584*L584)-((J584-(J584*L584))*M584))</f>
        <v>0</v>
      </c>
    </row>
    <row r="586" spans="1:20" ht="15.75" x14ac:dyDescent="0.25">
      <c r="A586" s="29" t="s">
        <v>350</v>
      </c>
    </row>
    <row r="587" spans="1:20" x14ac:dyDescent="0.2">
      <c r="A587" s="30" t="s">
        <v>351</v>
      </c>
    </row>
    <row r="588" spans="1:20" x14ac:dyDescent="0.2">
      <c r="A588" s="2" t="s">
        <v>352</v>
      </c>
      <c r="B588" s="3" t="s">
        <v>17</v>
      </c>
      <c r="D588" s="5" t="s">
        <v>39</v>
      </c>
      <c r="F588" s="7">
        <v>1</v>
      </c>
      <c r="G588" s="8" t="s">
        <v>19</v>
      </c>
      <c r="H588" s="7">
        <v>144</v>
      </c>
      <c r="I588" s="8" t="s">
        <v>39</v>
      </c>
      <c r="J588" s="9">
        <v>28200</v>
      </c>
      <c r="K588" s="5" t="s">
        <v>39</v>
      </c>
      <c r="L588" s="10">
        <v>0.125</v>
      </c>
      <c r="M588" s="10">
        <v>0.05</v>
      </c>
      <c r="O588" s="8" t="s">
        <v>39</v>
      </c>
      <c r="P588" s="4">
        <f t="shared" ref="P588:P599" si="192">(C588+(E588*F588*H588))-N588</f>
        <v>0</v>
      </c>
      <c r="Q588" s="8" t="s">
        <v>39</v>
      </c>
      <c r="R588" s="9">
        <f>S588/1.11</f>
        <v>0</v>
      </c>
      <c r="S588" s="9">
        <f t="shared" ref="S588:S599" si="193">P588*(J588-(J588*L588)-((J588-(J588*L588))*M588))</f>
        <v>0</v>
      </c>
    </row>
    <row r="589" spans="1:20" x14ac:dyDescent="0.2">
      <c r="A589" s="2" t="s">
        <v>993</v>
      </c>
      <c r="B589" s="3" t="s">
        <v>17</v>
      </c>
      <c r="D589" s="5" t="s">
        <v>39</v>
      </c>
      <c r="F589" s="7">
        <v>1</v>
      </c>
      <c r="G589" s="8" t="s">
        <v>19</v>
      </c>
      <c r="H589" s="7">
        <v>144</v>
      </c>
      <c r="I589" s="8" t="s">
        <v>39</v>
      </c>
      <c r="J589" s="9">
        <v>45600</v>
      </c>
      <c r="K589" s="5" t="s">
        <v>39</v>
      </c>
      <c r="L589" s="10">
        <v>0.125</v>
      </c>
      <c r="M589" s="10">
        <v>0.05</v>
      </c>
      <c r="O589" s="8" t="s">
        <v>39</v>
      </c>
      <c r="P589" s="4">
        <f>(C589+(E589*F589*H589))-N589</f>
        <v>0</v>
      </c>
      <c r="Q589" s="8" t="s">
        <v>39</v>
      </c>
      <c r="R589" s="9">
        <f>S589/1.11</f>
        <v>0</v>
      </c>
      <c r="S589" s="9">
        <f>P589*(J589-(J589*L589)-((J589-(J589*L589))*M589))</f>
        <v>0</v>
      </c>
    </row>
    <row r="590" spans="1:20" x14ac:dyDescent="0.2">
      <c r="A590" s="2" t="s">
        <v>353</v>
      </c>
      <c r="B590" s="3" t="s">
        <v>17</v>
      </c>
      <c r="D590" s="5" t="s">
        <v>39</v>
      </c>
      <c r="F590" s="7">
        <v>1</v>
      </c>
      <c r="G590" s="8" t="s">
        <v>19</v>
      </c>
      <c r="H590" s="7">
        <v>144</v>
      </c>
      <c r="I590" s="8" t="s">
        <v>39</v>
      </c>
      <c r="J590" s="9">
        <v>7800</v>
      </c>
      <c r="K590" s="5" t="s">
        <v>39</v>
      </c>
      <c r="L590" s="10">
        <v>0.125</v>
      </c>
      <c r="M590" s="10">
        <v>0.05</v>
      </c>
      <c r="O590" s="8" t="s">
        <v>39</v>
      </c>
      <c r="P590" s="4">
        <f>(C590+(E590*F590*H590))-N590</f>
        <v>0</v>
      </c>
      <c r="Q590" s="8" t="s">
        <v>39</v>
      </c>
      <c r="R590" s="9">
        <f>S590/1.11</f>
        <v>0</v>
      </c>
      <c r="S590" s="9">
        <f>P590*(J590-(J590*L590)-((J590-(J590*L590))*M590))</f>
        <v>0</v>
      </c>
    </row>
    <row r="591" spans="1:20" x14ac:dyDescent="0.2">
      <c r="A591" s="2" t="s">
        <v>354</v>
      </c>
      <c r="B591" s="3" t="s">
        <v>17</v>
      </c>
      <c r="C591" s="4">
        <v>144</v>
      </c>
      <c r="D591" s="5" t="s">
        <v>39</v>
      </c>
      <c r="F591" s="7">
        <v>1</v>
      </c>
      <c r="G591" s="8" t="s">
        <v>19</v>
      </c>
      <c r="H591" s="7">
        <v>144</v>
      </c>
      <c r="I591" s="8" t="s">
        <v>39</v>
      </c>
      <c r="J591" s="9">
        <v>6900</v>
      </c>
      <c r="K591" s="5" t="s">
        <v>39</v>
      </c>
      <c r="L591" s="10">
        <v>0.125</v>
      </c>
      <c r="M591" s="10">
        <v>0.05</v>
      </c>
      <c r="O591" s="8" t="s">
        <v>39</v>
      </c>
      <c r="P591" s="4">
        <f t="shared" si="192"/>
        <v>144</v>
      </c>
      <c r="Q591" s="8" t="s">
        <v>39</v>
      </c>
      <c r="R591" s="9">
        <f>S591/1.11</f>
        <v>744081.08108108107</v>
      </c>
      <c r="S591" s="9">
        <f t="shared" si="193"/>
        <v>825930</v>
      </c>
    </row>
    <row r="592" spans="1:20" x14ac:dyDescent="0.2">
      <c r="A592" s="2" t="s">
        <v>743</v>
      </c>
      <c r="B592" s="3" t="s">
        <v>17</v>
      </c>
      <c r="C592" s="4">
        <v>144</v>
      </c>
      <c r="D592" s="5" t="s">
        <v>39</v>
      </c>
      <c r="F592" s="7">
        <v>1</v>
      </c>
      <c r="G592" s="8" t="s">
        <v>19</v>
      </c>
      <c r="H592" s="7">
        <v>144</v>
      </c>
      <c r="I592" s="8" t="s">
        <v>39</v>
      </c>
      <c r="J592" s="9">
        <v>7020</v>
      </c>
      <c r="K592" s="5" t="s">
        <v>39</v>
      </c>
      <c r="L592" s="10">
        <v>0.125</v>
      </c>
      <c r="M592" s="10">
        <v>0.05</v>
      </c>
      <c r="O592" s="8" t="s">
        <v>39</v>
      </c>
      <c r="P592" s="4">
        <f t="shared" si="192"/>
        <v>144</v>
      </c>
      <c r="Q592" s="8" t="s">
        <v>39</v>
      </c>
      <c r="R592" s="9">
        <f>S592/1.11</f>
        <v>757021.62162162154</v>
      </c>
      <c r="S592" s="9">
        <f t="shared" si="193"/>
        <v>840294</v>
      </c>
    </row>
    <row r="593" spans="1:19" x14ac:dyDescent="0.2">
      <c r="A593" s="2" t="s">
        <v>355</v>
      </c>
      <c r="B593" s="3" t="s">
        <v>17</v>
      </c>
      <c r="D593" s="5" t="s">
        <v>39</v>
      </c>
      <c r="F593" s="7">
        <v>1</v>
      </c>
      <c r="G593" s="8" t="s">
        <v>19</v>
      </c>
      <c r="H593" s="7">
        <v>144</v>
      </c>
      <c r="I593" s="8" t="s">
        <v>39</v>
      </c>
      <c r="J593" s="9">
        <v>7200</v>
      </c>
      <c r="K593" s="5" t="s">
        <v>39</v>
      </c>
      <c r="L593" s="10">
        <v>0.125</v>
      </c>
      <c r="M593" s="10">
        <v>0.05</v>
      </c>
      <c r="O593" s="8" t="s">
        <v>39</v>
      </c>
      <c r="P593" s="4">
        <f t="shared" ref="P593" si="194">(C593+(E593*F593*H593))-N593</f>
        <v>0</v>
      </c>
      <c r="Q593" s="8" t="s">
        <v>39</v>
      </c>
      <c r="R593" s="9">
        <f>S593/1.11</f>
        <v>0</v>
      </c>
      <c r="S593" s="9">
        <f t="shared" ref="S593" si="195">P593*(J593-(J593*L593)-((J593-(J593*L593))*M593))</f>
        <v>0</v>
      </c>
    </row>
    <row r="594" spans="1:19" x14ac:dyDescent="0.2">
      <c r="A594" s="2" t="s">
        <v>709</v>
      </c>
      <c r="B594" s="3" t="s">
        <v>17</v>
      </c>
      <c r="D594" s="5" t="s">
        <v>39</v>
      </c>
      <c r="F594" s="7">
        <v>1</v>
      </c>
      <c r="G594" s="8" t="s">
        <v>19</v>
      </c>
      <c r="H594" s="7">
        <v>144</v>
      </c>
      <c r="I594" s="8" t="s">
        <v>39</v>
      </c>
      <c r="J594" s="9">
        <v>6600</v>
      </c>
      <c r="K594" s="5" t="s">
        <v>39</v>
      </c>
      <c r="L594" s="10">
        <v>0.125</v>
      </c>
      <c r="M594" s="10">
        <v>0.05</v>
      </c>
      <c r="O594" s="8" t="s">
        <v>39</v>
      </c>
      <c r="P594" s="4">
        <f t="shared" si="192"/>
        <v>0</v>
      </c>
      <c r="Q594" s="8" t="s">
        <v>39</v>
      </c>
      <c r="R594" s="9">
        <f>S594/1.11</f>
        <v>0</v>
      </c>
      <c r="S594" s="9">
        <f t="shared" si="193"/>
        <v>0</v>
      </c>
    </row>
    <row r="595" spans="1:19" x14ac:dyDescent="0.2">
      <c r="A595" s="2" t="s">
        <v>639</v>
      </c>
      <c r="B595" s="3" t="s">
        <v>17</v>
      </c>
      <c r="D595" s="5" t="s">
        <v>39</v>
      </c>
      <c r="F595" s="7">
        <v>1</v>
      </c>
      <c r="G595" s="8" t="s">
        <v>19</v>
      </c>
      <c r="H595" s="7">
        <v>144</v>
      </c>
      <c r="I595" s="8" t="s">
        <v>39</v>
      </c>
      <c r="J595" s="9">
        <v>6120</v>
      </c>
      <c r="K595" s="5" t="s">
        <v>39</v>
      </c>
      <c r="L595" s="10">
        <v>0.125</v>
      </c>
      <c r="M595" s="10">
        <v>0.05</v>
      </c>
      <c r="O595" s="8" t="s">
        <v>39</v>
      </c>
      <c r="P595" s="4">
        <f t="shared" ref="P595" si="196">(C595+(E595*F595*H595))-N595</f>
        <v>0</v>
      </c>
      <c r="Q595" s="8" t="s">
        <v>39</v>
      </c>
      <c r="R595" s="9">
        <f>S595/1.11</f>
        <v>0</v>
      </c>
      <c r="S595" s="9">
        <f t="shared" ref="S595" si="197">P595*(J595-(J595*L595)-((J595-(J595*L595))*M595))</f>
        <v>0</v>
      </c>
    </row>
    <row r="596" spans="1:19" x14ac:dyDescent="0.2">
      <c r="A596" s="2" t="s">
        <v>685</v>
      </c>
      <c r="B596" s="3" t="s">
        <v>17</v>
      </c>
      <c r="D596" s="5" t="s">
        <v>39</v>
      </c>
      <c r="F596" s="7">
        <v>1</v>
      </c>
      <c r="G596" s="8" t="s">
        <v>19</v>
      </c>
      <c r="H596" s="7">
        <v>144</v>
      </c>
      <c r="I596" s="8" t="s">
        <v>39</v>
      </c>
      <c r="J596" s="9">
        <v>6000</v>
      </c>
      <c r="K596" s="5" t="s">
        <v>39</v>
      </c>
      <c r="L596" s="10">
        <v>0.125</v>
      </c>
      <c r="M596" s="10">
        <v>0.05</v>
      </c>
      <c r="O596" s="8" t="s">
        <v>39</v>
      </c>
      <c r="P596" s="4">
        <f t="shared" si="192"/>
        <v>0</v>
      </c>
      <c r="Q596" s="8" t="s">
        <v>39</v>
      </c>
      <c r="R596" s="9">
        <f>S596/1.11</f>
        <v>0</v>
      </c>
      <c r="S596" s="9">
        <f t="shared" si="193"/>
        <v>0</v>
      </c>
    </row>
    <row r="597" spans="1:19" x14ac:dyDescent="0.2">
      <c r="A597" s="2" t="s">
        <v>912</v>
      </c>
      <c r="B597" s="3" t="s">
        <v>17</v>
      </c>
      <c r="D597" s="5" t="s">
        <v>39</v>
      </c>
      <c r="F597" s="7">
        <v>1</v>
      </c>
      <c r="G597" s="8" t="s">
        <v>19</v>
      </c>
      <c r="H597" s="7">
        <v>144</v>
      </c>
      <c r="I597" s="8" t="s">
        <v>39</v>
      </c>
      <c r="J597" s="9">
        <v>42600</v>
      </c>
      <c r="K597" s="5" t="s">
        <v>39</v>
      </c>
      <c r="L597" s="10">
        <v>0.125</v>
      </c>
      <c r="M597" s="10">
        <v>0.05</v>
      </c>
      <c r="O597" s="8" t="s">
        <v>39</v>
      </c>
      <c r="P597" s="4">
        <f t="shared" ref="P597" si="198">(C597+(E597*F597*H597))-N597</f>
        <v>0</v>
      </c>
      <c r="Q597" s="8" t="s">
        <v>39</v>
      </c>
      <c r="R597" s="9">
        <f>S597/1.11</f>
        <v>0</v>
      </c>
      <c r="S597" s="9">
        <f t="shared" ref="S597" si="199">P597*(J597-(J597*L597)-((J597-(J597*L597))*M597))</f>
        <v>0</v>
      </c>
    </row>
    <row r="598" spans="1:19" x14ac:dyDescent="0.2">
      <c r="A598" s="2" t="s">
        <v>950</v>
      </c>
      <c r="B598" s="3" t="s">
        <v>17</v>
      </c>
      <c r="D598" s="5" t="s">
        <v>39</v>
      </c>
      <c r="F598" s="7">
        <v>1</v>
      </c>
      <c r="G598" s="8" t="s">
        <v>19</v>
      </c>
      <c r="H598" s="7">
        <v>144</v>
      </c>
      <c r="I598" s="8" t="s">
        <v>39</v>
      </c>
      <c r="J598" s="9">
        <v>7200</v>
      </c>
      <c r="K598" s="5" t="s">
        <v>39</v>
      </c>
      <c r="L598" s="10">
        <v>0.125</v>
      </c>
      <c r="M598" s="10">
        <v>0.05</v>
      </c>
      <c r="O598" s="8" t="s">
        <v>39</v>
      </c>
      <c r="P598" s="4">
        <f>(C598+(E598*F598*H598))-N598</f>
        <v>0</v>
      </c>
      <c r="Q598" s="8" t="s">
        <v>39</v>
      </c>
      <c r="R598" s="9">
        <f>S598/1.11</f>
        <v>0</v>
      </c>
      <c r="S598" s="9">
        <f>P598*(J598-(J598*L598)-((J598-(J598*L598))*M598))</f>
        <v>0</v>
      </c>
    </row>
    <row r="599" spans="1:19" x14ac:dyDescent="0.2">
      <c r="A599" s="2" t="s">
        <v>356</v>
      </c>
      <c r="B599" s="3" t="s">
        <v>17</v>
      </c>
      <c r="D599" s="5" t="s">
        <v>39</v>
      </c>
      <c r="F599" s="7">
        <v>1</v>
      </c>
      <c r="G599" s="8" t="s">
        <v>19</v>
      </c>
      <c r="H599" s="7">
        <v>144</v>
      </c>
      <c r="I599" s="8" t="s">
        <v>39</v>
      </c>
      <c r="J599" s="9">
        <v>5100</v>
      </c>
      <c r="K599" s="5" t="s">
        <v>39</v>
      </c>
      <c r="L599" s="10">
        <v>0.125</v>
      </c>
      <c r="M599" s="10">
        <v>0.05</v>
      </c>
      <c r="O599" s="8" t="s">
        <v>39</v>
      </c>
      <c r="P599" s="4">
        <f t="shared" si="192"/>
        <v>0</v>
      </c>
      <c r="Q599" s="8" t="s">
        <v>39</v>
      </c>
      <c r="R599" s="9">
        <f>S599/1.11</f>
        <v>0</v>
      </c>
      <c r="S599" s="9">
        <f t="shared" si="193"/>
        <v>0</v>
      </c>
    </row>
    <row r="600" spans="1:19" x14ac:dyDescent="0.2">
      <c r="A600" s="2" t="s">
        <v>357</v>
      </c>
      <c r="B600" s="3" t="s">
        <v>17</v>
      </c>
      <c r="D600" s="5" t="s">
        <v>39</v>
      </c>
      <c r="F600" s="7">
        <v>1</v>
      </c>
      <c r="G600" s="8" t="s">
        <v>19</v>
      </c>
      <c r="H600" s="7">
        <v>144</v>
      </c>
      <c r="I600" s="8" t="s">
        <v>39</v>
      </c>
      <c r="J600" s="9">
        <v>12600</v>
      </c>
      <c r="K600" s="5" t="s">
        <v>39</v>
      </c>
      <c r="L600" s="10">
        <v>0.125</v>
      </c>
      <c r="M600" s="10">
        <v>0.05</v>
      </c>
      <c r="O600" s="8" t="s">
        <v>39</v>
      </c>
      <c r="P600" s="4">
        <f>(C600+(E600*F600*H600))-N600</f>
        <v>0</v>
      </c>
      <c r="Q600" s="8" t="s">
        <v>39</v>
      </c>
      <c r="R600" s="9">
        <f>S600/1.11</f>
        <v>0</v>
      </c>
      <c r="S600" s="9">
        <f>P600*(J600-(J600*L600)-((J600-(J600*L600))*M600))</f>
        <v>0</v>
      </c>
    </row>
    <row r="601" spans="1:19" x14ac:dyDescent="0.2">
      <c r="A601" s="2" t="s">
        <v>951</v>
      </c>
      <c r="B601" s="3" t="s">
        <v>17</v>
      </c>
      <c r="D601" s="5" t="s">
        <v>39</v>
      </c>
      <c r="F601" s="7">
        <v>1</v>
      </c>
      <c r="G601" s="8" t="s">
        <v>19</v>
      </c>
      <c r="H601" s="7">
        <v>144</v>
      </c>
      <c r="I601" s="8" t="s">
        <v>39</v>
      </c>
      <c r="J601" s="9">
        <v>13200</v>
      </c>
      <c r="K601" s="5" t="s">
        <v>39</v>
      </c>
      <c r="L601" s="10">
        <v>0.125</v>
      </c>
      <c r="M601" s="10">
        <v>0.05</v>
      </c>
      <c r="O601" s="8" t="s">
        <v>39</v>
      </c>
      <c r="P601" s="4">
        <f>(C601+(E601*F601*H601))-N601</f>
        <v>0</v>
      </c>
      <c r="Q601" s="8" t="s">
        <v>39</v>
      </c>
      <c r="R601" s="9">
        <f>S601/1.11</f>
        <v>0</v>
      </c>
      <c r="S601" s="9">
        <f>P601*(J601-(J601*L601)-((J601-(J601*L601))*M601))</f>
        <v>0</v>
      </c>
    </row>
    <row r="602" spans="1:19" x14ac:dyDescent="0.2">
      <c r="A602" s="2" t="s">
        <v>1026</v>
      </c>
      <c r="B602" s="3" t="s">
        <v>17</v>
      </c>
      <c r="C602" s="4">
        <v>144</v>
      </c>
      <c r="D602" s="5" t="s">
        <v>39</v>
      </c>
      <c r="F602" s="7">
        <v>1</v>
      </c>
      <c r="G602" s="8" t="s">
        <v>19</v>
      </c>
      <c r="H602" s="7">
        <v>144</v>
      </c>
      <c r="I602" s="8" t="s">
        <v>39</v>
      </c>
      <c r="J602" s="9">
        <v>13200</v>
      </c>
      <c r="K602" s="5" t="s">
        <v>39</v>
      </c>
      <c r="L602" s="10">
        <v>0.125</v>
      </c>
      <c r="M602" s="10">
        <v>0.05</v>
      </c>
      <c r="O602" s="8" t="s">
        <v>39</v>
      </c>
      <c r="P602" s="4">
        <f>(C602+(E602*F602*H602))-N602</f>
        <v>144</v>
      </c>
      <c r="Q602" s="8" t="s">
        <v>39</v>
      </c>
      <c r="R602" s="9">
        <f>S602/1.11</f>
        <v>1423459.4594594594</v>
      </c>
      <c r="S602" s="9">
        <f>P602*(J602-(J602*L602)-((J602-(J602*L602))*M602))</f>
        <v>1580040</v>
      </c>
    </row>
    <row r="603" spans="1:19" x14ac:dyDescent="0.2">
      <c r="A603" s="2" t="s">
        <v>952</v>
      </c>
      <c r="B603" s="3" t="s">
        <v>17</v>
      </c>
      <c r="D603" s="5" t="s">
        <v>39</v>
      </c>
      <c r="F603" s="7">
        <v>1</v>
      </c>
      <c r="G603" s="8" t="s">
        <v>19</v>
      </c>
      <c r="H603" s="7">
        <v>144</v>
      </c>
      <c r="I603" s="8" t="s">
        <v>39</v>
      </c>
      <c r="J603" s="9">
        <v>13200</v>
      </c>
      <c r="K603" s="5" t="s">
        <v>39</v>
      </c>
      <c r="L603" s="10">
        <v>0.125</v>
      </c>
      <c r="M603" s="10">
        <v>0.05</v>
      </c>
      <c r="O603" s="8" t="s">
        <v>39</v>
      </c>
      <c r="P603" s="4">
        <f t="shared" ref="P603" si="200">(C603+(E603*F603*H603))-N603</f>
        <v>0</v>
      </c>
      <c r="Q603" s="8" t="s">
        <v>39</v>
      </c>
      <c r="R603" s="9">
        <f>S603/1.11</f>
        <v>0</v>
      </c>
      <c r="S603" s="9">
        <f t="shared" ref="S603" si="201">P603*(J603-(J603*L603)-((J603-(J603*L603))*M603))</f>
        <v>0</v>
      </c>
    </row>
    <row r="605" spans="1:19" x14ac:dyDescent="0.2">
      <c r="A605" s="12" t="s">
        <v>358</v>
      </c>
      <c r="B605" s="3" t="s">
        <v>24</v>
      </c>
      <c r="D605" s="5" t="s">
        <v>39</v>
      </c>
      <c r="F605" s="7">
        <v>1</v>
      </c>
      <c r="G605" s="8" t="s">
        <v>19</v>
      </c>
      <c r="H605" s="7">
        <v>144</v>
      </c>
      <c r="I605" s="8" t="s">
        <v>39</v>
      </c>
      <c r="J605" s="9">
        <v>22200</v>
      </c>
      <c r="K605" s="5" t="s">
        <v>39</v>
      </c>
      <c r="M605" s="10">
        <v>0.17</v>
      </c>
      <c r="O605" s="8" t="s">
        <v>39</v>
      </c>
      <c r="P605" s="4">
        <f t="shared" ref="P605:P608" si="202">(C605+(E605*F605*H605))-N605</f>
        <v>0</v>
      </c>
      <c r="Q605" s="8" t="s">
        <v>39</v>
      </c>
      <c r="R605" s="9">
        <f>S605/1.11</f>
        <v>0</v>
      </c>
      <c r="S605" s="9">
        <f t="shared" ref="S605:S608" si="203">P605*(J605-(J605*L605)-((J605-(J605*L605))*M605))</f>
        <v>0</v>
      </c>
    </row>
    <row r="606" spans="1:19" x14ac:dyDescent="0.2">
      <c r="A606" s="12" t="s">
        <v>359</v>
      </c>
      <c r="B606" s="3" t="s">
        <v>24</v>
      </c>
      <c r="D606" s="5" t="s">
        <v>39</v>
      </c>
      <c r="F606" s="7">
        <v>1</v>
      </c>
      <c r="G606" s="8" t="s">
        <v>19</v>
      </c>
      <c r="H606" s="7">
        <v>144</v>
      </c>
      <c r="I606" s="8" t="s">
        <v>39</v>
      </c>
      <c r="J606" s="9">
        <f>1728000/144</f>
        <v>12000</v>
      </c>
      <c r="K606" s="5" t="s">
        <v>39</v>
      </c>
      <c r="M606" s="10">
        <v>0.17</v>
      </c>
      <c r="O606" s="8" t="s">
        <v>39</v>
      </c>
      <c r="P606" s="4">
        <f t="shared" si="202"/>
        <v>0</v>
      </c>
      <c r="Q606" s="8" t="s">
        <v>39</v>
      </c>
      <c r="R606" s="9">
        <f>S606/1.11</f>
        <v>0</v>
      </c>
      <c r="S606" s="9">
        <f t="shared" si="203"/>
        <v>0</v>
      </c>
    </row>
    <row r="607" spans="1:19" x14ac:dyDescent="0.2">
      <c r="A607" s="12" t="s">
        <v>1030</v>
      </c>
      <c r="B607" s="3" t="s">
        <v>24</v>
      </c>
      <c r="D607" s="5" t="s">
        <v>39</v>
      </c>
      <c r="F607" s="7">
        <v>1</v>
      </c>
      <c r="G607" s="8" t="s">
        <v>19</v>
      </c>
      <c r="H607" s="7">
        <v>144</v>
      </c>
      <c r="I607" s="8" t="s">
        <v>39</v>
      </c>
      <c r="J607" s="9">
        <v>13800</v>
      </c>
      <c r="K607" s="5" t="s">
        <v>39</v>
      </c>
      <c r="M607" s="10">
        <v>0.17</v>
      </c>
      <c r="O607" s="8" t="s">
        <v>39</v>
      </c>
      <c r="P607" s="4">
        <f t="shared" si="202"/>
        <v>0</v>
      </c>
      <c r="Q607" s="8" t="s">
        <v>39</v>
      </c>
      <c r="R607" s="9">
        <f>S607/1.11</f>
        <v>0</v>
      </c>
      <c r="S607" s="9">
        <f t="shared" si="203"/>
        <v>0</v>
      </c>
    </row>
    <row r="608" spans="1:19" x14ac:dyDescent="0.2">
      <c r="A608" s="12" t="s">
        <v>360</v>
      </c>
      <c r="B608" s="3" t="s">
        <v>24</v>
      </c>
      <c r="D608" s="5" t="s">
        <v>39</v>
      </c>
      <c r="F608" s="7">
        <v>1</v>
      </c>
      <c r="G608" s="8" t="s">
        <v>19</v>
      </c>
      <c r="H608" s="7">
        <v>144</v>
      </c>
      <c r="I608" s="8" t="s">
        <v>39</v>
      </c>
      <c r="J608" s="9">
        <f>2073600/12/12</f>
        <v>14400</v>
      </c>
      <c r="K608" s="5" t="s">
        <v>39</v>
      </c>
      <c r="M608" s="10">
        <v>0.17</v>
      </c>
      <c r="O608" s="8" t="s">
        <v>39</v>
      </c>
      <c r="P608" s="4">
        <f t="shared" si="202"/>
        <v>0</v>
      </c>
      <c r="Q608" s="8" t="s">
        <v>39</v>
      </c>
      <c r="R608" s="9">
        <f>S608/1.11</f>
        <v>0</v>
      </c>
      <c r="S608" s="9">
        <f t="shared" si="203"/>
        <v>0</v>
      </c>
    </row>
    <row r="609" spans="1:19" x14ac:dyDescent="0.2">
      <c r="A609" s="12" t="s">
        <v>953</v>
      </c>
      <c r="B609" s="3" t="s">
        <v>24</v>
      </c>
      <c r="D609" s="5" t="s">
        <v>39</v>
      </c>
      <c r="F609" s="7">
        <v>1</v>
      </c>
      <c r="G609" s="8" t="s">
        <v>19</v>
      </c>
      <c r="H609" s="7">
        <v>144</v>
      </c>
      <c r="I609" s="8" t="s">
        <v>39</v>
      </c>
      <c r="J609" s="9">
        <v>10200</v>
      </c>
      <c r="K609" s="5" t="s">
        <v>39</v>
      </c>
      <c r="M609" s="10">
        <v>0.17</v>
      </c>
      <c r="O609" s="8" t="s">
        <v>39</v>
      </c>
      <c r="P609" s="4">
        <f t="shared" ref="P609" si="204">(C609+(E609*F609*H609))-N609</f>
        <v>0</v>
      </c>
      <c r="Q609" s="8" t="s">
        <v>39</v>
      </c>
      <c r="R609" s="9">
        <f>S609/1.11</f>
        <v>0</v>
      </c>
      <c r="S609" s="9">
        <f t="shared" ref="S609" si="205">P609*(J609-(J609*L609)-((J609-(J609*L609))*M609))</f>
        <v>0</v>
      </c>
    </row>
    <row r="610" spans="1:19" x14ac:dyDescent="0.2">
      <c r="A610" s="12" t="s">
        <v>976</v>
      </c>
      <c r="B610" s="3" t="s">
        <v>24</v>
      </c>
      <c r="D610" s="5" t="s">
        <v>39</v>
      </c>
      <c r="F610" s="7">
        <v>1</v>
      </c>
      <c r="G610" s="8" t="s">
        <v>19</v>
      </c>
      <c r="H610" s="7">
        <v>144</v>
      </c>
      <c r="I610" s="8" t="s">
        <v>39</v>
      </c>
      <c r="J610" s="9">
        <v>19200</v>
      </c>
      <c r="K610" s="5" t="s">
        <v>39</v>
      </c>
      <c r="L610" s="10">
        <v>2.5000000000000001E-2</v>
      </c>
      <c r="M610" s="10">
        <v>0.17</v>
      </c>
      <c r="O610" s="8" t="s">
        <v>39</v>
      </c>
      <c r="P610" s="4">
        <f t="shared" ref="P610" si="206">(C610+(E610*F610*H610))-N610</f>
        <v>0</v>
      </c>
      <c r="Q610" s="8" t="s">
        <v>39</v>
      </c>
      <c r="R610" s="9">
        <f>S610/1.11</f>
        <v>0</v>
      </c>
      <c r="S610" s="9">
        <f t="shared" ref="S610" si="207">P610*(J610-(J610*L610)-((J610-(J610*L610))*M610))</f>
        <v>0</v>
      </c>
    </row>
    <row r="611" spans="1:19" x14ac:dyDescent="0.2">
      <c r="A611" s="12"/>
    </row>
    <row r="612" spans="1:19" x14ac:dyDescent="0.2">
      <c r="A612" s="2" t="s">
        <v>997</v>
      </c>
      <c r="B612" s="3" t="s">
        <v>170</v>
      </c>
      <c r="C612" s="4">
        <v>432</v>
      </c>
      <c r="D612" s="5" t="s">
        <v>39</v>
      </c>
      <c r="F612" s="7">
        <v>1</v>
      </c>
      <c r="G612" s="8" t="s">
        <v>19</v>
      </c>
      <c r="H612" s="7">
        <v>144</v>
      </c>
      <c r="I612" s="8" t="s">
        <v>39</v>
      </c>
      <c r="J612" s="9">
        <v>21000</v>
      </c>
      <c r="K612" s="5" t="s">
        <v>39</v>
      </c>
      <c r="L612" s="10">
        <v>7.0000000000000007E-2</v>
      </c>
      <c r="O612" s="8" t="s">
        <v>39</v>
      </c>
      <c r="P612" s="4">
        <f>(C612+(E612*F612*H612))-N612</f>
        <v>432</v>
      </c>
      <c r="Q612" s="8" t="s">
        <v>39</v>
      </c>
      <c r="R612" s="9">
        <f>S612/1.11</f>
        <v>7600864.8648648644</v>
      </c>
      <c r="S612" s="9">
        <f>P612*(J612-(J612*L612)-((J612-(J612*L612))*M612))</f>
        <v>8436960</v>
      </c>
    </row>
    <row r="613" spans="1:19" x14ac:dyDescent="0.2">
      <c r="A613" s="12"/>
    </row>
    <row r="614" spans="1:19" x14ac:dyDescent="0.2">
      <c r="A614" s="30" t="s">
        <v>361</v>
      </c>
    </row>
    <row r="615" spans="1:19" x14ac:dyDescent="0.2">
      <c r="A615" s="2" t="s">
        <v>362</v>
      </c>
      <c r="B615" s="3" t="s">
        <v>180</v>
      </c>
      <c r="C615" s="4">
        <v>1680</v>
      </c>
      <c r="D615" s="5" t="s">
        <v>39</v>
      </c>
      <c r="F615" s="7">
        <v>1</v>
      </c>
      <c r="G615" s="8" t="s">
        <v>19</v>
      </c>
      <c r="H615" s="7">
        <v>240</v>
      </c>
      <c r="I615" s="8" t="s">
        <v>39</v>
      </c>
      <c r="J615" s="9">
        <v>10000</v>
      </c>
      <c r="K615" s="5" t="s">
        <v>39</v>
      </c>
      <c r="O615" s="8" t="s">
        <v>39</v>
      </c>
      <c r="P615" s="4">
        <f>(C615+(E615*F615*H615))-N615</f>
        <v>1680</v>
      </c>
      <c r="Q615" s="8" t="s">
        <v>39</v>
      </c>
      <c r="R615" s="9">
        <f>S615/1.11</f>
        <v>15135135.135135135</v>
      </c>
      <c r="S615" s="9">
        <f>P615*(J615-(J615*L615)-((J615-(J615*L615))*M615))</f>
        <v>16800000</v>
      </c>
    </row>
    <row r="616" spans="1:19" x14ac:dyDescent="0.2">
      <c r="A616" s="2" t="s">
        <v>363</v>
      </c>
      <c r="B616" s="3" t="s">
        <v>180</v>
      </c>
      <c r="C616" s="4">
        <v>1200</v>
      </c>
      <c r="D616" s="5" t="s">
        <v>39</v>
      </c>
      <c r="F616" s="7">
        <v>1</v>
      </c>
      <c r="G616" s="8" t="s">
        <v>19</v>
      </c>
      <c r="H616" s="7">
        <v>240</v>
      </c>
      <c r="I616" s="8" t="s">
        <v>39</v>
      </c>
      <c r="J616" s="9">
        <v>10000</v>
      </c>
      <c r="K616" s="5" t="s">
        <v>39</v>
      </c>
      <c r="O616" s="8" t="s">
        <v>39</v>
      </c>
      <c r="P616" s="4">
        <f>(C616+(E616*F616*H616))-N616</f>
        <v>1200</v>
      </c>
      <c r="Q616" s="8" t="s">
        <v>39</v>
      </c>
      <c r="R616" s="9">
        <f>S616/1.11</f>
        <v>10810810.81081081</v>
      </c>
      <c r="S616" s="9">
        <f>P616*(J616-(J616*L616)-((J616-(J616*L616))*M616))</f>
        <v>12000000</v>
      </c>
    </row>
    <row r="617" spans="1:19" x14ac:dyDescent="0.2">
      <c r="A617" s="2" t="s">
        <v>364</v>
      </c>
      <c r="B617" s="3" t="s">
        <v>180</v>
      </c>
      <c r="C617" s="4">
        <v>1200</v>
      </c>
      <c r="D617" s="5" t="s">
        <v>39</v>
      </c>
      <c r="F617" s="7">
        <v>1</v>
      </c>
      <c r="G617" s="8" t="s">
        <v>19</v>
      </c>
      <c r="H617" s="7">
        <v>240</v>
      </c>
      <c r="I617" s="8" t="s">
        <v>39</v>
      </c>
      <c r="J617" s="9">
        <v>10000</v>
      </c>
      <c r="K617" s="5" t="s">
        <v>39</v>
      </c>
      <c r="O617" s="8" t="s">
        <v>39</v>
      </c>
      <c r="P617" s="4">
        <f>(C617+(E617*F617*H617))-N617</f>
        <v>1200</v>
      </c>
      <c r="Q617" s="8" t="s">
        <v>39</v>
      </c>
      <c r="R617" s="9">
        <f>S617/1.11</f>
        <v>10810810.81081081</v>
      </c>
      <c r="S617" s="9">
        <f>P617*(J617-(J617*L617)-((J617-(J617*L617))*M617))</f>
        <v>12000000</v>
      </c>
    </row>
    <row r="618" spans="1:19" x14ac:dyDescent="0.2">
      <c r="A618" s="2" t="s">
        <v>365</v>
      </c>
      <c r="B618" s="3" t="s">
        <v>180</v>
      </c>
      <c r="D618" s="5" t="s">
        <v>39</v>
      </c>
      <c r="F618" s="7">
        <v>1</v>
      </c>
      <c r="G618" s="8" t="s">
        <v>19</v>
      </c>
      <c r="H618" s="7">
        <v>240</v>
      </c>
      <c r="I618" s="8" t="s">
        <v>39</v>
      </c>
      <c r="J618" s="9">
        <v>10000</v>
      </c>
      <c r="K618" s="5" t="s">
        <v>39</v>
      </c>
      <c r="O618" s="8" t="s">
        <v>39</v>
      </c>
      <c r="P618" s="4">
        <f>(C618+(E618*F618*H618))-N618</f>
        <v>0</v>
      </c>
      <c r="Q618" s="8" t="s">
        <v>39</v>
      </c>
      <c r="R618" s="9">
        <f>S618/1.11</f>
        <v>0</v>
      </c>
      <c r="S618" s="9">
        <f>P618*(J618-(J618*L618)-((J618-(J618*L618))*M618))</f>
        <v>0</v>
      </c>
    </row>
    <row r="620" spans="1:19" x14ac:dyDescent="0.2">
      <c r="A620" s="2" t="s">
        <v>393</v>
      </c>
      <c r="B620" s="3" t="s">
        <v>258</v>
      </c>
      <c r="D620" s="5" t="s">
        <v>39</v>
      </c>
      <c r="F620" s="7">
        <v>1</v>
      </c>
      <c r="G620" s="8" t="s">
        <v>19</v>
      </c>
      <c r="H620" s="7">
        <v>120</v>
      </c>
      <c r="I620" s="8" t="s">
        <v>39</v>
      </c>
      <c r="J620" s="9">
        <v>25500</v>
      </c>
      <c r="K620" s="5" t="s">
        <v>39</v>
      </c>
      <c r="O620" s="8" t="s">
        <v>39</v>
      </c>
      <c r="P620" s="4">
        <f>(C620+(E620*F620*H620))-N620</f>
        <v>0</v>
      </c>
      <c r="Q620" s="8" t="s">
        <v>39</v>
      </c>
      <c r="R620" s="9">
        <f>S620/1.11</f>
        <v>0</v>
      </c>
      <c r="S620" s="9">
        <f>P620*(J620-(J620*L620)-((J620-(J620*L620))*M620))</f>
        <v>0</v>
      </c>
    </row>
    <row r="621" spans="1:19" x14ac:dyDescent="0.2">
      <c r="A621" s="2" t="s">
        <v>732</v>
      </c>
      <c r="B621" s="3" t="s">
        <v>258</v>
      </c>
      <c r="D621" s="5" t="s">
        <v>39</v>
      </c>
      <c r="F621" s="7">
        <v>1</v>
      </c>
      <c r="G621" s="8" t="s">
        <v>19</v>
      </c>
      <c r="H621" s="7">
        <v>120</v>
      </c>
      <c r="I621" s="8" t="s">
        <v>39</v>
      </c>
      <c r="J621" s="9">
        <v>19000</v>
      </c>
      <c r="K621" s="5" t="s">
        <v>39</v>
      </c>
      <c r="O621" s="8" t="s">
        <v>39</v>
      </c>
      <c r="P621" s="4">
        <f>(C621+(E621*F621*H621))-N621</f>
        <v>0</v>
      </c>
      <c r="Q621" s="8" t="s">
        <v>39</v>
      </c>
      <c r="R621" s="9">
        <f>S621/1.11</f>
        <v>0</v>
      </c>
      <c r="S621" s="9">
        <f>P621*(J621-(J621*L621)-((J621-(J621*L621))*M621))</f>
        <v>0</v>
      </c>
    </row>
    <row r="622" spans="1:19" x14ac:dyDescent="0.2">
      <c r="A622" s="2" t="s">
        <v>920</v>
      </c>
      <c r="B622" s="3" t="s">
        <v>258</v>
      </c>
      <c r="D622" s="5" t="s">
        <v>39</v>
      </c>
      <c r="F622" s="7">
        <v>1</v>
      </c>
      <c r="G622" s="8" t="s">
        <v>19</v>
      </c>
      <c r="H622" s="7">
        <v>120</v>
      </c>
      <c r="I622" s="8" t="s">
        <v>39</v>
      </c>
      <c r="J622" s="9">
        <v>25500</v>
      </c>
      <c r="K622" s="5" t="s">
        <v>39</v>
      </c>
      <c r="O622" s="8" t="s">
        <v>39</v>
      </c>
      <c r="P622" s="4">
        <f>(C622+(E622*F622*H622))-N622</f>
        <v>0</v>
      </c>
      <c r="Q622" s="8" t="s">
        <v>39</v>
      </c>
      <c r="R622" s="9">
        <f>S622/1.11</f>
        <v>0</v>
      </c>
      <c r="S622" s="9">
        <f>P622*(J622-(J622*L622)-((J622-(J622*L622))*M622))</f>
        <v>0</v>
      </c>
    </row>
    <row r="623" spans="1:19" x14ac:dyDescent="0.2">
      <c r="A623" s="2" t="s">
        <v>1001</v>
      </c>
      <c r="B623" s="3" t="s">
        <v>258</v>
      </c>
      <c r="D623" s="5" t="s">
        <v>39</v>
      </c>
      <c r="F623" s="7">
        <v>1</v>
      </c>
      <c r="G623" s="8" t="s">
        <v>19</v>
      </c>
      <c r="H623" s="7">
        <v>120</v>
      </c>
      <c r="I623" s="8" t="s">
        <v>39</v>
      </c>
      <c r="J623" s="9">
        <v>30500</v>
      </c>
      <c r="K623" s="5" t="s">
        <v>39</v>
      </c>
      <c r="O623" s="8" t="s">
        <v>39</v>
      </c>
      <c r="P623" s="4">
        <f>(C623+(E623*F623*H623))-N623</f>
        <v>0</v>
      </c>
      <c r="Q623" s="8" t="s">
        <v>39</v>
      </c>
      <c r="R623" s="9">
        <f>S623/1.11</f>
        <v>0</v>
      </c>
      <c r="S623" s="9">
        <f>P623*(J623-(J623*L623)-((J623-(J623*L623))*M623))</f>
        <v>0</v>
      </c>
    </row>
    <row r="625" spans="1:19" x14ac:dyDescent="0.2">
      <c r="A625" s="2" t="s">
        <v>366</v>
      </c>
      <c r="B625" s="3" t="s">
        <v>17</v>
      </c>
      <c r="D625" s="5" t="s">
        <v>39</v>
      </c>
      <c r="F625" s="7">
        <v>1</v>
      </c>
      <c r="G625" s="8" t="s">
        <v>19</v>
      </c>
      <c r="H625" s="7">
        <v>144</v>
      </c>
      <c r="I625" s="8" t="s">
        <v>39</v>
      </c>
      <c r="J625" s="9">
        <v>19800</v>
      </c>
      <c r="K625" s="5" t="s">
        <v>39</v>
      </c>
      <c r="L625" s="10">
        <v>0.125</v>
      </c>
      <c r="M625" s="10">
        <v>0.05</v>
      </c>
      <c r="O625" s="8" t="s">
        <v>39</v>
      </c>
      <c r="P625" s="4">
        <f t="shared" ref="P625:P642" si="208">(C625+(E625*F625*H625))-N625</f>
        <v>0</v>
      </c>
      <c r="Q625" s="8" t="s">
        <v>39</v>
      </c>
      <c r="R625" s="9">
        <f>S625/1.11</f>
        <v>0</v>
      </c>
      <c r="S625" s="9">
        <f t="shared" ref="S625:S642" si="209">P625*(J625-(J625*L625)-((J625-(J625*L625))*M625))</f>
        <v>0</v>
      </c>
    </row>
    <row r="626" spans="1:19" x14ac:dyDescent="0.2">
      <c r="A626" s="2" t="s">
        <v>367</v>
      </c>
      <c r="B626" s="3" t="s">
        <v>17</v>
      </c>
      <c r="D626" s="5" t="s">
        <v>39</v>
      </c>
      <c r="F626" s="7">
        <v>1</v>
      </c>
      <c r="G626" s="8" t="s">
        <v>19</v>
      </c>
      <c r="H626" s="7">
        <v>144</v>
      </c>
      <c r="I626" s="8" t="s">
        <v>39</v>
      </c>
      <c r="J626" s="9">
        <v>20400</v>
      </c>
      <c r="K626" s="5" t="s">
        <v>39</v>
      </c>
      <c r="L626" s="10">
        <v>0.125</v>
      </c>
      <c r="M626" s="10">
        <v>0.05</v>
      </c>
      <c r="O626" s="8" t="s">
        <v>39</v>
      </c>
      <c r="P626" s="4">
        <f t="shared" si="208"/>
        <v>0</v>
      </c>
      <c r="Q626" s="8" t="s">
        <v>39</v>
      </c>
      <c r="R626" s="9">
        <f>S626/1.11</f>
        <v>0</v>
      </c>
      <c r="S626" s="9">
        <f t="shared" si="209"/>
        <v>0</v>
      </c>
    </row>
    <row r="627" spans="1:19" x14ac:dyDescent="0.2">
      <c r="A627" s="12" t="s">
        <v>648</v>
      </c>
      <c r="B627" s="3" t="s">
        <v>17</v>
      </c>
      <c r="D627" s="5" t="s">
        <v>39</v>
      </c>
      <c r="F627" s="7">
        <v>1</v>
      </c>
      <c r="G627" s="8" t="s">
        <v>19</v>
      </c>
      <c r="H627" s="7">
        <v>144</v>
      </c>
      <c r="I627" s="8" t="s">
        <v>39</v>
      </c>
      <c r="J627" s="9">
        <v>69600</v>
      </c>
      <c r="K627" s="5" t="s">
        <v>39</v>
      </c>
      <c r="L627" s="10">
        <v>0.125</v>
      </c>
      <c r="M627" s="10">
        <v>0.05</v>
      </c>
      <c r="O627" s="8" t="s">
        <v>39</v>
      </c>
      <c r="P627" s="4">
        <f t="shared" si="208"/>
        <v>0</v>
      </c>
      <c r="Q627" s="8" t="s">
        <v>39</v>
      </c>
      <c r="R627" s="9">
        <f>S627/1.11</f>
        <v>0</v>
      </c>
      <c r="S627" s="9">
        <f t="shared" si="209"/>
        <v>0</v>
      </c>
    </row>
    <row r="628" spans="1:19" x14ac:dyDescent="0.2">
      <c r="A628" s="12" t="s">
        <v>779</v>
      </c>
      <c r="B628" s="3" t="s">
        <v>17</v>
      </c>
      <c r="D628" s="5" t="s">
        <v>39</v>
      </c>
      <c r="F628" s="7">
        <v>1</v>
      </c>
      <c r="G628" s="8" t="s">
        <v>19</v>
      </c>
      <c r="H628" s="7">
        <v>144</v>
      </c>
      <c r="I628" s="8" t="s">
        <v>39</v>
      </c>
      <c r="J628" s="9">
        <v>32400</v>
      </c>
      <c r="K628" s="5" t="s">
        <v>39</v>
      </c>
      <c r="L628" s="10">
        <v>0.125</v>
      </c>
      <c r="M628" s="10">
        <v>0.05</v>
      </c>
      <c r="O628" s="8" t="s">
        <v>39</v>
      </c>
      <c r="P628" s="4">
        <f t="shared" si="208"/>
        <v>0</v>
      </c>
      <c r="Q628" s="8" t="s">
        <v>39</v>
      </c>
      <c r="R628" s="9">
        <f>S628/1.11</f>
        <v>0</v>
      </c>
      <c r="S628" s="9">
        <f t="shared" si="209"/>
        <v>0</v>
      </c>
    </row>
    <row r="629" spans="1:19" x14ac:dyDescent="0.2">
      <c r="A629" s="12" t="s">
        <v>884</v>
      </c>
      <c r="B629" s="3" t="s">
        <v>17</v>
      </c>
      <c r="D629" s="5" t="s">
        <v>39</v>
      </c>
      <c r="F629" s="7">
        <v>1</v>
      </c>
      <c r="G629" s="8" t="s">
        <v>19</v>
      </c>
      <c r="H629" s="7">
        <v>144</v>
      </c>
      <c r="I629" s="8" t="s">
        <v>39</v>
      </c>
      <c r="J629" s="9">
        <v>34200</v>
      </c>
      <c r="K629" s="5" t="s">
        <v>39</v>
      </c>
      <c r="L629" s="10">
        <v>0.125</v>
      </c>
      <c r="M629" s="10">
        <v>0.05</v>
      </c>
      <c r="O629" s="8" t="s">
        <v>39</v>
      </c>
      <c r="P629" s="4">
        <f t="shared" ref="P629" si="210">(C629+(E629*F629*H629))-N629</f>
        <v>0</v>
      </c>
      <c r="Q629" s="8" t="s">
        <v>39</v>
      </c>
      <c r="R629" s="9">
        <f>S629/1.11</f>
        <v>0</v>
      </c>
      <c r="S629" s="9">
        <f t="shared" ref="S629" si="211">P629*(J629-(J629*L629)-((J629-(J629*L629))*M629))</f>
        <v>0</v>
      </c>
    </row>
    <row r="630" spans="1:19" x14ac:dyDescent="0.2">
      <c r="A630" s="12" t="s">
        <v>368</v>
      </c>
      <c r="B630" s="3" t="s">
        <v>17</v>
      </c>
      <c r="D630" s="5" t="s">
        <v>39</v>
      </c>
      <c r="F630" s="7">
        <v>1</v>
      </c>
      <c r="G630" s="8" t="s">
        <v>19</v>
      </c>
      <c r="H630" s="7">
        <v>144</v>
      </c>
      <c r="I630" s="8" t="s">
        <v>39</v>
      </c>
      <c r="J630" s="9">
        <v>27000</v>
      </c>
      <c r="K630" s="5" t="s">
        <v>39</v>
      </c>
      <c r="L630" s="10">
        <v>0.125</v>
      </c>
      <c r="M630" s="10">
        <v>0.05</v>
      </c>
      <c r="O630" s="8" t="s">
        <v>39</v>
      </c>
      <c r="P630" s="4">
        <f t="shared" si="208"/>
        <v>0</v>
      </c>
      <c r="Q630" s="8" t="s">
        <v>39</v>
      </c>
      <c r="R630" s="9">
        <f>S630/1.11</f>
        <v>0</v>
      </c>
      <c r="S630" s="9">
        <f t="shared" si="209"/>
        <v>0</v>
      </c>
    </row>
    <row r="631" spans="1:19" x14ac:dyDescent="0.2">
      <c r="A631" s="12" t="s">
        <v>704</v>
      </c>
      <c r="B631" s="3" t="s">
        <v>17</v>
      </c>
      <c r="D631" s="5" t="s">
        <v>39</v>
      </c>
      <c r="F631" s="7">
        <v>1</v>
      </c>
      <c r="G631" s="8" t="s">
        <v>19</v>
      </c>
      <c r="H631" s="7">
        <v>144</v>
      </c>
      <c r="I631" s="8" t="s">
        <v>39</v>
      </c>
      <c r="J631" s="9">
        <v>21600</v>
      </c>
      <c r="K631" s="5" t="s">
        <v>39</v>
      </c>
      <c r="L631" s="10">
        <v>0.125</v>
      </c>
      <c r="M631" s="10">
        <v>0.05</v>
      </c>
      <c r="O631" s="8" t="s">
        <v>39</v>
      </c>
      <c r="P631" s="4">
        <f t="shared" si="208"/>
        <v>0</v>
      </c>
      <c r="Q631" s="8" t="s">
        <v>39</v>
      </c>
      <c r="R631" s="9">
        <f>S631/1.11</f>
        <v>0</v>
      </c>
      <c r="S631" s="9">
        <f t="shared" si="209"/>
        <v>0</v>
      </c>
    </row>
    <row r="632" spans="1:19" x14ac:dyDescent="0.2">
      <c r="A632" s="12" t="s">
        <v>369</v>
      </c>
      <c r="B632" s="3" t="s">
        <v>17</v>
      </c>
      <c r="D632" s="5" t="s">
        <v>39</v>
      </c>
      <c r="F632" s="7">
        <v>1</v>
      </c>
      <c r="G632" s="8" t="s">
        <v>19</v>
      </c>
      <c r="H632" s="7">
        <v>144</v>
      </c>
      <c r="I632" s="8" t="s">
        <v>39</v>
      </c>
      <c r="J632" s="9">
        <v>43200</v>
      </c>
      <c r="K632" s="5" t="s">
        <v>39</v>
      </c>
      <c r="L632" s="10">
        <v>0.125</v>
      </c>
      <c r="M632" s="10">
        <v>0.05</v>
      </c>
      <c r="O632" s="8" t="s">
        <v>39</v>
      </c>
      <c r="P632" s="4">
        <f t="shared" si="208"/>
        <v>0</v>
      </c>
      <c r="Q632" s="8" t="s">
        <v>39</v>
      </c>
      <c r="R632" s="9">
        <f>S632/1.11</f>
        <v>0</v>
      </c>
      <c r="S632" s="9">
        <f t="shared" si="209"/>
        <v>0</v>
      </c>
    </row>
    <row r="633" spans="1:19" x14ac:dyDescent="0.2">
      <c r="A633" s="12" t="s">
        <v>370</v>
      </c>
      <c r="B633" s="3" t="s">
        <v>17</v>
      </c>
      <c r="D633" s="5" t="s">
        <v>39</v>
      </c>
      <c r="F633" s="7">
        <v>1</v>
      </c>
      <c r="G633" s="8" t="s">
        <v>19</v>
      </c>
      <c r="H633" s="7">
        <v>144</v>
      </c>
      <c r="I633" s="8" t="s">
        <v>39</v>
      </c>
      <c r="J633" s="9">
        <v>24600</v>
      </c>
      <c r="K633" s="5" t="s">
        <v>39</v>
      </c>
      <c r="L633" s="10">
        <v>0.125</v>
      </c>
      <c r="M633" s="10">
        <v>0.05</v>
      </c>
      <c r="O633" s="8" t="s">
        <v>39</v>
      </c>
      <c r="P633" s="4">
        <f t="shared" ref="P633" si="212">(C633+(E633*F633*H633))-N633</f>
        <v>0</v>
      </c>
      <c r="Q633" s="8" t="s">
        <v>39</v>
      </c>
      <c r="R633" s="9">
        <f>S633/1.11</f>
        <v>0</v>
      </c>
      <c r="S633" s="9">
        <f t="shared" ref="S633" si="213">P633*(J633-(J633*L633)-((J633-(J633*L633))*M633))</f>
        <v>0</v>
      </c>
    </row>
    <row r="634" spans="1:19" x14ac:dyDescent="0.2">
      <c r="A634" s="12" t="s">
        <v>371</v>
      </c>
      <c r="B634" s="3" t="s">
        <v>17</v>
      </c>
      <c r="C634" s="4">
        <v>576</v>
      </c>
      <c r="D634" s="5" t="s">
        <v>39</v>
      </c>
      <c r="F634" s="7">
        <v>1</v>
      </c>
      <c r="G634" s="8" t="s">
        <v>19</v>
      </c>
      <c r="H634" s="7">
        <v>144</v>
      </c>
      <c r="I634" s="8" t="s">
        <v>39</v>
      </c>
      <c r="J634" s="9">
        <v>28200</v>
      </c>
      <c r="K634" s="5" t="s">
        <v>39</v>
      </c>
      <c r="L634" s="10">
        <v>0.125</v>
      </c>
      <c r="M634" s="10">
        <v>0.05</v>
      </c>
      <c r="O634" s="35" t="s">
        <v>39</v>
      </c>
      <c r="P634" s="4">
        <f t="shared" ref="P634" si="214">(C634+(E634*F634*H634))-N634</f>
        <v>576</v>
      </c>
      <c r="Q634" s="8" t="s">
        <v>39</v>
      </c>
      <c r="R634" s="9">
        <f>S634/1.11</f>
        <v>12164108.108108107</v>
      </c>
      <c r="S634" s="9">
        <f t="shared" ref="S634" si="215">P634*(J634-(J634*L634)-((J634-(J634*L634))*M634))</f>
        <v>13502160</v>
      </c>
    </row>
    <row r="635" spans="1:19" x14ac:dyDescent="0.2">
      <c r="A635" s="12" t="s">
        <v>372</v>
      </c>
      <c r="B635" s="3" t="s">
        <v>17</v>
      </c>
      <c r="D635" s="5" t="s">
        <v>39</v>
      </c>
      <c r="F635" s="7">
        <v>1</v>
      </c>
      <c r="G635" s="8" t="s">
        <v>19</v>
      </c>
      <c r="H635" s="7">
        <v>144</v>
      </c>
      <c r="I635" s="8" t="s">
        <v>39</v>
      </c>
      <c r="J635" s="9">
        <v>27600</v>
      </c>
      <c r="K635" s="5" t="s">
        <v>39</v>
      </c>
      <c r="L635" s="10">
        <v>0.125</v>
      </c>
      <c r="M635" s="10">
        <v>0.05</v>
      </c>
      <c r="O635" s="8" t="s">
        <v>39</v>
      </c>
      <c r="P635" s="4">
        <f t="shared" si="208"/>
        <v>0</v>
      </c>
      <c r="Q635" s="8" t="s">
        <v>39</v>
      </c>
      <c r="R635" s="9">
        <f>S635/1.11</f>
        <v>0</v>
      </c>
      <c r="S635" s="9">
        <f t="shared" si="209"/>
        <v>0</v>
      </c>
    </row>
    <row r="636" spans="1:19" x14ac:dyDescent="0.2">
      <c r="A636" s="12" t="s">
        <v>373</v>
      </c>
      <c r="B636" s="3" t="s">
        <v>17</v>
      </c>
      <c r="D636" s="5" t="s">
        <v>39</v>
      </c>
      <c r="F636" s="7">
        <v>1</v>
      </c>
      <c r="G636" s="8" t="s">
        <v>19</v>
      </c>
      <c r="H636" s="7">
        <v>144</v>
      </c>
      <c r="I636" s="8" t="s">
        <v>39</v>
      </c>
      <c r="J636" s="9">
        <v>25800</v>
      </c>
      <c r="K636" s="5" t="s">
        <v>39</v>
      </c>
      <c r="L636" s="10">
        <v>0.125</v>
      </c>
      <c r="M636" s="10">
        <v>0.05</v>
      </c>
      <c r="O636" s="8" t="s">
        <v>39</v>
      </c>
      <c r="P636" s="4">
        <f t="shared" si="208"/>
        <v>0</v>
      </c>
      <c r="Q636" s="8" t="s">
        <v>39</v>
      </c>
      <c r="R636" s="9">
        <f>S636/1.11</f>
        <v>0</v>
      </c>
      <c r="S636" s="9">
        <f t="shared" si="209"/>
        <v>0</v>
      </c>
    </row>
    <row r="637" spans="1:19" x14ac:dyDescent="0.2">
      <c r="A637" s="2" t="s">
        <v>886</v>
      </c>
      <c r="B637" s="3" t="s">
        <v>17</v>
      </c>
      <c r="D637" s="5" t="s">
        <v>39</v>
      </c>
      <c r="F637" s="7">
        <v>1</v>
      </c>
      <c r="G637" s="8" t="s">
        <v>19</v>
      </c>
      <c r="H637" s="7">
        <v>144</v>
      </c>
      <c r="I637" s="8" t="s">
        <v>39</v>
      </c>
      <c r="J637" s="9">
        <v>22200</v>
      </c>
      <c r="K637" s="5" t="s">
        <v>39</v>
      </c>
      <c r="L637" s="10">
        <v>0.125</v>
      </c>
      <c r="M637" s="10">
        <v>0.05</v>
      </c>
      <c r="O637" s="8" t="s">
        <v>39</v>
      </c>
      <c r="P637" s="4">
        <f t="shared" ref="P637" si="216">(C637+(E637*F637*H637))-N637</f>
        <v>0</v>
      </c>
      <c r="Q637" s="8" t="s">
        <v>39</v>
      </c>
      <c r="R637" s="9">
        <f>S637/1.11</f>
        <v>0</v>
      </c>
      <c r="S637" s="9">
        <f t="shared" ref="S637" si="217">P637*(J637-(J637*L637)-((J637-(J637*L637))*M637))</f>
        <v>0</v>
      </c>
    </row>
    <row r="638" spans="1:19" x14ac:dyDescent="0.2">
      <c r="A638" s="2" t="s">
        <v>374</v>
      </c>
      <c r="B638" s="3" t="s">
        <v>17</v>
      </c>
      <c r="D638" s="5" t="s">
        <v>39</v>
      </c>
      <c r="F638" s="7">
        <v>1</v>
      </c>
      <c r="G638" s="8" t="s">
        <v>19</v>
      </c>
      <c r="H638" s="7">
        <v>144</v>
      </c>
      <c r="I638" s="8" t="s">
        <v>39</v>
      </c>
      <c r="J638" s="9">
        <v>14100</v>
      </c>
      <c r="K638" s="5" t="s">
        <v>39</v>
      </c>
      <c r="L638" s="10">
        <v>0.125</v>
      </c>
      <c r="M638" s="10">
        <v>0.05</v>
      </c>
      <c r="O638" s="8" t="s">
        <v>39</v>
      </c>
      <c r="P638" s="4">
        <f t="shared" si="208"/>
        <v>0</v>
      </c>
      <c r="Q638" s="8" t="s">
        <v>39</v>
      </c>
      <c r="R638" s="9">
        <f>S638/1.11</f>
        <v>0</v>
      </c>
      <c r="S638" s="9">
        <f t="shared" si="209"/>
        <v>0</v>
      </c>
    </row>
    <row r="639" spans="1:19" x14ac:dyDescent="0.2">
      <c r="A639" s="2" t="s">
        <v>691</v>
      </c>
      <c r="B639" s="3" t="s">
        <v>17</v>
      </c>
      <c r="D639" s="5" t="s">
        <v>39</v>
      </c>
      <c r="F639" s="7">
        <v>1</v>
      </c>
      <c r="G639" s="8" t="s">
        <v>19</v>
      </c>
      <c r="H639" s="7">
        <v>144</v>
      </c>
      <c r="I639" s="8" t="s">
        <v>39</v>
      </c>
      <c r="J639" s="9">
        <v>25800</v>
      </c>
      <c r="K639" s="5" t="s">
        <v>39</v>
      </c>
      <c r="L639" s="10">
        <v>0.125</v>
      </c>
      <c r="M639" s="10">
        <v>0.05</v>
      </c>
      <c r="O639" s="8" t="s">
        <v>39</v>
      </c>
      <c r="P639" s="4">
        <f t="shared" si="208"/>
        <v>0</v>
      </c>
      <c r="Q639" s="8" t="s">
        <v>39</v>
      </c>
      <c r="R639" s="9">
        <f>S639/1.11</f>
        <v>0</v>
      </c>
      <c r="S639" s="9">
        <f t="shared" si="209"/>
        <v>0</v>
      </c>
    </row>
    <row r="640" spans="1:19" x14ac:dyDescent="0.2">
      <c r="A640" s="2" t="s">
        <v>985</v>
      </c>
      <c r="B640" s="3" t="s">
        <v>17</v>
      </c>
      <c r="D640" s="5" t="s">
        <v>39</v>
      </c>
      <c r="F640" s="7">
        <v>1</v>
      </c>
      <c r="G640" s="8" t="s">
        <v>19</v>
      </c>
      <c r="H640" s="7">
        <v>144</v>
      </c>
      <c r="I640" s="8" t="s">
        <v>39</v>
      </c>
      <c r="J640" s="9">
        <v>21000</v>
      </c>
      <c r="K640" s="5" t="s">
        <v>39</v>
      </c>
      <c r="L640" s="10">
        <v>0.125</v>
      </c>
      <c r="M640" s="10">
        <v>0.05</v>
      </c>
      <c r="O640" s="8" t="s">
        <v>39</v>
      </c>
      <c r="P640" s="4">
        <f t="shared" ref="P640" si="218">(C640+(E640*F640*H640))-N640</f>
        <v>0</v>
      </c>
      <c r="Q640" s="8" t="s">
        <v>39</v>
      </c>
      <c r="R640" s="9">
        <f>S640/1.11</f>
        <v>0</v>
      </c>
      <c r="S640" s="9">
        <f t="shared" ref="S640" si="219">P640*(J640-(J640*L640)-((J640-(J640*L640))*M640))</f>
        <v>0</v>
      </c>
    </row>
    <row r="641" spans="1:19" x14ac:dyDescent="0.2">
      <c r="A641" s="2" t="s">
        <v>375</v>
      </c>
      <c r="B641" s="3" t="s">
        <v>17</v>
      </c>
      <c r="D641" s="5" t="s">
        <v>39</v>
      </c>
      <c r="F641" s="7">
        <v>1</v>
      </c>
      <c r="G641" s="8" t="s">
        <v>19</v>
      </c>
      <c r="H641" s="7">
        <v>144</v>
      </c>
      <c r="I641" s="8" t="s">
        <v>39</v>
      </c>
      <c r="J641" s="9">
        <v>20400</v>
      </c>
      <c r="K641" s="5" t="s">
        <v>39</v>
      </c>
      <c r="L641" s="10">
        <v>0.125</v>
      </c>
      <c r="M641" s="10">
        <v>0.05</v>
      </c>
      <c r="O641" s="8" t="s">
        <v>39</v>
      </c>
      <c r="P641" s="4">
        <f t="shared" si="208"/>
        <v>0</v>
      </c>
      <c r="Q641" s="8" t="s">
        <v>39</v>
      </c>
      <c r="R641" s="9">
        <f>S641/1.11</f>
        <v>0</v>
      </c>
      <c r="S641" s="9">
        <f t="shared" si="209"/>
        <v>0</v>
      </c>
    </row>
    <row r="642" spans="1:19" x14ac:dyDescent="0.2">
      <c r="A642" s="2" t="s">
        <v>787</v>
      </c>
      <c r="B642" s="3" t="s">
        <v>17</v>
      </c>
      <c r="D642" s="5" t="s">
        <v>39</v>
      </c>
      <c r="F642" s="7">
        <v>1</v>
      </c>
      <c r="G642" s="8" t="s">
        <v>19</v>
      </c>
      <c r="H642" s="7">
        <v>144</v>
      </c>
      <c r="I642" s="8" t="s">
        <v>39</v>
      </c>
      <c r="J642" s="9">
        <v>17400</v>
      </c>
      <c r="K642" s="5" t="s">
        <v>39</v>
      </c>
      <c r="L642" s="10">
        <v>0.125</v>
      </c>
      <c r="M642" s="10">
        <v>0.1</v>
      </c>
      <c r="O642" s="8" t="s">
        <v>39</v>
      </c>
      <c r="P642" s="4">
        <f t="shared" si="208"/>
        <v>0</v>
      </c>
      <c r="Q642" s="8" t="s">
        <v>39</v>
      </c>
      <c r="R642" s="9">
        <f>S642/1.11</f>
        <v>0</v>
      </c>
      <c r="S642" s="9">
        <f t="shared" si="209"/>
        <v>0</v>
      </c>
    </row>
    <row r="644" spans="1:19" x14ac:dyDescent="0.2">
      <c r="A644" s="2" t="s">
        <v>376</v>
      </c>
      <c r="B644" s="3" t="s">
        <v>24</v>
      </c>
      <c r="D644" s="5" t="s">
        <v>39</v>
      </c>
      <c r="F644" s="7">
        <v>1</v>
      </c>
      <c r="G644" s="8" t="s">
        <v>19</v>
      </c>
      <c r="H644" s="7">
        <v>144</v>
      </c>
      <c r="I644" s="8" t="s">
        <v>39</v>
      </c>
      <c r="J644" s="9">
        <v>25200</v>
      </c>
      <c r="K644" s="5" t="s">
        <v>39</v>
      </c>
      <c r="M644" s="10">
        <v>0.17</v>
      </c>
      <c r="O644" s="8" t="s">
        <v>39</v>
      </c>
      <c r="P644" s="4">
        <f t="shared" ref="P644:P670" si="220">(C644+(E644*F644*H644))-N644</f>
        <v>0</v>
      </c>
      <c r="Q644" s="8" t="s">
        <v>39</v>
      </c>
      <c r="R644" s="9">
        <f>S644/1.11</f>
        <v>0</v>
      </c>
      <c r="S644" s="9">
        <f t="shared" ref="S644:S670" si="221">P644*(J644-(J644*L644)-((J644-(J644*L644))*M644))</f>
        <v>0</v>
      </c>
    </row>
    <row r="645" spans="1:19" x14ac:dyDescent="0.2">
      <c r="A645" s="2" t="s">
        <v>664</v>
      </c>
      <c r="B645" s="3" t="s">
        <v>24</v>
      </c>
      <c r="D645" s="5" t="s">
        <v>39</v>
      </c>
      <c r="F645" s="7">
        <v>1</v>
      </c>
      <c r="G645" s="8" t="s">
        <v>19</v>
      </c>
      <c r="H645" s="7">
        <v>144</v>
      </c>
      <c r="I645" s="8" t="s">
        <v>39</v>
      </c>
      <c r="J645" s="9">
        <f>3758400/144</f>
        <v>26100</v>
      </c>
      <c r="K645" s="5" t="s">
        <v>39</v>
      </c>
      <c r="M645" s="10">
        <v>0.17</v>
      </c>
      <c r="O645" s="8" t="s">
        <v>39</v>
      </c>
      <c r="P645" s="4">
        <f t="shared" si="220"/>
        <v>0</v>
      </c>
      <c r="Q645" s="8" t="s">
        <v>39</v>
      </c>
      <c r="R645" s="9">
        <f>S645/1.11</f>
        <v>0</v>
      </c>
      <c r="S645" s="9">
        <f t="shared" si="221"/>
        <v>0</v>
      </c>
    </row>
    <row r="646" spans="1:19" x14ac:dyDescent="0.2">
      <c r="A646" s="2" t="s">
        <v>377</v>
      </c>
      <c r="B646" s="3" t="s">
        <v>24</v>
      </c>
      <c r="D646" s="5" t="s">
        <v>39</v>
      </c>
      <c r="F646" s="7">
        <v>1</v>
      </c>
      <c r="G646" s="8" t="s">
        <v>19</v>
      </c>
      <c r="H646" s="7">
        <v>144</v>
      </c>
      <c r="I646" s="8" t="s">
        <v>39</v>
      </c>
      <c r="J646" s="9">
        <f>3715200/144</f>
        <v>25800</v>
      </c>
      <c r="K646" s="5" t="s">
        <v>39</v>
      </c>
      <c r="M646" s="10">
        <v>0.17</v>
      </c>
      <c r="O646" s="8" t="s">
        <v>39</v>
      </c>
      <c r="P646" s="4">
        <f t="shared" si="220"/>
        <v>0</v>
      </c>
      <c r="Q646" s="8" t="s">
        <v>39</v>
      </c>
      <c r="R646" s="9">
        <f>S646/1.11</f>
        <v>0</v>
      </c>
      <c r="S646" s="9">
        <f t="shared" si="221"/>
        <v>0</v>
      </c>
    </row>
    <row r="647" spans="1:19" x14ac:dyDescent="0.2">
      <c r="A647" s="2" t="s">
        <v>388</v>
      </c>
      <c r="B647" s="3" t="s">
        <v>24</v>
      </c>
      <c r="D647" s="5" t="s">
        <v>39</v>
      </c>
      <c r="F647" s="7">
        <v>1</v>
      </c>
      <c r="G647" s="8" t="s">
        <v>19</v>
      </c>
      <c r="H647" s="7">
        <v>144</v>
      </c>
      <c r="I647" s="8" t="s">
        <v>39</v>
      </c>
      <c r="J647" s="9">
        <v>25800</v>
      </c>
      <c r="K647" s="5" t="s">
        <v>39</v>
      </c>
      <c r="M647" s="10">
        <v>0.17</v>
      </c>
      <c r="O647" s="8" t="s">
        <v>39</v>
      </c>
      <c r="P647" s="4">
        <f t="shared" si="220"/>
        <v>0</v>
      </c>
      <c r="Q647" s="8" t="s">
        <v>39</v>
      </c>
      <c r="R647" s="9">
        <f>S647/1.11</f>
        <v>0</v>
      </c>
      <c r="S647" s="9">
        <f t="shared" si="221"/>
        <v>0</v>
      </c>
    </row>
    <row r="648" spans="1:19" x14ac:dyDescent="0.2">
      <c r="A648" s="12" t="s">
        <v>768</v>
      </c>
      <c r="B648" s="3" t="s">
        <v>24</v>
      </c>
      <c r="D648" s="5" t="s">
        <v>39</v>
      </c>
      <c r="F648" s="7">
        <v>1</v>
      </c>
      <c r="G648" s="8" t="s">
        <v>19</v>
      </c>
      <c r="H648" s="7">
        <v>144</v>
      </c>
      <c r="I648" s="8" t="s">
        <v>39</v>
      </c>
      <c r="J648" s="9">
        <f>3628800/144</f>
        <v>25200</v>
      </c>
      <c r="K648" s="5" t="s">
        <v>39</v>
      </c>
      <c r="M648" s="10">
        <v>0.17</v>
      </c>
      <c r="O648" s="8" t="s">
        <v>39</v>
      </c>
      <c r="P648" s="4">
        <f t="shared" si="220"/>
        <v>0</v>
      </c>
      <c r="Q648" s="8" t="s">
        <v>39</v>
      </c>
      <c r="R648" s="9">
        <f>S648/1.11</f>
        <v>0</v>
      </c>
      <c r="S648" s="9">
        <f t="shared" si="221"/>
        <v>0</v>
      </c>
    </row>
    <row r="649" spans="1:19" x14ac:dyDescent="0.2">
      <c r="A649" s="12" t="s">
        <v>378</v>
      </c>
      <c r="B649" s="3" t="s">
        <v>24</v>
      </c>
      <c r="C649" s="4">
        <v>432</v>
      </c>
      <c r="D649" s="5" t="s">
        <v>39</v>
      </c>
      <c r="F649" s="7">
        <v>1</v>
      </c>
      <c r="G649" s="8" t="s">
        <v>19</v>
      </c>
      <c r="H649" s="7">
        <v>144</v>
      </c>
      <c r="I649" s="8" t="s">
        <v>39</v>
      </c>
      <c r="J649" s="9">
        <f>3758400/144</f>
        <v>26100</v>
      </c>
      <c r="K649" s="5" t="s">
        <v>39</v>
      </c>
      <c r="M649" s="10">
        <v>0.17</v>
      </c>
      <c r="O649" s="8" t="s">
        <v>39</v>
      </c>
      <c r="P649" s="4">
        <f t="shared" si="220"/>
        <v>432</v>
      </c>
      <c r="Q649" s="8" t="s">
        <v>39</v>
      </c>
      <c r="R649" s="9">
        <f>S649/1.11</f>
        <v>8431005.405405404</v>
      </c>
      <c r="S649" s="9">
        <f t="shared" si="221"/>
        <v>9358416</v>
      </c>
    </row>
    <row r="650" spans="1:19" x14ac:dyDescent="0.2">
      <c r="A650" s="12" t="s">
        <v>379</v>
      </c>
      <c r="B650" s="3" t="s">
        <v>24</v>
      </c>
      <c r="C650" s="4">
        <v>288</v>
      </c>
      <c r="D650" s="5" t="s">
        <v>39</v>
      </c>
      <c r="F650" s="7">
        <v>1</v>
      </c>
      <c r="G650" s="8" t="s">
        <v>19</v>
      </c>
      <c r="H650" s="7">
        <v>144</v>
      </c>
      <c r="I650" s="8" t="s">
        <v>39</v>
      </c>
      <c r="J650" s="9">
        <f>3628800/144</f>
        <v>25200</v>
      </c>
      <c r="K650" s="5" t="s">
        <v>39</v>
      </c>
      <c r="M650" s="10">
        <v>0.17</v>
      </c>
      <c r="O650" s="8" t="s">
        <v>39</v>
      </c>
      <c r="P650" s="4">
        <f t="shared" si="220"/>
        <v>288</v>
      </c>
      <c r="Q650" s="8" t="s">
        <v>39</v>
      </c>
      <c r="R650" s="9">
        <f>S650/1.11</f>
        <v>5426854.0540540535</v>
      </c>
      <c r="S650" s="9">
        <f t="shared" si="221"/>
        <v>6023808</v>
      </c>
    </row>
    <row r="651" spans="1:19" x14ac:dyDescent="0.2">
      <c r="A651" s="12" t="s">
        <v>380</v>
      </c>
      <c r="B651" s="3" t="s">
        <v>24</v>
      </c>
      <c r="D651" s="5" t="s">
        <v>39</v>
      </c>
      <c r="F651" s="7">
        <v>1</v>
      </c>
      <c r="G651" s="8" t="s">
        <v>19</v>
      </c>
      <c r="H651" s="7">
        <v>144</v>
      </c>
      <c r="I651" s="8" t="s">
        <v>39</v>
      </c>
      <c r="J651" s="9">
        <f>3628800/144</f>
        <v>25200</v>
      </c>
      <c r="K651" s="5" t="s">
        <v>39</v>
      </c>
      <c r="M651" s="10">
        <v>0.17</v>
      </c>
      <c r="O651" s="8" t="s">
        <v>39</v>
      </c>
      <c r="P651" s="4">
        <f t="shared" si="220"/>
        <v>0</v>
      </c>
      <c r="Q651" s="8" t="s">
        <v>39</v>
      </c>
      <c r="R651" s="9">
        <f>S651/1.11</f>
        <v>0</v>
      </c>
      <c r="S651" s="9">
        <f t="shared" si="221"/>
        <v>0</v>
      </c>
    </row>
    <row r="652" spans="1:19" x14ac:dyDescent="0.2">
      <c r="A652" s="2" t="s">
        <v>849</v>
      </c>
      <c r="B652" s="3" t="s">
        <v>24</v>
      </c>
      <c r="D652" s="5" t="s">
        <v>39</v>
      </c>
      <c r="F652" s="7">
        <v>1</v>
      </c>
      <c r="G652" s="8" t="s">
        <v>19</v>
      </c>
      <c r="H652" s="7">
        <v>144</v>
      </c>
      <c r="I652" s="8" t="s">
        <v>39</v>
      </c>
      <c r="J652" s="9">
        <f>5875200/144</f>
        <v>40800</v>
      </c>
      <c r="K652" s="5" t="s">
        <v>39</v>
      </c>
      <c r="M652" s="10">
        <v>0.17</v>
      </c>
      <c r="O652" s="8" t="s">
        <v>39</v>
      </c>
      <c r="P652" s="4">
        <f t="shared" si="220"/>
        <v>0</v>
      </c>
      <c r="Q652" s="8" t="s">
        <v>39</v>
      </c>
      <c r="R652" s="9">
        <f>S652/1.11</f>
        <v>0</v>
      </c>
      <c r="S652" s="9">
        <f t="shared" si="221"/>
        <v>0</v>
      </c>
    </row>
    <row r="653" spans="1:19" x14ac:dyDescent="0.2">
      <c r="A653" s="2" t="s">
        <v>381</v>
      </c>
      <c r="B653" s="3" t="s">
        <v>24</v>
      </c>
      <c r="C653" s="4">
        <v>432</v>
      </c>
      <c r="D653" s="5" t="s">
        <v>39</v>
      </c>
      <c r="F653" s="7">
        <v>1</v>
      </c>
      <c r="G653" s="8" t="s">
        <v>19</v>
      </c>
      <c r="H653" s="7">
        <v>144</v>
      </c>
      <c r="I653" s="8" t="s">
        <v>39</v>
      </c>
      <c r="J653" s="9">
        <f>5616000/144</f>
        <v>39000</v>
      </c>
      <c r="K653" s="5" t="s">
        <v>39</v>
      </c>
      <c r="M653" s="10">
        <v>0.17</v>
      </c>
      <c r="O653" s="8" t="s">
        <v>39</v>
      </c>
      <c r="P653" s="4">
        <f t="shared" si="220"/>
        <v>432</v>
      </c>
      <c r="Q653" s="8" t="s">
        <v>39</v>
      </c>
      <c r="R653" s="9">
        <f>S653/1.11</f>
        <v>12598054.054054054</v>
      </c>
      <c r="S653" s="9">
        <f t="shared" si="221"/>
        <v>13983840</v>
      </c>
    </row>
    <row r="654" spans="1:19" x14ac:dyDescent="0.2">
      <c r="A654" s="2" t="s">
        <v>382</v>
      </c>
      <c r="B654" s="3" t="s">
        <v>24</v>
      </c>
      <c r="D654" s="5" t="s">
        <v>39</v>
      </c>
      <c r="F654" s="7">
        <v>1</v>
      </c>
      <c r="G654" s="8" t="s">
        <v>19</v>
      </c>
      <c r="H654" s="7">
        <v>144</v>
      </c>
      <c r="I654" s="8" t="s">
        <v>39</v>
      </c>
      <c r="J654" s="9">
        <v>39000</v>
      </c>
      <c r="K654" s="5" t="s">
        <v>39</v>
      </c>
      <c r="M654" s="10">
        <v>0.17</v>
      </c>
      <c r="O654" s="8" t="s">
        <v>39</v>
      </c>
      <c r="P654" s="4">
        <f t="shared" ref="P654" si="222">(C654+(E654*F654*H654))-N654</f>
        <v>0</v>
      </c>
      <c r="Q654" s="8" t="s">
        <v>39</v>
      </c>
      <c r="R654" s="9">
        <f>S654/1.11</f>
        <v>0</v>
      </c>
      <c r="S654" s="9">
        <f t="shared" ref="S654" si="223">P654*(J654-(J654*L654)-((J654-(J654*L654))*M654))</f>
        <v>0</v>
      </c>
    </row>
    <row r="655" spans="1:19" x14ac:dyDescent="0.2">
      <c r="A655" s="2" t="s">
        <v>1031</v>
      </c>
      <c r="B655" s="3" t="s">
        <v>24</v>
      </c>
      <c r="D655" s="5" t="s">
        <v>39</v>
      </c>
      <c r="F655" s="7">
        <v>1</v>
      </c>
      <c r="G655" s="8" t="s">
        <v>19</v>
      </c>
      <c r="H655" s="7">
        <v>144</v>
      </c>
      <c r="I655" s="8" t="s">
        <v>39</v>
      </c>
      <c r="J655" s="9">
        <v>39000</v>
      </c>
      <c r="K655" s="5" t="s">
        <v>39</v>
      </c>
      <c r="M655" s="10">
        <v>0.17</v>
      </c>
      <c r="O655" s="8" t="s">
        <v>39</v>
      </c>
      <c r="P655" s="4">
        <f t="shared" si="220"/>
        <v>0</v>
      </c>
      <c r="Q655" s="8" t="s">
        <v>39</v>
      </c>
      <c r="R655" s="9">
        <f>S655/1.11</f>
        <v>0</v>
      </c>
      <c r="S655" s="9">
        <f t="shared" ref="S655" si="224">P655*(J655-(J655*L655)-((J655-(J655*L655))*M655))</f>
        <v>0</v>
      </c>
    </row>
    <row r="656" spans="1:19" x14ac:dyDescent="0.2">
      <c r="A656" s="2" t="s">
        <v>383</v>
      </c>
      <c r="B656" s="3" t="s">
        <v>24</v>
      </c>
      <c r="D656" s="5" t="s">
        <v>39</v>
      </c>
      <c r="F656" s="7">
        <v>1</v>
      </c>
      <c r="G656" s="8" t="s">
        <v>19</v>
      </c>
      <c r="H656" s="7">
        <v>144</v>
      </c>
      <c r="I656" s="8" t="s">
        <v>39</v>
      </c>
      <c r="J656" s="9">
        <v>39000</v>
      </c>
      <c r="K656" s="5" t="s">
        <v>39</v>
      </c>
      <c r="M656" s="10">
        <v>0.17</v>
      </c>
      <c r="O656" s="8" t="s">
        <v>39</v>
      </c>
      <c r="P656" s="4">
        <f t="shared" ref="P656" si="225">(C656+(E656*F656*H656))-N656</f>
        <v>0</v>
      </c>
      <c r="Q656" s="8" t="s">
        <v>39</v>
      </c>
      <c r="R656" s="9">
        <f>S656/1.11</f>
        <v>0</v>
      </c>
      <c r="S656" s="9">
        <f t="shared" ref="S656" si="226">P656*(J656-(J656*L656)-((J656-(J656*L656))*M656))</f>
        <v>0</v>
      </c>
    </row>
    <row r="657" spans="1:19" x14ac:dyDescent="0.2">
      <c r="A657" s="2" t="s">
        <v>736</v>
      </c>
      <c r="B657" s="3" t="s">
        <v>24</v>
      </c>
      <c r="D657" s="5" t="s">
        <v>39</v>
      </c>
      <c r="F657" s="7">
        <v>1</v>
      </c>
      <c r="G657" s="8" t="s">
        <v>19</v>
      </c>
      <c r="H657" s="7">
        <v>144</v>
      </c>
      <c r="I657" s="8" t="s">
        <v>39</v>
      </c>
      <c r="J657" s="9">
        <f>5702400/144</f>
        <v>39600</v>
      </c>
      <c r="K657" s="5" t="s">
        <v>39</v>
      </c>
      <c r="M657" s="10">
        <v>0.17</v>
      </c>
      <c r="O657" s="8" t="s">
        <v>39</v>
      </c>
      <c r="P657" s="4">
        <f t="shared" si="220"/>
        <v>0</v>
      </c>
      <c r="Q657" s="8" t="s">
        <v>39</v>
      </c>
      <c r="R657" s="9">
        <f>S657/1.11</f>
        <v>0</v>
      </c>
      <c r="S657" s="9">
        <f t="shared" si="221"/>
        <v>0</v>
      </c>
    </row>
    <row r="658" spans="1:19" x14ac:dyDescent="0.2">
      <c r="A658" s="2" t="s">
        <v>737</v>
      </c>
      <c r="B658" s="3" t="s">
        <v>24</v>
      </c>
      <c r="D658" s="5" t="s">
        <v>39</v>
      </c>
      <c r="F658" s="7">
        <v>1</v>
      </c>
      <c r="G658" s="8" t="s">
        <v>19</v>
      </c>
      <c r="H658" s="7">
        <v>144</v>
      </c>
      <c r="I658" s="8" t="s">
        <v>39</v>
      </c>
      <c r="J658" s="9">
        <f>5702400/144</f>
        <v>39600</v>
      </c>
      <c r="K658" s="5" t="s">
        <v>39</v>
      </c>
      <c r="M658" s="10">
        <v>0.17</v>
      </c>
      <c r="O658" s="8" t="s">
        <v>39</v>
      </c>
      <c r="P658" s="4">
        <f t="shared" si="220"/>
        <v>0</v>
      </c>
      <c r="Q658" s="8" t="s">
        <v>39</v>
      </c>
      <c r="R658" s="9">
        <f>S658/1.11</f>
        <v>0</v>
      </c>
      <c r="S658" s="9">
        <f t="shared" si="221"/>
        <v>0</v>
      </c>
    </row>
    <row r="659" spans="1:19" x14ac:dyDescent="0.2">
      <c r="A659" s="2" t="s">
        <v>384</v>
      </c>
      <c r="B659" s="3" t="s">
        <v>24</v>
      </c>
      <c r="C659" s="4">
        <v>720</v>
      </c>
      <c r="D659" s="5" t="s">
        <v>39</v>
      </c>
      <c r="F659" s="7">
        <v>1</v>
      </c>
      <c r="G659" s="8" t="s">
        <v>19</v>
      </c>
      <c r="H659" s="7">
        <v>144</v>
      </c>
      <c r="I659" s="8" t="s">
        <v>39</v>
      </c>
      <c r="J659" s="9">
        <f>5702400/144</f>
        <v>39600</v>
      </c>
      <c r="K659" s="5" t="s">
        <v>39</v>
      </c>
      <c r="M659" s="10">
        <v>0.17</v>
      </c>
      <c r="O659" s="8" t="s">
        <v>39</v>
      </c>
      <c r="P659" s="4">
        <f t="shared" si="220"/>
        <v>720</v>
      </c>
      <c r="Q659" s="8" t="s">
        <v>39</v>
      </c>
      <c r="R659" s="9">
        <f>S659/1.11</f>
        <v>21319783.783783782</v>
      </c>
      <c r="S659" s="9">
        <f t="shared" si="221"/>
        <v>23664960</v>
      </c>
    </row>
    <row r="660" spans="1:19" x14ac:dyDescent="0.2">
      <c r="A660" s="2" t="s">
        <v>887</v>
      </c>
      <c r="B660" s="3" t="s">
        <v>24</v>
      </c>
      <c r="D660" s="5" t="s">
        <v>39</v>
      </c>
      <c r="F660" s="7">
        <v>1</v>
      </c>
      <c r="G660" s="8" t="s">
        <v>19</v>
      </c>
      <c r="H660" s="7">
        <v>144</v>
      </c>
      <c r="I660" s="8" t="s">
        <v>39</v>
      </c>
      <c r="J660" s="9">
        <v>33000</v>
      </c>
      <c r="K660" s="5" t="s">
        <v>39</v>
      </c>
      <c r="M660" s="10">
        <v>0.17</v>
      </c>
      <c r="O660" s="8" t="s">
        <v>39</v>
      </c>
      <c r="P660" s="4">
        <f t="shared" ref="P660" si="227">(C660+(E660*F660*H660))-N660</f>
        <v>0</v>
      </c>
      <c r="Q660" s="8" t="s">
        <v>39</v>
      </c>
      <c r="R660" s="9">
        <f>S660/1.11</f>
        <v>0</v>
      </c>
      <c r="S660" s="9">
        <f t="shared" ref="S660" si="228">P660*(J660-(J660*L660)-((J660-(J660*L660))*M660))</f>
        <v>0</v>
      </c>
    </row>
    <row r="661" spans="1:19" x14ac:dyDescent="0.2">
      <c r="A661" s="2" t="s">
        <v>385</v>
      </c>
      <c r="B661" s="3" t="s">
        <v>24</v>
      </c>
      <c r="D661" s="5" t="s">
        <v>39</v>
      </c>
      <c r="F661" s="7">
        <v>1</v>
      </c>
      <c r="G661" s="8" t="s">
        <v>19</v>
      </c>
      <c r="H661" s="7">
        <v>144</v>
      </c>
      <c r="I661" s="8" t="s">
        <v>39</v>
      </c>
      <c r="J661" s="9">
        <f>2764800/144</f>
        <v>19200</v>
      </c>
      <c r="K661" s="5" t="s">
        <v>39</v>
      </c>
      <c r="M661" s="10">
        <v>0.17</v>
      </c>
      <c r="O661" s="8" t="s">
        <v>39</v>
      </c>
      <c r="P661" s="4">
        <f t="shared" si="220"/>
        <v>0</v>
      </c>
      <c r="Q661" s="8" t="s">
        <v>39</v>
      </c>
      <c r="R661" s="9">
        <f>S661/1.11</f>
        <v>0</v>
      </c>
      <c r="S661" s="9">
        <f t="shared" si="221"/>
        <v>0</v>
      </c>
    </row>
    <row r="662" spans="1:19" x14ac:dyDescent="0.2">
      <c r="A662" s="2" t="s">
        <v>386</v>
      </c>
      <c r="B662" s="3" t="s">
        <v>24</v>
      </c>
      <c r="D662" s="5" t="s">
        <v>39</v>
      </c>
      <c r="F662" s="7">
        <v>1</v>
      </c>
      <c r="G662" s="8" t="s">
        <v>19</v>
      </c>
      <c r="H662" s="7">
        <v>144</v>
      </c>
      <c r="I662" s="8" t="s">
        <v>39</v>
      </c>
      <c r="J662" s="9">
        <f>2764800/144</f>
        <v>19200</v>
      </c>
      <c r="K662" s="5" t="s">
        <v>39</v>
      </c>
      <c r="M662" s="10">
        <v>0.17</v>
      </c>
      <c r="O662" s="8" t="s">
        <v>39</v>
      </c>
      <c r="P662" s="4">
        <f t="shared" si="220"/>
        <v>0</v>
      </c>
      <c r="Q662" s="8" t="s">
        <v>39</v>
      </c>
      <c r="R662" s="9">
        <f>S662/1.11</f>
        <v>0</v>
      </c>
      <c r="S662" s="9">
        <f t="shared" si="221"/>
        <v>0</v>
      </c>
    </row>
    <row r="663" spans="1:19" x14ac:dyDescent="0.2">
      <c r="A663" s="2" t="s">
        <v>387</v>
      </c>
      <c r="B663" s="3" t="s">
        <v>24</v>
      </c>
      <c r="D663" s="5" t="s">
        <v>39</v>
      </c>
      <c r="F663" s="7">
        <v>1</v>
      </c>
      <c r="G663" s="8" t="s">
        <v>19</v>
      </c>
      <c r="H663" s="7">
        <v>144</v>
      </c>
      <c r="I663" s="8" t="s">
        <v>39</v>
      </c>
      <c r="J663" s="9">
        <v>23400</v>
      </c>
      <c r="K663" s="5" t="s">
        <v>39</v>
      </c>
      <c r="M663" s="10">
        <v>0.17</v>
      </c>
      <c r="O663" s="8" t="s">
        <v>39</v>
      </c>
      <c r="P663" s="4">
        <f t="shared" si="220"/>
        <v>0</v>
      </c>
      <c r="Q663" s="8" t="s">
        <v>39</v>
      </c>
      <c r="R663" s="9">
        <f>S663/1.11</f>
        <v>0</v>
      </c>
      <c r="S663" s="9">
        <f t="shared" si="221"/>
        <v>0</v>
      </c>
    </row>
    <row r="664" spans="1:19" x14ac:dyDescent="0.2">
      <c r="A664" s="2" t="s">
        <v>389</v>
      </c>
      <c r="B664" s="3" t="s">
        <v>24</v>
      </c>
      <c r="D664" s="5" t="s">
        <v>39</v>
      </c>
      <c r="F664" s="7">
        <v>1</v>
      </c>
      <c r="G664" s="8" t="s">
        <v>19</v>
      </c>
      <c r="H664" s="7">
        <v>144</v>
      </c>
      <c r="I664" s="8" t="s">
        <v>39</v>
      </c>
      <c r="J664" s="9">
        <f>3542400/144</f>
        <v>24600</v>
      </c>
      <c r="K664" s="5" t="s">
        <v>39</v>
      </c>
      <c r="M664" s="10">
        <v>0.17</v>
      </c>
      <c r="O664" s="8" t="s">
        <v>39</v>
      </c>
      <c r="P664" s="4">
        <f t="shared" si="220"/>
        <v>0</v>
      </c>
      <c r="Q664" s="8" t="s">
        <v>39</v>
      </c>
      <c r="R664" s="9">
        <f>S664/1.11</f>
        <v>0</v>
      </c>
      <c r="S664" s="9">
        <f t="shared" si="221"/>
        <v>0</v>
      </c>
    </row>
    <row r="665" spans="1:19" x14ac:dyDescent="0.2">
      <c r="A665" s="2" t="s">
        <v>390</v>
      </c>
      <c r="B665" s="3" t="s">
        <v>24</v>
      </c>
      <c r="D665" s="5" t="s">
        <v>39</v>
      </c>
      <c r="F665" s="7">
        <v>1</v>
      </c>
      <c r="G665" s="8" t="s">
        <v>19</v>
      </c>
      <c r="H665" s="7">
        <v>144</v>
      </c>
      <c r="I665" s="8" t="s">
        <v>39</v>
      </c>
      <c r="J665" s="9">
        <f>3110400/144</f>
        <v>21600</v>
      </c>
      <c r="K665" s="5" t="s">
        <v>39</v>
      </c>
      <c r="M665" s="10">
        <v>0.17</v>
      </c>
      <c r="O665" s="8" t="s">
        <v>39</v>
      </c>
      <c r="P665" s="4">
        <f t="shared" si="220"/>
        <v>0</v>
      </c>
      <c r="Q665" s="8" t="s">
        <v>39</v>
      </c>
      <c r="R665" s="9">
        <f>S665/1.11</f>
        <v>0</v>
      </c>
      <c r="S665" s="9">
        <f t="shared" si="221"/>
        <v>0</v>
      </c>
    </row>
    <row r="666" spans="1:19" x14ac:dyDescent="0.2">
      <c r="A666" s="2" t="s">
        <v>770</v>
      </c>
      <c r="B666" s="3" t="s">
        <v>24</v>
      </c>
      <c r="D666" s="5" t="s">
        <v>39</v>
      </c>
      <c r="F666" s="7">
        <v>1</v>
      </c>
      <c r="G666" s="8" t="s">
        <v>19</v>
      </c>
      <c r="H666" s="7">
        <v>144</v>
      </c>
      <c r="I666" s="8" t="s">
        <v>39</v>
      </c>
      <c r="J666" s="9">
        <f>3456000/144</f>
        <v>24000</v>
      </c>
      <c r="K666" s="5" t="s">
        <v>39</v>
      </c>
      <c r="M666" s="10">
        <v>0.17</v>
      </c>
      <c r="O666" s="8" t="s">
        <v>39</v>
      </c>
      <c r="P666" s="4">
        <f t="shared" si="220"/>
        <v>0</v>
      </c>
      <c r="Q666" s="8" t="s">
        <v>39</v>
      </c>
      <c r="R666" s="9">
        <f>S666/1.11</f>
        <v>0</v>
      </c>
      <c r="S666" s="9">
        <f t="shared" si="221"/>
        <v>0</v>
      </c>
    </row>
    <row r="667" spans="1:19" x14ac:dyDescent="0.2">
      <c r="A667" s="2" t="s">
        <v>391</v>
      </c>
      <c r="B667" s="3" t="s">
        <v>24</v>
      </c>
      <c r="D667" s="5" t="s">
        <v>39</v>
      </c>
      <c r="F667" s="7">
        <v>1</v>
      </c>
      <c r="G667" s="8" t="s">
        <v>19</v>
      </c>
      <c r="H667" s="7">
        <v>144</v>
      </c>
      <c r="I667" s="8" t="s">
        <v>39</v>
      </c>
      <c r="J667" s="9">
        <f>3758400/144</f>
        <v>26100</v>
      </c>
      <c r="K667" s="5" t="s">
        <v>39</v>
      </c>
      <c r="M667" s="10">
        <v>0.17</v>
      </c>
      <c r="O667" s="8" t="s">
        <v>39</v>
      </c>
      <c r="P667" s="4">
        <f t="shared" si="220"/>
        <v>0</v>
      </c>
      <c r="Q667" s="8" t="s">
        <v>39</v>
      </c>
      <c r="R667" s="9">
        <f>S667/1.11</f>
        <v>0</v>
      </c>
      <c r="S667" s="9">
        <f t="shared" si="221"/>
        <v>0</v>
      </c>
    </row>
    <row r="668" spans="1:19" x14ac:dyDescent="0.2">
      <c r="A668" s="2" t="s">
        <v>699</v>
      </c>
      <c r="B668" s="3" t="s">
        <v>24</v>
      </c>
      <c r="D668" s="5" t="s">
        <v>39</v>
      </c>
      <c r="F668" s="7">
        <v>1</v>
      </c>
      <c r="G668" s="8" t="s">
        <v>19</v>
      </c>
      <c r="H668" s="7">
        <v>144</v>
      </c>
      <c r="I668" s="8" t="s">
        <v>39</v>
      </c>
      <c r="J668" s="9">
        <f>5616000/144</f>
        <v>39000</v>
      </c>
      <c r="K668" s="5" t="s">
        <v>39</v>
      </c>
      <c r="M668" s="10">
        <v>0.17</v>
      </c>
      <c r="O668" s="8" t="s">
        <v>39</v>
      </c>
      <c r="P668" s="4">
        <f t="shared" si="220"/>
        <v>0</v>
      </c>
      <c r="Q668" s="8" t="s">
        <v>39</v>
      </c>
      <c r="R668" s="9">
        <f>S668/1.11</f>
        <v>0</v>
      </c>
      <c r="S668" s="9">
        <f t="shared" si="221"/>
        <v>0</v>
      </c>
    </row>
    <row r="669" spans="1:19" x14ac:dyDescent="0.2">
      <c r="A669" s="2" t="s">
        <v>392</v>
      </c>
      <c r="B669" s="3" t="s">
        <v>24</v>
      </c>
      <c r="D669" s="5" t="s">
        <v>39</v>
      </c>
      <c r="F669" s="7">
        <v>1</v>
      </c>
      <c r="G669" s="8" t="s">
        <v>19</v>
      </c>
      <c r="H669" s="7">
        <v>144</v>
      </c>
      <c r="I669" s="8" t="s">
        <v>39</v>
      </c>
      <c r="J669" s="9">
        <f>5270400/144</f>
        <v>36600</v>
      </c>
      <c r="K669" s="5" t="s">
        <v>39</v>
      </c>
      <c r="M669" s="10">
        <v>0.17</v>
      </c>
      <c r="O669" s="8" t="s">
        <v>39</v>
      </c>
      <c r="P669" s="4">
        <f t="shared" si="220"/>
        <v>0</v>
      </c>
      <c r="Q669" s="8" t="s">
        <v>39</v>
      </c>
      <c r="R669" s="9">
        <f>S669/1.11</f>
        <v>0</v>
      </c>
      <c r="S669" s="9">
        <f t="shared" si="221"/>
        <v>0</v>
      </c>
    </row>
    <row r="670" spans="1:19" x14ac:dyDescent="0.2">
      <c r="A670" s="2" t="s">
        <v>1032</v>
      </c>
      <c r="B670" s="3" t="s">
        <v>24</v>
      </c>
      <c r="D670" s="5" t="s">
        <v>39</v>
      </c>
      <c r="F670" s="7">
        <v>1</v>
      </c>
      <c r="G670" s="8" t="s">
        <v>19</v>
      </c>
      <c r="H670" s="7">
        <v>144</v>
      </c>
      <c r="I670" s="8" t="s">
        <v>39</v>
      </c>
      <c r="J670" s="9">
        <f>5616000/144</f>
        <v>39000</v>
      </c>
      <c r="K670" s="5" t="s">
        <v>39</v>
      </c>
      <c r="M670" s="10">
        <v>0.17</v>
      </c>
      <c r="O670" s="8" t="s">
        <v>39</v>
      </c>
      <c r="P670" s="4">
        <f t="shared" si="220"/>
        <v>0</v>
      </c>
      <c r="Q670" s="8" t="s">
        <v>39</v>
      </c>
      <c r="R670" s="9">
        <f>S670/1.11</f>
        <v>0</v>
      </c>
      <c r="S670" s="9">
        <f t="shared" si="221"/>
        <v>0</v>
      </c>
    </row>
    <row r="672" spans="1:19" x14ac:dyDescent="0.2">
      <c r="A672" s="2" t="s">
        <v>394</v>
      </c>
      <c r="B672" s="3" t="s">
        <v>258</v>
      </c>
      <c r="D672" s="5" t="s">
        <v>39</v>
      </c>
      <c r="F672" s="7">
        <v>1</v>
      </c>
      <c r="G672" s="8" t="s">
        <v>19</v>
      </c>
      <c r="H672" s="7">
        <v>144</v>
      </c>
      <c r="I672" s="8" t="s">
        <v>39</v>
      </c>
      <c r="J672" s="9">
        <v>22500</v>
      </c>
      <c r="K672" s="5" t="s">
        <v>39</v>
      </c>
      <c r="O672" s="8" t="s">
        <v>39</v>
      </c>
      <c r="P672" s="4">
        <f t="shared" ref="P672:P677" si="229">(C672+(E672*F672*H672))-N672</f>
        <v>0</v>
      </c>
      <c r="Q672" s="8" t="s">
        <v>39</v>
      </c>
      <c r="R672" s="9">
        <f>S672/1.11</f>
        <v>0</v>
      </c>
      <c r="S672" s="9">
        <f t="shared" ref="S672:S677" si="230">P672*(J672-(J672*L672)-((J672-(J672*L672))*M672))</f>
        <v>0</v>
      </c>
    </row>
    <row r="673" spans="1:21" x14ac:dyDescent="0.2">
      <c r="A673" s="2" t="s">
        <v>395</v>
      </c>
      <c r="B673" s="3" t="s">
        <v>258</v>
      </c>
      <c r="D673" s="5" t="s">
        <v>39</v>
      </c>
      <c r="F673" s="7">
        <v>1</v>
      </c>
      <c r="G673" s="8" t="s">
        <v>19</v>
      </c>
      <c r="H673" s="7">
        <v>144</v>
      </c>
      <c r="I673" s="8" t="s">
        <v>39</v>
      </c>
      <c r="J673" s="9">
        <v>26000</v>
      </c>
      <c r="K673" s="5" t="s">
        <v>39</v>
      </c>
      <c r="O673" s="8" t="s">
        <v>39</v>
      </c>
      <c r="P673" s="4">
        <f t="shared" si="229"/>
        <v>0</v>
      </c>
      <c r="Q673" s="8" t="s">
        <v>39</v>
      </c>
      <c r="R673" s="9">
        <f>S673/1.11</f>
        <v>0</v>
      </c>
      <c r="S673" s="9">
        <f t="shared" si="230"/>
        <v>0</v>
      </c>
    </row>
    <row r="674" spans="1:21" x14ac:dyDescent="0.2">
      <c r="A674" s="2" t="s">
        <v>396</v>
      </c>
      <c r="B674" s="3" t="s">
        <v>258</v>
      </c>
      <c r="D674" s="5" t="s">
        <v>39</v>
      </c>
      <c r="F674" s="7">
        <v>1</v>
      </c>
      <c r="G674" s="8" t="s">
        <v>19</v>
      </c>
      <c r="H674" s="7">
        <v>96</v>
      </c>
      <c r="I674" s="8" t="s">
        <v>39</v>
      </c>
      <c r="J674" s="9">
        <v>31500</v>
      </c>
      <c r="K674" s="5" t="s">
        <v>39</v>
      </c>
      <c r="O674" s="8" t="s">
        <v>39</v>
      </c>
      <c r="P674" s="4">
        <f t="shared" si="229"/>
        <v>0</v>
      </c>
      <c r="Q674" s="8" t="s">
        <v>39</v>
      </c>
      <c r="R674" s="9">
        <f>S674/1.11</f>
        <v>0</v>
      </c>
      <c r="S674" s="9">
        <f t="shared" si="230"/>
        <v>0</v>
      </c>
    </row>
    <row r="675" spans="1:21" x14ac:dyDescent="0.2">
      <c r="A675" s="2" t="s">
        <v>705</v>
      </c>
      <c r="B675" s="3" t="s">
        <v>258</v>
      </c>
      <c r="D675" s="5" t="s">
        <v>39</v>
      </c>
      <c r="F675" s="7">
        <v>1</v>
      </c>
      <c r="G675" s="8" t="s">
        <v>19</v>
      </c>
      <c r="H675" s="7">
        <v>144</v>
      </c>
      <c r="I675" s="8" t="s">
        <v>39</v>
      </c>
      <c r="J675" s="9">
        <f>31818+(31818*10%)</f>
        <v>34999.800000000003</v>
      </c>
      <c r="K675" s="5" t="s">
        <v>39</v>
      </c>
      <c r="O675" s="8" t="s">
        <v>39</v>
      </c>
      <c r="P675" s="4">
        <f t="shared" si="229"/>
        <v>0</v>
      </c>
      <c r="Q675" s="8" t="s">
        <v>39</v>
      </c>
      <c r="R675" s="9">
        <f>S675/1.11</f>
        <v>0</v>
      </c>
      <c r="S675" s="9">
        <f t="shared" si="230"/>
        <v>0</v>
      </c>
    </row>
    <row r="676" spans="1:21" x14ac:dyDescent="0.2">
      <c r="A676" s="2" t="s">
        <v>1033</v>
      </c>
      <c r="B676" s="3" t="s">
        <v>258</v>
      </c>
      <c r="D676" s="5" t="s">
        <v>39</v>
      </c>
      <c r="F676" s="7">
        <v>1</v>
      </c>
      <c r="G676" s="8" t="s">
        <v>19</v>
      </c>
      <c r="H676" s="7">
        <v>144</v>
      </c>
      <c r="I676" s="8" t="s">
        <v>39</v>
      </c>
      <c r="J676" s="9">
        <v>18250</v>
      </c>
      <c r="K676" s="5" t="s">
        <v>39</v>
      </c>
      <c r="O676" s="8" t="s">
        <v>39</v>
      </c>
      <c r="P676" s="4">
        <f t="shared" ref="P676" si="231">(C676+(E676*F676*H676))-N676</f>
        <v>0</v>
      </c>
      <c r="Q676" s="8" t="s">
        <v>39</v>
      </c>
      <c r="R676" s="9">
        <f>S676/1.11</f>
        <v>0</v>
      </c>
      <c r="S676" s="9">
        <f t="shared" ref="S676" si="232">P676*(J676-(J676*L676)-((J676-(J676*L676))*M676))</f>
        <v>0</v>
      </c>
    </row>
    <row r="677" spans="1:21" x14ac:dyDescent="0.2">
      <c r="A677" s="2" t="s">
        <v>1034</v>
      </c>
      <c r="B677" s="3" t="s">
        <v>258</v>
      </c>
      <c r="D677" s="5" t="s">
        <v>39</v>
      </c>
      <c r="F677" s="7">
        <v>1</v>
      </c>
      <c r="G677" s="8" t="s">
        <v>19</v>
      </c>
      <c r="H677" s="7">
        <v>120</v>
      </c>
      <c r="I677" s="8" t="s">
        <v>39</v>
      </c>
      <c r="J677" s="9">
        <v>18250</v>
      </c>
      <c r="K677" s="5" t="s">
        <v>39</v>
      </c>
      <c r="O677" s="8" t="s">
        <v>39</v>
      </c>
      <c r="P677" s="4">
        <f t="shared" si="229"/>
        <v>0</v>
      </c>
      <c r="Q677" s="8" t="s">
        <v>39</v>
      </c>
      <c r="R677" s="9">
        <f>S677/1.11</f>
        <v>0</v>
      </c>
      <c r="S677" s="9">
        <f t="shared" si="230"/>
        <v>0</v>
      </c>
    </row>
    <row r="678" spans="1:21" x14ac:dyDescent="0.2">
      <c r="A678" s="2" t="s">
        <v>863</v>
      </c>
      <c r="B678" s="3" t="s">
        <v>258</v>
      </c>
      <c r="D678" s="5" t="s">
        <v>39</v>
      </c>
      <c r="F678" s="7">
        <v>1</v>
      </c>
      <c r="G678" s="8" t="s">
        <v>19</v>
      </c>
      <c r="H678" s="7">
        <v>60</v>
      </c>
      <c r="I678" s="8" t="s">
        <v>39</v>
      </c>
      <c r="J678" s="9">
        <v>18250</v>
      </c>
      <c r="K678" s="5" t="s">
        <v>39</v>
      </c>
      <c r="O678" s="8" t="s">
        <v>39</v>
      </c>
      <c r="P678" s="4">
        <f t="shared" ref="P678" si="233">(C678+(E678*F678*H678))-N678</f>
        <v>0</v>
      </c>
      <c r="Q678" s="8" t="s">
        <v>39</v>
      </c>
      <c r="R678" s="9">
        <f>S678/1.11</f>
        <v>0</v>
      </c>
      <c r="S678" s="9">
        <f t="shared" ref="S678" si="234">P678*(J678-(J678*L678)-((J678-(J678*L678))*M678))</f>
        <v>0</v>
      </c>
    </row>
    <row r="679" spans="1:21" x14ac:dyDescent="0.2">
      <c r="A679" s="2" t="s">
        <v>908</v>
      </c>
      <c r="B679" s="3" t="s">
        <v>258</v>
      </c>
      <c r="D679" s="5" t="s">
        <v>39</v>
      </c>
      <c r="F679" s="7">
        <v>1</v>
      </c>
      <c r="G679" s="8" t="s">
        <v>19</v>
      </c>
      <c r="H679" s="7">
        <v>120</v>
      </c>
      <c r="I679" s="8" t="s">
        <v>897</v>
      </c>
      <c r="J679" s="9">
        <v>16750</v>
      </c>
      <c r="K679" s="5" t="s">
        <v>39</v>
      </c>
      <c r="O679" s="8" t="s">
        <v>39</v>
      </c>
      <c r="P679" s="4">
        <f t="shared" ref="P679" si="235">(C679+(E679*F679*H679))-N679</f>
        <v>0</v>
      </c>
      <c r="Q679" s="8" t="s">
        <v>39</v>
      </c>
      <c r="R679" s="9">
        <f>S679/1.11</f>
        <v>0</v>
      </c>
      <c r="S679" s="9">
        <f t="shared" ref="S679" si="236">P679*(J679-(J679*L679)-((J679-(J679*L679))*M679))</f>
        <v>0</v>
      </c>
      <c r="U679" s="36"/>
    </row>
    <row r="680" spans="1:21" x14ac:dyDescent="0.2">
      <c r="A680" s="2" t="s">
        <v>921</v>
      </c>
      <c r="B680" s="3" t="s">
        <v>258</v>
      </c>
      <c r="D680" s="5" t="s">
        <v>39</v>
      </c>
      <c r="F680" s="7">
        <v>1</v>
      </c>
      <c r="G680" s="8" t="s">
        <v>19</v>
      </c>
      <c r="H680" s="7">
        <v>144</v>
      </c>
      <c r="I680" s="8" t="s">
        <v>897</v>
      </c>
      <c r="J680" s="9">
        <v>24000</v>
      </c>
      <c r="K680" s="5" t="s">
        <v>39</v>
      </c>
      <c r="O680" s="8" t="s">
        <v>39</v>
      </c>
      <c r="P680" s="4">
        <f t="shared" ref="P680" si="237">(C680+(E680*F680*H680))-N680</f>
        <v>0</v>
      </c>
      <c r="Q680" s="8" t="s">
        <v>39</v>
      </c>
      <c r="R680" s="9">
        <f>S680/1.11</f>
        <v>0</v>
      </c>
      <c r="S680" s="9">
        <f t="shared" ref="S680" si="238">P680*(J680-(J680*L680)-((J680-(J680*L680))*M680))</f>
        <v>0</v>
      </c>
    </row>
    <row r="682" spans="1:21" x14ac:dyDescent="0.2">
      <c r="A682" s="2" t="s">
        <v>694</v>
      </c>
      <c r="B682" s="3" t="s">
        <v>680</v>
      </c>
      <c r="D682" s="5" t="s">
        <v>39</v>
      </c>
      <c r="F682" s="7">
        <v>1</v>
      </c>
      <c r="G682" s="8" t="s">
        <v>19</v>
      </c>
      <c r="H682" s="7">
        <v>96</v>
      </c>
      <c r="I682" s="8" t="s">
        <v>39</v>
      </c>
      <c r="J682" s="9">
        <v>26500</v>
      </c>
      <c r="K682" s="5" t="s">
        <v>39</v>
      </c>
      <c r="L682" s="10">
        <v>0.03</v>
      </c>
      <c r="O682" s="8" t="s">
        <v>39</v>
      </c>
      <c r="P682" s="4">
        <f>(C682+(E682*F682*H682))-N682</f>
        <v>0</v>
      </c>
      <c r="Q682" s="8" t="s">
        <v>39</v>
      </c>
      <c r="R682" s="9">
        <f>S682/1.11</f>
        <v>0</v>
      </c>
      <c r="S682" s="9">
        <f>P682*(J682-(J682*L682)-((J682-(J682*L682))*M682))</f>
        <v>0</v>
      </c>
      <c r="U682" s="37"/>
    </row>
    <row r="683" spans="1:21" x14ac:dyDescent="0.2">
      <c r="A683" s="2" t="s">
        <v>1002</v>
      </c>
      <c r="B683" s="3" t="s">
        <v>680</v>
      </c>
      <c r="D683" s="5" t="s">
        <v>39</v>
      </c>
      <c r="F683" s="7">
        <v>1</v>
      </c>
      <c r="G683" s="8" t="s">
        <v>19</v>
      </c>
      <c r="H683" s="7">
        <v>96</v>
      </c>
      <c r="I683" s="8" t="s">
        <v>39</v>
      </c>
      <c r="J683" s="9">
        <v>26500</v>
      </c>
      <c r="K683" s="5" t="s">
        <v>39</v>
      </c>
      <c r="O683" s="8" t="s">
        <v>39</v>
      </c>
      <c r="P683" s="4">
        <f>(C683+(E683*F683*H683))-N683</f>
        <v>0</v>
      </c>
      <c r="Q683" s="8" t="s">
        <v>39</v>
      </c>
      <c r="R683" s="9">
        <f>S683/1.11</f>
        <v>0</v>
      </c>
      <c r="S683" s="9">
        <f>P683*(J683-(J683*L683)-((J683-(J683*L683))*M683))</f>
        <v>0</v>
      </c>
    </row>
    <row r="685" spans="1:21" x14ac:dyDescent="0.2">
      <c r="A685" s="2" t="s">
        <v>733</v>
      </c>
      <c r="B685" s="3" t="s">
        <v>170</v>
      </c>
      <c r="D685" s="5" t="s">
        <v>39</v>
      </c>
      <c r="F685" s="7">
        <v>1</v>
      </c>
      <c r="G685" s="8" t="s">
        <v>19</v>
      </c>
      <c r="H685" s="7">
        <v>144</v>
      </c>
      <c r="I685" s="8" t="s">
        <v>39</v>
      </c>
      <c r="J685" s="9">
        <v>19000</v>
      </c>
      <c r="K685" s="5" t="s">
        <v>39</v>
      </c>
      <c r="L685" s="10">
        <v>0.02</v>
      </c>
      <c r="O685" s="8" t="s">
        <v>39</v>
      </c>
      <c r="P685" s="4">
        <f>(C685+(E685*F685*H685))-N685</f>
        <v>0</v>
      </c>
      <c r="Q685" s="8" t="s">
        <v>39</v>
      </c>
      <c r="R685" s="9">
        <f>S685/1.11</f>
        <v>0</v>
      </c>
      <c r="S685" s="9">
        <f>P685*(J685-(J685*L685)-((J685-(J685*L685))*M685))</f>
        <v>0</v>
      </c>
    </row>
    <row r="686" spans="1:21" x14ac:dyDescent="0.2">
      <c r="A686" s="2" t="s">
        <v>397</v>
      </c>
      <c r="B686" s="3" t="s">
        <v>170</v>
      </c>
      <c r="D686" s="5" t="s">
        <v>39</v>
      </c>
      <c r="F686" s="7">
        <v>1</v>
      </c>
      <c r="G686" s="8" t="s">
        <v>19</v>
      </c>
      <c r="H686" s="7">
        <v>192</v>
      </c>
      <c r="I686" s="8" t="s">
        <v>39</v>
      </c>
      <c r="J686" s="9">
        <v>12750</v>
      </c>
      <c r="K686" s="5" t="s">
        <v>39</v>
      </c>
      <c r="L686" s="10">
        <v>0.05</v>
      </c>
      <c r="O686" s="8" t="s">
        <v>39</v>
      </c>
      <c r="P686" s="4">
        <f>(C686+(E686*F686*H686))-N686</f>
        <v>0</v>
      </c>
      <c r="Q686" s="8" t="s">
        <v>39</v>
      </c>
      <c r="R686" s="9">
        <f>S686/1.11</f>
        <v>0</v>
      </c>
      <c r="S686" s="9">
        <f>P686*(J686-(J686*L686)-((J686-(J686*L686))*M686))</f>
        <v>0</v>
      </c>
    </row>
    <row r="687" spans="1:21" x14ac:dyDescent="0.2">
      <c r="A687" s="2" t="s">
        <v>922</v>
      </c>
      <c r="B687" s="3" t="s">
        <v>170</v>
      </c>
      <c r="C687" s="4">
        <v>1344</v>
      </c>
      <c r="D687" s="5" t="s">
        <v>39</v>
      </c>
      <c r="F687" s="7">
        <v>1</v>
      </c>
      <c r="G687" s="8" t="s">
        <v>19</v>
      </c>
      <c r="H687" s="7">
        <v>192</v>
      </c>
      <c r="I687" s="8" t="s">
        <v>39</v>
      </c>
      <c r="J687" s="9">
        <v>9500</v>
      </c>
      <c r="K687" s="5" t="s">
        <v>39</v>
      </c>
      <c r="L687" s="10">
        <v>7.0000000000000007E-2</v>
      </c>
      <c r="O687" s="8" t="s">
        <v>39</v>
      </c>
      <c r="P687" s="4">
        <f>(C687+(E687*F687*H687))-N687</f>
        <v>1344</v>
      </c>
      <c r="Q687" s="8" t="s">
        <v>39</v>
      </c>
      <c r="R687" s="9">
        <f>S687/1.11</f>
        <v>10697513.513513513</v>
      </c>
      <c r="S687" s="9">
        <f>P687*(J687-(J687*L687)-((J687-(J687*L687))*M687))</f>
        <v>11874240</v>
      </c>
    </row>
    <row r="688" spans="1:21" x14ac:dyDescent="0.2">
      <c r="A688" s="2" t="s">
        <v>983</v>
      </c>
      <c r="B688" s="3" t="s">
        <v>170</v>
      </c>
      <c r="C688" s="4">
        <v>192</v>
      </c>
      <c r="D688" s="5" t="s">
        <v>39</v>
      </c>
      <c r="F688" s="7">
        <v>1</v>
      </c>
      <c r="G688" s="8" t="s">
        <v>19</v>
      </c>
      <c r="H688" s="7">
        <v>192</v>
      </c>
      <c r="I688" s="8" t="s">
        <v>39</v>
      </c>
      <c r="J688" s="9">
        <v>10525</v>
      </c>
      <c r="K688" s="5" t="s">
        <v>39</v>
      </c>
      <c r="L688" s="10">
        <v>7.0000000000000007E-2</v>
      </c>
      <c r="O688" s="8" t="s">
        <v>39</v>
      </c>
      <c r="P688" s="4">
        <f t="shared" ref="P688:P689" si="239">(C688+(E688*F688*H688))-N688</f>
        <v>192</v>
      </c>
      <c r="Q688" s="8" t="s">
        <v>39</v>
      </c>
      <c r="R688" s="9">
        <f>S688/1.11</f>
        <v>1693102.7027027025</v>
      </c>
      <c r="S688" s="9">
        <f t="shared" ref="S688:S689" si="240">P688*(J688-(J688*L688)-((J688-(J688*L688))*M688))</f>
        <v>1879344</v>
      </c>
    </row>
    <row r="689" spans="1:19" x14ac:dyDescent="0.2">
      <c r="A689" s="2" t="s">
        <v>984</v>
      </c>
      <c r="B689" s="3" t="s">
        <v>170</v>
      </c>
      <c r="C689" s="4">
        <v>144</v>
      </c>
      <c r="D689" s="5" t="s">
        <v>39</v>
      </c>
      <c r="F689" s="7">
        <v>1</v>
      </c>
      <c r="G689" s="8" t="s">
        <v>19</v>
      </c>
      <c r="H689" s="7">
        <v>144</v>
      </c>
      <c r="I689" s="8" t="s">
        <v>39</v>
      </c>
      <c r="J689" s="9">
        <v>8500</v>
      </c>
      <c r="K689" s="5" t="s">
        <v>39</v>
      </c>
      <c r="L689" s="10">
        <v>7.0000000000000007E-2</v>
      </c>
      <c r="O689" s="8" t="s">
        <v>39</v>
      </c>
      <c r="P689" s="4">
        <f t="shared" si="239"/>
        <v>144</v>
      </c>
      <c r="Q689" s="8" t="s">
        <v>39</v>
      </c>
      <c r="R689" s="9">
        <f>S689/1.11</f>
        <v>1025513.5135135134</v>
      </c>
      <c r="S689" s="9">
        <f t="shared" si="240"/>
        <v>1138320</v>
      </c>
    </row>
    <row r="690" spans="1:19" x14ac:dyDescent="0.2">
      <c r="A690" s="2" t="s">
        <v>986</v>
      </c>
      <c r="B690" s="3" t="s">
        <v>170</v>
      </c>
      <c r="D690" s="5" t="s">
        <v>150</v>
      </c>
      <c r="F690" s="7">
        <v>1</v>
      </c>
      <c r="G690" s="8" t="s">
        <v>19</v>
      </c>
      <c r="H690" s="7">
        <v>256</v>
      </c>
      <c r="I690" s="8" t="s">
        <v>150</v>
      </c>
      <c r="J690" s="9">
        <v>14500</v>
      </c>
      <c r="K690" s="5" t="s">
        <v>150</v>
      </c>
      <c r="L690" s="10">
        <v>7.0000000000000007E-2</v>
      </c>
      <c r="O690" s="8" t="s">
        <v>150</v>
      </c>
      <c r="P690" s="4">
        <f t="shared" ref="P690" si="241">(C690+(E690*F690*H690))-N690</f>
        <v>0</v>
      </c>
      <c r="Q690" s="8" t="s">
        <v>150</v>
      </c>
      <c r="R690" s="9">
        <f>S690/1.11</f>
        <v>0</v>
      </c>
      <c r="S690" s="9">
        <f t="shared" ref="S690" si="242">P690*(J690-(J690*L690)-((J690-(J690*L690))*M690))</f>
        <v>0</v>
      </c>
    </row>
    <row r="692" spans="1:19" x14ac:dyDescent="0.2">
      <c r="A692" s="30" t="s">
        <v>398</v>
      </c>
    </row>
    <row r="693" spans="1:19" x14ac:dyDescent="0.2">
      <c r="A693" s="16" t="s">
        <v>399</v>
      </c>
      <c r="B693" s="3" t="s">
        <v>17</v>
      </c>
      <c r="D693" s="5" t="s">
        <v>150</v>
      </c>
      <c r="F693" s="7">
        <v>8</v>
      </c>
      <c r="G693" s="8" t="s">
        <v>32</v>
      </c>
      <c r="H693" s="7">
        <v>24</v>
      </c>
      <c r="I693" s="8" t="s">
        <v>150</v>
      </c>
      <c r="J693" s="9">
        <v>16500</v>
      </c>
      <c r="K693" s="5" t="s">
        <v>150</v>
      </c>
      <c r="L693" s="10">
        <v>0.125</v>
      </c>
      <c r="M693" s="10">
        <v>0.05</v>
      </c>
      <c r="O693" s="8" t="s">
        <v>150</v>
      </c>
      <c r="P693" s="4">
        <f t="shared" ref="P693:P698" si="243">(C693+(E693*F693*H693))-N693</f>
        <v>0</v>
      </c>
      <c r="Q693" s="8" t="s">
        <v>150</v>
      </c>
      <c r="R693" s="9">
        <f>S693/1.11</f>
        <v>0</v>
      </c>
      <c r="S693" s="9">
        <f t="shared" ref="S693:S698" si="244">P693*(J693-(J693*L693)-((J693-(J693*L693))*M693))</f>
        <v>0</v>
      </c>
    </row>
    <row r="694" spans="1:19" x14ac:dyDescent="0.2">
      <c r="A694" s="16" t="s">
        <v>788</v>
      </c>
      <c r="B694" s="3" t="s">
        <v>17</v>
      </c>
      <c r="D694" s="5" t="s">
        <v>150</v>
      </c>
      <c r="F694" s="7">
        <v>12</v>
      </c>
      <c r="G694" s="8" t="s">
        <v>32</v>
      </c>
      <c r="H694" s="7">
        <v>24</v>
      </c>
      <c r="I694" s="8" t="s">
        <v>150</v>
      </c>
      <c r="J694" s="9">
        <v>14400</v>
      </c>
      <c r="K694" s="5" t="s">
        <v>150</v>
      </c>
      <c r="L694" s="10">
        <v>0.125</v>
      </c>
      <c r="M694" s="10">
        <v>0.05</v>
      </c>
      <c r="O694" s="8" t="s">
        <v>150</v>
      </c>
      <c r="P694" s="4">
        <f t="shared" si="243"/>
        <v>0</v>
      </c>
      <c r="Q694" s="8" t="s">
        <v>150</v>
      </c>
      <c r="R694" s="9">
        <f>S694/1.11</f>
        <v>0</v>
      </c>
      <c r="S694" s="9">
        <f t="shared" si="244"/>
        <v>0</v>
      </c>
    </row>
    <row r="695" spans="1:19" x14ac:dyDescent="0.2">
      <c r="A695" s="16" t="s">
        <v>400</v>
      </c>
      <c r="B695" s="3" t="s">
        <v>17</v>
      </c>
      <c r="D695" s="5" t="s">
        <v>150</v>
      </c>
      <c r="F695" s="7">
        <v>8</v>
      </c>
      <c r="G695" s="8" t="s">
        <v>32</v>
      </c>
      <c r="H695" s="7">
        <v>30</v>
      </c>
      <c r="I695" s="8" t="s">
        <v>150</v>
      </c>
      <c r="K695" s="5" t="s">
        <v>150</v>
      </c>
      <c r="L695" s="10">
        <v>0.1</v>
      </c>
      <c r="M695" s="10">
        <v>0.05</v>
      </c>
      <c r="O695" s="8" t="s">
        <v>150</v>
      </c>
      <c r="P695" s="4">
        <f t="shared" si="243"/>
        <v>0</v>
      </c>
      <c r="Q695" s="8" t="s">
        <v>150</v>
      </c>
      <c r="R695" s="9">
        <f>S695/1.11</f>
        <v>0</v>
      </c>
      <c r="S695" s="9">
        <f t="shared" si="244"/>
        <v>0</v>
      </c>
    </row>
    <row r="696" spans="1:19" x14ac:dyDescent="0.2">
      <c r="A696" s="16" t="s">
        <v>401</v>
      </c>
      <c r="B696" s="3" t="s">
        <v>17</v>
      </c>
      <c r="D696" s="5" t="s">
        <v>150</v>
      </c>
      <c r="F696" s="7">
        <v>8</v>
      </c>
      <c r="G696" s="8" t="s">
        <v>32</v>
      </c>
      <c r="H696" s="7">
        <v>24</v>
      </c>
      <c r="I696" s="8" t="s">
        <v>150</v>
      </c>
      <c r="J696" s="9">
        <v>21000</v>
      </c>
      <c r="K696" s="5" t="s">
        <v>150</v>
      </c>
      <c r="L696" s="10">
        <v>0.125</v>
      </c>
      <c r="M696" s="10">
        <v>0.05</v>
      </c>
      <c r="O696" s="8" t="s">
        <v>150</v>
      </c>
      <c r="P696" s="4">
        <f t="shared" si="243"/>
        <v>0</v>
      </c>
      <c r="Q696" s="8" t="s">
        <v>150</v>
      </c>
      <c r="R696" s="9">
        <f>S696/1.11</f>
        <v>0</v>
      </c>
      <c r="S696" s="9">
        <f t="shared" si="244"/>
        <v>0</v>
      </c>
    </row>
    <row r="697" spans="1:19" x14ac:dyDescent="0.2">
      <c r="A697" s="16" t="s">
        <v>402</v>
      </c>
      <c r="B697" s="3" t="s">
        <v>17</v>
      </c>
      <c r="D697" s="5" t="s">
        <v>150</v>
      </c>
      <c r="F697" s="7">
        <v>8</v>
      </c>
      <c r="G697" s="8" t="s">
        <v>32</v>
      </c>
      <c r="H697" s="7">
        <v>24</v>
      </c>
      <c r="I697" s="8" t="s">
        <v>150</v>
      </c>
      <c r="J697" s="9">
        <v>16800</v>
      </c>
      <c r="K697" s="5" t="s">
        <v>150</v>
      </c>
      <c r="L697" s="10">
        <v>0.125</v>
      </c>
      <c r="M697" s="10">
        <v>0.05</v>
      </c>
      <c r="O697" s="8" t="s">
        <v>150</v>
      </c>
      <c r="P697" s="4">
        <f t="shared" si="243"/>
        <v>0</v>
      </c>
      <c r="Q697" s="8" t="s">
        <v>150</v>
      </c>
      <c r="R697" s="9">
        <f>S697/1.11</f>
        <v>0</v>
      </c>
      <c r="S697" s="9">
        <f t="shared" si="244"/>
        <v>0</v>
      </c>
    </row>
    <row r="698" spans="1:19" x14ac:dyDescent="0.2">
      <c r="A698" s="16" t="s">
        <v>403</v>
      </c>
      <c r="B698" s="3" t="s">
        <v>17</v>
      </c>
      <c r="D698" s="5" t="s">
        <v>150</v>
      </c>
      <c r="F698" s="7">
        <v>6</v>
      </c>
      <c r="G698" s="8" t="s">
        <v>32</v>
      </c>
      <c r="H698" s="7">
        <v>24</v>
      </c>
      <c r="I698" s="8" t="s">
        <v>150</v>
      </c>
      <c r="J698" s="9">
        <v>21000</v>
      </c>
      <c r="K698" s="5" t="s">
        <v>150</v>
      </c>
      <c r="L698" s="10">
        <v>0.125</v>
      </c>
      <c r="M698" s="10">
        <v>0.05</v>
      </c>
      <c r="O698" s="8" t="s">
        <v>150</v>
      </c>
      <c r="P698" s="4">
        <f t="shared" si="243"/>
        <v>0</v>
      </c>
      <c r="Q698" s="8" t="s">
        <v>150</v>
      </c>
      <c r="R698" s="9">
        <f>S698/1.11</f>
        <v>0</v>
      </c>
      <c r="S698" s="9">
        <f t="shared" si="244"/>
        <v>0</v>
      </c>
    </row>
    <row r="699" spans="1:19" x14ac:dyDescent="0.2">
      <c r="A699" s="24"/>
    </row>
    <row r="700" spans="1:19" x14ac:dyDescent="0.2">
      <c r="A700" s="2" t="s">
        <v>404</v>
      </c>
      <c r="B700" s="3" t="s">
        <v>24</v>
      </c>
      <c r="D700" s="5" t="s">
        <v>150</v>
      </c>
      <c r="F700" s="7">
        <v>8</v>
      </c>
      <c r="G700" s="8" t="s">
        <v>32</v>
      </c>
      <c r="H700" s="7">
        <v>30</v>
      </c>
      <c r="I700" s="8" t="s">
        <v>150</v>
      </c>
      <c r="J700" s="9">
        <f>4800000/8/30</f>
        <v>20000</v>
      </c>
      <c r="K700" s="5" t="s">
        <v>150</v>
      </c>
      <c r="M700" s="10">
        <v>0.17</v>
      </c>
      <c r="O700" s="8" t="s">
        <v>150</v>
      </c>
      <c r="P700" s="4">
        <f>(C700+(E700*F700*H700))-N700</f>
        <v>0</v>
      </c>
      <c r="Q700" s="8" t="s">
        <v>150</v>
      </c>
      <c r="R700" s="9">
        <f>S700/1.11</f>
        <v>0</v>
      </c>
      <c r="S700" s="9">
        <f>P700*(J700-(J700*L700)-((J700-(J700*L700))*M700))</f>
        <v>0</v>
      </c>
    </row>
    <row r="701" spans="1:19" x14ac:dyDescent="0.2">
      <c r="A701" s="2" t="s">
        <v>665</v>
      </c>
      <c r="B701" s="3" t="s">
        <v>24</v>
      </c>
      <c r="D701" s="5" t="s">
        <v>150</v>
      </c>
      <c r="F701" s="7">
        <v>6</v>
      </c>
      <c r="G701" s="8" t="s">
        <v>32</v>
      </c>
      <c r="H701" s="7">
        <v>30</v>
      </c>
      <c r="I701" s="8" t="s">
        <v>150</v>
      </c>
      <c r="J701" s="9">
        <f>2664000/6/30</f>
        <v>14800</v>
      </c>
      <c r="K701" s="5" t="s">
        <v>150</v>
      </c>
      <c r="M701" s="10">
        <v>0.17</v>
      </c>
      <c r="O701" s="8" t="s">
        <v>150</v>
      </c>
      <c r="P701" s="4">
        <f>(C701+(E701*F701*H701))-N701</f>
        <v>0</v>
      </c>
      <c r="Q701" s="8" t="s">
        <v>150</v>
      </c>
      <c r="R701" s="9">
        <f>S701/1.11</f>
        <v>0</v>
      </c>
      <c r="S701" s="9">
        <f>P701*(J701-(J701*L701)-((J701-(J701*L701))*M701))</f>
        <v>0</v>
      </c>
    </row>
    <row r="703" spans="1:19" x14ac:dyDescent="0.2">
      <c r="A703" s="30" t="s">
        <v>405</v>
      </c>
    </row>
    <row r="704" spans="1:19" x14ac:dyDescent="0.2">
      <c r="A704" s="2" t="s">
        <v>406</v>
      </c>
      <c r="B704" s="3" t="s">
        <v>17</v>
      </c>
      <c r="D704" s="5" t="s">
        <v>39</v>
      </c>
      <c r="F704" s="7">
        <v>48</v>
      </c>
      <c r="G704" s="8" t="s">
        <v>32</v>
      </c>
      <c r="H704" s="7">
        <v>12</v>
      </c>
      <c r="I704" s="8" t="s">
        <v>18</v>
      </c>
      <c r="J704" s="9">
        <v>5800</v>
      </c>
      <c r="K704" s="5" t="s">
        <v>18</v>
      </c>
      <c r="L704" s="10">
        <v>0.125</v>
      </c>
      <c r="M704" s="10">
        <v>0.05</v>
      </c>
      <c r="O704" s="8" t="s">
        <v>18</v>
      </c>
      <c r="P704" s="4">
        <f>(C704+(E704*F704*H704))-N704</f>
        <v>0</v>
      </c>
      <c r="Q704" s="8" t="s">
        <v>18</v>
      </c>
      <c r="R704" s="9">
        <f>S704/1.11</f>
        <v>0</v>
      </c>
      <c r="S704" s="9">
        <f>P704*(J704-(J704*L704)-((J704-(J704*L704))*M704))</f>
        <v>0</v>
      </c>
    </row>
    <row r="705" spans="1:19" x14ac:dyDescent="0.2">
      <c r="A705" s="2" t="s">
        <v>938</v>
      </c>
      <c r="B705" s="3" t="s">
        <v>17</v>
      </c>
      <c r="D705" s="5" t="s">
        <v>39</v>
      </c>
      <c r="F705" s="7">
        <v>1</v>
      </c>
      <c r="G705" s="8" t="s">
        <v>19</v>
      </c>
      <c r="H705" s="7">
        <v>480</v>
      </c>
      <c r="I705" s="8" t="s">
        <v>18</v>
      </c>
      <c r="J705" s="9">
        <v>4250</v>
      </c>
      <c r="K705" s="5" t="s">
        <v>18</v>
      </c>
      <c r="L705" s="10">
        <v>0.125</v>
      </c>
      <c r="M705" s="10">
        <v>0.05</v>
      </c>
      <c r="O705" s="8" t="s">
        <v>18</v>
      </c>
      <c r="P705" s="4">
        <f>(C705+(E705*F705*H705))-N705</f>
        <v>0</v>
      </c>
      <c r="Q705" s="8" t="s">
        <v>18</v>
      </c>
      <c r="R705" s="9">
        <f>S705/1.11</f>
        <v>0</v>
      </c>
      <c r="S705" s="9">
        <f>P705*(J705-(J705*L705)-((J705-(J705*L705))*M705))</f>
        <v>0</v>
      </c>
    </row>
    <row r="707" spans="1:19" x14ac:dyDescent="0.2">
      <c r="A707" s="16" t="s">
        <v>761</v>
      </c>
      <c r="B707" s="3" t="s">
        <v>24</v>
      </c>
      <c r="D707" s="5" t="s">
        <v>18</v>
      </c>
      <c r="F707" s="7">
        <v>24</v>
      </c>
      <c r="G707" s="8" t="s">
        <v>32</v>
      </c>
      <c r="H707" s="7">
        <v>24</v>
      </c>
      <c r="I707" s="8" t="s">
        <v>18</v>
      </c>
      <c r="J707" s="9">
        <f>2822400/24/24</f>
        <v>4900</v>
      </c>
      <c r="K707" s="5" t="s">
        <v>18</v>
      </c>
      <c r="M707" s="10">
        <v>0.17</v>
      </c>
      <c r="O707" s="8" t="s">
        <v>18</v>
      </c>
      <c r="P707" s="4">
        <f>(C707+(E707*F707*H707))-N707</f>
        <v>0</v>
      </c>
      <c r="Q707" s="8" t="s">
        <v>18</v>
      </c>
      <c r="R707" s="9">
        <f>S707/1.11</f>
        <v>0</v>
      </c>
      <c r="S707" s="9">
        <f>P707*(J707-(J707*L707)-((J707-(J707*L707))*M707))</f>
        <v>0</v>
      </c>
    </row>
    <row r="708" spans="1:19" x14ac:dyDescent="0.2">
      <c r="A708" s="16" t="s">
        <v>762</v>
      </c>
      <c r="B708" s="3" t="s">
        <v>24</v>
      </c>
      <c r="D708" s="5" t="s">
        <v>39</v>
      </c>
      <c r="F708" s="7">
        <v>24</v>
      </c>
      <c r="G708" s="8" t="s">
        <v>32</v>
      </c>
      <c r="H708" s="7">
        <v>2</v>
      </c>
      <c r="I708" s="8" t="s">
        <v>39</v>
      </c>
      <c r="J708" s="9">
        <f>2592000/24/2</f>
        <v>54000</v>
      </c>
      <c r="K708" s="5" t="s">
        <v>39</v>
      </c>
      <c r="M708" s="10">
        <v>0.17</v>
      </c>
      <c r="O708" s="8" t="s">
        <v>39</v>
      </c>
      <c r="P708" s="4">
        <f>(C708+(E708*F708*H708))-N708</f>
        <v>0</v>
      </c>
      <c r="Q708" s="8" t="s">
        <v>39</v>
      </c>
      <c r="R708" s="9">
        <f>S708/1.11</f>
        <v>0</v>
      </c>
      <c r="S708" s="9">
        <f>P708*(J708-(J708*L708)-((J708-(J708*L708))*M708))</f>
        <v>0</v>
      </c>
    </row>
    <row r="709" spans="1:19" x14ac:dyDescent="0.2">
      <c r="A709" s="16" t="s">
        <v>763</v>
      </c>
      <c r="B709" s="3" t="s">
        <v>24</v>
      </c>
      <c r="D709" s="5" t="s">
        <v>18</v>
      </c>
      <c r="F709" s="7">
        <v>24</v>
      </c>
      <c r="G709" s="8" t="s">
        <v>32</v>
      </c>
      <c r="H709" s="7">
        <v>24</v>
      </c>
      <c r="I709" s="8" t="s">
        <v>18</v>
      </c>
      <c r="J709" s="9">
        <f>1900800/24/24</f>
        <v>3300</v>
      </c>
      <c r="K709" s="5" t="s">
        <v>18</v>
      </c>
      <c r="M709" s="10">
        <v>0.17</v>
      </c>
      <c r="O709" s="8" t="s">
        <v>18</v>
      </c>
      <c r="P709" s="4">
        <f>(C709+(E709*F709*H709))-N709</f>
        <v>0</v>
      </c>
      <c r="Q709" s="8" t="s">
        <v>18</v>
      </c>
      <c r="R709" s="9">
        <f>S709/1.11</f>
        <v>0</v>
      </c>
      <c r="S709" s="9">
        <f>P709*(J709-(J709*L709)-((J709-(J709*L709))*M709))</f>
        <v>0</v>
      </c>
    </row>
    <row r="710" spans="1:19" x14ac:dyDescent="0.2">
      <c r="A710" s="24"/>
    </row>
    <row r="711" spans="1:19" x14ac:dyDescent="0.2">
      <c r="A711" s="30" t="s">
        <v>1014</v>
      </c>
    </row>
    <row r="712" spans="1:19" x14ac:dyDescent="0.2">
      <c r="A712" s="16" t="s">
        <v>1015</v>
      </c>
      <c r="B712" s="3" t="s">
        <v>24</v>
      </c>
      <c r="D712" s="5" t="s">
        <v>39</v>
      </c>
      <c r="F712" s="7">
        <v>1</v>
      </c>
      <c r="G712" s="8" t="s">
        <v>19</v>
      </c>
      <c r="H712" s="7">
        <v>216</v>
      </c>
      <c r="I712" s="8" t="s">
        <v>39</v>
      </c>
      <c r="J712" s="9">
        <v>6000</v>
      </c>
      <c r="K712" s="5" t="s">
        <v>39</v>
      </c>
      <c r="L712" s="10">
        <v>0.05</v>
      </c>
      <c r="M712" s="10">
        <v>0.17</v>
      </c>
      <c r="O712" s="8" t="s">
        <v>39</v>
      </c>
      <c r="P712" s="4">
        <f t="shared" ref="P712" si="245">(C712+(E712*F712*H712))-N712</f>
        <v>0</v>
      </c>
      <c r="Q712" s="8" t="s">
        <v>39</v>
      </c>
      <c r="R712" s="9">
        <f>S712/1.11</f>
        <v>0</v>
      </c>
      <c r="S712" s="9">
        <f t="shared" ref="S712" si="246">P712*(J712-(J712*L712)-((J712-(J712*L712))*M712))</f>
        <v>0</v>
      </c>
    </row>
    <row r="713" spans="1:19" x14ac:dyDescent="0.2">
      <c r="A713" s="16" t="s">
        <v>1016</v>
      </c>
      <c r="B713" s="3" t="s">
        <v>24</v>
      </c>
      <c r="D713" s="5" t="s">
        <v>39</v>
      </c>
      <c r="F713" s="7">
        <v>1</v>
      </c>
      <c r="G713" s="8" t="s">
        <v>19</v>
      </c>
      <c r="H713" s="7">
        <v>216</v>
      </c>
      <c r="I713" s="8" t="s">
        <v>39</v>
      </c>
      <c r="J713" s="9">
        <v>6000</v>
      </c>
      <c r="K713" s="5" t="s">
        <v>39</v>
      </c>
      <c r="L713" s="10">
        <v>0.05</v>
      </c>
      <c r="M713" s="10">
        <v>0.17</v>
      </c>
      <c r="O713" s="8" t="s">
        <v>39</v>
      </c>
      <c r="P713" s="4">
        <f t="shared" ref="P713:P715" si="247">(C713+(E713*F713*H713))-N713</f>
        <v>0</v>
      </c>
      <c r="Q713" s="8" t="s">
        <v>39</v>
      </c>
      <c r="R713" s="9">
        <f>S713/1.11</f>
        <v>0</v>
      </c>
      <c r="S713" s="9">
        <f t="shared" ref="S713:S715" si="248">P713*(J713-(J713*L713)-((J713-(J713*L713))*M713))</f>
        <v>0</v>
      </c>
    </row>
    <row r="714" spans="1:19" x14ac:dyDescent="0.2">
      <c r="A714" s="16" t="s">
        <v>1017</v>
      </c>
      <c r="B714" s="3" t="s">
        <v>24</v>
      </c>
      <c r="D714" s="5" t="s">
        <v>39</v>
      </c>
      <c r="F714" s="7">
        <v>1</v>
      </c>
      <c r="G714" s="8" t="s">
        <v>19</v>
      </c>
      <c r="H714" s="7">
        <v>216</v>
      </c>
      <c r="I714" s="8" t="s">
        <v>39</v>
      </c>
      <c r="J714" s="9">
        <v>6000</v>
      </c>
      <c r="K714" s="5" t="s">
        <v>39</v>
      </c>
      <c r="L714" s="10">
        <v>0.05</v>
      </c>
      <c r="M714" s="10">
        <v>0.17</v>
      </c>
      <c r="O714" s="8" t="s">
        <v>39</v>
      </c>
      <c r="P714" s="4">
        <f t="shared" si="247"/>
        <v>0</v>
      </c>
      <c r="Q714" s="8" t="s">
        <v>39</v>
      </c>
      <c r="R714" s="9">
        <f>S714/1.11</f>
        <v>0</v>
      </c>
      <c r="S714" s="9">
        <f t="shared" si="248"/>
        <v>0</v>
      </c>
    </row>
    <row r="715" spans="1:19" x14ac:dyDescent="0.2">
      <c r="A715" s="16" t="s">
        <v>1018</v>
      </c>
      <c r="B715" s="3" t="s">
        <v>24</v>
      </c>
      <c r="D715" s="5" t="s">
        <v>39</v>
      </c>
      <c r="F715" s="7">
        <v>1</v>
      </c>
      <c r="G715" s="8" t="s">
        <v>19</v>
      </c>
      <c r="H715" s="7">
        <v>216</v>
      </c>
      <c r="I715" s="8" t="s">
        <v>39</v>
      </c>
      <c r="J715" s="9">
        <v>6000</v>
      </c>
      <c r="K715" s="5" t="s">
        <v>39</v>
      </c>
      <c r="L715" s="10">
        <v>0.05</v>
      </c>
      <c r="M715" s="10">
        <v>0.17</v>
      </c>
      <c r="O715" s="8" t="s">
        <v>39</v>
      </c>
      <c r="P715" s="4">
        <f t="shared" si="247"/>
        <v>0</v>
      </c>
      <c r="Q715" s="8" t="s">
        <v>39</v>
      </c>
      <c r="R715" s="9">
        <f>S715/1.11</f>
        <v>0</v>
      </c>
      <c r="S715" s="9">
        <f t="shared" si="248"/>
        <v>0</v>
      </c>
    </row>
    <row r="716" spans="1:19" x14ac:dyDescent="0.2">
      <c r="A716" s="24"/>
    </row>
    <row r="717" spans="1:19" x14ac:dyDescent="0.2">
      <c r="A717" s="30" t="s">
        <v>407</v>
      </c>
    </row>
    <row r="718" spans="1:19" x14ac:dyDescent="0.2">
      <c r="A718" s="2" t="s">
        <v>408</v>
      </c>
      <c r="B718" s="3" t="s">
        <v>17</v>
      </c>
      <c r="D718" s="5" t="s">
        <v>97</v>
      </c>
      <c r="F718" s="7">
        <v>18</v>
      </c>
      <c r="G718" s="8" t="s">
        <v>32</v>
      </c>
      <c r="H718" s="7">
        <v>12</v>
      </c>
      <c r="I718" s="8" t="s">
        <v>97</v>
      </c>
      <c r="J718" s="9">
        <f>36000/12</f>
        <v>3000</v>
      </c>
      <c r="K718" s="5" t="s">
        <v>97</v>
      </c>
      <c r="L718" s="10">
        <v>0.125</v>
      </c>
      <c r="M718" s="10">
        <v>0.05</v>
      </c>
      <c r="O718" s="8" t="s">
        <v>97</v>
      </c>
      <c r="P718" s="4">
        <f>(C718+(E718*F718*H718))-N718</f>
        <v>0</v>
      </c>
      <c r="Q718" s="8" t="s">
        <v>97</v>
      </c>
      <c r="R718" s="9">
        <f>S718/1.11</f>
        <v>0</v>
      </c>
      <c r="S718" s="9">
        <f>P718*(J718-(J718*L718)-((J718-(J718*L718))*M718))</f>
        <v>0</v>
      </c>
    </row>
    <row r="719" spans="1:19" x14ac:dyDescent="0.2">
      <c r="A719" s="2" t="s">
        <v>409</v>
      </c>
      <c r="B719" s="3" t="s">
        <v>17</v>
      </c>
      <c r="D719" s="5" t="s">
        <v>39</v>
      </c>
      <c r="F719" s="7">
        <v>18</v>
      </c>
      <c r="G719" s="8" t="s">
        <v>32</v>
      </c>
      <c r="H719" s="7">
        <v>24</v>
      </c>
      <c r="I719" s="8" t="s">
        <v>39</v>
      </c>
      <c r="J719" s="9">
        <v>27600</v>
      </c>
      <c r="K719" s="5" t="s">
        <v>39</v>
      </c>
      <c r="L719" s="10">
        <v>0.125</v>
      </c>
      <c r="M719" s="10">
        <v>0.05</v>
      </c>
      <c r="O719" s="8" t="s">
        <v>39</v>
      </c>
      <c r="P719" s="4">
        <f>(C719+(E719*F719*H719))-N719</f>
        <v>0</v>
      </c>
      <c r="Q719" s="8" t="s">
        <v>39</v>
      </c>
      <c r="R719" s="9">
        <f>S719/1.11</f>
        <v>0</v>
      </c>
      <c r="S719" s="9">
        <f>P719*(J719-(J719*L719)-((J719-(J719*L719))*M719))</f>
        <v>0</v>
      </c>
    </row>
    <row r="721" spans="1:19" x14ac:dyDescent="0.2">
      <c r="A721" s="2" t="s">
        <v>410</v>
      </c>
      <c r="B721" s="3" t="s">
        <v>258</v>
      </c>
      <c r="D721" s="5" t="s">
        <v>39</v>
      </c>
      <c r="F721" s="7">
        <v>1</v>
      </c>
      <c r="G721" s="8" t="s">
        <v>19</v>
      </c>
      <c r="H721" s="7">
        <v>96</v>
      </c>
      <c r="I721" s="8" t="s">
        <v>39</v>
      </c>
      <c r="J721" s="9">
        <v>9500</v>
      </c>
      <c r="K721" s="5" t="s">
        <v>39</v>
      </c>
      <c r="O721" s="8" t="s">
        <v>39</v>
      </c>
      <c r="P721" s="4">
        <f>(C721+(E721*F721*H721))-N721</f>
        <v>0</v>
      </c>
      <c r="Q721" s="8" t="s">
        <v>39</v>
      </c>
      <c r="R721" s="9">
        <f>S721/1.11</f>
        <v>0</v>
      </c>
      <c r="S721" s="9">
        <f>P721*(J721-(J721*L721)-((J721-(J721*L721))*M721))</f>
        <v>0</v>
      </c>
    </row>
    <row r="722" spans="1:19" x14ac:dyDescent="0.2">
      <c r="A722" s="2" t="s">
        <v>855</v>
      </c>
      <c r="B722" s="3" t="s">
        <v>258</v>
      </c>
      <c r="D722" s="5" t="s">
        <v>97</v>
      </c>
      <c r="F722" s="7">
        <v>1</v>
      </c>
      <c r="G722" s="8" t="s">
        <v>19</v>
      </c>
      <c r="H722" s="7">
        <v>80</v>
      </c>
      <c r="I722" s="8" t="s">
        <v>97</v>
      </c>
      <c r="J722" s="9">
        <v>22500</v>
      </c>
      <c r="K722" s="5" t="s">
        <v>97</v>
      </c>
      <c r="O722" s="8" t="s">
        <v>97</v>
      </c>
      <c r="P722" s="4">
        <f>(C722+(E722*F722*H722))-N722</f>
        <v>0</v>
      </c>
      <c r="Q722" s="8" t="s">
        <v>97</v>
      </c>
      <c r="R722" s="9">
        <f>S722/1.11</f>
        <v>0</v>
      </c>
      <c r="S722" s="9">
        <f>P722*(J722-(J722*L722)-((J722-(J722*L722))*M722))</f>
        <v>0</v>
      </c>
    </row>
    <row r="724" spans="1:19" x14ac:dyDescent="0.2">
      <c r="A724" s="2" t="s">
        <v>1022</v>
      </c>
      <c r="B724" s="3" t="s">
        <v>1023</v>
      </c>
      <c r="D724" s="5" t="s">
        <v>18</v>
      </c>
      <c r="F724" s="7">
        <v>1</v>
      </c>
      <c r="G724" s="8" t="s">
        <v>19</v>
      </c>
      <c r="H724" s="7">
        <v>2000</v>
      </c>
      <c r="I724" s="8" t="s">
        <v>18</v>
      </c>
      <c r="J724" s="9">
        <v>1</v>
      </c>
      <c r="K724" s="5" t="s">
        <v>815</v>
      </c>
      <c r="O724" s="8" t="s">
        <v>815</v>
      </c>
      <c r="P724" s="4">
        <f>(C724+(E724*F724*H724))-N724</f>
        <v>0</v>
      </c>
      <c r="Q724" s="8" t="s">
        <v>97</v>
      </c>
      <c r="R724" s="9">
        <f>S724/1.11</f>
        <v>0</v>
      </c>
      <c r="S724" s="9">
        <f>P724*(J724-(J724*L724)-((J724-(J724*L724))*M724))</f>
        <v>0</v>
      </c>
    </row>
    <row r="726" spans="1:19" x14ac:dyDescent="0.2">
      <c r="A726" s="2" t="s">
        <v>411</v>
      </c>
      <c r="B726" s="3" t="s">
        <v>24</v>
      </c>
      <c r="D726" s="5" t="s">
        <v>18</v>
      </c>
      <c r="F726" s="7">
        <v>144</v>
      </c>
      <c r="G726" s="8" t="s">
        <v>32</v>
      </c>
      <c r="H726" s="7">
        <v>24</v>
      </c>
      <c r="I726" s="8" t="s">
        <v>815</v>
      </c>
      <c r="J726" s="9">
        <v>1950</v>
      </c>
      <c r="K726" s="5" t="s">
        <v>815</v>
      </c>
      <c r="M726" s="10">
        <v>0.17</v>
      </c>
      <c r="O726" s="8" t="s">
        <v>39</v>
      </c>
      <c r="P726" s="4">
        <f>(C726+(E726*F726*H726))-N726</f>
        <v>0</v>
      </c>
      <c r="Q726" s="8" t="s">
        <v>39</v>
      </c>
      <c r="R726" s="9">
        <f>S726/1.11</f>
        <v>0</v>
      </c>
      <c r="S726" s="9">
        <f>P726*(J726-(J726*L726)-((J726-(J726*L726))*M726))</f>
        <v>0</v>
      </c>
    </row>
    <row r="727" spans="1:19" x14ac:dyDescent="0.2">
      <c r="A727" s="2" t="s">
        <v>412</v>
      </c>
      <c r="B727" s="3" t="s">
        <v>24</v>
      </c>
      <c r="D727" s="5" t="s">
        <v>32</v>
      </c>
      <c r="F727" s="7">
        <v>1</v>
      </c>
      <c r="G727" s="8" t="s">
        <v>19</v>
      </c>
      <c r="H727" s="7">
        <v>120</v>
      </c>
      <c r="I727" s="8" t="s">
        <v>32</v>
      </c>
      <c r="J727" s="9">
        <f>2160000/120</f>
        <v>18000</v>
      </c>
      <c r="K727" s="5" t="s">
        <v>32</v>
      </c>
      <c r="M727" s="10">
        <v>0.17</v>
      </c>
      <c r="O727" s="8" t="s">
        <v>32</v>
      </c>
      <c r="P727" s="4">
        <f>(C727+(E727*F727*H727))-N727</f>
        <v>0</v>
      </c>
      <c r="Q727" s="8" t="s">
        <v>32</v>
      </c>
      <c r="R727" s="9">
        <f>S727/1.11</f>
        <v>0</v>
      </c>
      <c r="S727" s="9">
        <f>P727*(J727-(J727*L727)-((J727-(J727*L727))*M727))</f>
        <v>0</v>
      </c>
    </row>
    <row r="729" spans="1:19" x14ac:dyDescent="0.2">
      <c r="A729" s="2" t="s">
        <v>413</v>
      </c>
      <c r="B729" s="3" t="s">
        <v>180</v>
      </c>
      <c r="D729" s="5" t="s">
        <v>32</v>
      </c>
      <c r="F729" s="7">
        <v>1</v>
      </c>
      <c r="G729" s="8" t="s">
        <v>19</v>
      </c>
      <c r="H729" s="7">
        <v>240</v>
      </c>
      <c r="I729" s="8" t="s">
        <v>32</v>
      </c>
      <c r="J729" s="9">
        <v>5500</v>
      </c>
      <c r="K729" s="5" t="s">
        <v>32</v>
      </c>
      <c r="O729" s="8" t="s">
        <v>32</v>
      </c>
      <c r="P729" s="4">
        <f>(C729+(E729*F729*H729))-N729</f>
        <v>0</v>
      </c>
      <c r="Q729" s="8" t="s">
        <v>32</v>
      </c>
      <c r="R729" s="9">
        <f>S729/1.11</f>
        <v>0</v>
      </c>
      <c r="S729" s="9">
        <f>P729*(J729-(J729*L729)-((J729-(J729*L729))*M729))</f>
        <v>0</v>
      </c>
    </row>
    <row r="731" spans="1:19" x14ac:dyDescent="0.2">
      <c r="A731" s="30" t="s">
        <v>502</v>
      </c>
    </row>
    <row r="732" spans="1:19" x14ac:dyDescent="0.2">
      <c r="A732" s="2" t="s">
        <v>1037</v>
      </c>
      <c r="B732" s="3" t="s">
        <v>17</v>
      </c>
      <c r="D732" s="5" t="s">
        <v>18</v>
      </c>
      <c r="F732" s="7">
        <v>48</v>
      </c>
      <c r="G732" s="8" t="s">
        <v>32</v>
      </c>
      <c r="H732" s="7">
        <v>12</v>
      </c>
      <c r="I732" s="8" t="s">
        <v>18</v>
      </c>
      <c r="J732" s="9">
        <v>2350</v>
      </c>
      <c r="K732" s="5" t="s">
        <v>18</v>
      </c>
      <c r="L732" s="10">
        <v>0.125</v>
      </c>
      <c r="M732" s="10">
        <v>0.05</v>
      </c>
      <c r="O732" s="8" t="s">
        <v>18</v>
      </c>
      <c r="P732" s="4">
        <f>(C732+(E732*F732*H732))-N732</f>
        <v>0</v>
      </c>
      <c r="Q732" s="8" t="s">
        <v>18</v>
      </c>
      <c r="R732" s="9">
        <f>S732/1.11</f>
        <v>0</v>
      </c>
      <c r="S732" s="9">
        <f>P732*(J732-(J732*L732)-((J732-(J732*L732))*M732))</f>
        <v>0</v>
      </c>
    </row>
    <row r="734" spans="1:19" x14ac:dyDescent="0.2">
      <c r="A734" s="15" t="s">
        <v>503</v>
      </c>
      <c r="B734" s="3" t="s">
        <v>24</v>
      </c>
      <c r="D734" s="5" t="s">
        <v>39</v>
      </c>
      <c r="F734" s="7">
        <v>1</v>
      </c>
      <c r="G734" s="8" t="s">
        <v>19</v>
      </c>
      <c r="H734" s="7">
        <v>60</v>
      </c>
      <c r="I734" s="8" t="s">
        <v>39</v>
      </c>
      <c r="J734" s="9">
        <f>2160000/60</f>
        <v>36000</v>
      </c>
      <c r="K734" s="5" t="s">
        <v>39</v>
      </c>
      <c r="M734" s="10">
        <v>0.17</v>
      </c>
      <c r="O734" s="8" t="s">
        <v>39</v>
      </c>
      <c r="P734" s="4">
        <f>(C734+(E734*F734*H734))-N734</f>
        <v>0</v>
      </c>
      <c r="Q734" s="8" t="s">
        <v>39</v>
      </c>
      <c r="R734" s="9">
        <f>S734/1.11</f>
        <v>0</v>
      </c>
      <c r="S734" s="9">
        <f>P734*(J734-(J734*L734)-((J734-(J734*L734))*M734))</f>
        <v>0</v>
      </c>
    </row>
    <row r="735" spans="1:19" x14ac:dyDescent="0.2">
      <c r="A735" s="15" t="s">
        <v>504</v>
      </c>
      <c r="B735" s="3" t="s">
        <v>24</v>
      </c>
      <c r="D735" s="5" t="s">
        <v>39</v>
      </c>
      <c r="F735" s="7">
        <v>12</v>
      </c>
      <c r="G735" s="8" t="s">
        <v>82</v>
      </c>
      <c r="H735" s="7">
        <v>12</v>
      </c>
      <c r="I735" s="8" t="s">
        <v>39</v>
      </c>
      <c r="J735" s="9">
        <f>1555200/144</f>
        <v>10800</v>
      </c>
      <c r="K735" s="5" t="s">
        <v>39</v>
      </c>
      <c r="L735" s="10">
        <v>0.05</v>
      </c>
      <c r="M735" s="10">
        <v>0.17</v>
      </c>
      <c r="O735" s="8" t="s">
        <v>39</v>
      </c>
      <c r="P735" s="4">
        <f>(C735+(E735*F735*H735))-N735</f>
        <v>0</v>
      </c>
      <c r="Q735" s="8" t="s">
        <v>39</v>
      </c>
      <c r="R735" s="9">
        <f>S735/1.11</f>
        <v>0</v>
      </c>
      <c r="S735" s="9">
        <f>P735*(J735-(J735*L735)-((J735-(J735*L735))*M735))</f>
        <v>0</v>
      </c>
    </row>
    <row r="736" spans="1:19" x14ac:dyDescent="0.2">
      <c r="A736" s="12"/>
    </row>
    <row r="737" spans="1:19" x14ac:dyDescent="0.2">
      <c r="A737" s="15" t="s">
        <v>973</v>
      </c>
      <c r="B737" s="3" t="s">
        <v>587</v>
      </c>
      <c r="D737" s="5" t="s">
        <v>150</v>
      </c>
      <c r="F737" s="7">
        <v>1</v>
      </c>
      <c r="G737" s="8" t="s">
        <v>97</v>
      </c>
      <c r="H737" s="7">
        <v>12</v>
      </c>
      <c r="I737" s="8" t="s">
        <v>150</v>
      </c>
      <c r="J737" s="9">
        <f>3195.95</f>
        <v>3195.95</v>
      </c>
      <c r="K737" s="5" t="s">
        <v>150</v>
      </c>
      <c r="O737" s="8" t="s">
        <v>150</v>
      </c>
      <c r="P737" s="4">
        <f>(C737+(E737*F737*H737))-N737</f>
        <v>0</v>
      </c>
      <c r="Q737" s="8" t="s">
        <v>39</v>
      </c>
      <c r="R737" s="9">
        <f>S737/1.11</f>
        <v>0</v>
      </c>
      <c r="S737" s="9">
        <f>P737*(J737-(J737*L737)-((J737-(J737*L737))*M737))</f>
        <v>0</v>
      </c>
    </row>
    <row r="738" spans="1:19" x14ac:dyDescent="0.2">
      <c r="A738" s="12"/>
    </row>
    <row r="739" spans="1:19" x14ac:dyDescent="0.2">
      <c r="A739" s="30" t="s">
        <v>505</v>
      </c>
    </row>
    <row r="740" spans="1:19" x14ac:dyDescent="0.2">
      <c r="A740" s="15" t="s">
        <v>506</v>
      </c>
      <c r="B740" s="3" t="s">
        <v>24</v>
      </c>
      <c r="D740" s="5" t="s">
        <v>39</v>
      </c>
      <c r="F740" s="7">
        <v>1</v>
      </c>
      <c r="G740" s="8" t="s">
        <v>19</v>
      </c>
      <c r="H740" s="7">
        <v>60</v>
      </c>
      <c r="I740" s="8" t="s">
        <v>39</v>
      </c>
      <c r="J740" s="9">
        <f>2268000/60</f>
        <v>37800</v>
      </c>
      <c r="K740" s="5" t="s">
        <v>39</v>
      </c>
      <c r="M740" s="10">
        <v>0.17</v>
      </c>
      <c r="O740" s="8" t="s">
        <v>39</v>
      </c>
      <c r="P740" s="4">
        <f>(C740+(E740*F740*H740))-N740</f>
        <v>0</v>
      </c>
      <c r="Q740" s="8" t="s">
        <v>39</v>
      </c>
      <c r="R740" s="9">
        <f>S740/1.11</f>
        <v>0</v>
      </c>
      <c r="S740" s="9">
        <f>P740*(J740-(J740*L740)-((J740-(J740*L740))*M740))</f>
        <v>0</v>
      </c>
    </row>
    <row r="741" spans="1:19" x14ac:dyDescent="0.2">
      <c r="A741" s="15"/>
    </row>
    <row r="742" spans="1:19" x14ac:dyDescent="0.2">
      <c r="A742" s="15" t="s">
        <v>1009</v>
      </c>
      <c r="B742" s="3" t="s">
        <v>17</v>
      </c>
      <c r="C742" s="4">
        <v>2880</v>
      </c>
      <c r="D742" s="5" t="s">
        <v>815</v>
      </c>
      <c r="F742" s="7">
        <v>1</v>
      </c>
      <c r="G742" s="8" t="s">
        <v>815</v>
      </c>
      <c r="H742" s="7">
        <v>576</v>
      </c>
      <c r="I742" s="8" t="s">
        <v>815</v>
      </c>
      <c r="J742" s="9">
        <v>2300</v>
      </c>
      <c r="K742" s="5" t="s">
        <v>815</v>
      </c>
      <c r="L742" s="10">
        <v>0.125</v>
      </c>
      <c r="M742" s="10">
        <v>0.05</v>
      </c>
      <c r="O742" s="8" t="s">
        <v>815</v>
      </c>
      <c r="P742" s="4">
        <f>(C742+(E742*F742*H742))-N742</f>
        <v>2880</v>
      </c>
      <c r="Q742" s="8" t="s">
        <v>815</v>
      </c>
      <c r="R742" s="9">
        <f>S742/1.11</f>
        <v>4960540.5405405397</v>
      </c>
      <c r="S742" s="9">
        <f>P742*(J742-(J742*L742)-((J742-(J742*L742))*M742))</f>
        <v>5506200</v>
      </c>
    </row>
    <row r="744" spans="1:19" x14ac:dyDescent="0.2">
      <c r="A744" s="2" t="s">
        <v>729</v>
      </c>
      <c r="B744" s="3" t="s">
        <v>587</v>
      </c>
      <c r="D744" s="5" t="s">
        <v>150</v>
      </c>
      <c r="F744" s="7">
        <v>1</v>
      </c>
      <c r="G744" s="8" t="s">
        <v>150</v>
      </c>
      <c r="H744" s="7">
        <v>1</v>
      </c>
      <c r="I744" s="8" t="s">
        <v>150</v>
      </c>
      <c r="J744" s="9">
        <v>4000</v>
      </c>
      <c r="K744" s="5" t="s">
        <v>18</v>
      </c>
      <c r="M744" s="10">
        <v>1.0999999999999999E-2</v>
      </c>
      <c r="O744" s="8" t="s">
        <v>18</v>
      </c>
      <c r="P744" s="4">
        <f>(C744+(E744*F744*H744))-N744</f>
        <v>0</v>
      </c>
      <c r="Q744" s="8" t="s">
        <v>18</v>
      </c>
      <c r="R744" s="9">
        <f>S744/1.11</f>
        <v>0</v>
      </c>
      <c r="S744" s="9">
        <f>P744*(J744-(J744*L744)-((J744-(J744*L744))*M744))</f>
        <v>0</v>
      </c>
    </row>
    <row r="745" spans="1:19" x14ac:dyDescent="0.2">
      <c r="A745" s="12"/>
    </row>
    <row r="746" spans="1:19" x14ac:dyDescent="0.2">
      <c r="A746" s="30" t="s">
        <v>507</v>
      </c>
    </row>
    <row r="747" spans="1:19" x14ac:dyDescent="0.2">
      <c r="A747" s="2" t="s">
        <v>508</v>
      </c>
      <c r="B747" s="3" t="s">
        <v>17</v>
      </c>
      <c r="D747" s="5" t="s">
        <v>150</v>
      </c>
      <c r="F747" s="7">
        <v>8</v>
      </c>
      <c r="G747" s="8" t="s">
        <v>32</v>
      </c>
      <c r="H747" s="7">
        <v>12</v>
      </c>
      <c r="I747" s="8" t="s">
        <v>150</v>
      </c>
      <c r="J747" s="9">
        <v>19000</v>
      </c>
      <c r="K747" s="5" t="s">
        <v>150</v>
      </c>
      <c r="L747" s="10">
        <v>0.125</v>
      </c>
      <c r="M747" s="10">
        <v>0.05</v>
      </c>
      <c r="O747" s="8" t="s">
        <v>150</v>
      </c>
      <c r="P747" s="4">
        <f t="shared" ref="P747" si="249">(C747+(E747*F747*H747))-N747</f>
        <v>0</v>
      </c>
      <c r="Q747" s="8" t="s">
        <v>150</v>
      </c>
      <c r="R747" s="9">
        <f>S747/1.11</f>
        <v>0</v>
      </c>
      <c r="S747" s="9">
        <f t="shared" ref="S747" si="250">P747*(J747-(J747*L747)-((J747-(J747*L747))*M747))</f>
        <v>0</v>
      </c>
    </row>
    <row r="748" spans="1:19" x14ac:dyDescent="0.2">
      <c r="A748" s="2" t="s">
        <v>509</v>
      </c>
      <c r="B748" s="3" t="s">
        <v>17</v>
      </c>
      <c r="D748" s="5" t="s">
        <v>150</v>
      </c>
      <c r="F748" s="7">
        <v>8</v>
      </c>
      <c r="G748" s="8" t="s">
        <v>32</v>
      </c>
      <c r="H748" s="7">
        <v>6</v>
      </c>
      <c r="I748" s="8" t="s">
        <v>150</v>
      </c>
      <c r="J748" s="9">
        <v>34000</v>
      </c>
      <c r="K748" s="5" t="s">
        <v>150</v>
      </c>
      <c r="L748" s="10">
        <v>0.125</v>
      </c>
      <c r="M748" s="10">
        <v>0.05</v>
      </c>
      <c r="O748" s="8" t="s">
        <v>150</v>
      </c>
      <c r="P748" s="4">
        <f t="shared" ref="P748:P751" si="251">(C748+(E748*F748*H748))-N748</f>
        <v>0</v>
      </c>
      <c r="Q748" s="8" t="s">
        <v>150</v>
      </c>
      <c r="R748" s="9">
        <f>S748/1.11</f>
        <v>0</v>
      </c>
      <c r="S748" s="9">
        <f t="shared" ref="S748:S751" si="252">P748*(J748-(J748*L748)-((J748-(J748*L748))*M748))</f>
        <v>0</v>
      </c>
    </row>
    <row r="749" spans="1:19" x14ac:dyDescent="0.2">
      <c r="A749" s="2" t="s">
        <v>510</v>
      </c>
      <c r="B749" s="3" t="s">
        <v>17</v>
      </c>
      <c r="D749" s="5" t="s">
        <v>150</v>
      </c>
      <c r="F749" s="7">
        <v>6</v>
      </c>
      <c r="G749" s="8" t="s">
        <v>32</v>
      </c>
      <c r="H749" s="7">
        <v>24</v>
      </c>
      <c r="I749" s="8" t="s">
        <v>150</v>
      </c>
      <c r="J749" s="9">
        <v>28000</v>
      </c>
      <c r="K749" s="5" t="s">
        <v>150</v>
      </c>
      <c r="L749" s="10">
        <v>0.125</v>
      </c>
      <c r="M749" s="10">
        <v>0.05</v>
      </c>
      <c r="O749" s="8" t="s">
        <v>150</v>
      </c>
      <c r="P749" s="4">
        <f t="shared" si="251"/>
        <v>0</v>
      </c>
      <c r="Q749" s="8" t="s">
        <v>150</v>
      </c>
      <c r="R749" s="9">
        <f>S749/1.11</f>
        <v>0</v>
      </c>
      <c r="S749" s="9">
        <f t="shared" si="252"/>
        <v>0</v>
      </c>
    </row>
    <row r="750" spans="1:19" x14ac:dyDescent="0.2">
      <c r="A750" s="2" t="s">
        <v>511</v>
      </c>
      <c r="B750" s="3" t="s">
        <v>17</v>
      </c>
      <c r="D750" s="5" t="s">
        <v>150</v>
      </c>
      <c r="F750" s="7">
        <v>6</v>
      </c>
      <c r="G750" s="8" t="s">
        <v>32</v>
      </c>
      <c r="H750" s="7">
        <v>12</v>
      </c>
      <c r="I750" s="8" t="s">
        <v>150</v>
      </c>
      <c r="J750" s="9">
        <v>63000</v>
      </c>
      <c r="K750" s="5" t="s">
        <v>150</v>
      </c>
      <c r="L750" s="10">
        <v>0.125</v>
      </c>
      <c r="M750" s="10">
        <v>0.05</v>
      </c>
      <c r="O750" s="8" t="s">
        <v>150</v>
      </c>
      <c r="P750" s="4">
        <f t="shared" si="251"/>
        <v>0</v>
      </c>
      <c r="Q750" s="8" t="s">
        <v>150</v>
      </c>
      <c r="R750" s="9">
        <f>S750/1.11</f>
        <v>0</v>
      </c>
      <c r="S750" s="9">
        <f t="shared" si="252"/>
        <v>0</v>
      </c>
    </row>
    <row r="751" spans="1:19" x14ac:dyDescent="0.2">
      <c r="A751" s="2" t="s">
        <v>512</v>
      </c>
      <c r="B751" s="3" t="s">
        <v>17</v>
      </c>
      <c r="D751" s="5" t="s">
        <v>150</v>
      </c>
      <c r="F751" s="7">
        <v>6</v>
      </c>
      <c r="G751" s="8" t="s">
        <v>32</v>
      </c>
      <c r="H751" s="7">
        <v>24</v>
      </c>
      <c r="I751" s="8" t="s">
        <v>150</v>
      </c>
      <c r="K751" s="5" t="s">
        <v>150</v>
      </c>
      <c r="L751" s="10">
        <v>0.1</v>
      </c>
      <c r="M751" s="10">
        <v>0.05</v>
      </c>
      <c r="O751" s="8" t="s">
        <v>150</v>
      </c>
      <c r="P751" s="4">
        <f t="shared" si="251"/>
        <v>0</v>
      </c>
      <c r="Q751" s="8" t="s">
        <v>150</v>
      </c>
      <c r="R751" s="9">
        <f>S751/1.11</f>
        <v>0</v>
      </c>
      <c r="S751" s="9">
        <f t="shared" si="252"/>
        <v>0</v>
      </c>
    </row>
    <row r="753" spans="1:19" x14ac:dyDescent="0.2">
      <c r="A753" s="2" t="s">
        <v>851</v>
      </c>
      <c r="B753" s="3" t="s">
        <v>24</v>
      </c>
      <c r="D753" s="5" t="s">
        <v>150</v>
      </c>
      <c r="F753" s="7">
        <v>6</v>
      </c>
      <c r="G753" s="8" t="s">
        <v>32</v>
      </c>
      <c r="H753" s="7">
        <v>24</v>
      </c>
      <c r="I753" s="8" t="s">
        <v>150</v>
      </c>
      <c r="J753" s="9">
        <v>25000</v>
      </c>
      <c r="K753" s="5" t="s">
        <v>150</v>
      </c>
      <c r="L753" s="10">
        <v>0.05</v>
      </c>
      <c r="M753" s="10">
        <v>0.17</v>
      </c>
      <c r="O753" s="8" t="s">
        <v>150</v>
      </c>
      <c r="P753" s="4">
        <f>(C753+(E753*F753*H753))-N753</f>
        <v>0</v>
      </c>
      <c r="Q753" s="8" t="s">
        <v>150</v>
      </c>
      <c r="R753" s="9">
        <f>S753/1.11</f>
        <v>0</v>
      </c>
      <c r="S753" s="9">
        <f>P753*(J753-(J753*L753)-((J753-(J753*L753))*M753))</f>
        <v>0</v>
      </c>
    </row>
    <row r="754" spans="1:19" x14ac:dyDescent="0.2">
      <c r="A754" s="2" t="s">
        <v>879</v>
      </c>
      <c r="B754" s="3" t="s">
        <v>24</v>
      </c>
      <c r="D754" s="5" t="s">
        <v>150</v>
      </c>
      <c r="F754" s="7">
        <v>6</v>
      </c>
      <c r="G754" s="8" t="s">
        <v>32</v>
      </c>
      <c r="H754" s="7">
        <v>12</v>
      </c>
      <c r="I754" s="8" t="s">
        <v>150</v>
      </c>
      <c r="J754" s="9">
        <v>49000</v>
      </c>
      <c r="K754" s="5" t="s">
        <v>150</v>
      </c>
      <c r="L754" s="10">
        <v>0.05</v>
      </c>
      <c r="M754" s="10">
        <v>0.17</v>
      </c>
      <c r="O754" s="8" t="s">
        <v>150</v>
      </c>
      <c r="P754" s="4">
        <f>(C754+(E754*F754*H754))-N754</f>
        <v>0</v>
      </c>
      <c r="Q754" s="8" t="s">
        <v>150</v>
      </c>
      <c r="R754" s="9">
        <f>S754/1.11</f>
        <v>0</v>
      </c>
      <c r="S754" s="9">
        <f>P754*(J754-(J754*L754)-((J754-(J754*L754))*M754))</f>
        <v>0</v>
      </c>
    </row>
    <row r="756" spans="1:19" ht="15.75" x14ac:dyDescent="0.25">
      <c r="A756" s="29" t="s">
        <v>414</v>
      </c>
    </row>
    <row r="757" spans="1:19" x14ac:dyDescent="0.2">
      <c r="A757" s="2" t="s">
        <v>415</v>
      </c>
      <c r="B757" s="3" t="s">
        <v>17</v>
      </c>
      <c r="D757" s="5" t="s">
        <v>82</v>
      </c>
      <c r="F757" s="7">
        <v>1</v>
      </c>
      <c r="G757" s="8" t="s">
        <v>19</v>
      </c>
      <c r="H757" s="7">
        <v>30</v>
      </c>
      <c r="I757" s="8" t="s">
        <v>82</v>
      </c>
      <c r="J757" s="9">
        <v>104400</v>
      </c>
      <c r="K757" s="5" t="s">
        <v>82</v>
      </c>
      <c r="L757" s="10">
        <v>0.125</v>
      </c>
      <c r="M757" s="10">
        <v>0.05</v>
      </c>
      <c r="O757" s="8" t="s">
        <v>82</v>
      </c>
      <c r="P757" s="4">
        <f t="shared" ref="P757:P765" si="253">(C757+(E757*F757*H757))-N757</f>
        <v>0</v>
      </c>
      <c r="Q757" s="8" t="s">
        <v>82</v>
      </c>
      <c r="R757" s="9">
        <f>S757/1.11</f>
        <v>0</v>
      </c>
      <c r="S757" s="9">
        <f t="shared" ref="S757:S765" si="254">P757*(J757-(J757*L757)-((J757-(J757*L757))*M757))</f>
        <v>0</v>
      </c>
    </row>
    <row r="758" spans="1:19" x14ac:dyDescent="0.2">
      <c r="A758" s="2" t="s">
        <v>644</v>
      </c>
      <c r="B758" s="3" t="s">
        <v>17</v>
      </c>
      <c r="D758" s="5" t="s">
        <v>82</v>
      </c>
      <c r="F758" s="7">
        <v>1</v>
      </c>
      <c r="G758" s="8" t="s">
        <v>19</v>
      </c>
      <c r="H758" s="7">
        <v>30</v>
      </c>
      <c r="I758" s="8" t="s">
        <v>82</v>
      </c>
      <c r="J758" s="9">
        <v>102000</v>
      </c>
      <c r="K758" s="5" t="s">
        <v>82</v>
      </c>
      <c r="L758" s="10">
        <v>0.125</v>
      </c>
      <c r="M758" s="10">
        <v>0.05</v>
      </c>
      <c r="O758" s="8" t="s">
        <v>82</v>
      </c>
      <c r="P758" s="4">
        <f t="shared" si="253"/>
        <v>0</v>
      </c>
      <c r="Q758" s="8" t="s">
        <v>82</v>
      </c>
      <c r="R758" s="9">
        <f>S758/1.11</f>
        <v>0</v>
      </c>
      <c r="S758" s="9">
        <f t="shared" si="254"/>
        <v>0</v>
      </c>
    </row>
    <row r="759" spans="1:19" x14ac:dyDescent="0.2">
      <c r="A759" s="2" t="s">
        <v>644</v>
      </c>
      <c r="B759" s="3" t="s">
        <v>17</v>
      </c>
      <c r="D759" s="5" t="s">
        <v>82</v>
      </c>
      <c r="F759" s="7">
        <v>1</v>
      </c>
      <c r="G759" s="8" t="s">
        <v>19</v>
      </c>
      <c r="H759" s="7">
        <v>30</v>
      </c>
      <c r="I759" s="8" t="s">
        <v>82</v>
      </c>
      <c r="J759" s="9">
        <v>109200</v>
      </c>
      <c r="K759" s="5" t="s">
        <v>82</v>
      </c>
      <c r="L759" s="10">
        <v>0.125</v>
      </c>
      <c r="M759" s="10">
        <v>0.05</v>
      </c>
      <c r="O759" s="8" t="s">
        <v>82</v>
      </c>
      <c r="P759" s="4">
        <f t="shared" ref="P759" si="255">(C759+(E759*F759*H759))-N759</f>
        <v>0</v>
      </c>
      <c r="Q759" s="8" t="s">
        <v>82</v>
      </c>
      <c r="R759" s="9">
        <f>S759/1.11</f>
        <v>0</v>
      </c>
      <c r="S759" s="9">
        <f t="shared" ref="S759" si="256">P759*(J759-(J759*L759)-((J759-(J759*L759))*M759))</f>
        <v>0</v>
      </c>
    </row>
    <row r="760" spans="1:19" x14ac:dyDescent="0.2">
      <c r="A760" s="2" t="s">
        <v>416</v>
      </c>
      <c r="B760" s="3" t="s">
        <v>17</v>
      </c>
      <c r="D760" s="5" t="s">
        <v>82</v>
      </c>
      <c r="F760" s="7">
        <v>1</v>
      </c>
      <c r="G760" s="8" t="s">
        <v>19</v>
      </c>
      <c r="H760" s="7">
        <v>30</v>
      </c>
      <c r="I760" s="8" t="s">
        <v>82</v>
      </c>
      <c r="J760" s="9">
        <v>99000</v>
      </c>
      <c r="K760" s="5" t="s">
        <v>82</v>
      </c>
      <c r="L760" s="10">
        <v>0.125</v>
      </c>
      <c r="M760" s="10">
        <v>0.05</v>
      </c>
      <c r="O760" s="8" t="s">
        <v>82</v>
      </c>
      <c r="P760" s="4">
        <f t="shared" si="253"/>
        <v>0</v>
      </c>
      <c r="Q760" s="8" t="s">
        <v>82</v>
      </c>
      <c r="R760" s="9">
        <f>S760/1.11</f>
        <v>0</v>
      </c>
      <c r="S760" s="9">
        <f t="shared" si="254"/>
        <v>0</v>
      </c>
    </row>
    <row r="761" spans="1:19" x14ac:dyDescent="0.2">
      <c r="A761" s="2" t="s">
        <v>936</v>
      </c>
      <c r="B761" s="3" t="s">
        <v>17</v>
      </c>
      <c r="D761" s="5" t="s">
        <v>82</v>
      </c>
      <c r="F761" s="7">
        <v>1</v>
      </c>
      <c r="G761" s="8" t="s">
        <v>19</v>
      </c>
      <c r="H761" s="7">
        <v>30</v>
      </c>
      <c r="I761" s="8" t="s">
        <v>82</v>
      </c>
      <c r="J761" s="9">
        <v>139200</v>
      </c>
      <c r="K761" s="5" t="s">
        <v>82</v>
      </c>
      <c r="L761" s="10">
        <v>0.125</v>
      </c>
      <c r="M761" s="10">
        <v>0.05</v>
      </c>
      <c r="O761" s="8" t="s">
        <v>82</v>
      </c>
      <c r="P761" s="4">
        <f t="shared" ref="P761" si="257">(C761+(E761*F761*H761))-N761</f>
        <v>0</v>
      </c>
      <c r="Q761" s="8" t="s">
        <v>82</v>
      </c>
      <c r="R761" s="9">
        <f>S761/1.11</f>
        <v>0</v>
      </c>
      <c r="S761" s="9">
        <f t="shared" ref="S761" si="258">P761*(J761-(J761*L761)-((J761-(J761*L761))*M761))</f>
        <v>0</v>
      </c>
    </row>
    <row r="762" spans="1:19" x14ac:dyDescent="0.2">
      <c r="A762" s="2" t="s">
        <v>417</v>
      </c>
      <c r="B762" s="3" t="s">
        <v>17</v>
      </c>
      <c r="D762" s="5" t="s">
        <v>82</v>
      </c>
      <c r="F762" s="7">
        <v>1</v>
      </c>
      <c r="G762" s="8" t="s">
        <v>19</v>
      </c>
      <c r="H762" s="7">
        <v>30</v>
      </c>
      <c r="I762" s="8" t="s">
        <v>82</v>
      </c>
      <c r="J762" s="9">
        <v>96000</v>
      </c>
      <c r="K762" s="5" t="s">
        <v>82</v>
      </c>
      <c r="L762" s="10">
        <v>0.125</v>
      </c>
      <c r="M762" s="10">
        <v>0.05</v>
      </c>
      <c r="O762" s="8" t="s">
        <v>82</v>
      </c>
      <c r="P762" s="4">
        <f t="shared" si="253"/>
        <v>0</v>
      </c>
      <c r="Q762" s="8" t="s">
        <v>82</v>
      </c>
      <c r="R762" s="9">
        <f>S762/1.11</f>
        <v>0</v>
      </c>
      <c r="S762" s="9">
        <f t="shared" si="254"/>
        <v>0</v>
      </c>
    </row>
    <row r="763" spans="1:19" x14ac:dyDescent="0.2">
      <c r="A763" s="2" t="s">
        <v>418</v>
      </c>
      <c r="B763" s="3" t="s">
        <v>17</v>
      </c>
      <c r="D763" s="5" t="s">
        <v>82</v>
      </c>
      <c r="F763" s="7">
        <v>1</v>
      </c>
      <c r="G763" s="8" t="s">
        <v>19</v>
      </c>
      <c r="H763" s="7">
        <v>30</v>
      </c>
      <c r="I763" s="8" t="s">
        <v>82</v>
      </c>
      <c r="J763" s="9">
        <v>109000</v>
      </c>
      <c r="K763" s="5" t="s">
        <v>82</v>
      </c>
      <c r="L763" s="10">
        <v>0.125</v>
      </c>
      <c r="M763" s="10">
        <v>0.05</v>
      </c>
      <c r="O763" s="8" t="s">
        <v>82</v>
      </c>
      <c r="P763" s="4">
        <f t="shared" si="253"/>
        <v>0</v>
      </c>
      <c r="Q763" s="8" t="s">
        <v>82</v>
      </c>
      <c r="R763" s="9">
        <f>S763/1.11</f>
        <v>0</v>
      </c>
      <c r="S763" s="9">
        <f t="shared" si="254"/>
        <v>0</v>
      </c>
    </row>
    <row r="764" spans="1:19" x14ac:dyDescent="0.2">
      <c r="A764" s="2" t="s">
        <v>1006</v>
      </c>
      <c r="B764" s="3" t="s">
        <v>17</v>
      </c>
      <c r="D764" s="5" t="s">
        <v>82</v>
      </c>
      <c r="F764" s="7">
        <v>1</v>
      </c>
      <c r="G764" s="8" t="s">
        <v>19</v>
      </c>
      <c r="H764" s="7">
        <v>30</v>
      </c>
      <c r="I764" s="8" t="s">
        <v>82</v>
      </c>
      <c r="J764" s="9">
        <v>144000</v>
      </c>
      <c r="K764" s="5" t="s">
        <v>82</v>
      </c>
      <c r="L764" s="10">
        <v>0.125</v>
      </c>
      <c r="M764" s="10">
        <v>0.05</v>
      </c>
      <c r="O764" s="8" t="s">
        <v>82</v>
      </c>
      <c r="P764" s="4">
        <f t="shared" si="253"/>
        <v>0</v>
      </c>
      <c r="Q764" s="8" t="s">
        <v>82</v>
      </c>
      <c r="R764" s="9">
        <f>S764/1.11</f>
        <v>0</v>
      </c>
      <c r="S764" s="9">
        <f t="shared" si="254"/>
        <v>0</v>
      </c>
    </row>
    <row r="765" spans="1:19" x14ac:dyDescent="0.2">
      <c r="A765" s="2" t="s">
        <v>723</v>
      </c>
      <c r="B765" s="3" t="s">
        <v>17</v>
      </c>
      <c r="D765" s="5" t="s">
        <v>82</v>
      </c>
      <c r="F765" s="7">
        <v>1</v>
      </c>
      <c r="G765" s="8" t="s">
        <v>19</v>
      </c>
      <c r="H765" s="7">
        <v>30</v>
      </c>
      <c r="I765" s="8" t="s">
        <v>82</v>
      </c>
      <c r="J765" s="9">
        <v>144000</v>
      </c>
      <c r="K765" s="5" t="s">
        <v>82</v>
      </c>
      <c r="L765" s="10">
        <v>0.125</v>
      </c>
      <c r="M765" s="10">
        <v>0.05</v>
      </c>
      <c r="O765" s="8" t="s">
        <v>82</v>
      </c>
      <c r="P765" s="4">
        <f t="shared" si="253"/>
        <v>0</v>
      </c>
      <c r="Q765" s="8" t="s">
        <v>82</v>
      </c>
      <c r="R765" s="9">
        <f>S765/1.11</f>
        <v>0</v>
      </c>
      <c r="S765" s="9">
        <f t="shared" si="254"/>
        <v>0</v>
      </c>
    </row>
    <row r="766" spans="1:19" x14ac:dyDescent="0.2">
      <c r="A766" s="2" t="s">
        <v>894</v>
      </c>
      <c r="B766" s="3" t="s">
        <v>17</v>
      </c>
      <c r="D766" s="5" t="s">
        <v>82</v>
      </c>
      <c r="F766" s="7">
        <v>1</v>
      </c>
      <c r="G766" s="8" t="s">
        <v>19</v>
      </c>
      <c r="H766" s="7">
        <v>30</v>
      </c>
      <c r="I766" s="8" t="s">
        <v>82</v>
      </c>
      <c r="J766" s="9">
        <v>99000</v>
      </c>
      <c r="K766" s="5" t="s">
        <v>82</v>
      </c>
      <c r="L766" s="10">
        <v>0.125</v>
      </c>
      <c r="M766" s="10">
        <v>0.05</v>
      </c>
      <c r="O766" s="8" t="s">
        <v>82</v>
      </c>
      <c r="P766" s="4">
        <f t="shared" ref="P766" si="259">(C766+(E766*F766*H766))-N766</f>
        <v>0</v>
      </c>
      <c r="Q766" s="8" t="s">
        <v>82</v>
      </c>
      <c r="R766" s="9">
        <f>S766/1.11</f>
        <v>0</v>
      </c>
      <c r="S766" s="9">
        <f t="shared" ref="S766" si="260">P766*(J766-(J766*L766)-((J766-(J766*L766))*M766))</f>
        <v>0</v>
      </c>
    </row>
    <row r="768" spans="1:19" s="2" customFormat="1" x14ac:dyDescent="0.2">
      <c r="A768" s="12" t="s">
        <v>742</v>
      </c>
      <c r="B768" s="2" t="s">
        <v>24</v>
      </c>
      <c r="C768" s="18"/>
      <c r="D768" s="19" t="s">
        <v>82</v>
      </c>
      <c r="E768" s="20"/>
      <c r="F768" s="21">
        <v>1</v>
      </c>
      <c r="G768" s="17" t="s">
        <v>19</v>
      </c>
      <c r="H768" s="21">
        <v>20</v>
      </c>
      <c r="I768" s="17" t="s">
        <v>82</v>
      </c>
      <c r="J768" s="22">
        <f>2448000/20</f>
        <v>122400</v>
      </c>
      <c r="K768" s="19" t="s">
        <v>82</v>
      </c>
      <c r="L768" s="23"/>
      <c r="M768" s="23">
        <v>0.17</v>
      </c>
      <c r="N768" s="21"/>
      <c r="O768" s="17" t="s">
        <v>82</v>
      </c>
      <c r="P768" s="18">
        <f t="shared" ref="P768:P789" si="261">(C768+(E768*F768*H768))-N768</f>
        <v>0</v>
      </c>
      <c r="Q768" s="17" t="s">
        <v>82</v>
      </c>
      <c r="R768" s="9">
        <f>S768/1.11</f>
        <v>0</v>
      </c>
      <c r="S768" s="22">
        <f t="shared" ref="S768:S789" si="262">P768*(J768-(J768*L768)-((J768-(J768*L768))*M768))</f>
        <v>0</v>
      </c>
    </row>
    <row r="769" spans="1:19" s="2" customFormat="1" x14ac:dyDescent="0.2">
      <c r="A769" s="12" t="s">
        <v>419</v>
      </c>
      <c r="B769" s="2" t="s">
        <v>24</v>
      </c>
      <c r="C769" s="18"/>
      <c r="D769" s="19" t="s">
        <v>82</v>
      </c>
      <c r="E769" s="20"/>
      <c r="F769" s="21">
        <v>1</v>
      </c>
      <c r="G769" s="17" t="s">
        <v>19</v>
      </c>
      <c r="H769" s="21">
        <v>20</v>
      </c>
      <c r="I769" s="17" t="s">
        <v>82</v>
      </c>
      <c r="J769" s="22">
        <v>115200</v>
      </c>
      <c r="K769" s="19" t="s">
        <v>82</v>
      </c>
      <c r="L769" s="23"/>
      <c r="M769" s="23">
        <v>0.17</v>
      </c>
      <c r="N769" s="21"/>
      <c r="O769" s="17" t="s">
        <v>82</v>
      </c>
      <c r="P769" s="18">
        <f t="shared" ref="P769" si="263">(C769+(E769*F769*H769))-N769</f>
        <v>0</v>
      </c>
      <c r="Q769" s="17" t="s">
        <v>82</v>
      </c>
      <c r="R769" s="9">
        <f>S769/1.11</f>
        <v>0</v>
      </c>
      <c r="S769" s="22">
        <f t="shared" ref="S769" si="264">P769*(J769-(J769*L769)-((J769-(J769*L769))*M769))</f>
        <v>0</v>
      </c>
    </row>
    <row r="770" spans="1:19" s="2" customFormat="1" x14ac:dyDescent="0.2">
      <c r="A770" s="12" t="s">
        <v>734</v>
      </c>
      <c r="B770" s="2" t="s">
        <v>24</v>
      </c>
      <c r="C770" s="18"/>
      <c r="D770" s="19" t="s">
        <v>82</v>
      </c>
      <c r="E770" s="20"/>
      <c r="F770" s="21">
        <v>1</v>
      </c>
      <c r="G770" s="17" t="s">
        <v>19</v>
      </c>
      <c r="H770" s="21">
        <v>20</v>
      </c>
      <c r="I770" s="17" t="s">
        <v>82</v>
      </c>
      <c r="J770" s="22">
        <f>2880000/20</f>
        <v>144000</v>
      </c>
      <c r="K770" s="19" t="s">
        <v>82</v>
      </c>
      <c r="L770" s="23"/>
      <c r="M770" s="23">
        <v>0.17</v>
      </c>
      <c r="N770" s="21"/>
      <c r="O770" s="17" t="s">
        <v>82</v>
      </c>
      <c r="P770" s="18">
        <f t="shared" si="261"/>
        <v>0</v>
      </c>
      <c r="Q770" s="17" t="s">
        <v>82</v>
      </c>
      <c r="R770" s="9">
        <f>S770/1.11</f>
        <v>0</v>
      </c>
      <c r="S770" s="22">
        <f t="shared" si="262"/>
        <v>0</v>
      </c>
    </row>
    <row r="771" spans="1:19" s="2" customFormat="1" x14ac:dyDescent="0.2">
      <c r="A771" s="12" t="s">
        <v>1008</v>
      </c>
      <c r="B771" s="2" t="s">
        <v>24</v>
      </c>
      <c r="C771" s="18"/>
      <c r="D771" s="19" t="s">
        <v>82</v>
      </c>
      <c r="E771" s="20"/>
      <c r="F771" s="21">
        <v>1</v>
      </c>
      <c r="G771" s="17" t="s">
        <v>19</v>
      </c>
      <c r="H771" s="21">
        <v>20</v>
      </c>
      <c r="I771" s="17" t="s">
        <v>82</v>
      </c>
      <c r="J771" s="22">
        <v>122400</v>
      </c>
      <c r="K771" s="19" t="s">
        <v>82</v>
      </c>
      <c r="L771" s="23"/>
      <c r="M771" s="23">
        <v>0.17</v>
      </c>
      <c r="N771" s="21"/>
      <c r="O771" s="17" t="s">
        <v>82</v>
      </c>
      <c r="P771" s="18">
        <f t="shared" ref="P771" si="265">(C771+(E771*F771*H771))-N771</f>
        <v>0</v>
      </c>
      <c r="Q771" s="17" t="s">
        <v>82</v>
      </c>
      <c r="R771" s="9">
        <f>S771/1.11</f>
        <v>0</v>
      </c>
      <c r="S771" s="22">
        <f t="shared" ref="S771" si="266">P771*(J771-(J771*L771)-((J771-(J771*L771))*M771))</f>
        <v>0</v>
      </c>
    </row>
    <row r="772" spans="1:19" s="2" customFormat="1" x14ac:dyDescent="0.2">
      <c r="A772" s="12" t="s">
        <v>647</v>
      </c>
      <c r="B772" s="2" t="s">
        <v>24</v>
      </c>
      <c r="C772" s="18"/>
      <c r="D772" s="19" t="s">
        <v>82</v>
      </c>
      <c r="E772" s="20"/>
      <c r="F772" s="21">
        <v>1</v>
      </c>
      <c r="G772" s="17" t="s">
        <v>19</v>
      </c>
      <c r="H772" s="21">
        <v>20</v>
      </c>
      <c r="I772" s="17" t="s">
        <v>82</v>
      </c>
      <c r="J772" s="22">
        <f>2448000/20</f>
        <v>122400</v>
      </c>
      <c r="K772" s="19" t="s">
        <v>82</v>
      </c>
      <c r="L772" s="23"/>
      <c r="M772" s="23">
        <v>0.17</v>
      </c>
      <c r="N772" s="21"/>
      <c r="O772" s="17" t="s">
        <v>82</v>
      </c>
      <c r="P772" s="18">
        <f t="shared" si="261"/>
        <v>0</v>
      </c>
      <c r="Q772" s="17" t="s">
        <v>82</v>
      </c>
      <c r="R772" s="9">
        <f>S772/1.11</f>
        <v>0</v>
      </c>
      <c r="S772" s="22">
        <f t="shared" si="262"/>
        <v>0</v>
      </c>
    </row>
    <row r="773" spans="1:19" s="2" customFormat="1" x14ac:dyDescent="0.2">
      <c r="A773" s="12" t="s">
        <v>420</v>
      </c>
      <c r="B773" s="2" t="s">
        <v>24</v>
      </c>
      <c r="C773" s="18"/>
      <c r="D773" s="19" t="s">
        <v>82</v>
      </c>
      <c r="E773" s="20"/>
      <c r="F773" s="21">
        <v>1</v>
      </c>
      <c r="G773" s="17" t="s">
        <v>19</v>
      </c>
      <c r="H773" s="21">
        <v>20</v>
      </c>
      <c r="I773" s="17" t="s">
        <v>82</v>
      </c>
      <c r="J773" s="22">
        <f>2112000/20</f>
        <v>105600</v>
      </c>
      <c r="K773" s="19" t="s">
        <v>82</v>
      </c>
      <c r="L773" s="23"/>
      <c r="M773" s="23">
        <v>0.17</v>
      </c>
      <c r="N773" s="21"/>
      <c r="O773" s="17" t="s">
        <v>82</v>
      </c>
      <c r="P773" s="18">
        <f t="shared" si="261"/>
        <v>0</v>
      </c>
      <c r="Q773" s="17" t="s">
        <v>82</v>
      </c>
      <c r="R773" s="9">
        <f>S773/1.11</f>
        <v>0</v>
      </c>
      <c r="S773" s="22">
        <f t="shared" si="262"/>
        <v>0</v>
      </c>
    </row>
    <row r="774" spans="1:19" s="2" customFormat="1" x14ac:dyDescent="0.2">
      <c r="A774" s="12" t="s">
        <v>421</v>
      </c>
      <c r="B774" s="2" t="s">
        <v>24</v>
      </c>
      <c r="C774" s="18"/>
      <c r="D774" s="19" t="s">
        <v>82</v>
      </c>
      <c r="E774" s="20"/>
      <c r="F774" s="21">
        <v>1</v>
      </c>
      <c r="G774" s="17" t="s">
        <v>19</v>
      </c>
      <c r="H774" s="21">
        <v>20</v>
      </c>
      <c r="I774" s="17" t="s">
        <v>82</v>
      </c>
      <c r="J774" s="22">
        <f>2448000/20</f>
        <v>122400</v>
      </c>
      <c r="K774" s="19" t="s">
        <v>82</v>
      </c>
      <c r="L774" s="23"/>
      <c r="M774" s="23">
        <v>0.17</v>
      </c>
      <c r="N774" s="21"/>
      <c r="O774" s="17" t="s">
        <v>82</v>
      </c>
      <c r="P774" s="18">
        <f t="shared" si="261"/>
        <v>0</v>
      </c>
      <c r="Q774" s="17" t="s">
        <v>82</v>
      </c>
      <c r="R774" s="9">
        <f>S774/1.11</f>
        <v>0</v>
      </c>
      <c r="S774" s="22">
        <f t="shared" si="262"/>
        <v>0</v>
      </c>
    </row>
    <row r="775" spans="1:19" s="2" customFormat="1" x14ac:dyDescent="0.2">
      <c r="A775" s="12" t="s">
        <v>422</v>
      </c>
      <c r="B775" s="2" t="s">
        <v>24</v>
      </c>
      <c r="C775" s="18"/>
      <c r="D775" s="19" t="s">
        <v>82</v>
      </c>
      <c r="E775" s="20"/>
      <c r="F775" s="21">
        <v>1</v>
      </c>
      <c r="G775" s="17" t="s">
        <v>19</v>
      </c>
      <c r="H775" s="21">
        <v>20</v>
      </c>
      <c r="I775" s="17" t="s">
        <v>82</v>
      </c>
      <c r="J775" s="22">
        <f>2256000/20</f>
        <v>112800</v>
      </c>
      <c r="K775" s="19" t="s">
        <v>82</v>
      </c>
      <c r="L775" s="23"/>
      <c r="M775" s="23">
        <v>0.17</v>
      </c>
      <c r="N775" s="21"/>
      <c r="O775" s="17" t="s">
        <v>82</v>
      </c>
      <c r="P775" s="18">
        <f t="shared" si="261"/>
        <v>0</v>
      </c>
      <c r="Q775" s="17" t="s">
        <v>82</v>
      </c>
      <c r="R775" s="9">
        <f>S775/1.11</f>
        <v>0</v>
      </c>
      <c r="S775" s="22">
        <f t="shared" si="262"/>
        <v>0</v>
      </c>
    </row>
    <row r="776" spans="1:19" s="2" customFormat="1" x14ac:dyDescent="0.2">
      <c r="A776" s="12" t="s">
        <v>423</v>
      </c>
      <c r="B776" s="2" t="s">
        <v>24</v>
      </c>
      <c r="C776" s="18"/>
      <c r="D776" s="19" t="s">
        <v>82</v>
      </c>
      <c r="E776" s="20"/>
      <c r="F776" s="21">
        <v>1</v>
      </c>
      <c r="G776" s="17" t="s">
        <v>19</v>
      </c>
      <c r="H776" s="21">
        <v>20</v>
      </c>
      <c r="I776" s="17" t="s">
        <v>82</v>
      </c>
      <c r="J776" s="22">
        <f>8500*12</f>
        <v>102000</v>
      </c>
      <c r="K776" s="19" t="s">
        <v>82</v>
      </c>
      <c r="L776" s="23"/>
      <c r="M776" s="23">
        <v>0.17</v>
      </c>
      <c r="N776" s="38"/>
      <c r="O776" s="17" t="s">
        <v>82</v>
      </c>
      <c r="P776" s="18">
        <f t="shared" si="261"/>
        <v>0</v>
      </c>
      <c r="Q776" s="17" t="s">
        <v>82</v>
      </c>
      <c r="R776" s="9">
        <f>S776/1.11</f>
        <v>0</v>
      </c>
      <c r="S776" s="22">
        <f t="shared" si="262"/>
        <v>0</v>
      </c>
    </row>
    <row r="777" spans="1:19" s="2" customFormat="1" x14ac:dyDescent="0.2">
      <c r="A777" s="12" t="s">
        <v>968</v>
      </c>
      <c r="B777" s="2" t="s">
        <v>24</v>
      </c>
      <c r="C777" s="18"/>
      <c r="D777" s="19" t="s">
        <v>82</v>
      </c>
      <c r="E777" s="20"/>
      <c r="F777" s="21">
        <v>1</v>
      </c>
      <c r="G777" s="17" t="s">
        <v>19</v>
      </c>
      <c r="H777" s="21">
        <v>20</v>
      </c>
      <c r="I777" s="17" t="s">
        <v>82</v>
      </c>
      <c r="J777" s="22">
        <v>105600</v>
      </c>
      <c r="K777" s="19" t="s">
        <v>82</v>
      </c>
      <c r="L777" s="23"/>
      <c r="M777" s="23">
        <v>0.17</v>
      </c>
      <c r="N777" s="38"/>
      <c r="O777" s="17" t="s">
        <v>82</v>
      </c>
      <c r="P777" s="18">
        <f t="shared" ref="P777" si="267">(C777+(E777*F777*H777))-N777</f>
        <v>0</v>
      </c>
      <c r="Q777" s="17" t="s">
        <v>82</v>
      </c>
      <c r="R777" s="9">
        <f>S777/1.11</f>
        <v>0</v>
      </c>
      <c r="S777" s="22">
        <f t="shared" ref="S777" si="268">P777*(J777-(J777*L777)-((J777-(J777*L777))*M777))</f>
        <v>0</v>
      </c>
    </row>
    <row r="778" spans="1:19" s="2" customFormat="1" x14ac:dyDescent="0.2">
      <c r="A778" s="12" t="s">
        <v>424</v>
      </c>
      <c r="B778" s="2" t="s">
        <v>24</v>
      </c>
      <c r="C778" s="18"/>
      <c r="D778" s="19" t="s">
        <v>82</v>
      </c>
      <c r="E778" s="20"/>
      <c r="F778" s="21">
        <v>1</v>
      </c>
      <c r="G778" s="17" t="s">
        <v>19</v>
      </c>
      <c r="H778" s="21">
        <v>20</v>
      </c>
      <c r="I778" s="17" t="s">
        <v>82</v>
      </c>
      <c r="J778" s="22">
        <v>103200</v>
      </c>
      <c r="K778" s="19" t="s">
        <v>82</v>
      </c>
      <c r="L778" s="23"/>
      <c r="M778" s="23">
        <v>0.17</v>
      </c>
      <c r="N778" s="21"/>
      <c r="O778" s="17" t="s">
        <v>82</v>
      </c>
      <c r="P778" s="18">
        <f t="shared" si="261"/>
        <v>0</v>
      </c>
      <c r="Q778" s="17" t="s">
        <v>82</v>
      </c>
      <c r="R778" s="9">
        <f>S778/1.11</f>
        <v>0</v>
      </c>
      <c r="S778" s="22">
        <f t="shared" si="262"/>
        <v>0</v>
      </c>
    </row>
    <row r="779" spans="1:19" x14ac:dyDescent="0.2">
      <c r="A779" s="2" t="s">
        <v>425</v>
      </c>
      <c r="B779" s="3" t="s">
        <v>24</v>
      </c>
      <c r="D779" s="5" t="s">
        <v>82</v>
      </c>
      <c r="F779" s="7">
        <v>1</v>
      </c>
      <c r="G779" s="8" t="s">
        <v>19</v>
      </c>
      <c r="H779" s="7">
        <v>20</v>
      </c>
      <c r="I779" s="8" t="s">
        <v>82</v>
      </c>
      <c r="J779" s="9">
        <f>1980000/20</f>
        <v>99000</v>
      </c>
      <c r="K779" s="5" t="s">
        <v>82</v>
      </c>
      <c r="M779" s="10">
        <v>0.17</v>
      </c>
      <c r="O779" s="8" t="s">
        <v>82</v>
      </c>
      <c r="P779" s="4">
        <f t="shared" si="261"/>
        <v>0</v>
      </c>
      <c r="Q779" s="8" t="s">
        <v>82</v>
      </c>
      <c r="R779" s="9">
        <f>S779/1.11</f>
        <v>0</v>
      </c>
      <c r="S779" s="9">
        <f t="shared" si="262"/>
        <v>0</v>
      </c>
    </row>
    <row r="780" spans="1:19" s="2" customFormat="1" x14ac:dyDescent="0.2">
      <c r="A780" s="12" t="s">
        <v>426</v>
      </c>
      <c r="B780" s="2" t="s">
        <v>24</v>
      </c>
      <c r="C780" s="18"/>
      <c r="D780" s="19" t="s">
        <v>82</v>
      </c>
      <c r="E780" s="20"/>
      <c r="F780" s="21">
        <v>1</v>
      </c>
      <c r="G780" s="17" t="s">
        <v>19</v>
      </c>
      <c r="H780" s="21">
        <v>20</v>
      </c>
      <c r="I780" s="17" t="s">
        <v>82</v>
      </c>
      <c r="J780" s="22">
        <f>2208000/20</f>
        <v>110400</v>
      </c>
      <c r="K780" s="19" t="s">
        <v>82</v>
      </c>
      <c r="L780" s="23"/>
      <c r="M780" s="23">
        <v>0.17</v>
      </c>
      <c r="N780" s="21"/>
      <c r="O780" s="17" t="s">
        <v>82</v>
      </c>
      <c r="P780" s="18">
        <f t="shared" si="261"/>
        <v>0</v>
      </c>
      <c r="Q780" s="17" t="s">
        <v>82</v>
      </c>
      <c r="R780" s="9">
        <f>S780/1.11</f>
        <v>0</v>
      </c>
      <c r="S780" s="22">
        <f t="shared" si="262"/>
        <v>0</v>
      </c>
    </row>
    <row r="781" spans="1:19" s="2" customFormat="1" x14ac:dyDescent="0.2">
      <c r="A781" s="12" t="s">
        <v>427</v>
      </c>
      <c r="B781" s="2" t="s">
        <v>24</v>
      </c>
      <c r="C781" s="18"/>
      <c r="D781" s="19" t="s">
        <v>82</v>
      </c>
      <c r="E781" s="20"/>
      <c r="F781" s="21">
        <v>1</v>
      </c>
      <c r="G781" s="17" t="s">
        <v>19</v>
      </c>
      <c r="H781" s="21">
        <v>20</v>
      </c>
      <c r="I781" s="17" t="s">
        <v>82</v>
      </c>
      <c r="J781" s="22">
        <f>2208000/20</f>
        <v>110400</v>
      </c>
      <c r="K781" s="19" t="s">
        <v>82</v>
      </c>
      <c r="L781" s="23"/>
      <c r="M781" s="23">
        <v>0.17</v>
      </c>
      <c r="N781" s="21"/>
      <c r="O781" s="17" t="s">
        <v>82</v>
      </c>
      <c r="P781" s="18">
        <f t="shared" si="261"/>
        <v>0</v>
      </c>
      <c r="Q781" s="17" t="s">
        <v>82</v>
      </c>
      <c r="R781" s="9">
        <f>S781/1.11</f>
        <v>0</v>
      </c>
      <c r="S781" s="22">
        <f t="shared" si="262"/>
        <v>0</v>
      </c>
    </row>
    <row r="782" spans="1:19" s="2" customFormat="1" x14ac:dyDescent="0.2">
      <c r="A782" s="12" t="s">
        <v>1007</v>
      </c>
      <c r="B782" s="2" t="s">
        <v>24</v>
      </c>
      <c r="C782" s="18">
        <v>20</v>
      </c>
      <c r="D782" s="19" t="s">
        <v>82</v>
      </c>
      <c r="E782" s="20"/>
      <c r="F782" s="21">
        <v>1</v>
      </c>
      <c r="G782" s="17" t="s">
        <v>19</v>
      </c>
      <c r="H782" s="21">
        <v>20</v>
      </c>
      <c r="I782" s="17" t="s">
        <v>82</v>
      </c>
      <c r="J782" s="22">
        <v>112800</v>
      </c>
      <c r="K782" s="19" t="s">
        <v>82</v>
      </c>
      <c r="L782" s="23"/>
      <c r="M782" s="23">
        <v>0.17</v>
      </c>
      <c r="N782" s="21"/>
      <c r="O782" s="17" t="s">
        <v>82</v>
      </c>
      <c r="P782" s="18">
        <f t="shared" ref="P782" si="269">(C782+(E782*F782*H782))-N782</f>
        <v>20</v>
      </c>
      <c r="Q782" s="17" t="s">
        <v>82</v>
      </c>
      <c r="R782" s="9">
        <f>S782/1.11</f>
        <v>1686918.9189189188</v>
      </c>
      <c r="S782" s="22">
        <f t="shared" ref="S782" si="270">P782*(J782-(J782*L782)-((J782-(J782*L782))*M782))</f>
        <v>1872480</v>
      </c>
    </row>
    <row r="783" spans="1:19" s="2" customFormat="1" x14ac:dyDescent="0.2">
      <c r="A783" s="12" t="s">
        <v>428</v>
      </c>
      <c r="B783" s="2" t="s">
        <v>24</v>
      </c>
      <c r="C783" s="18"/>
      <c r="D783" s="19" t="s">
        <v>82</v>
      </c>
      <c r="E783" s="20"/>
      <c r="F783" s="21">
        <v>1</v>
      </c>
      <c r="G783" s="17" t="s">
        <v>19</v>
      </c>
      <c r="H783" s="21">
        <v>20</v>
      </c>
      <c r="I783" s="17" t="s">
        <v>82</v>
      </c>
      <c r="J783" s="22">
        <f>2160000/20</f>
        <v>108000</v>
      </c>
      <c r="K783" s="19" t="s">
        <v>82</v>
      </c>
      <c r="L783" s="23"/>
      <c r="M783" s="23">
        <v>0.17</v>
      </c>
      <c r="N783" s="21"/>
      <c r="O783" s="17" t="s">
        <v>82</v>
      </c>
      <c r="P783" s="18">
        <f t="shared" si="261"/>
        <v>0</v>
      </c>
      <c r="Q783" s="17" t="s">
        <v>82</v>
      </c>
      <c r="R783" s="9">
        <f>S783/1.11</f>
        <v>0</v>
      </c>
      <c r="S783" s="22">
        <f t="shared" si="262"/>
        <v>0</v>
      </c>
    </row>
    <row r="784" spans="1:19" s="2" customFormat="1" x14ac:dyDescent="0.2">
      <c r="A784" s="12" t="s">
        <v>429</v>
      </c>
      <c r="B784" s="2" t="s">
        <v>24</v>
      </c>
      <c r="C784" s="18"/>
      <c r="D784" s="19" t="s">
        <v>82</v>
      </c>
      <c r="E784" s="20"/>
      <c r="F784" s="21">
        <v>1</v>
      </c>
      <c r="G784" s="17" t="s">
        <v>19</v>
      </c>
      <c r="H784" s="21">
        <v>20</v>
      </c>
      <c r="I784" s="17" t="s">
        <v>82</v>
      </c>
      <c r="J784" s="22">
        <f>2160000/20</f>
        <v>108000</v>
      </c>
      <c r="K784" s="19" t="s">
        <v>82</v>
      </c>
      <c r="L784" s="23"/>
      <c r="M784" s="23">
        <v>0.17</v>
      </c>
      <c r="N784" s="21"/>
      <c r="O784" s="17" t="s">
        <v>82</v>
      </c>
      <c r="P784" s="18">
        <f t="shared" si="261"/>
        <v>0</v>
      </c>
      <c r="Q784" s="17" t="s">
        <v>82</v>
      </c>
      <c r="R784" s="9">
        <f>S784/1.11</f>
        <v>0</v>
      </c>
      <c r="S784" s="22">
        <f t="shared" si="262"/>
        <v>0</v>
      </c>
    </row>
    <row r="785" spans="1:19" s="2" customFormat="1" x14ac:dyDescent="0.2">
      <c r="A785" s="12" t="s">
        <v>700</v>
      </c>
      <c r="B785" s="2" t="s">
        <v>24</v>
      </c>
      <c r="C785" s="18"/>
      <c r="D785" s="19" t="s">
        <v>82</v>
      </c>
      <c r="E785" s="20"/>
      <c r="F785" s="21">
        <v>1</v>
      </c>
      <c r="G785" s="17" t="s">
        <v>19</v>
      </c>
      <c r="H785" s="21">
        <v>20</v>
      </c>
      <c r="I785" s="17" t="s">
        <v>82</v>
      </c>
      <c r="J785" s="22">
        <f>2256000/20</f>
        <v>112800</v>
      </c>
      <c r="K785" s="19" t="s">
        <v>82</v>
      </c>
      <c r="L785" s="23"/>
      <c r="M785" s="23">
        <v>0.17</v>
      </c>
      <c r="N785" s="21"/>
      <c r="O785" s="17" t="s">
        <v>82</v>
      </c>
      <c r="P785" s="18">
        <f t="shared" si="261"/>
        <v>0</v>
      </c>
      <c r="Q785" s="17" t="s">
        <v>82</v>
      </c>
      <c r="R785" s="9">
        <f>S785/1.11</f>
        <v>0</v>
      </c>
      <c r="S785" s="22">
        <f t="shared" si="262"/>
        <v>0</v>
      </c>
    </row>
    <row r="786" spans="1:19" s="2" customFormat="1" x14ac:dyDescent="0.2">
      <c r="A786" s="12" t="s">
        <v>969</v>
      </c>
      <c r="B786" s="2" t="s">
        <v>24</v>
      </c>
      <c r="C786" s="18"/>
      <c r="D786" s="19" t="s">
        <v>82</v>
      </c>
      <c r="E786" s="20"/>
      <c r="F786" s="21">
        <v>1</v>
      </c>
      <c r="G786" s="17" t="s">
        <v>19</v>
      </c>
      <c r="H786" s="21">
        <v>20</v>
      </c>
      <c r="I786" s="17" t="s">
        <v>82</v>
      </c>
      <c r="J786" s="22">
        <v>120000</v>
      </c>
      <c r="K786" s="19" t="s">
        <v>82</v>
      </c>
      <c r="L786" s="23"/>
      <c r="M786" s="23">
        <v>0.17</v>
      </c>
      <c r="N786" s="21"/>
      <c r="O786" s="17" t="s">
        <v>82</v>
      </c>
      <c r="P786" s="18">
        <f t="shared" ref="P786" si="271">(C786+(E786*F786*H786))-N786</f>
        <v>0</v>
      </c>
      <c r="Q786" s="17" t="s">
        <v>82</v>
      </c>
      <c r="R786" s="9">
        <f>S786/1.11</f>
        <v>0</v>
      </c>
      <c r="S786" s="22">
        <f t="shared" ref="S786" si="272">P786*(J786-(J786*L786)-((J786-(J786*L786))*M786))</f>
        <v>0</v>
      </c>
    </row>
    <row r="787" spans="1:19" s="2" customFormat="1" x14ac:dyDescent="0.2">
      <c r="A787" s="12" t="s">
        <v>430</v>
      </c>
      <c r="B787" s="2" t="s">
        <v>24</v>
      </c>
      <c r="C787" s="18"/>
      <c r="D787" s="19" t="s">
        <v>82</v>
      </c>
      <c r="E787" s="20"/>
      <c r="F787" s="21">
        <v>1</v>
      </c>
      <c r="G787" s="17" t="s">
        <v>19</v>
      </c>
      <c r="H787" s="21">
        <v>20</v>
      </c>
      <c r="I787" s="17" t="s">
        <v>82</v>
      </c>
      <c r="J787" s="22">
        <f>2112000/20</f>
        <v>105600</v>
      </c>
      <c r="K787" s="19" t="s">
        <v>82</v>
      </c>
      <c r="L787" s="23"/>
      <c r="M787" s="23">
        <v>0.17</v>
      </c>
      <c r="N787" s="21"/>
      <c r="O787" s="17" t="s">
        <v>82</v>
      </c>
      <c r="P787" s="18">
        <f t="shared" si="261"/>
        <v>0</v>
      </c>
      <c r="Q787" s="17" t="s">
        <v>82</v>
      </c>
      <c r="R787" s="9">
        <f>S787/1.11</f>
        <v>0</v>
      </c>
      <c r="S787" s="22">
        <f t="shared" si="262"/>
        <v>0</v>
      </c>
    </row>
    <row r="788" spans="1:19" s="2" customFormat="1" x14ac:dyDescent="0.2">
      <c r="A788" s="12" t="s">
        <v>431</v>
      </c>
      <c r="B788" s="2" t="s">
        <v>24</v>
      </c>
      <c r="C788" s="18"/>
      <c r="D788" s="19" t="s">
        <v>82</v>
      </c>
      <c r="E788" s="20"/>
      <c r="F788" s="21">
        <v>1</v>
      </c>
      <c r="G788" s="17" t="s">
        <v>19</v>
      </c>
      <c r="H788" s="21">
        <v>20</v>
      </c>
      <c r="I788" s="17" t="s">
        <v>82</v>
      </c>
      <c r="J788" s="22">
        <f>2352000/20</f>
        <v>117600</v>
      </c>
      <c r="K788" s="19" t="s">
        <v>82</v>
      </c>
      <c r="L788" s="23"/>
      <c r="M788" s="23">
        <v>0.17</v>
      </c>
      <c r="N788" s="21"/>
      <c r="O788" s="17" t="s">
        <v>82</v>
      </c>
      <c r="P788" s="18">
        <f t="shared" si="261"/>
        <v>0</v>
      </c>
      <c r="Q788" s="17" t="s">
        <v>82</v>
      </c>
      <c r="R788" s="9">
        <f>S788/1.11</f>
        <v>0</v>
      </c>
      <c r="S788" s="22">
        <f t="shared" si="262"/>
        <v>0</v>
      </c>
    </row>
    <row r="789" spans="1:19" s="2" customFormat="1" x14ac:dyDescent="0.2">
      <c r="A789" s="12" t="s">
        <v>735</v>
      </c>
      <c r="B789" s="2" t="s">
        <v>24</v>
      </c>
      <c r="C789" s="18"/>
      <c r="D789" s="19" t="s">
        <v>82</v>
      </c>
      <c r="E789" s="20"/>
      <c r="F789" s="21">
        <v>1</v>
      </c>
      <c r="G789" s="17" t="s">
        <v>19</v>
      </c>
      <c r="H789" s="21">
        <v>20</v>
      </c>
      <c r="I789" s="17" t="s">
        <v>82</v>
      </c>
      <c r="J789" s="22">
        <f>2256000/20</f>
        <v>112800</v>
      </c>
      <c r="K789" s="19" t="s">
        <v>82</v>
      </c>
      <c r="L789" s="23"/>
      <c r="M789" s="23">
        <v>0.17</v>
      </c>
      <c r="N789" s="21"/>
      <c r="O789" s="17" t="s">
        <v>82</v>
      </c>
      <c r="P789" s="18">
        <f t="shared" si="261"/>
        <v>0</v>
      </c>
      <c r="Q789" s="17" t="s">
        <v>82</v>
      </c>
      <c r="R789" s="9">
        <f>S789/1.11</f>
        <v>0</v>
      </c>
      <c r="S789" s="22">
        <f t="shared" si="262"/>
        <v>0</v>
      </c>
    </row>
    <row r="790" spans="1:19" s="2" customFormat="1" x14ac:dyDescent="0.2">
      <c r="A790" s="12"/>
      <c r="C790" s="18"/>
      <c r="D790" s="19"/>
      <c r="E790" s="20"/>
      <c r="F790" s="21"/>
      <c r="G790" s="17"/>
      <c r="H790" s="21"/>
      <c r="I790" s="17"/>
      <c r="J790" s="22"/>
      <c r="K790" s="19"/>
      <c r="L790" s="23"/>
      <c r="M790" s="23"/>
      <c r="N790" s="21"/>
      <c r="O790" s="17"/>
      <c r="P790" s="18"/>
      <c r="Q790" s="17"/>
      <c r="R790" s="9"/>
      <c r="S790" s="22"/>
    </row>
    <row r="791" spans="1:19" s="2" customFormat="1" x14ac:dyDescent="0.2">
      <c r="A791" s="12" t="s">
        <v>432</v>
      </c>
      <c r="B791" s="2" t="s">
        <v>180</v>
      </c>
      <c r="C791" s="18">
        <v>60</v>
      </c>
      <c r="D791" s="19" t="s">
        <v>82</v>
      </c>
      <c r="E791" s="20"/>
      <c r="F791" s="21">
        <v>1</v>
      </c>
      <c r="G791" s="17" t="s">
        <v>19</v>
      </c>
      <c r="H791" s="21">
        <v>30</v>
      </c>
      <c r="I791" s="17" t="s">
        <v>82</v>
      </c>
      <c r="J791" s="22">
        <v>155000</v>
      </c>
      <c r="K791" s="19" t="s">
        <v>82</v>
      </c>
      <c r="L791" s="23"/>
      <c r="M791" s="23"/>
      <c r="N791" s="21"/>
      <c r="O791" s="17" t="s">
        <v>82</v>
      </c>
      <c r="P791" s="18">
        <f>(C791+(E791*F791*H791))-N791</f>
        <v>60</v>
      </c>
      <c r="Q791" s="17" t="s">
        <v>82</v>
      </c>
      <c r="R791" s="9">
        <f>S791/1.11</f>
        <v>8378378.3783783773</v>
      </c>
      <c r="S791" s="22">
        <f>P791*(J791-(J791*L791)-((J791-(J791*L791))*M791))</f>
        <v>9300000</v>
      </c>
    </row>
    <row r="792" spans="1:19" s="2" customFormat="1" x14ac:dyDescent="0.2">
      <c r="A792" s="12" t="s">
        <v>907</v>
      </c>
      <c r="B792" s="2" t="s">
        <v>180</v>
      </c>
      <c r="C792" s="18">
        <v>1400</v>
      </c>
      <c r="D792" s="19" t="s">
        <v>32</v>
      </c>
      <c r="E792" s="20"/>
      <c r="F792" s="21">
        <v>1</v>
      </c>
      <c r="G792" s="17" t="s">
        <v>19</v>
      </c>
      <c r="H792" s="21">
        <v>40</v>
      </c>
      <c r="I792" s="17" t="s">
        <v>32</v>
      </c>
      <c r="J792" s="22">
        <v>53154</v>
      </c>
      <c r="K792" s="19" t="s">
        <v>32</v>
      </c>
      <c r="L792" s="23"/>
      <c r="M792" s="23"/>
      <c r="N792" s="21"/>
      <c r="O792" s="17" t="s">
        <v>32</v>
      </c>
      <c r="P792" s="18">
        <f>(C792+(E792*F792*H792))-N792</f>
        <v>1400</v>
      </c>
      <c r="Q792" s="17" t="s">
        <v>32</v>
      </c>
      <c r="R792" s="9">
        <f>S792/1.11</f>
        <v>67041081.081081077</v>
      </c>
      <c r="S792" s="22">
        <f>P792*(J792-(J792*L792)-((J792-(J792*L792))*M792))</f>
        <v>74415600</v>
      </c>
    </row>
    <row r="793" spans="1:19" s="2" customFormat="1" x14ac:dyDescent="0.2">
      <c r="A793" s="12"/>
      <c r="C793" s="18"/>
      <c r="D793" s="19"/>
      <c r="E793" s="20"/>
      <c r="F793" s="21"/>
      <c r="G793" s="17"/>
      <c r="H793" s="21"/>
      <c r="I793" s="17"/>
      <c r="J793" s="22"/>
      <c r="K793" s="19"/>
      <c r="L793" s="23"/>
      <c r="M793" s="23"/>
      <c r="N793" s="21"/>
      <c r="O793" s="17"/>
      <c r="P793" s="18"/>
      <c r="Q793" s="17"/>
      <c r="R793" s="9"/>
      <c r="S793" s="22"/>
    </row>
    <row r="794" spans="1:19" x14ac:dyDescent="0.2">
      <c r="A794" s="30" t="s">
        <v>433</v>
      </c>
    </row>
    <row r="795" spans="1:19" x14ac:dyDescent="0.2">
      <c r="A795" s="2" t="s">
        <v>434</v>
      </c>
      <c r="B795" s="3" t="s">
        <v>180</v>
      </c>
      <c r="C795" s="4">
        <v>320</v>
      </c>
      <c r="D795" s="5" t="s">
        <v>32</v>
      </c>
      <c r="F795" s="7">
        <v>1</v>
      </c>
      <c r="G795" s="8" t="s">
        <v>19</v>
      </c>
      <c r="H795" s="7">
        <v>40</v>
      </c>
      <c r="I795" s="8" t="s">
        <v>32</v>
      </c>
      <c r="J795" s="9">
        <v>33600</v>
      </c>
      <c r="K795" s="5" t="s">
        <v>32</v>
      </c>
      <c r="O795" s="8" t="s">
        <v>32</v>
      </c>
      <c r="P795" s="4">
        <f>(C795+(E795*F795*H795))-N795</f>
        <v>320</v>
      </c>
      <c r="Q795" s="8" t="s">
        <v>32</v>
      </c>
      <c r="R795" s="9">
        <f>S795/1.11</f>
        <v>9686486.4864864852</v>
      </c>
      <c r="S795" s="9">
        <f>P795*(J795-(J795*L795)-((J795-(J795*L795))*M795))</f>
        <v>10752000</v>
      </c>
    </row>
    <row r="796" spans="1:19" x14ac:dyDescent="0.2">
      <c r="A796" s="2" t="s">
        <v>435</v>
      </c>
      <c r="B796" s="3" t="s">
        <v>180</v>
      </c>
      <c r="D796" s="5" t="s">
        <v>32</v>
      </c>
      <c r="F796" s="7">
        <v>1</v>
      </c>
      <c r="G796" s="8" t="s">
        <v>19</v>
      </c>
      <c r="H796" s="7">
        <v>40</v>
      </c>
      <c r="I796" s="8" t="s">
        <v>32</v>
      </c>
      <c r="J796" s="9">
        <v>33600</v>
      </c>
      <c r="K796" s="5" t="s">
        <v>32</v>
      </c>
      <c r="O796" s="8" t="s">
        <v>32</v>
      </c>
      <c r="P796" s="4">
        <f>(C796+(E796*F796*H796))-N796</f>
        <v>0</v>
      </c>
      <c r="Q796" s="8" t="s">
        <v>32</v>
      </c>
      <c r="R796" s="9">
        <f>S796/1.11</f>
        <v>0</v>
      </c>
      <c r="S796" s="9">
        <f>P796*(J796-(J796*L796)-((J796-(J796*L796))*M796))</f>
        <v>0</v>
      </c>
    </row>
    <row r="797" spans="1:19" x14ac:dyDescent="0.2">
      <c r="A797" s="2" t="s">
        <v>436</v>
      </c>
      <c r="B797" s="3" t="s">
        <v>180</v>
      </c>
      <c r="C797" s="4">
        <v>240</v>
      </c>
      <c r="D797" s="5" t="s">
        <v>32</v>
      </c>
      <c r="F797" s="7">
        <v>1</v>
      </c>
      <c r="G797" s="8" t="s">
        <v>19</v>
      </c>
      <c r="H797" s="7">
        <v>40</v>
      </c>
      <c r="I797" s="8" t="s">
        <v>32</v>
      </c>
      <c r="J797" s="9">
        <v>33600</v>
      </c>
      <c r="K797" s="5" t="s">
        <v>32</v>
      </c>
      <c r="O797" s="8" t="s">
        <v>32</v>
      </c>
      <c r="P797" s="4">
        <f>(C797+(E797*F797*H797))-N797</f>
        <v>240</v>
      </c>
      <c r="Q797" s="8" t="s">
        <v>32</v>
      </c>
      <c r="R797" s="9">
        <f>S797/1.11</f>
        <v>7264864.8648648644</v>
      </c>
      <c r="S797" s="9">
        <f>P797*(J797-(J797*L797)-((J797-(J797*L797))*M797))</f>
        <v>8064000</v>
      </c>
    </row>
    <row r="798" spans="1:19" x14ac:dyDescent="0.2">
      <c r="A798" s="2" t="s">
        <v>437</v>
      </c>
      <c r="B798" s="3" t="s">
        <v>180</v>
      </c>
      <c r="D798" s="5" t="s">
        <v>32</v>
      </c>
      <c r="F798" s="7">
        <v>1</v>
      </c>
      <c r="G798" s="8" t="s">
        <v>19</v>
      </c>
      <c r="H798" s="7">
        <v>40</v>
      </c>
      <c r="I798" s="8" t="s">
        <v>32</v>
      </c>
      <c r="J798" s="9">
        <v>33600</v>
      </c>
      <c r="K798" s="5" t="s">
        <v>32</v>
      </c>
      <c r="O798" s="8" t="s">
        <v>32</v>
      </c>
      <c r="P798" s="4">
        <f>(C798+(E798*F798*H798))-N798</f>
        <v>0</v>
      </c>
      <c r="Q798" s="8" t="s">
        <v>32</v>
      </c>
      <c r="R798" s="9">
        <f>S798/1.11</f>
        <v>0</v>
      </c>
      <c r="S798" s="9">
        <f>P798*(J798-(J798*L798)-((J798-(J798*L798))*M798))</f>
        <v>0</v>
      </c>
    </row>
    <row r="799" spans="1:19" x14ac:dyDescent="0.2">
      <c r="A799" s="2" t="s">
        <v>438</v>
      </c>
      <c r="B799" s="3" t="s">
        <v>180</v>
      </c>
      <c r="D799" s="5" t="s">
        <v>32</v>
      </c>
      <c r="F799" s="7">
        <v>1</v>
      </c>
      <c r="G799" s="8" t="s">
        <v>19</v>
      </c>
      <c r="H799" s="7">
        <v>24</v>
      </c>
      <c r="I799" s="8" t="s">
        <v>32</v>
      </c>
      <c r="J799" s="9">
        <v>38400</v>
      </c>
      <c r="K799" s="5" t="s">
        <v>32</v>
      </c>
      <c r="O799" s="8" t="s">
        <v>32</v>
      </c>
      <c r="P799" s="4">
        <f>(C799+(E799*F799*H799))-N799</f>
        <v>0</v>
      </c>
      <c r="Q799" s="8" t="s">
        <v>32</v>
      </c>
      <c r="R799" s="9">
        <f>S799/1.11</f>
        <v>0</v>
      </c>
      <c r="S799" s="9">
        <f>P799*(J799-(J799*L799)-((J799-(J799*L799))*M799))</f>
        <v>0</v>
      </c>
    </row>
    <row r="801" spans="1:19" x14ac:dyDescent="0.2">
      <c r="A801" s="30" t="s">
        <v>439</v>
      </c>
    </row>
    <row r="802" spans="1:19" x14ac:dyDescent="0.2">
      <c r="A802" s="24" t="s">
        <v>440</v>
      </c>
      <c r="B802" s="3" t="s">
        <v>17</v>
      </c>
      <c r="D802" s="5" t="s">
        <v>82</v>
      </c>
      <c r="F802" s="7">
        <v>1</v>
      </c>
      <c r="G802" s="8" t="s">
        <v>19</v>
      </c>
      <c r="H802" s="7">
        <v>12</v>
      </c>
      <c r="I802" s="8" t="s">
        <v>82</v>
      </c>
      <c r="J802" s="9">
        <v>255600</v>
      </c>
      <c r="K802" s="5" t="s">
        <v>82</v>
      </c>
      <c r="L802" s="10">
        <v>0.125</v>
      </c>
      <c r="M802" s="10">
        <v>0.05</v>
      </c>
      <c r="O802" s="8" t="s">
        <v>82</v>
      </c>
      <c r="P802" s="4">
        <f>(C802+(E802*F802*H802))-N802</f>
        <v>0</v>
      </c>
      <c r="Q802" s="8" t="s">
        <v>82</v>
      </c>
      <c r="R802" s="9">
        <f>S802/1.11</f>
        <v>0</v>
      </c>
      <c r="S802" s="9">
        <f>P802*(J802-(J802*L802)-((J802-(J802*L802))*M802))</f>
        <v>0</v>
      </c>
    </row>
    <row r="803" spans="1:19" x14ac:dyDescent="0.2">
      <c r="A803" s="24" t="s">
        <v>441</v>
      </c>
      <c r="B803" s="3" t="s">
        <v>24</v>
      </c>
      <c r="D803" s="5" t="s">
        <v>39</v>
      </c>
      <c r="F803" s="7">
        <v>12</v>
      </c>
      <c r="G803" s="8" t="s">
        <v>32</v>
      </c>
      <c r="H803" s="7">
        <v>6</v>
      </c>
      <c r="I803" s="8" t="s">
        <v>39</v>
      </c>
      <c r="J803" s="9">
        <v>21000</v>
      </c>
      <c r="K803" s="5" t="s">
        <v>39</v>
      </c>
      <c r="M803" s="10">
        <v>0.17</v>
      </c>
      <c r="O803" s="8" t="s">
        <v>39</v>
      </c>
      <c r="P803" s="4">
        <f>(C803+(E803*F803*H803))-N803</f>
        <v>0</v>
      </c>
      <c r="Q803" s="8" t="s">
        <v>39</v>
      </c>
      <c r="R803" s="9">
        <f>S803/1.11</f>
        <v>0</v>
      </c>
      <c r="S803" s="9">
        <f>P803*(J803-(J803*L803)-((J803-(J803*L803))*M803))</f>
        <v>0</v>
      </c>
    </row>
    <row r="804" spans="1:19" x14ac:dyDescent="0.2">
      <c r="A804" s="24"/>
    </row>
    <row r="805" spans="1:19" x14ac:dyDescent="0.2">
      <c r="A805" s="30" t="s">
        <v>442</v>
      </c>
    </row>
    <row r="806" spans="1:19" x14ac:dyDescent="0.2">
      <c r="A806" s="24" t="s">
        <v>443</v>
      </c>
      <c r="B806" s="3" t="s">
        <v>17</v>
      </c>
      <c r="D806" s="5" t="s">
        <v>39</v>
      </c>
      <c r="F806" s="7">
        <v>1</v>
      </c>
      <c r="G806" s="8" t="s">
        <v>19</v>
      </c>
      <c r="H806" s="7">
        <v>144</v>
      </c>
      <c r="I806" s="8" t="s">
        <v>39</v>
      </c>
      <c r="J806" s="9">
        <v>49200</v>
      </c>
      <c r="K806" s="5" t="s">
        <v>39</v>
      </c>
      <c r="L806" s="10">
        <v>0.125</v>
      </c>
      <c r="M806" s="10">
        <v>0.05</v>
      </c>
      <c r="O806" s="8" t="s">
        <v>39</v>
      </c>
      <c r="P806" s="4">
        <f t="shared" ref="P806:P812" si="273">(C806+(E806*F806*H806))-N806</f>
        <v>0</v>
      </c>
      <c r="Q806" s="8" t="s">
        <v>39</v>
      </c>
      <c r="R806" s="9">
        <f>S806/1.11</f>
        <v>0</v>
      </c>
      <c r="S806" s="9">
        <f t="shared" ref="S806:S812" si="274">P806*(J806-(J806*L806)-((J806-(J806*L806))*M806))</f>
        <v>0</v>
      </c>
    </row>
    <row r="807" spans="1:19" x14ac:dyDescent="0.2">
      <c r="A807" s="24" t="s">
        <v>444</v>
      </c>
      <c r="B807" s="3" t="s">
        <v>17</v>
      </c>
      <c r="D807" s="5" t="s">
        <v>39</v>
      </c>
      <c r="F807" s="7">
        <v>1</v>
      </c>
      <c r="G807" s="8" t="s">
        <v>19</v>
      </c>
      <c r="H807" s="7">
        <v>120</v>
      </c>
      <c r="I807" s="8" t="s">
        <v>39</v>
      </c>
      <c r="J807" s="9">
        <v>30600</v>
      </c>
      <c r="K807" s="5" t="s">
        <v>39</v>
      </c>
      <c r="L807" s="10">
        <v>0.125</v>
      </c>
      <c r="M807" s="10">
        <v>0.05</v>
      </c>
      <c r="O807" s="8" t="s">
        <v>39</v>
      </c>
      <c r="P807" s="4">
        <f t="shared" si="273"/>
        <v>0</v>
      </c>
      <c r="Q807" s="8" t="s">
        <v>39</v>
      </c>
      <c r="R807" s="9">
        <f>S807/1.11</f>
        <v>0</v>
      </c>
      <c r="S807" s="9">
        <f t="shared" si="274"/>
        <v>0</v>
      </c>
    </row>
    <row r="808" spans="1:19" x14ac:dyDescent="0.2">
      <c r="A808" s="24" t="s">
        <v>445</v>
      </c>
      <c r="B808" s="3" t="s">
        <v>17</v>
      </c>
      <c r="D808" s="5" t="s">
        <v>39</v>
      </c>
      <c r="F808" s="7">
        <v>1</v>
      </c>
      <c r="G808" s="8" t="s">
        <v>19</v>
      </c>
      <c r="H808" s="7">
        <v>144</v>
      </c>
      <c r="I808" s="8" t="s">
        <v>39</v>
      </c>
      <c r="J808" s="9">
        <v>23400</v>
      </c>
      <c r="K808" s="5" t="s">
        <v>39</v>
      </c>
      <c r="L808" s="10">
        <v>0.125</v>
      </c>
      <c r="M808" s="10">
        <v>0.05</v>
      </c>
      <c r="O808" s="8" t="s">
        <v>39</v>
      </c>
      <c r="P808" s="4">
        <f t="shared" si="273"/>
        <v>0</v>
      </c>
      <c r="Q808" s="8" t="s">
        <v>39</v>
      </c>
      <c r="R808" s="9">
        <f>S808/1.11</f>
        <v>0</v>
      </c>
      <c r="S808" s="9">
        <f t="shared" si="274"/>
        <v>0</v>
      </c>
    </row>
    <row r="809" spans="1:19" x14ac:dyDescent="0.2">
      <c r="A809" s="24" t="s">
        <v>446</v>
      </c>
      <c r="B809" s="3" t="s">
        <v>17</v>
      </c>
      <c r="D809" s="5" t="s">
        <v>39</v>
      </c>
      <c r="F809" s="7">
        <v>1</v>
      </c>
      <c r="G809" s="8" t="s">
        <v>19</v>
      </c>
      <c r="H809" s="7">
        <v>144</v>
      </c>
      <c r="I809" s="8" t="s">
        <v>39</v>
      </c>
      <c r="J809" s="9">
        <v>40800</v>
      </c>
      <c r="K809" s="5" t="s">
        <v>39</v>
      </c>
      <c r="L809" s="10">
        <v>0.125</v>
      </c>
      <c r="M809" s="10">
        <v>0.05</v>
      </c>
      <c r="O809" s="8" t="s">
        <v>39</v>
      </c>
      <c r="P809" s="4">
        <f t="shared" si="273"/>
        <v>0</v>
      </c>
      <c r="Q809" s="8" t="s">
        <v>39</v>
      </c>
      <c r="R809" s="9">
        <f>S809/1.11</f>
        <v>0</v>
      </c>
      <c r="S809" s="9">
        <f t="shared" si="274"/>
        <v>0</v>
      </c>
    </row>
    <row r="810" spans="1:19" x14ac:dyDescent="0.2">
      <c r="A810" s="24" t="s">
        <v>724</v>
      </c>
      <c r="B810" s="3" t="s">
        <v>17</v>
      </c>
      <c r="D810" s="5" t="s">
        <v>39</v>
      </c>
      <c r="F810" s="7">
        <v>1</v>
      </c>
      <c r="G810" s="8" t="s">
        <v>19</v>
      </c>
      <c r="H810" s="7">
        <v>144</v>
      </c>
      <c r="I810" s="8" t="s">
        <v>39</v>
      </c>
      <c r="J810" s="9">
        <v>40800</v>
      </c>
      <c r="K810" s="5" t="s">
        <v>39</v>
      </c>
      <c r="L810" s="10">
        <v>0.125</v>
      </c>
      <c r="M810" s="10">
        <v>0.05</v>
      </c>
      <c r="O810" s="8" t="s">
        <v>39</v>
      </c>
      <c r="P810" s="4">
        <f t="shared" si="273"/>
        <v>0</v>
      </c>
      <c r="Q810" s="8" t="s">
        <v>39</v>
      </c>
      <c r="R810" s="9">
        <f>S810/1.11</f>
        <v>0</v>
      </c>
      <c r="S810" s="9">
        <f t="shared" si="274"/>
        <v>0</v>
      </c>
    </row>
    <row r="811" spans="1:19" x14ac:dyDescent="0.2">
      <c r="A811" s="24" t="s">
        <v>447</v>
      </c>
      <c r="B811" s="3" t="s">
        <v>17</v>
      </c>
      <c r="D811" s="5" t="s">
        <v>39</v>
      </c>
      <c r="F811" s="7">
        <v>1</v>
      </c>
      <c r="G811" s="8" t="s">
        <v>19</v>
      </c>
      <c r="H811" s="7">
        <v>144</v>
      </c>
      <c r="I811" s="8" t="s">
        <v>39</v>
      </c>
      <c r="J811" s="9">
        <v>40800</v>
      </c>
      <c r="K811" s="5" t="s">
        <v>39</v>
      </c>
      <c r="L811" s="10">
        <v>0.125</v>
      </c>
      <c r="M811" s="10">
        <v>0.05</v>
      </c>
      <c r="O811" s="8" t="s">
        <v>39</v>
      </c>
      <c r="P811" s="4">
        <f t="shared" ref="P811" si="275">(C811+(E811*F811*H811))-N811</f>
        <v>0</v>
      </c>
      <c r="Q811" s="8" t="s">
        <v>39</v>
      </c>
      <c r="R811" s="9">
        <f>S811/1.11</f>
        <v>0</v>
      </c>
      <c r="S811" s="9">
        <f t="shared" ref="S811" si="276">P811*(J811-(J811*L811)-((J811-(J811*L811))*M811))</f>
        <v>0</v>
      </c>
    </row>
    <row r="812" spans="1:19" x14ac:dyDescent="0.2">
      <c r="A812" s="24" t="s">
        <v>784</v>
      </c>
      <c r="B812" s="3" t="s">
        <v>17</v>
      </c>
      <c r="D812" s="5" t="s">
        <v>39</v>
      </c>
      <c r="F812" s="7">
        <v>1</v>
      </c>
      <c r="G812" s="8" t="s">
        <v>19</v>
      </c>
      <c r="H812" s="7">
        <v>144</v>
      </c>
      <c r="I812" s="8" t="s">
        <v>39</v>
      </c>
      <c r="J812" s="9">
        <v>25200</v>
      </c>
      <c r="K812" s="5" t="s">
        <v>39</v>
      </c>
      <c r="L812" s="10">
        <v>0.125</v>
      </c>
      <c r="M812" s="10">
        <v>0.05</v>
      </c>
      <c r="O812" s="8" t="s">
        <v>39</v>
      </c>
      <c r="P812" s="4">
        <f t="shared" si="273"/>
        <v>0</v>
      </c>
      <c r="Q812" s="8" t="s">
        <v>39</v>
      </c>
      <c r="R812" s="9">
        <f>S812/1.11</f>
        <v>0</v>
      </c>
      <c r="S812" s="9">
        <f t="shared" si="274"/>
        <v>0</v>
      </c>
    </row>
    <row r="813" spans="1:19" x14ac:dyDescent="0.2">
      <c r="A813" s="24"/>
    </row>
    <row r="814" spans="1:19" x14ac:dyDescent="0.2">
      <c r="A814" s="2" t="s">
        <v>448</v>
      </c>
      <c r="B814" s="3" t="s">
        <v>24</v>
      </c>
      <c r="D814" s="5" t="s">
        <v>39</v>
      </c>
      <c r="F814" s="7">
        <v>1</v>
      </c>
      <c r="G814" s="8" t="s">
        <v>19</v>
      </c>
      <c r="H814" s="7">
        <v>144</v>
      </c>
      <c r="I814" s="8" t="s">
        <v>39</v>
      </c>
      <c r="J814" s="9">
        <v>51600</v>
      </c>
      <c r="K814" s="5" t="s">
        <v>39</v>
      </c>
      <c r="M814" s="10">
        <v>0.17</v>
      </c>
      <c r="O814" s="8" t="s">
        <v>39</v>
      </c>
      <c r="P814" s="4">
        <f t="shared" ref="P814:P818" si="277">(C814+(E814*F814*H814))-N814</f>
        <v>0</v>
      </c>
      <c r="Q814" s="8" t="s">
        <v>39</v>
      </c>
      <c r="R814" s="9">
        <f>S814/1.11</f>
        <v>0</v>
      </c>
      <c r="S814" s="9">
        <f t="shared" ref="S814:S818" si="278">P814*(J814-(J814*L814)-((J814-(J814*L814))*M814))</f>
        <v>0</v>
      </c>
    </row>
    <row r="815" spans="1:19" x14ac:dyDescent="0.2">
      <c r="A815" s="2" t="s">
        <v>449</v>
      </c>
      <c r="B815" s="3" t="s">
        <v>24</v>
      </c>
      <c r="D815" s="5" t="s">
        <v>39</v>
      </c>
      <c r="F815" s="7">
        <v>1</v>
      </c>
      <c r="G815" s="8" t="s">
        <v>19</v>
      </c>
      <c r="H815" s="7">
        <v>144</v>
      </c>
      <c r="I815" s="8" t="s">
        <v>39</v>
      </c>
      <c r="J815" s="9">
        <v>32000</v>
      </c>
      <c r="K815" s="5" t="s">
        <v>39</v>
      </c>
      <c r="M815" s="10">
        <v>0.17</v>
      </c>
      <c r="O815" s="8" t="s">
        <v>39</v>
      </c>
      <c r="P815" s="4">
        <f t="shared" ref="P815" si="279">(C815+(E815*F815*H815))-N815</f>
        <v>0</v>
      </c>
      <c r="Q815" s="8" t="s">
        <v>39</v>
      </c>
      <c r="R815" s="9">
        <f>S815/1.11</f>
        <v>0</v>
      </c>
      <c r="S815" s="9">
        <f t="shared" ref="S815" si="280">P815*(J815-(J815*L815)-((J815-(J815*L815))*M815))</f>
        <v>0</v>
      </c>
    </row>
    <row r="816" spans="1:19" x14ac:dyDescent="0.2">
      <c r="A816" s="2" t="s">
        <v>450</v>
      </c>
      <c r="B816" s="3" t="s">
        <v>24</v>
      </c>
      <c r="D816" s="5" t="s">
        <v>39</v>
      </c>
      <c r="F816" s="7">
        <v>1</v>
      </c>
      <c r="G816" s="8" t="s">
        <v>19</v>
      </c>
      <c r="H816" s="7">
        <v>144</v>
      </c>
      <c r="I816" s="8" t="s">
        <v>39</v>
      </c>
      <c r="J816" s="9">
        <v>29400</v>
      </c>
      <c r="K816" s="5" t="s">
        <v>39</v>
      </c>
      <c r="M816" s="10">
        <v>0.17</v>
      </c>
      <c r="O816" s="8" t="s">
        <v>39</v>
      </c>
      <c r="P816" s="4">
        <f t="shared" si="277"/>
        <v>0</v>
      </c>
      <c r="Q816" s="8" t="s">
        <v>39</v>
      </c>
      <c r="R816" s="9">
        <f>S816/1.11</f>
        <v>0</v>
      </c>
      <c r="S816" s="9">
        <f t="shared" si="278"/>
        <v>0</v>
      </c>
    </row>
    <row r="817" spans="1:19" x14ac:dyDescent="0.2">
      <c r="A817" s="2" t="s">
        <v>451</v>
      </c>
      <c r="B817" s="3" t="s">
        <v>24</v>
      </c>
      <c r="D817" s="5" t="s">
        <v>39</v>
      </c>
      <c r="F817" s="7">
        <v>1</v>
      </c>
      <c r="G817" s="8" t="s">
        <v>19</v>
      </c>
      <c r="H817" s="7">
        <v>144</v>
      </c>
      <c r="I817" s="8" t="s">
        <v>39</v>
      </c>
      <c r="J817" s="9">
        <v>22200</v>
      </c>
      <c r="K817" s="5" t="s">
        <v>39</v>
      </c>
      <c r="M817" s="10">
        <v>0.17</v>
      </c>
      <c r="O817" s="8" t="s">
        <v>39</v>
      </c>
      <c r="P817" s="4">
        <f t="shared" si="277"/>
        <v>0</v>
      </c>
      <c r="Q817" s="8" t="s">
        <v>39</v>
      </c>
      <c r="R817" s="9">
        <f>S817/1.11</f>
        <v>0</v>
      </c>
      <c r="S817" s="9">
        <f t="shared" si="278"/>
        <v>0</v>
      </c>
    </row>
    <row r="818" spans="1:19" x14ac:dyDescent="0.2">
      <c r="A818" s="2" t="s">
        <v>452</v>
      </c>
      <c r="B818" s="3" t="s">
        <v>24</v>
      </c>
      <c r="D818" s="5" t="s">
        <v>39</v>
      </c>
      <c r="F818" s="7">
        <v>1</v>
      </c>
      <c r="G818" s="8" t="s">
        <v>19</v>
      </c>
      <c r="H818" s="7">
        <v>144</v>
      </c>
      <c r="I818" s="8" t="s">
        <v>39</v>
      </c>
      <c r="J818" s="9">
        <f>3369600/144</f>
        <v>23400</v>
      </c>
      <c r="K818" s="5" t="s">
        <v>39</v>
      </c>
      <c r="M818" s="10">
        <v>0.17</v>
      </c>
      <c r="O818" s="8" t="s">
        <v>39</v>
      </c>
      <c r="P818" s="4">
        <f t="shared" si="277"/>
        <v>0</v>
      </c>
      <c r="Q818" s="8" t="s">
        <v>39</v>
      </c>
      <c r="R818" s="9">
        <f>S818/1.11</f>
        <v>0</v>
      </c>
      <c r="S818" s="9">
        <f t="shared" si="278"/>
        <v>0</v>
      </c>
    </row>
    <row r="820" spans="1:19" x14ac:dyDescent="0.2">
      <c r="A820" s="2" t="s">
        <v>453</v>
      </c>
      <c r="B820" s="3" t="s">
        <v>258</v>
      </c>
      <c r="D820" s="5" t="s">
        <v>39</v>
      </c>
      <c r="F820" s="7">
        <v>1</v>
      </c>
      <c r="G820" s="8" t="s">
        <v>19</v>
      </c>
      <c r="H820" s="7">
        <v>144</v>
      </c>
      <c r="I820" s="8" t="s">
        <v>39</v>
      </c>
      <c r="J820" s="9">
        <v>12500</v>
      </c>
      <c r="K820" s="5" t="s">
        <v>39</v>
      </c>
      <c r="O820" s="8" t="s">
        <v>39</v>
      </c>
      <c r="P820" s="4">
        <f t="shared" ref="P820:P823" si="281">(C820+(E820*F820*H820))-N820</f>
        <v>0</v>
      </c>
      <c r="Q820" s="8" t="s">
        <v>39</v>
      </c>
      <c r="R820" s="9">
        <f>S820/1.11</f>
        <v>0</v>
      </c>
      <c r="S820" s="9">
        <f t="shared" ref="S820:S823" si="282">P820*(J820-(J820*L820)-((J820-(J820*L820))*M820))</f>
        <v>0</v>
      </c>
    </row>
    <row r="821" spans="1:19" x14ac:dyDescent="0.2">
      <c r="A821" s="2" t="s">
        <v>454</v>
      </c>
      <c r="B821" s="3" t="s">
        <v>258</v>
      </c>
      <c r="D821" s="5" t="s">
        <v>39</v>
      </c>
      <c r="F821" s="7">
        <v>1</v>
      </c>
      <c r="G821" s="8" t="s">
        <v>19</v>
      </c>
      <c r="H821" s="7">
        <v>144</v>
      </c>
      <c r="I821" s="8" t="s">
        <v>39</v>
      </c>
      <c r="J821" s="9">
        <v>12500</v>
      </c>
      <c r="K821" s="5" t="s">
        <v>39</v>
      </c>
      <c r="O821" s="8" t="s">
        <v>39</v>
      </c>
      <c r="P821" s="4">
        <f t="shared" si="281"/>
        <v>0</v>
      </c>
      <c r="Q821" s="8" t="s">
        <v>39</v>
      </c>
      <c r="R821" s="9">
        <f>S821/1.11</f>
        <v>0</v>
      </c>
      <c r="S821" s="9">
        <f t="shared" si="282"/>
        <v>0</v>
      </c>
    </row>
    <row r="822" spans="1:19" x14ac:dyDescent="0.2">
      <c r="A822" s="2" t="s">
        <v>924</v>
      </c>
      <c r="B822" s="3" t="s">
        <v>258</v>
      </c>
      <c r="D822" s="5" t="s">
        <v>39</v>
      </c>
      <c r="F822" s="7">
        <v>1</v>
      </c>
      <c r="G822" s="8" t="s">
        <v>19</v>
      </c>
      <c r="H822" s="7">
        <v>96</v>
      </c>
      <c r="I822" s="8" t="s">
        <v>39</v>
      </c>
      <c r="J822" s="9">
        <v>29000</v>
      </c>
      <c r="K822" s="5" t="s">
        <v>39</v>
      </c>
      <c r="O822" s="8" t="s">
        <v>39</v>
      </c>
      <c r="P822" s="4">
        <f t="shared" si="281"/>
        <v>0</v>
      </c>
      <c r="Q822" s="8" t="s">
        <v>39</v>
      </c>
      <c r="R822" s="9">
        <f>S822/1.11</f>
        <v>0</v>
      </c>
      <c r="S822" s="9">
        <f t="shared" si="282"/>
        <v>0</v>
      </c>
    </row>
    <row r="823" spans="1:19" x14ac:dyDescent="0.2">
      <c r="A823" s="2" t="s">
        <v>925</v>
      </c>
      <c r="B823" s="3" t="s">
        <v>258</v>
      </c>
      <c r="D823" s="5" t="s">
        <v>39</v>
      </c>
      <c r="F823" s="7">
        <v>1</v>
      </c>
      <c r="G823" s="8" t="s">
        <v>19</v>
      </c>
      <c r="H823" s="7">
        <v>144</v>
      </c>
      <c r="I823" s="8" t="s">
        <v>39</v>
      </c>
      <c r="J823" s="9">
        <v>13250</v>
      </c>
      <c r="K823" s="5" t="s">
        <v>39</v>
      </c>
      <c r="O823" s="8" t="s">
        <v>39</v>
      </c>
      <c r="P823" s="4">
        <f t="shared" si="281"/>
        <v>0</v>
      </c>
      <c r="Q823" s="8" t="s">
        <v>39</v>
      </c>
      <c r="R823" s="9">
        <f>S823/1.11</f>
        <v>0</v>
      </c>
      <c r="S823" s="9">
        <f t="shared" si="282"/>
        <v>0</v>
      </c>
    </row>
    <row r="825" spans="1:19" x14ac:dyDescent="0.2">
      <c r="A825" s="30" t="s">
        <v>655</v>
      </c>
    </row>
    <row r="826" spans="1:19" x14ac:dyDescent="0.2">
      <c r="A826" s="24" t="s">
        <v>656</v>
      </c>
      <c r="B826" s="3" t="s">
        <v>17</v>
      </c>
      <c r="D826" s="5" t="s">
        <v>82</v>
      </c>
      <c r="F826" s="7">
        <v>1</v>
      </c>
      <c r="G826" s="8" t="s">
        <v>19</v>
      </c>
      <c r="H826" s="7">
        <v>12</v>
      </c>
      <c r="I826" s="8" t="s">
        <v>82</v>
      </c>
      <c r="J826" s="9">
        <v>176400</v>
      </c>
      <c r="K826" s="5" t="s">
        <v>82</v>
      </c>
      <c r="L826" s="10">
        <v>0.125</v>
      </c>
      <c r="M826" s="10">
        <v>0.05</v>
      </c>
      <c r="O826" s="8" t="s">
        <v>82</v>
      </c>
      <c r="P826" s="4">
        <f t="shared" ref="P826:P831" si="283">(C826+(E826*F826*H826))-N826</f>
        <v>0</v>
      </c>
      <c r="Q826" s="8" t="s">
        <v>82</v>
      </c>
      <c r="R826" s="9">
        <f>S826/1.11</f>
        <v>0</v>
      </c>
      <c r="S826" s="9">
        <f t="shared" ref="S826:S831" si="284">P826*(J826-(J826*L826)-((J826-(J826*L826))*M826))</f>
        <v>0</v>
      </c>
    </row>
    <row r="827" spans="1:19" x14ac:dyDescent="0.2">
      <c r="A827" s="24" t="s">
        <v>657</v>
      </c>
      <c r="B827" s="3" t="s">
        <v>17</v>
      </c>
      <c r="D827" s="5" t="s">
        <v>82</v>
      </c>
      <c r="F827" s="7">
        <v>12</v>
      </c>
      <c r="G827" s="8" t="s">
        <v>32</v>
      </c>
      <c r="H827" s="7">
        <v>1</v>
      </c>
      <c r="I827" s="8" t="s">
        <v>82</v>
      </c>
      <c r="J827" s="9">
        <v>183600</v>
      </c>
      <c r="K827" s="5" t="s">
        <v>82</v>
      </c>
      <c r="L827" s="10">
        <v>0.125</v>
      </c>
      <c r="M827" s="10">
        <v>0.05</v>
      </c>
      <c r="O827" s="8" t="s">
        <v>82</v>
      </c>
      <c r="P827" s="4">
        <f t="shared" si="283"/>
        <v>0</v>
      </c>
      <c r="Q827" s="8" t="s">
        <v>82</v>
      </c>
      <c r="R827" s="9">
        <f>S827/1.11</f>
        <v>0</v>
      </c>
      <c r="S827" s="9">
        <f t="shared" si="284"/>
        <v>0</v>
      </c>
    </row>
    <row r="828" spans="1:19" x14ac:dyDescent="0.2">
      <c r="A828" s="24" t="s">
        <v>658</v>
      </c>
      <c r="B828" s="3" t="s">
        <v>17</v>
      </c>
      <c r="D828" s="5" t="s">
        <v>39</v>
      </c>
      <c r="F828" s="7">
        <v>12</v>
      </c>
      <c r="G828" s="8" t="s">
        <v>82</v>
      </c>
      <c r="H828" s="7">
        <v>12</v>
      </c>
      <c r="I828" s="8" t="s">
        <v>39</v>
      </c>
      <c r="J828" s="9">
        <v>19800</v>
      </c>
      <c r="K828" s="5" t="s">
        <v>39</v>
      </c>
      <c r="L828" s="10">
        <v>0.125</v>
      </c>
      <c r="M828" s="10">
        <v>0.05</v>
      </c>
      <c r="O828" s="8" t="s">
        <v>39</v>
      </c>
      <c r="P828" s="4">
        <f t="shared" ref="P828" si="285">(C828+(E828*F828*H828))-N828</f>
        <v>0</v>
      </c>
      <c r="Q828" s="8" t="s">
        <v>39</v>
      </c>
      <c r="R828" s="9">
        <f>S828/1.11</f>
        <v>0</v>
      </c>
      <c r="S828" s="9">
        <f t="shared" ref="S828" si="286">P828*(J828-(J828*L828)-((J828-(J828*L828))*M828))</f>
        <v>0</v>
      </c>
    </row>
    <row r="829" spans="1:19" x14ac:dyDescent="0.2">
      <c r="A829" s="24" t="s">
        <v>659</v>
      </c>
      <c r="B829" s="3" t="s">
        <v>17</v>
      </c>
      <c r="D829" s="5" t="s">
        <v>39</v>
      </c>
      <c r="F829" s="7">
        <v>12</v>
      </c>
      <c r="G829" s="8" t="s">
        <v>82</v>
      </c>
      <c r="H829" s="7">
        <v>6</v>
      </c>
      <c r="I829" s="8" t="s">
        <v>39</v>
      </c>
      <c r="J829" s="9">
        <f>3100*12</f>
        <v>37200</v>
      </c>
      <c r="K829" s="5" t="s">
        <v>39</v>
      </c>
      <c r="L829" s="10">
        <v>0.125</v>
      </c>
      <c r="M829" s="10">
        <v>0.05</v>
      </c>
      <c r="O829" s="8" t="s">
        <v>39</v>
      </c>
      <c r="P829" s="4">
        <f t="shared" ref="P829" si="287">(C829+(E829*F829*H829))-N829</f>
        <v>0</v>
      </c>
      <c r="Q829" s="8" t="s">
        <v>39</v>
      </c>
      <c r="R829" s="9">
        <f>S829/1.11</f>
        <v>0</v>
      </c>
      <c r="S829" s="9">
        <f t="shared" ref="S829" si="288">P829*(J829-(J829*L829)-((J829-(J829*L829))*M829))</f>
        <v>0</v>
      </c>
    </row>
    <row r="830" spans="1:19" x14ac:dyDescent="0.2">
      <c r="A830" s="24" t="s">
        <v>660</v>
      </c>
      <c r="B830" s="3" t="s">
        <v>17</v>
      </c>
      <c r="D830" s="5" t="s">
        <v>82</v>
      </c>
      <c r="F830" s="7">
        <v>1</v>
      </c>
      <c r="G830" s="8" t="s">
        <v>19</v>
      </c>
      <c r="H830" s="7">
        <v>12</v>
      </c>
      <c r="I830" s="8" t="s">
        <v>82</v>
      </c>
      <c r="J830" s="9">
        <v>198000</v>
      </c>
      <c r="K830" s="5" t="s">
        <v>82</v>
      </c>
      <c r="L830" s="10">
        <v>0.125</v>
      </c>
      <c r="M830" s="10">
        <v>0.05</v>
      </c>
      <c r="O830" s="8" t="s">
        <v>82</v>
      </c>
      <c r="P830" s="4">
        <f t="shared" ref="P830" si="289">(C830+(E830*F830*H830))-N830</f>
        <v>0</v>
      </c>
      <c r="Q830" s="8" t="s">
        <v>82</v>
      </c>
      <c r="R830" s="9">
        <f>S830/1.11</f>
        <v>0</v>
      </c>
      <c r="S830" s="9">
        <f t="shared" ref="S830" si="290">P830*(J830-(J830*L830)-((J830-(J830*L830))*M830))</f>
        <v>0</v>
      </c>
    </row>
    <row r="831" spans="1:19" x14ac:dyDescent="0.2">
      <c r="A831" s="24" t="s">
        <v>725</v>
      </c>
      <c r="B831" s="3" t="s">
        <v>17</v>
      </c>
      <c r="D831" s="5" t="s">
        <v>39</v>
      </c>
      <c r="F831" s="7">
        <v>1</v>
      </c>
      <c r="G831" s="8" t="s">
        <v>19</v>
      </c>
      <c r="H831" s="7">
        <v>72</v>
      </c>
      <c r="I831" s="8" t="s">
        <v>39</v>
      </c>
      <c r="J831" s="9">
        <v>39600</v>
      </c>
      <c r="K831" s="5" t="s">
        <v>39</v>
      </c>
      <c r="L831" s="10">
        <v>0.125</v>
      </c>
      <c r="M831" s="10">
        <v>0.05</v>
      </c>
      <c r="O831" s="8" t="s">
        <v>82</v>
      </c>
      <c r="P831" s="4">
        <f t="shared" si="283"/>
        <v>0</v>
      </c>
      <c r="Q831" s="8" t="s">
        <v>82</v>
      </c>
      <c r="R831" s="9">
        <f>S831/1.11</f>
        <v>0</v>
      </c>
      <c r="S831" s="9">
        <f t="shared" si="284"/>
        <v>0</v>
      </c>
    </row>
    <row r="832" spans="1:19" x14ac:dyDescent="0.2">
      <c r="A832" s="24"/>
    </row>
    <row r="833" spans="1:19" x14ac:dyDescent="0.2">
      <c r="A833" s="24" t="s">
        <v>661</v>
      </c>
      <c r="B833" s="3" t="s">
        <v>24</v>
      </c>
      <c r="D833" s="5" t="s">
        <v>82</v>
      </c>
      <c r="F833" s="7">
        <v>1</v>
      </c>
      <c r="G833" s="8" t="s">
        <v>19</v>
      </c>
      <c r="H833" s="7">
        <v>18</v>
      </c>
      <c r="I833" s="8" t="s">
        <v>82</v>
      </c>
      <c r="J833" s="9">
        <f>3240000/18</f>
        <v>180000</v>
      </c>
      <c r="K833" s="5" t="s">
        <v>82</v>
      </c>
      <c r="M833" s="10">
        <v>0.17</v>
      </c>
      <c r="O833" s="8" t="s">
        <v>82</v>
      </c>
      <c r="P833" s="4">
        <f>(C833+(E833*F833*H833))-N833</f>
        <v>0</v>
      </c>
      <c r="Q833" s="8" t="s">
        <v>82</v>
      </c>
      <c r="R833" s="9">
        <f>S833/1.11</f>
        <v>0</v>
      </c>
      <c r="S833" s="9">
        <f>P833*(J833-(J833*L833)-((J833-(J833*L833))*M833))</f>
        <v>0</v>
      </c>
    </row>
    <row r="834" spans="1:19" x14ac:dyDescent="0.2">
      <c r="A834" s="2" t="s">
        <v>662</v>
      </c>
      <c r="B834" s="3" t="s">
        <v>24</v>
      </c>
      <c r="D834" s="5" t="s">
        <v>39</v>
      </c>
      <c r="F834" s="7">
        <v>12</v>
      </c>
      <c r="G834" s="8" t="s">
        <v>82</v>
      </c>
      <c r="H834" s="7">
        <v>12</v>
      </c>
      <c r="I834" s="8" t="s">
        <v>39</v>
      </c>
      <c r="J834" s="9">
        <v>16200</v>
      </c>
      <c r="K834" s="5" t="s">
        <v>39</v>
      </c>
      <c r="M834" s="10">
        <v>0.17</v>
      </c>
      <c r="O834" s="8" t="s">
        <v>39</v>
      </c>
      <c r="P834" s="4">
        <f>(C834+(E834*F834*H834))-N834</f>
        <v>0</v>
      </c>
      <c r="Q834" s="8" t="s">
        <v>39</v>
      </c>
      <c r="R834" s="9">
        <f>S834/1.11</f>
        <v>0</v>
      </c>
      <c r="S834" s="9">
        <f>P834*(J834-(J834*L834)-((J834-(J834*L834))*M834))</f>
        <v>0</v>
      </c>
    </row>
    <row r="835" spans="1:19" x14ac:dyDescent="0.2">
      <c r="A835" s="2" t="s">
        <v>663</v>
      </c>
      <c r="B835" s="3" t="s">
        <v>24</v>
      </c>
      <c r="D835" s="5" t="s">
        <v>39</v>
      </c>
      <c r="F835" s="7">
        <v>12</v>
      </c>
      <c r="G835" s="8" t="s">
        <v>82</v>
      </c>
      <c r="H835" s="7">
        <v>12</v>
      </c>
      <c r="I835" s="8" t="s">
        <v>39</v>
      </c>
      <c r="J835" s="9">
        <f>2937600/12/12</f>
        <v>20400</v>
      </c>
      <c r="K835" s="5" t="s">
        <v>39</v>
      </c>
      <c r="M835" s="10">
        <v>0.17</v>
      </c>
      <c r="O835" s="8" t="s">
        <v>39</v>
      </c>
      <c r="P835" s="4">
        <f>(C835+(E835*F835*H835))-N835</f>
        <v>0</v>
      </c>
      <c r="Q835" s="8" t="s">
        <v>39</v>
      </c>
      <c r="R835" s="9">
        <f>S835/1.11</f>
        <v>0</v>
      </c>
      <c r="S835" s="9">
        <f>P835*(J835-(J835*L835)-((J835-(J835*L835))*M835))</f>
        <v>0</v>
      </c>
    </row>
    <row r="837" spans="1:19" x14ac:dyDescent="0.2">
      <c r="A837" s="2" t="s">
        <v>767</v>
      </c>
      <c r="B837" s="3" t="s">
        <v>180</v>
      </c>
      <c r="C837" s="4">
        <v>14400</v>
      </c>
      <c r="D837" s="5" t="s">
        <v>150</v>
      </c>
      <c r="F837" s="7">
        <v>40</v>
      </c>
      <c r="G837" s="8" t="s">
        <v>32</v>
      </c>
      <c r="H837" s="7">
        <f>1600/40</f>
        <v>40</v>
      </c>
      <c r="I837" s="8" t="s">
        <v>150</v>
      </c>
      <c r="J837" s="9">
        <v>1532</v>
      </c>
      <c r="K837" s="5" t="s">
        <v>150</v>
      </c>
      <c r="O837" s="8" t="s">
        <v>150</v>
      </c>
      <c r="P837" s="4">
        <f>(C837+(E837*F837*H837))-N837</f>
        <v>14400</v>
      </c>
      <c r="Q837" s="8" t="s">
        <v>150</v>
      </c>
      <c r="R837" s="9">
        <f>S837/1.11</f>
        <v>19874594.594594594</v>
      </c>
      <c r="S837" s="9">
        <f>P837*(J837-(J837*L837)-((J837-(J837*L837))*M837))</f>
        <v>22060800</v>
      </c>
    </row>
    <row r="839" spans="1:19" x14ac:dyDescent="0.2">
      <c r="A839" s="30" t="s">
        <v>455</v>
      </c>
    </row>
    <row r="840" spans="1:19" x14ac:dyDescent="0.2">
      <c r="A840" s="2" t="s">
        <v>895</v>
      </c>
      <c r="B840" s="3" t="s">
        <v>17</v>
      </c>
      <c r="D840" s="5" t="s">
        <v>150</v>
      </c>
      <c r="F840" s="7">
        <v>12</v>
      </c>
      <c r="G840" s="8" t="s">
        <v>32</v>
      </c>
      <c r="H840" s="7">
        <v>12</v>
      </c>
      <c r="I840" s="8" t="s">
        <v>150</v>
      </c>
      <c r="J840" s="9">
        <v>12200</v>
      </c>
      <c r="K840" s="5" t="s">
        <v>150</v>
      </c>
      <c r="L840" s="10">
        <v>0.125</v>
      </c>
      <c r="M840" s="10">
        <v>0.05</v>
      </c>
      <c r="O840" s="8" t="s">
        <v>150</v>
      </c>
      <c r="P840" s="4">
        <f t="shared" ref="P840" si="291">(C840+(E840*F840*H840))-N840</f>
        <v>0</v>
      </c>
      <c r="Q840" s="8" t="s">
        <v>150</v>
      </c>
      <c r="R840" s="9">
        <f>S840/1.11</f>
        <v>0</v>
      </c>
      <c r="S840" s="9">
        <f t="shared" ref="S840" si="292">P840*(J840-(J840*L840)-((J840-(J840*L840))*M840))</f>
        <v>0</v>
      </c>
    </row>
    <row r="841" spans="1:19" x14ac:dyDescent="0.2">
      <c r="A841" s="2" t="s">
        <v>456</v>
      </c>
      <c r="B841" s="3" t="s">
        <v>17</v>
      </c>
      <c r="D841" s="5" t="s">
        <v>150</v>
      </c>
      <c r="F841" s="7">
        <v>12</v>
      </c>
      <c r="G841" s="8" t="s">
        <v>32</v>
      </c>
      <c r="H841" s="7">
        <v>24</v>
      </c>
      <c r="I841" s="8" t="s">
        <v>150</v>
      </c>
      <c r="J841" s="9">
        <v>6700</v>
      </c>
      <c r="K841" s="5" t="s">
        <v>150</v>
      </c>
      <c r="L841" s="10">
        <v>0.125</v>
      </c>
      <c r="M841" s="10">
        <v>0.05</v>
      </c>
      <c r="O841" s="8" t="s">
        <v>150</v>
      </c>
      <c r="P841" s="4">
        <f t="shared" ref="P841:P855" si="293">(C841+(E841*F841*H841))-N841</f>
        <v>0</v>
      </c>
      <c r="Q841" s="8" t="s">
        <v>150</v>
      </c>
      <c r="R841" s="9">
        <f>S841/1.11</f>
        <v>0</v>
      </c>
      <c r="S841" s="9">
        <f t="shared" ref="S841:S855" si="294">P841*(J841-(J841*L841)-((J841-(J841*L841))*M841))</f>
        <v>0</v>
      </c>
    </row>
    <row r="842" spans="1:19" x14ac:dyDescent="0.2">
      <c r="A842" s="2" t="s">
        <v>457</v>
      </c>
      <c r="B842" s="3" t="s">
        <v>17</v>
      </c>
      <c r="D842" s="5" t="s">
        <v>150</v>
      </c>
      <c r="F842" s="7">
        <v>12</v>
      </c>
      <c r="G842" s="8" t="s">
        <v>32</v>
      </c>
      <c r="H842" s="7">
        <v>12</v>
      </c>
      <c r="I842" s="8" t="s">
        <v>150</v>
      </c>
      <c r="J842" s="9">
        <v>13800</v>
      </c>
      <c r="K842" s="5" t="s">
        <v>150</v>
      </c>
      <c r="L842" s="10">
        <v>0.125</v>
      </c>
      <c r="M842" s="10">
        <v>0.05</v>
      </c>
      <c r="O842" s="8" t="s">
        <v>150</v>
      </c>
      <c r="P842" s="4">
        <f t="shared" si="293"/>
        <v>0</v>
      </c>
      <c r="Q842" s="8" t="s">
        <v>150</v>
      </c>
      <c r="R842" s="9">
        <f>S842/1.11</f>
        <v>0</v>
      </c>
      <c r="S842" s="9">
        <f t="shared" si="294"/>
        <v>0</v>
      </c>
    </row>
    <row r="843" spans="1:19" x14ac:dyDescent="0.2">
      <c r="A843" s="2" t="s">
        <v>458</v>
      </c>
      <c r="B843" s="3" t="s">
        <v>17</v>
      </c>
      <c r="D843" s="5" t="s">
        <v>150</v>
      </c>
      <c r="F843" s="7">
        <v>12</v>
      </c>
      <c r="G843" s="8" t="s">
        <v>32</v>
      </c>
      <c r="H843" s="7">
        <v>12</v>
      </c>
      <c r="I843" s="8" t="s">
        <v>150</v>
      </c>
      <c r="J843" s="9">
        <v>10600</v>
      </c>
      <c r="K843" s="5" t="s">
        <v>150</v>
      </c>
      <c r="L843" s="10">
        <v>0.125</v>
      </c>
      <c r="M843" s="10">
        <v>0.05</v>
      </c>
      <c r="O843" s="8" t="s">
        <v>150</v>
      </c>
      <c r="P843" s="4">
        <f t="shared" si="293"/>
        <v>0</v>
      </c>
      <c r="Q843" s="8" t="s">
        <v>150</v>
      </c>
      <c r="R843" s="9">
        <f>S843/1.11</f>
        <v>0</v>
      </c>
      <c r="S843" s="9">
        <f t="shared" si="294"/>
        <v>0</v>
      </c>
    </row>
    <row r="844" spans="1:19" x14ac:dyDescent="0.2">
      <c r="A844" s="2" t="s">
        <v>459</v>
      </c>
      <c r="B844" s="3" t="s">
        <v>17</v>
      </c>
      <c r="D844" s="5" t="s">
        <v>150</v>
      </c>
      <c r="F844" s="7">
        <v>12</v>
      </c>
      <c r="G844" s="8" t="s">
        <v>32</v>
      </c>
      <c r="H844" s="7">
        <v>6</v>
      </c>
      <c r="I844" s="8" t="s">
        <v>150</v>
      </c>
      <c r="J844" s="9">
        <v>21200</v>
      </c>
      <c r="K844" s="5" t="s">
        <v>150</v>
      </c>
      <c r="L844" s="10">
        <v>0.125</v>
      </c>
      <c r="M844" s="10">
        <v>0.05</v>
      </c>
      <c r="O844" s="8" t="s">
        <v>150</v>
      </c>
      <c r="P844" s="4">
        <f t="shared" si="293"/>
        <v>0</v>
      </c>
      <c r="Q844" s="8" t="s">
        <v>150</v>
      </c>
      <c r="R844" s="9">
        <f>S844/1.11</f>
        <v>0</v>
      </c>
      <c r="S844" s="9">
        <f t="shared" si="294"/>
        <v>0</v>
      </c>
    </row>
    <row r="845" spans="1:19" x14ac:dyDescent="0.2">
      <c r="A845" s="2" t="s">
        <v>460</v>
      </c>
      <c r="B845" s="3" t="s">
        <v>17</v>
      </c>
      <c r="D845" s="5" t="s">
        <v>150</v>
      </c>
      <c r="F845" s="7">
        <v>8</v>
      </c>
      <c r="G845" s="8" t="s">
        <v>32</v>
      </c>
      <c r="H845" s="7">
        <v>6</v>
      </c>
      <c r="I845" s="8" t="s">
        <v>150</v>
      </c>
      <c r="J845" s="9">
        <v>35000</v>
      </c>
      <c r="K845" s="5" t="s">
        <v>150</v>
      </c>
      <c r="L845" s="10">
        <v>0.125</v>
      </c>
      <c r="M845" s="10">
        <v>0.05</v>
      </c>
      <c r="O845" s="8" t="s">
        <v>150</v>
      </c>
      <c r="P845" s="4">
        <f t="shared" si="293"/>
        <v>0</v>
      </c>
      <c r="Q845" s="8" t="s">
        <v>150</v>
      </c>
      <c r="R845" s="9">
        <f>S845/1.11</f>
        <v>0</v>
      </c>
      <c r="S845" s="9">
        <f t="shared" si="294"/>
        <v>0</v>
      </c>
    </row>
    <row r="846" spans="1:19" x14ac:dyDescent="0.2">
      <c r="A846" s="2" t="s">
        <v>461</v>
      </c>
      <c r="B846" s="3" t="s">
        <v>17</v>
      </c>
      <c r="D846" s="5" t="s">
        <v>150</v>
      </c>
      <c r="F846" s="7">
        <v>12</v>
      </c>
      <c r="G846" s="8" t="s">
        <v>32</v>
      </c>
      <c r="H846" s="7">
        <v>12</v>
      </c>
      <c r="I846" s="8" t="s">
        <v>150</v>
      </c>
      <c r="J846" s="9">
        <v>9600</v>
      </c>
      <c r="K846" s="5" t="s">
        <v>150</v>
      </c>
      <c r="L846" s="10">
        <v>0.125</v>
      </c>
      <c r="M846" s="10">
        <v>0.05</v>
      </c>
      <c r="O846" s="8" t="s">
        <v>150</v>
      </c>
      <c r="P846" s="4">
        <f t="shared" si="293"/>
        <v>0</v>
      </c>
      <c r="Q846" s="8" t="s">
        <v>150</v>
      </c>
      <c r="R846" s="9">
        <f>S846/1.11</f>
        <v>0</v>
      </c>
      <c r="S846" s="9">
        <f t="shared" si="294"/>
        <v>0</v>
      </c>
    </row>
    <row r="847" spans="1:19" x14ac:dyDescent="0.2">
      <c r="A847" s="2" t="s">
        <v>462</v>
      </c>
      <c r="B847" s="3" t="s">
        <v>17</v>
      </c>
      <c r="D847" s="5" t="s">
        <v>150</v>
      </c>
      <c r="F847" s="7">
        <v>12</v>
      </c>
      <c r="G847" s="8" t="s">
        <v>32</v>
      </c>
      <c r="H847" s="7">
        <v>6</v>
      </c>
      <c r="I847" s="8" t="s">
        <v>150</v>
      </c>
      <c r="J847" s="9">
        <v>19200</v>
      </c>
      <c r="K847" s="5" t="s">
        <v>150</v>
      </c>
      <c r="L847" s="10">
        <v>0.125</v>
      </c>
      <c r="M847" s="10">
        <v>0.05</v>
      </c>
      <c r="O847" s="8" t="s">
        <v>150</v>
      </c>
      <c r="P847" s="4">
        <f t="shared" si="293"/>
        <v>0</v>
      </c>
      <c r="Q847" s="8" t="s">
        <v>150</v>
      </c>
      <c r="R847" s="9">
        <f>S847/1.11</f>
        <v>0</v>
      </c>
      <c r="S847" s="9">
        <f t="shared" si="294"/>
        <v>0</v>
      </c>
    </row>
    <row r="848" spans="1:19" x14ac:dyDescent="0.2">
      <c r="A848" s="2" t="s">
        <v>463</v>
      </c>
      <c r="B848" s="3" t="s">
        <v>17</v>
      </c>
      <c r="D848" s="5" t="s">
        <v>150</v>
      </c>
      <c r="F848" s="7">
        <v>12</v>
      </c>
      <c r="G848" s="8" t="s">
        <v>32</v>
      </c>
      <c r="H848" s="7">
        <v>24</v>
      </c>
      <c r="I848" s="8" t="s">
        <v>150</v>
      </c>
      <c r="J848" s="9">
        <v>5800</v>
      </c>
      <c r="K848" s="5" t="s">
        <v>150</v>
      </c>
      <c r="L848" s="10">
        <v>0.125</v>
      </c>
      <c r="M848" s="10">
        <v>0.05</v>
      </c>
      <c r="O848" s="8" t="s">
        <v>150</v>
      </c>
      <c r="P848" s="4">
        <f t="shared" si="293"/>
        <v>0</v>
      </c>
      <c r="Q848" s="8" t="s">
        <v>150</v>
      </c>
      <c r="R848" s="9">
        <f>S848/1.11</f>
        <v>0</v>
      </c>
      <c r="S848" s="9">
        <f t="shared" si="294"/>
        <v>0</v>
      </c>
    </row>
    <row r="849" spans="1:19" x14ac:dyDescent="0.2">
      <c r="A849" s="2" t="s">
        <v>464</v>
      </c>
      <c r="B849" s="3" t="s">
        <v>17</v>
      </c>
      <c r="D849" s="5" t="s">
        <v>150</v>
      </c>
      <c r="F849" s="7">
        <v>12</v>
      </c>
      <c r="G849" s="8" t="s">
        <v>32</v>
      </c>
      <c r="H849" s="7">
        <v>12</v>
      </c>
      <c r="I849" s="8" t="s">
        <v>150</v>
      </c>
      <c r="J849" s="9">
        <v>8400</v>
      </c>
      <c r="K849" s="5" t="s">
        <v>150</v>
      </c>
      <c r="L849" s="10">
        <v>0.125</v>
      </c>
      <c r="M849" s="10">
        <v>0.05</v>
      </c>
      <c r="O849" s="8" t="s">
        <v>150</v>
      </c>
      <c r="P849" s="4">
        <f t="shared" ref="P849" si="295">(C849+(E849*F849*H849))-N849</f>
        <v>0</v>
      </c>
      <c r="Q849" s="8" t="s">
        <v>150</v>
      </c>
      <c r="R849" s="9">
        <f>S849/1.11</f>
        <v>0</v>
      </c>
      <c r="S849" s="9">
        <f t="shared" ref="S849" si="296">P849*(J849-(J849*L849)-((J849-(J849*L849))*M849))</f>
        <v>0</v>
      </c>
    </row>
    <row r="850" spans="1:19" x14ac:dyDescent="0.2">
      <c r="A850" s="2" t="s">
        <v>792</v>
      </c>
      <c r="B850" s="3" t="s">
        <v>17</v>
      </c>
      <c r="D850" s="5" t="s">
        <v>150</v>
      </c>
      <c r="F850" s="7">
        <v>12</v>
      </c>
      <c r="G850" s="8" t="s">
        <v>32</v>
      </c>
      <c r="H850" s="7">
        <v>6</v>
      </c>
      <c r="I850" s="8" t="s">
        <v>150</v>
      </c>
      <c r="J850" s="9">
        <v>16800</v>
      </c>
      <c r="K850" s="5" t="s">
        <v>150</v>
      </c>
      <c r="L850" s="10">
        <v>0.125</v>
      </c>
      <c r="M850" s="10">
        <v>0.05</v>
      </c>
      <c r="O850" s="8" t="s">
        <v>150</v>
      </c>
      <c r="P850" s="4">
        <f t="shared" si="293"/>
        <v>0</v>
      </c>
      <c r="Q850" s="8" t="s">
        <v>150</v>
      </c>
      <c r="R850" s="9">
        <f>S850/1.11</f>
        <v>0</v>
      </c>
      <c r="S850" s="9">
        <f t="shared" si="294"/>
        <v>0</v>
      </c>
    </row>
    <row r="851" spans="1:19" x14ac:dyDescent="0.2">
      <c r="A851" s="2" t="s">
        <v>465</v>
      </c>
      <c r="B851" s="3" t="s">
        <v>17</v>
      </c>
      <c r="D851" s="5" t="s">
        <v>150</v>
      </c>
      <c r="F851" s="7">
        <v>12</v>
      </c>
      <c r="G851" s="8" t="s">
        <v>32</v>
      </c>
      <c r="H851" s="7">
        <v>12</v>
      </c>
      <c r="I851" s="8" t="s">
        <v>150</v>
      </c>
      <c r="J851" s="9">
        <v>11000</v>
      </c>
      <c r="K851" s="5" t="s">
        <v>150</v>
      </c>
      <c r="L851" s="10">
        <v>0.125</v>
      </c>
      <c r="M851" s="10">
        <v>0.05</v>
      </c>
      <c r="O851" s="8" t="s">
        <v>150</v>
      </c>
      <c r="P851" s="4">
        <f t="shared" si="293"/>
        <v>0</v>
      </c>
      <c r="Q851" s="8" t="s">
        <v>150</v>
      </c>
      <c r="R851" s="9">
        <f>S851/1.11</f>
        <v>0</v>
      </c>
      <c r="S851" s="9">
        <f t="shared" si="294"/>
        <v>0</v>
      </c>
    </row>
    <row r="852" spans="1:19" x14ac:dyDescent="0.2">
      <c r="A852" s="2" t="s">
        <v>466</v>
      </c>
      <c r="B852" s="3" t="s">
        <v>17</v>
      </c>
      <c r="D852" s="5" t="s">
        <v>150</v>
      </c>
      <c r="F852" s="7">
        <v>12</v>
      </c>
      <c r="G852" s="8" t="s">
        <v>32</v>
      </c>
      <c r="H852" s="7">
        <v>24</v>
      </c>
      <c r="I852" s="8" t="s">
        <v>150</v>
      </c>
      <c r="J852" s="9">
        <v>5400</v>
      </c>
      <c r="K852" s="5" t="s">
        <v>150</v>
      </c>
      <c r="L852" s="10">
        <v>0.125</v>
      </c>
      <c r="M852" s="10">
        <v>0.05</v>
      </c>
      <c r="O852" s="8" t="s">
        <v>150</v>
      </c>
      <c r="P852" s="4">
        <f t="shared" si="293"/>
        <v>0</v>
      </c>
      <c r="Q852" s="8" t="s">
        <v>150</v>
      </c>
      <c r="R852" s="9">
        <f>S852/1.11</f>
        <v>0</v>
      </c>
      <c r="S852" s="9">
        <f t="shared" si="294"/>
        <v>0</v>
      </c>
    </row>
    <row r="853" spans="1:19" x14ac:dyDescent="0.2">
      <c r="A853" s="2" t="s">
        <v>992</v>
      </c>
      <c r="B853" s="3" t="s">
        <v>17</v>
      </c>
      <c r="D853" s="5" t="s">
        <v>150</v>
      </c>
      <c r="F853" s="7">
        <v>12</v>
      </c>
      <c r="G853" s="8" t="s">
        <v>32</v>
      </c>
      <c r="H853" s="7">
        <v>24</v>
      </c>
      <c r="I853" s="8" t="s">
        <v>150</v>
      </c>
      <c r="J853" s="9">
        <v>6700</v>
      </c>
      <c r="K853" s="5" t="s">
        <v>150</v>
      </c>
      <c r="L853" s="10">
        <v>0.125</v>
      </c>
      <c r="M853" s="10">
        <v>0.05</v>
      </c>
      <c r="O853" s="8" t="s">
        <v>150</v>
      </c>
      <c r="P853" s="4">
        <f t="shared" ref="P853" si="297">(C853+(E853*F853*H853))-N853</f>
        <v>0</v>
      </c>
      <c r="Q853" s="8" t="s">
        <v>150</v>
      </c>
      <c r="R853" s="9">
        <f>S853/1.11</f>
        <v>0</v>
      </c>
      <c r="S853" s="9">
        <f t="shared" ref="S853" si="298">P853*(J853-(J853*L853)-((J853-(J853*L853))*M853))</f>
        <v>0</v>
      </c>
    </row>
    <row r="854" spans="1:19" x14ac:dyDescent="0.2">
      <c r="A854" s="2" t="s">
        <v>467</v>
      </c>
      <c r="B854" s="3" t="s">
        <v>17</v>
      </c>
      <c r="D854" s="5" t="s">
        <v>150</v>
      </c>
      <c r="F854" s="7">
        <v>12</v>
      </c>
      <c r="G854" s="8" t="s">
        <v>32</v>
      </c>
      <c r="H854" s="7">
        <v>12</v>
      </c>
      <c r="I854" s="8" t="s">
        <v>150</v>
      </c>
      <c r="J854" s="9">
        <v>16900</v>
      </c>
      <c r="K854" s="5" t="s">
        <v>150</v>
      </c>
      <c r="L854" s="10">
        <v>0.125</v>
      </c>
      <c r="M854" s="10">
        <v>0.05</v>
      </c>
      <c r="O854" s="8" t="s">
        <v>150</v>
      </c>
      <c r="P854" s="4">
        <f t="shared" si="293"/>
        <v>0</v>
      </c>
      <c r="Q854" s="8" t="s">
        <v>150</v>
      </c>
      <c r="R854" s="9">
        <f>S854/1.11</f>
        <v>0</v>
      </c>
      <c r="S854" s="9">
        <f t="shared" si="294"/>
        <v>0</v>
      </c>
    </row>
    <row r="855" spans="1:19" x14ac:dyDescent="0.2">
      <c r="A855" s="2" t="s">
        <v>468</v>
      </c>
      <c r="B855" s="3" t="s">
        <v>17</v>
      </c>
      <c r="D855" s="5" t="s">
        <v>150</v>
      </c>
      <c r="F855" s="7">
        <v>12</v>
      </c>
      <c r="G855" s="8" t="s">
        <v>32</v>
      </c>
      <c r="H855" s="7">
        <v>6</v>
      </c>
      <c r="I855" s="8" t="s">
        <v>150</v>
      </c>
      <c r="J855" s="9">
        <v>33800</v>
      </c>
      <c r="K855" s="5" t="s">
        <v>150</v>
      </c>
      <c r="L855" s="10">
        <v>0.125</v>
      </c>
      <c r="M855" s="10">
        <v>0.05</v>
      </c>
      <c r="O855" s="8" t="s">
        <v>150</v>
      </c>
      <c r="P855" s="4">
        <f t="shared" si="293"/>
        <v>0</v>
      </c>
      <c r="Q855" s="8" t="s">
        <v>150</v>
      </c>
      <c r="R855" s="9">
        <f>S855/1.11</f>
        <v>0</v>
      </c>
      <c r="S855" s="9">
        <f t="shared" si="294"/>
        <v>0</v>
      </c>
    </row>
    <row r="857" spans="1:19" x14ac:dyDescent="0.2">
      <c r="A857" s="2" t="s">
        <v>469</v>
      </c>
      <c r="B857" s="3" t="s">
        <v>24</v>
      </c>
      <c r="C857" s="4">
        <v>576</v>
      </c>
      <c r="D857" s="5" t="s">
        <v>39</v>
      </c>
      <c r="F857" s="7">
        <v>24</v>
      </c>
      <c r="G857" s="8" t="s">
        <v>32</v>
      </c>
      <c r="H857" s="7">
        <v>2</v>
      </c>
      <c r="I857" s="8" t="s">
        <v>39</v>
      </c>
      <c r="J857" s="9">
        <f>3801600/24/2</f>
        <v>79200</v>
      </c>
      <c r="K857" s="5" t="s">
        <v>39</v>
      </c>
      <c r="L857" s="10">
        <v>0.03</v>
      </c>
      <c r="M857" s="10">
        <v>0.17</v>
      </c>
      <c r="O857" s="8" t="s">
        <v>39</v>
      </c>
      <c r="P857" s="4">
        <f t="shared" ref="P857" si="299">(C857+(E857*F857*H857))-N857</f>
        <v>576</v>
      </c>
      <c r="Q857" s="8" t="s">
        <v>39</v>
      </c>
      <c r="R857" s="9">
        <f>S857/1.11</f>
        <v>33088304.432432432</v>
      </c>
      <c r="S857" s="9">
        <f t="shared" ref="S857" si="300">P857*(J857-(J857*L857)-((J857-(J857*L857))*M857))</f>
        <v>36728017.920000002</v>
      </c>
    </row>
    <row r="858" spans="1:19" x14ac:dyDescent="0.2">
      <c r="A858" s="2" t="s">
        <v>470</v>
      </c>
      <c r="B858" s="3" t="s">
        <v>24</v>
      </c>
      <c r="C858" s="4">
        <v>2208</v>
      </c>
      <c r="D858" s="5" t="s">
        <v>39</v>
      </c>
      <c r="F858" s="7">
        <v>1</v>
      </c>
      <c r="G858" s="8" t="s">
        <v>19</v>
      </c>
      <c r="H858" s="7">
        <v>24</v>
      </c>
      <c r="I858" s="8" t="s">
        <v>39</v>
      </c>
      <c r="J858" s="9">
        <f>2980800/24</f>
        <v>124200</v>
      </c>
      <c r="K858" s="5" t="s">
        <v>39</v>
      </c>
      <c r="L858" s="10">
        <v>0.03</v>
      </c>
      <c r="M858" s="10">
        <v>0.17</v>
      </c>
      <c r="O858" s="8" t="s">
        <v>39</v>
      </c>
      <c r="P858" s="4">
        <f t="shared" ref="P858" si="301">(C858+(E858*F858*H858))-N858</f>
        <v>2208</v>
      </c>
      <c r="Q858" s="8" t="s">
        <v>39</v>
      </c>
      <c r="R858" s="9">
        <f>S858/1.11</f>
        <v>198905830.05405402</v>
      </c>
      <c r="S858" s="9">
        <f t="shared" ref="S858" si="302">P858*(J858-(J858*L858)-((J858-(J858*L858))*M858))</f>
        <v>220785471.35999998</v>
      </c>
    </row>
    <row r="859" spans="1:19" x14ac:dyDescent="0.2">
      <c r="A859" s="2" t="s">
        <v>471</v>
      </c>
      <c r="B859" s="3" t="s">
        <v>24</v>
      </c>
      <c r="D859" s="5" t="s">
        <v>39</v>
      </c>
      <c r="F859" s="7">
        <v>1</v>
      </c>
      <c r="G859" s="8" t="s">
        <v>19</v>
      </c>
      <c r="H859" s="7">
        <v>12</v>
      </c>
      <c r="I859" s="8" t="s">
        <v>39</v>
      </c>
      <c r="J859" s="9">
        <f>2980800/12</f>
        <v>248400</v>
      </c>
      <c r="K859" s="5" t="s">
        <v>39</v>
      </c>
      <c r="M859" s="10">
        <v>0.17</v>
      </c>
      <c r="O859" s="8" t="s">
        <v>39</v>
      </c>
      <c r="P859" s="4">
        <f t="shared" ref="P859:P868" si="303">(C859+(E859*F859*H859))-N859</f>
        <v>0</v>
      </c>
      <c r="Q859" s="8" t="s">
        <v>39</v>
      </c>
      <c r="R859" s="9">
        <f>S859/1.11</f>
        <v>0</v>
      </c>
      <c r="S859" s="9">
        <f t="shared" ref="S859:S868" si="304">P859*(J859-(J859*L859)-((J859-(J859*L859))*M859))</f>
        <v>0</v>
      </c>
    </row>
    <row r="860" spans="1:19" x14ac:dyDescent="0.2">
      <c r="A860" s="2" t="s">
        <v>667</v>
      </c>
      <c r="B860" s="3" t="s">
        <v>24</v>
      </c>
      <c r="D860" s="5" t="s">
        <v>150</v>
      </c>
      <c r="F860" s="7">
        <v>20</v>
      </c>
      <c r="G860" s="8" t="s">
        <v>32</v>
      </c>
      <c r="H860" s="7">
        <v>4</v>
      </c>
      <c r="I860" s="8" t="s">
        <v>150</v>
      </c>
      <c r="J860" s="9">
        <f>2640000/20/4</f>
        <v>33000</v>
      </c>
      <c r="K860" s="5" t="s">
        <v>150</v>
      </c>
      <c r="M860" s="10">
        <v>0.17</v>
      </c>
      <c r="O860" s="8" t="s">
        <v>150</v>
      </c>
      <c r="P860" s="4">
        <f t="shared" si="303"/>
        <v>0</v>
      </c>
      <c r="Q860" s="8" t="s">
        <v>150</v>
      </c>
      <c r="R860" s="9">
        <f>S860/1.11</f>
        <v>0</v>
      </c>
      <c r="S860" s="9">
        <f t="shared" si="304"/>
        <v>0</v>
      </c>
    </row>
    <row r="861" spans="1:19" x14ac:dyDescent="0.2">
      <c r="A861" s="2" t="s">
        <v>472</v>
      </c>
      <c r="B861" s="3" t="s">
        <v>24</v>
      </c>
      <c r="D861" s="5" t="s">
        <v>39</v>
      </c>
      <c r="F861" s="7">
        <v>1</v>
      </c>
      <c r="G861" s="8" t="s">
        <v>19</v>
      </c>
      <c r="H861" s="7">
        <v>24</v>
      </c>
      <c r="I861" s="8" t="s">
        <v>39</v>
      </c>
      <c r="J861" s="9">
        <f>2448000/24</f>
        <v>102000</v>
      </c>
      <c r="K861" s="5" t="s">
        <v>39</v>
      </c>
      <c r="M861" s="10">
        <v>0.17</v>
      </c>
      <c r="O861" s="8" t="s">
        <v>39</v>
      </c>
      <c r="P861" s="4">
        <f t="shared" si="303"/>
        <v>0</v>
      </c>
      <c r="Q861" s="8" t="s">
        <v>39</v>
      </c>
      <c r="R861" s="9">
        <f>S861/1.11</f>
        <v>0</v>
      </c>
      <c r="S861" s="9">
        <f t="shared" si="304"/>
        <v>0</v>
      </c>
    </row>
    <row r="862" spans="1:19" x14ac:dyDescent="0.2">
      <c r="A862" s="2" t="s">
        <v>473</v>
      </c>
      <c r="B862" s="3" t="s">
        <v>24</v>
      </c>
      <c r="D862" s="5" t="s">
        <v>39</v>
      </c>
      <c r="F862" s="7">
        <v>1</v>
      </c>
      <c r="G862" s="8" t="s">
        <v>19</v>
      </c>
      <c r="H862" s="7">
        <v>16</v>
      </c>
      <c r="I862" s="8" t="s">
        <v>39</v>
      </c>
      <c r="J862" s="9">
        <v>126000</v>
      </c>
      <c r="K862" s="5" t="s">
        <v>39</v>
      </c>
      <c r="M862" s="10">
        <v>0.17</v>
      </c>
      <c r="O862" s="8" t="s">
        <v>39</v>
      </c>
      <c r="P862" s="4">
        <f t="shared" ref="P862" si="305">(C862+(E862*F862*H862))-N862</f>
        <v>0</v>
      </c>
      <c r="Q862" s="8" t="s">
        <v>39</v>
      </c>
      <c r="R862" s="9">
        <f>S862/1.11</f>
        <v>0</v>
      </c>
      <c r="S862" s="9">
        <f t="shared" ref="S862" si="306">P862*(J862-(J862*L862)-((J862-(J862*L862))*M862))</f>
        <v>0</v>
      </c>
    </row>
    <row r="863" spans="1:19" x14ac:dyDescent="0.2">
      <c r="A863" s="2" t="s">
        <v>670</v>
      </c>
      <c r="B863" s="3" t="s">
        <v>24</v>
      </c>
      <c r="D863" s="5" t="s">
        <v>150</v>
      </c>
      <c r="F863" s="7">
        <v>24</v>
      </c>
      <c r="G863" s="8" t="s">
        <v>32</v>
      </c>
      <c r="H863" s="7">
        <v>6</v>
      </c>
      <c r="I863" s="8" t="s">
        <v>150</v>
      </c>
      <c r="J863" s="9">
        <f>2448000/24/6</f>
        <v>17000</v>
      </c>
      <c r="K863" s="5" t="s">
        <v>150</v>
      </c>
      <c r="M863" s="10">
        <v>0.17</v>
      </c>
      <c r="O863" s="8" t="s">
        <v>150</v>
      </c>
      <c r="P863" s="4">
        <f t="shared" si="303"/>
        <v>0</v>
      </c>
      <c r="Q863" s="8" t="s">
        <v>150</v>
      </c>
      <c r="R863" s="9">
        <f>S863/1.11</f>
        <v>0</v>
      </c>
      <c r="S863" s="9">
        <f t="shared" si="304"/>
        <v>0</v>
      </c>
    </row>
    <row r="864" spans="1:19" x14ac:dyDescent="0.2">
      <c r="A864" s="2" t="s">
        <v>474</v>
      </c>
      <c r="B864" s="3" t="s">
        <v>24</v>
      </c>
      <c r="D864" s="5" t="s">
        <v>150</v>
      </c>
      <c r="F864" s="7">
        <v>10</v>
      </c>
      <c r="G864" s="8" t="s">
        <v>39</v>
      </c>
      <c r="H864" s="7">
        <v>12</v>
      </c>
      <c r="I864" s="8" t="s">
        <v>150</v>
      </c>
      <c r="J864" s="9">
        <f>2040000/10/12</f>
        <v>17000</v>
      </c>
      <c r="K864" s="5" t="s">
        <v>150</v>
      </c>
      <c r="M864" s="10">
        <v>0.17</v>
      </c>
      <c r="O864" s="8" t="s">
        <v>150</v>
      </c>
      <c r="P864" s="4">
        <f t="shared" si="303"/>
        <v>0</v>
      </c>
      <c r="Q864" s="8" t="s">
        <v>150</v>
      </c>
      <c r="R864" s="9">
        <f>S864/1.11</f>
        <v>0</v>
      </c>
      <c r="S864" s="9">
        <f t="shared" si="304"/>
        <v>0</v>
      </c>
    </row>
    <row r="865" spans="1:19" x14ac:dyDescent="0.2">
      <c r="A865" s="2" t="s">
        <v>475</v>
      </c>
      <c r="B865" s="3" t="s">
        <v>24</v>
      </c>
      <c r="D865" s="5" t="s">
        <v>150</v>
      </c>
      <c r="F865" s="7">
        <v>10</v>
      </c>
      <c r="G865" s="8" t="s">
        <v>32</v>
      </c>
      <c r="H865" s="7">
        <v>6</v>
      </c>
      <c r="I865" s="8" t="s">
        <v>150</v>
      </c>
      <c r="J865" s="9">
        <f>2040000/10/6</f>
        <v>34000</v>
      </c>
      <c r="K865" s="5" t="s">
        <v>150</v>
      </c>
      <c r="M865" s="10">
        <v>0.17</v>
      </c>
      <c r="O865" s="8" t="s">
        <v>150</v>
      </c>
      <c r="P865" s="4">
        <f t="shared" si="303"/>
        <v>0</v>
      </c>
      <c r="Q865" s="8" t="s">
        <v>150</v>
      </c>
      <c r="R865" s="9">
        <f>S865/1.11</f>
        <v>0</v>
      </c>
      <c r="S865" s="9">
        <f t="shared" si="304"/>
        <v>0</v>
      </c>
    </row>
    <row r="866" spans="1:19" x14ac:dyDescent="0.2">
      <c r="A866" s="2" t="s">
        <v>476</v>
      </c>
      <c r="B866" s="3" t="s">
        <v>24</v>
      </c>
      <c r="D866" s="5" t="s">
        <v>150</v>
      </c>
      <c r="F866" s="7">
        <v>24</v>
      </c>
      <c r="G866" s="8" t="s">
        <v>39</v>
      </c>
      <c r="H866" s="7">
        <v>12</v>
      </c>
      <c r="I866" s="8" t="s">
        <v>150</v>
      </c>
      <c r="J866" s="9">
        <f>3571200/24/12</f>
        <v>12400</v>
      </c>
      <c r="K866" s="5" t="s">
        <v>150</v>
      </c>
      <c r="M866" s="10">
        <v>0.17</v>
      </c>
      <c r="O866" s="8" t="s">
        <v>150</v>
      </c>
      <c r="P866" s="4">
        <f t="shared" si="303"/>
        <v>0</v>
      </c>
      <c r="Q866" s="8" t="s">
        <v>150</v>
      </c>
      <c r="R866" s="9">
        <f>S866/1.11</f>
        <v>0</v>
      </c>
      <c r="S866" s="9">
        <f t="shared" si="304"/>
        <v>0</v>
      </c>
    </row>
    <row r="867" spans="1:19" x14ac:dyDescent="0.2">
      <c r="A867" s="2" t="s">
        <v>477</v>
      </c>
      <c r="B867" s="3" t="s">
        <v>24</v>
      </c>
      <c r="D867" s="5" t="s">
        <v>150</v>
      </c>
      <c r="F867" s="7">
        <v>16</v>
      </c>
      <c r="G867" s="8" t="s">
        <v>39</v>
      </c>
      <c r="H867" s="7">
        <v>12</v>
      </c>
      <c r="I867" s="8" t="s">
        <v>150</v>
      </c>
      <c r="J867" s="9">
        <f>3648000/16/12</f>
        <v>19000</v>
      </c>
      <c r="K867" s="5" t="s">
        <v>150</v>
      </c>
      <c r="M867" s="10">
        <v>0.17</v>
      </c>
      <c r="O867" s="8" t="s">
        <v>150</v>
      </c>
      <c r="P867" s="4">
        <f t="shared" si="303"/>
        <v>0</v>
      </c>
      <c r="Q867" s="8" t="s">
        <v>150</v>
      </c>
      <c r="R867" s="9">
        <f>S867/1.11</f>
        <v>0</v>
      </c>
      <c r="S867" s="9">
        <f t="shared" si="304"/>
        <v>0</v>
      </c>
    </row>
    <row r="868" spans="1:19" x14ac:dyDescent="0.2">
      <c r="A868" s="2" t="s">
        <v>478</v>
      </c>
      <c r="B868" s="3" t="s">
        <v>24</v>
      </c>
      <c r="D868" s="5" t="s">
        <v>150</v>
      </c>
      <c r="F868" s="7">
        <v>24</v>
      </c>
      <c r="G868" s="8" t="s">
        <v>32</v>
      </c>
      <c r="H868" s="7">
        <v>6</v>
      </c>
      <c r="I868" s="8" t="s">
        <v>150</v>
      </c>
      <c r="J868" s="9">
        <v>22000</v>
      </c>
      <c r="K868" s="5" t="s">
        <v>150</v>
      </c>
      <c r="M868" s="10">
        <v>0.17</v>
      </c>
      <c r="O868" s="8" t="s">
        <v>150</v>
      </c>
      <c r="P868" s="4">
        <f t="shared" si="303"/>
        <v>0</v>
      </c>
      <c r="Q868" s="8" t="s">
        <v>150</v>
      </c>
      <c r="R868" s="9">
        <f>S868/1.11</f>
        <v>0</v>
      </c>
      <c r="S868" s="9">
        <f t="shared" si="304"/>
        <v>0</v>
      </c>
    </row>
    <row r="870" spans="1:19" x14ac:dyDescent="0.2">
      <c r="A870" s="2" t="s">
        <v>857</v>
      </c>
      <c r="B870" s="3" t="s">
        <v>258</v>
      </c>
      <c r="D870" s="5" t="s">
        <v>150</v>
      </c>
      <c r="F870" s="7">
        <v>1</v>
      </c>
      <c r="G870" s="8" t="s">
        <v>19</v>
      </c>
      <c r="H870" s="7">
        <v>144</v>
      </c>
      <c r="I870" s="8" t="s">
        <v>150</v>
      </c>
      <c r="J870" s="9">
        <v>18500</v>
      </c>
      <c r="K870" s="5" t="s">
        <v>150</v>
      </c>
      <c r="O870" s="8" t="s">
        <v>150</v>
      </c>
      <c r="P870" s="4">
        <f t="shared" ref="P870" si="307">(C870+(E870*F870*H870))-N870</f>
        <v>0</v>
      </c>
      <c r="Q870" s="8" t="s">
        <v>150</v>
      </c>
      <c r="R870" s="9">
        <f>S870/1.11</f>
        <v>0</v>
      </c>
      <c r="S870" s="9">
        <f t="shared" ref="S870" si="308">P870*(J870-(J870*L870)-((J870-(J870*L870))*M870))</f>
        <v>0</v>
      </c>
    </row>
    <row r="871" spans="1:19" x14ac:dyDescent="0.2">
      <c r="A871" s="2" t="s">
        <v>858</v>
      </c>
      <c r="B871" s="3" t="s">
        <v>258</v>
      </c>
      <c r="D871" s="5" t="s">
        <v>150</v>
      </c>
      <c r="F871" s="7">
        <v>1</v>
      </c>
      <c r="G871" s="8" t="s">
        <v>19</v>
      </c>
      <c r="H871" s="7">
        <v>240</v>
      </c>
      <c r="I871" s="8" t="s">
        <v>150</v>
      </c>
      <c r="J871" s="9">
        <v>8800</v>
      </c>
      <c r="K871" s="5" t="s">
        <v>150</v>
      </c>
      <c r="O871" s="8" t="s">
        <v>150</v>
      </c>
      <c r="P871" s="4">
        <f t="shared" ref="P871:P873" si="309">(C871+(E871*F871*H871))-N871</f>
        <v>0</v>
      </c>
      <c r="Q871" s="8" t="s">
        <v>150</v>
      </c>
      <c r="R871" s="9">
        <f>S871/1.11</f>
        <v>0</v>
      </c>
      <c r="S871" s="9">
        <f t="shared" ref="S871:S873" si="310">P871*(J871-(J871*L871)-((J871-(J871*L871))*M871))</f>
        <v>0</v>
      </c>
    </row>
    <row r="872" spans="1:19" x14ac:dyDescent="0.2">
      <c r="A872" s="2" t="s">
        <v>859</v>
      </c>
      <c r="B872" s="3" t="s">
        <v>258</v>
      </c>
      <c r="D872" s="5" t="s">
        <v>150</v>
      </c>
      <c r="F872" s="7">
        <v>1</v>
      </c>
      <c r="G872" s="8" t="s">
        <v>19</v>
      </c>
      <c r="H872" s="7">
        <v>288</v>
      </c>
      <c r="I872" s="8" t="s">
        <v>150</v>
      </c>
      <c r="J872" s="9">
        <v>10800</v>
      </c>
      <c r="K872" s="5" t="s">
        <v>150</v>
      </c>
      <c r="O872" s="8" t="s">
        <v>150</v>
      </c>
      <c r="P872" s="4">
        <f t="shared" si="309"/>
        <v>0</v>
      </c>
      <c r="Q872" s="8" t="s">
        <v>150</v>
      </c>
      <c r="R872" s="9">
        <f>S872/1.11</f>
        <v>0</v>
      </c>
      <c r="S872" s="9">
        <f t="shared" si="310"/>
        <v>0</v>
      </c>
    </row>
    <row r="873" spans="1:19" x14ac:dyDescent="0.2">
      <c r="A873" s="2" t="s">
        <v>962</v>
      </c>
      <c r="B873" s="3" t="s">
        <v>258</v>
      </c>
      <c r="D873" s="5" t="s">
        <v>150</v>
      </c>
      <c r="F873" s="7">
        <v>1</v>
      </c>
      <c r="G873" s="8" t="s">
        <v>19</v>
      </c>
      <c r="H873" s="7">
        <v>360</v>
      </c>
      <c r="I873" s="8" t="s">
        <v>897</v>
      </c>
      <c r="J873" s="9">
        <v>8100</v>
      </c>
      <c r="K873" s="5" t="s">
        <v>897</v>
      </c>
      <c r="O873" s="8" t="s">
        <v>897</v>
      </c>
      <c r="P873" s="4">
        <f t="shared" si="309"/>
        <v>0</v>
      </c>
      <c r="Q873" s="8" t="s">
        <v>897</v>
      </c>
      <c r="R873" s="9">
        <f>S873/1.11</f>
        <v>0</v>
      </c>
      <c r="S873" s="9">
        <f t="shared" si="310"/>
        <v>0</v>
      </c>
    </row>
    <row r="874" spans="1:19" x14ac:dyDescent="0.2">
      <c r="A874" s="2" t="s">
        <v>963</v>
      </c>
      <c r="B874" s="3" t="s">
        <v>258</v>
      </c>
      <c r="D874" s="5" t="s">
        <v>150</v>
      </c>
      <c r="F874" s="7">
        <v>1</v>
      </c>
      <c r="G874" s="8" t="s">
        <v>19</v>
      </c>
      <c r="H874" s="7">
        <v>360</v>
      </c>
      <c r="I874" s="8" t="s">
        <v>897</v>
      </c>
      <c r="J874" s="9">
        <v>7700</v>
      </c>
      <c r="K874" s="5" t="s">
        <v>897</v>
      </c>
      <c r="O874" s="8" t="s">
        <v>897</v>
      </c>
      <c r="P874" s="4">
        <f t="shared" ref="P874:P878" si="311">(C874+(E874*F874*H874))-N874</f>
        <v>0</v>
      </c>
      <c r="Q874" s="8" t="s">
        <v>897</v>
      </c>
      <c r="R874" s="9">
        <f>S874/1.11</f>
        <v>0</v>
      </c>
      <c r="S874" s="9">
        <f t="shared" ref="S874:S878" si="312">P874*(J874-(J874*L874)-((J874-(J874*L874))*M874))</f>
        <v>0</v>
      </c>
    </row>
    <row r="875" spans="1:19" x14ac:dyDescent="0.2">
      <c r="A875" s="2" t="s">
        <v>964</v>
      </c>
      <c r="B875" s="3" t="s">
        <v>258</v>
      </c>
      <c r="D875" s="5" t="s">
        <v>150</v>
      </c>
      <c r="F875" s="7">
        <v>1</v>
      </c>
      <c r="G875" s="8" t="s">
        <v>19</v>
      </c>
      <c r="H875" s="7">
        <v>360</v>
      </c>
      <c r="I875" s="8" t="s">
        <v>897</v>
      </c>
      <c r="J875" s="9">
        <v>7700</v>
      </c>
      <c r="K875" s="5" t="s">
        <v>897</v>
      </c>
      <c r="O875" s="8" t="s">
        <v>897</v>
      </c>
      <c r="P875" s="4">
        <f t="shared" si="311"/>
        <v>0</v>
      </c>
      <c r="Q875" s="8" t="s">
        <v>897</v>
      </c>
      <c r="R875" s="9">
        <f>S875/1.11</f>
        <v>0</v>
      </c>
      <c r="S875" s="9">
        <f t="shared" si="312"/>
        <v>0</v>
      </c>
    </row>
    <row r="876" spans="1:19" x14ac:dyDescent="0.2">
      <c r="A876" s="2" t="s">
        <v>965</v>
      </c>
      <c r="B876" s="3" t="s">
        <v>258</v>
      </c>
      <c r="D876" s="5" t="s">
        <v>150</v>
      </c>
      <c r="F876" s="7">
        <v>1</v>
      </c>
      <c r="G876" s="8" t="s">
        <v>19</v>
      </c>
      <c r="H876" s="7">
        <v>360</v>
      </c>
      <c r="I876" s="8" t="s">
        <v>897</v>
      </c>
      <c r="J876" s="9">
        <v>7700</v>
      </c>
      <c r="K876" s="5" t="s">
        <v>897</v>
      </c>
      <c r="O876" s="8" t="s">
        <v>897</v>
      </c>
      <c r="P876" s="4">
        <f t="shared" si="311"/>
        <v>0</v>
      </c>
      <c r="Q876" s="8" t="s">
        <v>897</v>
      </c>
      <c r="R876" s="9">
        <f>S876/1.11</f>
        <v>0</v>
      </c>
      <c r="S876" s="9">
        <f t="shared" si="312"/>
        <v>0</v>
      </c>
    </row>
    <row r="877" spans="1:19" x14ac:dyDescent="0.2">
      <c r="A877" s="2" t="s">
        <v>966</v>
      </c>
      <c r="B877" s="3" t="s">
        <v>258</v>
      </c>
      <c r="D877" s="5" t="s">
        <v>150</v>
      </c>
      <c r="F877" s="7">
        <v>1</v>
      </c>
      <c r="G877" s="8" t="s">
        <v>19</v>
      </c>
      <c r="H877" s="7">
        <v>360</v>
      </c>
      <c r="I877" s="8" t="s">
        <v>897</v>
      </c>
      <c r="J877" s="9">
        <v>7700</v>
      </c>
      <c r="K877" s="5" t="s">
        <v>897</v>
      </c>
      <c r="O877" s="8" t="s">
        <v>897</v>
      </c>
      <c r="P877" s="4">
        <f t="shared" si="311"/>
        <v>0</v>
      </c>
      <c r="Q877" s="8" t="s">
        <v>897</v>
      </c>
      <c r="R877" s="9">
        <f>S877/1.11</f>
        <v>0</v>
      </c>
      <c r="S877" s="9">
        <f t="shared" si="312"/>
        <v>0</v>
      </c>
    </row>
    <row r="878" spans="1:19" x14ac:dyDescent="0.2">
      <c r="A878" s="2" t="s">
        <v>967</v>
      </c>
      <c r="B878" s="3" t="s">
        <v>258</v>
      </c>
      <c r="D878" s="5" t="s">
        <v>150</v>
      </c>
      <c r="F878" s="7">
        <v>1</v>
      </c>
      <c r="G878" s="8" t="s">
        <v>19</v>
      </c>
      <c r="H878" s="7">
        <v>360</v>
      </c>
      <c r="I878" s="8" t="s">
        <v>897</v>
      </c>
      <c r="J878" s="9">
        <v>7700</v>
      </c>
      <c r="K878" s="5" t="s">
        <v>897</v>
      </c>
      <c r="O878" s="8" t="s">
        <v>897</v>
      </c>
      <c r="P878" s="4">
        <f t="shared" si="311"/>
        <v>0</v>
      </c>
      <c r="Q878" s="8" t="s">
        <v>897</v>
      </c>
      <c r="R878" s="9">
        <f>S878/1.11</f>
        <v>0</v>
      </c>
      <c r="S878" s="9">
        <f t="shared" si="312"/>
        <v>0</v>
      </c>
    </row>
    <row r="880" spans="1:19" x14ac:dyDescent="0.2">
      <c r="A880" s="2" t="s">
        <v>937</v>
      </c>
      <c r="B880" s="3" t="s">
        <v>170</v>
      </c>
      <c r="D880" s="5" t="s">
        <v>150</v>
      </c>
      <c r="F880" s="7">
        <v>1</v>
      </c>
      <c r="G880" s="8" t="s">
        <v>19</v>
      </c>
      <c r="H880" s="7">
        <v>240</v>
      </c>
      <c r="I880" s="8" t="s">
        <v>150</v>
      </c>
      <c r="J880" s="9">
        <v>4850</v>
      </c>
      <c r="K880" s="5" t="s">
        <v>150</v>
      </c>
      <c r="M880" s="10">
        <v>7.0000000000000007E-2</v>
      </c>
      <c r="O880" s="8" t="s">
        <v>150</v>
      </c>
      <c r="P880" s="4">
        <f t="shared" ref="P880" si="313">(C880+(E880*F880*H880))-N880</f>
        <v>0</v>
      </c>
      <c r="Q880" s="8" t="s">
        <v>150</v>
      </c>
      <c r="R880" s="9">
        <f>S880/1.11</f>
        <v>0</v>
      </c>
      <c r="S880" s="9">
        <f t="shared" ref="S880" si="314">P880*(J880-(J880*L880)-((J880-(J880*L880))*M880))</f>
        <v>0</v>
      </c>
    </row>
    <row r="882" spans="1:19" ht="15.75" x14ac:dyDescent="0.25">
      <c r="A882" s="29" t="s">
        <v>479</v>
      </c>
    </row>
    <row r="883" spans="1:19" x14ac:dyDescent="0.2">
      <c r="A883" s="2" t="s">
        <v>480</v>
      </c>
      <c r="B883" s="3" t="s">
        <v>17</v>
      </c>
      <c r="D883" s="5" t="s">
        <v>18</v>
      </c>
      <c r="F883" s="7">
        <v>12</v>
      </c>
      <c r="G883" s="8" t="s">
        <v>32</v>
      </c>
      <c r="H883" s="7">
        <v>24</v>
      </c>
      <c r="I883" s="8" t="s">
        <v>18</v>
      </c>
      <c r="J883" s="9">
        <v>3550</v>
      </c>
      <c r="K883" s="5" t="s">
        <v>18</v>
      </c>
      <c r="L883" s="10">
        <v>0.125</v>
      </c>
      <c r="M883" s="10">
        <v>0.05</v>
      </c>
      <c r="O883" s="8" t="s">
        <v>18</v>
      </c>
      <c r="P883" s="4">
        <f t="shared" ref="P883:P887" si="315">(C883+(E883*F883*H883))-N883</f>
        <v>0</v>
      </c>
      <c r="Q883" s="8" t="s">
        <v>18</v>
      </c>
      <c r="R883" s="9">
        <f>S883/1.11</f>
        <v>0</v>
      </c>
      <c r="S883" s="9">
        <f t="shared" ref="S883:S887" si="316">P883*(J883-(J883*L883)-((J883-(J883*L883))*M883))</f>
        <v>0</v>
      </c>
    </row>
    <row r="884" spans="1:19" x14ac:dyDescent="0.2">
      <c r="A884" s="2" t="s">
        <v>808</v>
      </c>
      <c r="B884" s="3" t="s">
        <v>17</v>
      </c>
      <c r="D884" s="5" t="s">
        <v>18</v>
      </c>
      <c r="F884" s="7">
        <v>1</v>
      </c>
      <c r="G884" s="8" t="s">
        <v>19</v>
      </c>
      <c r="H884" s="7">
        <v>288</v>
      </c>
      <c r="I884" s="8" t="s">
        <v>18</v>
      </c>
      <c r="J884" s="9">
        <v>4000</v>
      </c>
      <c r="K884" s="5" t="s">
        <v>18</v>
      </c>
      <c r="L884" s="10">
        <v>0.125</v>
      </c>
      <c r="M884" s="10">
        <v>0.05</v>
      </c>
      <c r="O884" s="8" t="s">
        <v>18</v>
      </c>
      <c r="P884" s="4">
        <f t="shared" si="315"/>
        <v>0</v>
      </c>
      <c r="Q884" s="8" t="s">
        <v>18</v>
      </c>
      <c r="R884" s="9">
        <f>S884/1.11</f>
        <v>0</v>
      </c>
      <c r="S884" s="9">
        <f t="shared" si="316"/>
        <v>0</v>
      </c>
    </row>
    <row r="885" spans="1:19" x14ac:dyDescent="0.2">
      <c r="A885" s="2" t="s">
        <v>481</v>
      </c>
      <c r="B885" s="3" t="s">
        <v>17</v>
      </c>
      <c r="D885" s="5" t="s">
        <v>18</v>
      </c>
      <c r="F885" s="7">
        <v>1</v>
      </c>
      <c r="G885" s="8" t="s">
        <v>19</v>
      </c>
      <c r="H885" s="7">
        <v>288</v>
      </c>
      <c r="I885" s="8" t="s">
        <v>18</v>
      </c>
      <c r="J885" s="9">
        <v>4000</v>
      </c>
      <c r="K885" s="5" t="s">
        <v>18</v>
      </c>
      <c r="L885" s="10">
        <v>0.125</v>
      </c>
      <c r="M885" s="10">
        <v>0.05</v>
      </c>
      <c r="O885" s="8" t="s">
        <v>18</v>
      </c>
      <c r="P885" s="4">
        <f t="shared" si="315"/>
        <v>0</v>
      </c>
      <c r="Q885" s="8" t="s">
        <v>18</v>
      </c>
      <c r="R885" s="9">
        <f>S885/1.11</f>
        <v>0</v>
      </c>
      <c r="S885" s="9">
        <f t="shared" si="316"/>
        <v>0</v>
      </c>
    </row>
    <row r="886" spans="1:19" x14ac:dyDescent="0.2">
      <c r="A886" s="2" t="s">
        <v>482</v>
      </c>
      <c r="B886" s="3" t="s">
        <v>17</v>
      </c>
      <c r="D886" s="5" t="s">
        <v>18</v>
      </c>
      <c r="F886" s="7">
        <v>1</v>
      </c>
      <c r="G886" s="8" t="s">
        <v>19</v>
      </c>
      <c r="H886" s="7">
        <v>288</v>
      </c>
      <c r="I886" s="8" t="s">
        <v>18</v>
      </c>
      <c r="J886" s="9">
        <v>4800</v>
      </c>
      <c r="K886" s="5" t="s">
        <v>18</v>
      </c>
      <c r="L886" s="10">
        <v>0.125</v>
      </c>
      <c r="M886" s="10">
        <v>0.05</v>
      </c>
      <c r="O886" s="8" t="s">
        <v>18</v>
      </c>
      <c r="P886" s="4">
        <f t="shared" si="315"/>
        <v>0</v>
      </c>
      <c r="Q886" s="8" t="s">
        <v>18</v>
      </c>
      <c r="R886" s="9">
        <f>S886/1.11</f>
        <v>0</v>
      </c>
      <c r="S886" s="9">
        <f t="shared" si="316"/>
        <v>0</v>
      </c>
    </row>
    <row r="887" spans="1:19" x14ac:dyDescent="0.2">
      <c r="A887" s="2" t="s">
        <v>893</v>
      </c>
      <c r="B887" s="3" t="s">
        <v>17</v>
      </c>
      <c r="D887" s="5" t="s">
        <v>18</v>
      </c>
      <c r="F887" s="7">
        <v>1</v>
      </c>
      <c r="G887" s="8" t="s">
        <v>19</v>
      </c>
      <c r="H887" s="7">
        <v>288</v>
      </c>
      <c r="I887" s="8" t="s">
        <v>18</v>
      </c>
      <c r="J887" s="9">
        <v>4800</v>
      </c>
      <c r="K887" s="5" t="s">
        <v>18</v>
      </c>
      <c r="L887" s="10">
        <v>0.125</v>
      </c>
      <c r="M887" s="10">
        <v>0.05</v>
      </c>
      <c r="O887" s="8" t="s">
        <v>18</v>
      </c>
      <c r="P887" s="4">
        <f t="shared" si="315"/>
        <v>0</v>
      </c>
      <c r="Q887" s="8" t="s">
        <v>18</v>
      </c>
      <c r="R887" s="9">
        <f>S887/1.11</f>
        <v>0</v>
      </c>
      <c r="S887" s="9">
        <f t="shared" si="316"/>
        <v>0</v>
      </c>
    </row>
    <row r="889" spans="1:19" x14ac:dyDescent="0.2">
      <c r="A889" s="2" t="s">
        <v>483</v>
      </c>
      <c r="B889" s="3" t="s">
        <v>24</v>
      </c>
      <c r="D889" s="5" t="s">
        <v>39</v>
      </c>
      <c r="F889" s="7">
        <v>1</v>
      </c>
      <c r="G889" s="8" t="s">
        <v>19</v>
      </c>
      <c r="H889" s="7">
        <v>24</v>
      </c>
      <c r="I889" s="8" t="s">
        <v>39</v>
      </c>
      <c r="J889" s="9">
        <f>1497600/24</f>
        <v>62400</v>
      </c>
      <c r="K889" s="5" t="s">
        <v>39</v>
      </c>
      <c r="M889" s="10">
        <v>0.17</v>
      </c>
      <c r="O889" s="8" t="s">
        <v>39</v>
      </c>
      <c r="P889" s="4">
        <f>(C889+(E889*F889*H889))-N889</f>
        <v>0</v>
      </c>
      <c r="Q889" s="8" t="s">
        <v>39</v>
      </c>
      <c r="R889" s="9">
        <f>S889/1.11</f>
        <v>0</v>
      </c>
      <c r="S889" s="9">
        <f>P889*(J889-(J889*L889)-((J889-(J889*L889))*M889))</f>
        <v>0</v>
      </c>
    </row>
    <row r="891" spans="1:19" x14ac:dyDescent="0.2">
      <c r="A891" s="13" t="s">
        <v>484</v>
      </c>
      <c r="B891" s="3" t="s">
        <v>170</v>
      </c>
      <c r="D891" s="5" t="s">
        <v>18</v>
      </c>
      <c r="F891" s="7">
        <v>1</v>
      </c>
      <c r="G891" s="8" t="s">
        <v>19</v>
      </c>
      <c r="H891" s="7">
        <v>120</v>
      </c>
      <c r="I891" s="8" t="s">
        <v>18</v>
      </c>
      <c r="J891" s="9">
        <v>11500</v>
      </c>
      <c r="K891" s="5" t="s">
        <v>18</v>
      </c>
      <c r="O891" s="8" t="s">
        <v>18</v>
      </c>
      <c r="P891" s="4">
        <f t="shared" ref="P891:P893" si="317">(C891+(E891*F891*H891))-N891</f>
        <v>0</v>
      </c>
      <c r="Q891" s="8" t="s">
        <v>18</v>
      </c>
      <c r="R891" s="9">
        <f>S891/1.11</f>
        <v>0</v>
      </c>
      <c r="S891" s="9">
        <f t="shared" ref="S891:S893" si="318">P891*(J891-(J891*L891)-((J891-(J891*L891))*M891))</f>
        <v>0</v>
      </c>
    </row>
    <row r="892" spans="1:19" x14ac:dyDescent="0.2">
      <c r="A892" s="13" t="s">
        <v>706</v>
      </c>
      <c r="B892" s="3" t="s">
        <v>170</v>
      </c>
      <c r="D892" s="5" t="s">
        <v>18</v>
      </c>
      <c r="F892" s="7">
        <v>1</v>
      </c>
      <c r="G892" s="8" t="s">
        <v>19</v>
      </c>
      <c r="H892" s="7">
        <v>100</v>
      </c>
      <c r="I892" s="8" t="s">
        <v>18</v>
      </c>
      <c r="J892" s="9">
        <v>13500</v>
      </c>
      <c r="K892" s="5" t="s">
        <v>18</v>
      </c>
      <c r="L892" s="10">
        <v>0.05</v>
      </c>
      <c r="O892" s="8" t="s">
        <v>18</v>
      </c>
      <c r="P892" s="4">
        <f t="shared" si="317"/>
        <v>0</v>
      </c>
      <c r="Q892" s="8" t="s">
        <v>18</v>
      </c>
      <c r="R892" s="9">
        <f>S892/1.11</f>
        <v>0</v>
      </c>
      <c r="S892" s="9">
        <f t="shared" si="318"/>
        <v>0</v>
      </c>
    </row>
    <row r="893" spans="1:19" x14ac:dyDescent="0.2">
      <c r="A893" s="13" t="s">
        <v>485</v>
      </c>
      <c r="B893" s="3" t="s">
        <v>170</v>
      </c>
      <c r="D893" s="5" t="s">
        <v>18</v>
      </c>
      <c r="F893" s="7">
        <v>1</v>
      </c>
      <c r="G893" s="8" t="s">
        <v>19</v>
      </c>
      <c r="H893" s="7">
        <v>96</v>
      </c>
      <c r="I893" s="8" t="s">
        <v>18</v>
      </c>
      <c r="J893" s="9">
        <v>21000</v>
      </c>
      <c r="K893" s="5" t="s">
        <v>18</v>
      </c>
      <c r="O893" s="8" t="s">
        <v>18</v>
      </c>
      <c r="P893" s="4">
        <f t="shared" si="317"/>
        <v>0</v>
      </c>
      <c r="Q893" s="8" t="s">
        <v>18</v>
      </c>
      <c r="R893" s="9">
        <f>S893/1.11</f>
        <v>0</v>
      </c>
      <c r="S893" s="9">
        <f t="shared" si="318"/>
        <v>0</v>
      </c>
    </row>
    <row r="894" spans="1:19" x14ac:dyDescent="0.2">
      <c r="A894" s="13" t="s">
        <v>926</v>
      </c>
      <c r="B894" s="3" t="s">
        <v>170</v>
      </c>
      <c r="C894" s="4">
        <v>6720</v>
      </c>
      <c r="D894" s="5" t="s">
        <v>18</v>
      </c>
      <c r="F894" s="7">
        <v>1</v>
      </c>
      <c r="G894" s="8" t="s">
        <v>19</v>
      </c>
      <c r="H894" s="7">
        <v>160</v>
      </c>
      <c r="I894" s="8" t="s">
        <v>18</v>
      </c>
      <c r="J894" s="9">
        <v>8500</v>
      </c>
      <c r="K894" s="5" t="s">
        <v>18</v>
      </c>
      <c r="L894" s="10">
        <v>7.0000000000000007E-2</v>
      </c>
      <c r="O894" s="8" t="s">
        <v>18</v>
      </c>
      <c r="P894" s="4">
        <f t="shared" ref="P894:P918" si="319">(C894+(E894*F894*H894))-N894</f>
        <v>6720</v>
      </c>
      <c r="Q894" s="8" t="s">
        <v>18</v>
      </c>
      <c r="R894" s="9">
        <f>S894/1.11</f>
        <v>47857297.297297291</v>
      </c>
      <c r="S894" s="9">
        <f t="shared" ref="S894:S918" si="320">P894*(J894-(J894*L894)-((J894-(J894*L894))*M894))</f>
        <v>53121600</v>
      </c>
    </row>
    <row r="895" spans="1:19" x14ac:dyDescent="0.2">
      <c r="A895" s="13" t="s">
        <v>927</v>
      </c>
      <c r="B895" s="3" t="s">
        <v>170</v>
      </c>
      <c r="C895" s="4">
        <v>840</v>
      </c>
      <c r="D895" s="5" t="s">
        <v>18</v>
      </c>
      <c r="F895" s="7">
        <v>1</v>
      </c>
      <c r="G895" s="8" t="s">
        <v>19</v>
      </c>
      <c r="H895" s="7">
        <v>120</v>
      </c>
      <c r="I895" s="8" t="s">
        <v>18</v>
      </c>
      <c r="J895" s="9">
        <v>11500</v>
      </c>
      <c r="K895" s="5" t="s">
        <v>18</v>
      </c>
      <c r="L895" s="10">
        <v>7.0000000000000007E-2</v>
      </c>
      <c r="O895" s="8" t="s">
        <v>18</v>
      </c>
      <c r="P895" s="4">
        <f t="shared" si="319"/>
        <v>840</v>
      </c>
      <c r="Q895" s="8" t="s">
        <v>18</v>
      </c>
      <c r="R895" s="9">
        <f>S895/1.11</f>
        <v>8093513.5135135129</v>
      </c>
      <c r="S895" s="9">
        <f t="shared" si="320"/>
        <v>8983800</v>
      </c>
    </row>
    <row r="896" spans="1:19" x14ac:dyDescent="0.2">
      <c r="A896" s="13" t="s">
        <v>928</v>
      </c>
      <c r="B896" s="3" t="s">
        <v>170</v>
      </c>
      <c r="C896" s="4">
        <v>3168</v>
      </c>
      <c r="D896" s="5" t="s">
        <v>18</v>
      </c>
      <c r="F896" s="7">
        <v>1</v>
      </c>
      <c r="G896" s="8" t="s">
        <v>19</v>
      </c>
      <c r="H896" s="7">
        <v>144</v>
      </c>
      <c r="I896" s="8" t="s">
        <v>18</v>
      </c>
      <c r="J896" s="9">
        <v>9250</v>
      </c>
      <c r="K896" s="5" t="s">
        <v>18</v>
      </c>
      <c r="L896" s="10">
        <v>7.0000000000000007E-2</v>
      </c>
      <c r="O896" s="8" t="s">
        <v>18</v>
      </c>
      <c r="P896" s="4">
        <f t="shared" si="319"/>
        <v>3168</v>
      </c>
      <c r="Q896" s="8" t="s">
        <v>18</v>
      </c>
      <c r="R896" s="9">
        <f>S896/1.11</f>
        <v>24551999.999999996</v>
      </c>
      <c r="S896" s="9">
        <f t="shared" si="320"/>
        <v>27252720</v>
      </c>
    </row>
    <row r="897" spans="1:19" x14ac:dyDescent="0.2">
      <c r="A897" s="17" t="s">
        <v>929</v>
      </c>
      <c r="B897" s="3" t="s">
        <v>170</v>
      </c>
      <c r="C897" s="4">
        <v>2560</v>
      </c>
      <c r="D897" s="5" t="s">
        <v>18</v>
      </c>
      <c r="F897" s="7">
        <v>1</v>
      </c>
      <c r="G897" s="8" t="s">
        <v>19</v>
      </c>
      <c r="H897" s="7">
        <v>160</v>
      </c>
      <c r="I897" s="8" t="s">
        <v>18</v>
      </c>
      <c r="J897" s="9">
        <v>9250</v>
      </c>
      <c r="K897" s="5" t="s">
        <v>18</v>
      </c>
      <c r="L897" s="10">
        <v>7.0000000000000007E-2</v>
      </c>
      <c r="O897" s="8" t="s">
        <v>18</v>
      </c>
      <c r="P897" s="4">
        <f t="shared" si="319"/>
        <v>2560</v>
      </c>
      <c r="Q897" s="8" t="s">
        <v>18</v>
      </c>
      <c r="R897" s="9">
        <f>S897/1.11</f>
        <v>19840000</v>
      </c>
      <c r="S897" s="9">
        <f t="shared" si="320"/>
        <v>22022400</v>
      </c>
    </row>
    <row r="898" spans="1:19" x14ac:dyDescent="0.2">
      <c r="A898" s="17" t="s">
        <v>816</v>
      </c>
      <c r="B898" s="3" t="s">
        <v>170</v>
      </c>
      <c r="D898" s="5" t="s">
        <v>18</v>
      </c>
      <c r="F898" s="7">
        <v>1</v>
      </c>
      <c r="G898" s="8" t="s">
        <v>19</v>
      </c>
      <c r="H898" s="7">
        <v>160</v>
      </c>
      <c r="I898" s="8" t="s">
        <v>18</v>
      </c>
      <c r="J898" s="9">
        <v>9500</v>
      </c>
      <c r="K898" s="5" t="s">
        <v>18</v>
      </c>
      <c r="L898" s="10">
        <v>0.05</v>
      </c>
      <c r="O898" s="8" t="s">
        <v>18</v>
      </c>
      <c r="P898" s="4">
        <f t="shared" si="319"/>
        <v>0</v>
      </c>
      <c r="Q898" s="8" t="s">
        <v>18</v>
      </c>
      <c r="R898" s="9">
        <f>S898/1.11</f>
        <v>0</v>
      </c>
      <c r="S898" s="9">
        <f t="shared" si="320"/>
        <v>0</v>
      </c>
    </row>
    <row r="899" spans="1:19" x14ac:dyDescent="0.2">
      <c r="A899" s="17" t="s">
        <v>813</v>
      </c>
      <c r="B899" s="3" t="s">
        <v>170</v>
      </c>
      <c r="C899" s="4">
        <v>3264</v>
      </c>
      <c r="D899" s="5" t="s">
        <v>18</v>
      </c>
      <c r="F899" s="7">
        <v>1</v>
      </c>
      <c r="G899" s="8" t="s">
        <v>19</v>
      </c>
      <c r="H899" s="7">
        <v>192</v>
      </c>
      <c r="I899" s="8" t="s">
        <v>18</v>
      </c>
      <c r="J899" s="9">
        <v>9250</v>
      </c>
      <c r="K899" s="5" t="s">
        <v>18</v>
      </c>
      <c r="L899" s="10">
        <v>7.0000000000000007E-2</v>
      </c>
      <c r="O899" s="8" t="s">
        <v>18</v>
      </c>
      <c r="P899" s="4">
        <f t="shared" si="319"/>
        <v>3264</v>
      </c>
      <c r="Q899" s="8" t="s">
        <v>18</v>
      </c>
      <c r="R899" s="9">
        <f>S899/1.11</f>
        <v>25295999.999999996</v>
      </c>
      <c r="S899" s="9">
        <f t="shared" si="320"/>
        <v>28078560</v>
      </c>
    </row>
    <row r="900" spans="1:19" x14ac:dyDescent="0.2">
      <c r="A900" s="17" t="s">
        <v>959</v>
      </c>
      <c r="B900" s="3" t="s">
        <v>170</v>
      </c>
      <c r="C900" s="4">
        <v>3840</v>
      </c>
      <c r="D900" s="5" t="s">
        <v>18</v>
      </c>
      <c r="F900" s="7">
        <v>1</v>
      </c>
      <c r="G900" s="8" t="s">
        <v>19</v>
      </c>
      <c r="H900" s="7">
        <v>192</v>
      </c>
      <c r="I900" s="8" t="s">
        <v>18</v>
      </c>
      <c r="J900" s="9">
        <v>9250</v>
      </c>
      <c r="K900" s="5" t="s">
        <v>18</v>
      </c>
      <c r="L900" s="10">
        <v>7.0000000000000007E-2</v>
      </c>
      <c r="O900" s="8" t="s">
        <v>18</v>
      </c>
      <c r="P900" s="4">
        <f t="shared" si="319"/>
        <v>3840</v>
      </c>
      <c r="Q900" s="8" t="s">
        <v>18</v>
      </c>
      <c r="R900" s="9">
        <f>S900/1.11</f>
        <v>29759999.999999996</v>
      </c>
      <c r="S900" s="9">
        <f t="shared" si="320"/>
        <v>33033600</v>
      </c>
    </row>
    <row r="901" spans="1:19" x14ac:dyDescent="0.2">
      <c r="A901" s="17" t="s">
        <v>864</v>
      </c>
      <c r="B901" s="3" t="s">
        <v>170</v>
      </c>
      <c r="C901" s="4">
        <v>3744</v>
      </c>
      <c r="D901" s="5" t="s">
        <v>18</v>
      </c>
      <c r="F901" s="7">
        <v>1</v>
      </c>
      <c r="G901" s="8" t="s">
        <v>19</v>
      </c>
      <c r="H901" s="7">
        <v>144</v>
      </c>
      <c r="I901" s="8" t="s">
        <v>18</v>
      </c>
      <c r="J901" s="9">
        <v>9250</v>
      </c>
      <c r="K901" s="5" t="s">
        <v>18</v>
      </c>
      <c r="L901" s="10">
        <v>7.0000000000000007E-2</v>
      </c>
      <c r="O901" s="8" t="s">
        <v>18</v>
      </c>
      <c r="P901" s="4">
        <f t="shared" si="319"/>
        <v>3744</v>
      </c>
      <c r="Q901" s="8" t="s">
        <v>18</v>
      </c>
      <c r="R901" s="9">
        <f>S901/1.11</f>
        <v>29015999.999999996</v>
      </c>
      <c r="S901" s="9">
        <f t="shared" si="320"/>
        <v>32207760</v>
      </c>
    </row>
    <row r="902" spans="1:19" x14ac:dyDescent="0.2">
      <c r="A902" s="17" t="s">
        <v>865</v>
      </c>
      <c r="B902" s="3" t="s">
        <v>170</v>
      </c>
      <c r="C902" s="4">
        <v>2880</v>
      </c>
      <c r="D902" s="5" t="s">
        <v>18</v>
      </c>
      <c r="F902" s="7">
        <v>1</v>
      </c>
      <c r="G902" s="8" t="s">
        <v>19</v>
      </c>
      <c r="H902" s="7">
        <v>144</v>
      </c>
      <c r="I902" s="8" t="s">
        <v>18</v>
      </c>
      <c r="J902" s="9">
        <v>9250</v>
      </c>
      <c r="K902" s="5" t="s">
        <v>18</v>
      </c>
      <c r="L902" s="10">
        <v>7.0000000000000007E-2</v>
      </c>
      <c r="O902" s="8" t="s">
        <v>18</v>
      </c>
      <c r="P902" s="4">
        <f t="shared" si="319"/>
        <v>2880</v>
      </c>
      <c r="Q902" s="8" t="s">
        <v>18</v>
      </c>
      <c r="R902" s="9">
        <f>S902/1.11</f>
        <v>22319999.999999996</v>
      </c>
      <c r="S902" s="9">
        <f t="shared" si="320"/>
        <v>24775200</v>
      </c>
    </row>
    <row r="903" spans="1:19" x14ac:dyDescent="0.2">
      <c r="A903" s="17" t="s">
        <v>898</v>
      </c>
      <c r="B903" s="3" t="s">
        <v>170</v>
      </c>
      <c r="D903" s="5" t="s">
        <v>18</v>
      </c>
      <c r="F903" s="7">
        <v>1</v>
      </c>
      <c r="G903" s="8" t="s">
        <v>19</v>
      </c>
      <c r="H903" s="7">
        <v>144</v>
      </c>
      <c r="I903" s="8" t="s">
        <v>18</v>
      </c>
      <c r="J903" s="9">
        <v>10000</v>
      </c>
      <c r="K903" s="5" t="s">
        <v>18</v>
      </c>
      <c r="L903" s="10">
        <v>0.05</v>
      </c>
      <c r="O903" s="8" t="s">
        <v>18</v>
      </c>
      <c r="P903" s="4">
        <f t="shared" si="319"/>
        <v>0</v>
      </c>
      <c r="Q903" s="8" t="s">
        <v>18</v>
      </c>
      <c r="R903" s="9">
        <f>S903/1.11</f>
        <v>0</v>
      </c>
      <c r="S903" s="9">
        <f t="shared" si="320"/>
        <v>0</v>
      </c>
    </row>
    <row r="904" spans="1:19" x14ac:dyDescent="0.2">
      <c r="A904" s="17" t="s">
        <v>899</v>
      </c>
      <c r="B904" s="3" t="s">
        <v>170</v>
      </c>
      <c r="D904" s="5" t="s">
        <v>18</v>
      </c>
      <c r="F904" s="7">
        <v>1</v>
      </c>
      <c r="G904" s="8" t="s">
        <v>19</v>
      </c>
      <c r="H904" s="7">
        <v>144</v>
      </c>
      <c r="I904" s="8" t="s">
        <v>18</v>
      </c>
      <c r="J904" s="9">
        <v>10000</v>
      </c>
      <c r="K904" s="5" t="s">
        <v>18</v>
      </c>
      <c r="L904" s="10">
        <v>0.05</v>
      </c>
      <c r="O904" s="8" t="s">
        <v>18</v>
      </c>
      <c r="P904" s="4">
        <f t="shared" si="319"/>
        <v>0</v>
      </c>
      <c r="Q904" s="8" t="s">
        <v>18</v>
      </c>
      <c r="R904" s="9">
        <f>S904/1.11</f>
        <v>0</v>
      </c>
      <c r="S904" s="9">
        <f t="shared" si="320"/>
        <v>0</v>
      </c>
    </row>
    <row r="905" spans="1:19" x14ac:dyDescent="0.2">
      <c r="A905" s="17" t="s">
        <v>900</v>
      </c>
      <c r="B905" s="3" t="s">
        <v>170</v>
      </c>
      <c r="C905" s="4">
        <v>864</v>
      </c>
      <c r="D905" s="5" t="s">
        <v>18</v>
      </c>
      <c r="F905" s="7">
        <v>1</v>
      </c>
      <c r="G905" s="8" t="s">
        <v>19</v>
      </c>
      <c r="H905" s="7">
        <v>144</v>
      </c>
      <c r="I905" s="8" t="s">
        <v>18</v>
      </c>
      <c r="J905" s="9">
        <v>10500</v>
      </c>
      <c r="K905" s="5" t="s">
        <v>18</v>
      </c>
      <c r="L905" s="10">
        <v>7.0000000000000007E-2</v>
      </c>
      <c r="O905" s="8" t="s">
        <v>18</v>
      </c>
      <c r="P905" s="4">
        <f t="shared" si="319"/>
        <v>864</v>
      </c>
      <c r="Q905" s="8" t="s">
        <v>18</v>
      </c>
      <c r="R905" s="9">
        <f>S905/1.11</f>
        <v>7600864.8648648644</v>
      </c>
      <c r="S905" s="9">
        <f t="shared" si="320"/>
        <v>8436960</v>
      </c>
    </row>
    <row r="906" spans="1:19" x14ac:dyDescent="0.2">
      <c r="A906" s="17" t="s">
        <v>901</v>
      </c>
      <c r="B906" s="3" t="s">
        <v>170</v>
      </c>
      <c r="D906" s="5" t="s">
        <v>18</v>
      </c>
      <c r="F906" s="7">
        <v>1</v>
      </c>
      <c r="G906" s="8" t="s">
        <v>19</v>
      </c>
      <c r="H906" s="7">
        <v>144</v>
      </c>
      <c r="I906" s="8" t="s">
        <v>18</v>
      </c>
      <c r="J906" s="9">
        <v>10500</v>
      </c>
      <c r="K906" s="5" t="s">
        <v>18</v>
      </c>
      <c r="L906" s="10">
        <v>0.05</v>
      </c>
      <c r="O906" s="8" t="s">
        <v>18</v>
      </c>
      <c r="P906" s="4">
        <f t="shared" si="319"/>
        <v>0</v>
      </c>
      <c r="Q906" s="8" t="s">
        <v>18</v>
      </c>
      <c r="R906" s="9">
        <f>S906/1.11</f>
        <v>0</v>
      </c>
      <c r="S906" s="9">
        <f t="shared" si="320"/>
        <v>0</v>
      </c>
    </row>
    <row r="907" spans="1:19" x14ac:dyDescent="0.2">
      <c r="A907" s="17" t="s">
        <v>960</v>
      </c>
      <c r="B907" s="3" t="s">
        <v>170</v>
      </c>
      <c r="C907" s="4">
        <v>1728</v>
      </c>
      <c r="D907" s="5" t="s">
        <v>18</v>
      </c>
      <c r="F907" s="7">
        <v>1</v>
      </c>
      <c r="G907" s="8" t="s">
        <v>19</v>
      </c>
      <c r="H907" s="7">
        <v>192</v>
      </c>
      <c r="I907" s="8" t="s">
        <v>18</v>
      </c>
      <c r="J907" s="9">
        <v>9250</v>
      </c>
      <c r="K907" s="5" t="s">
        <v>18</v>
      </c>
      <c r="L907" s="10">
        <v>7.0000000000000007E-2</v>
      </c>
      <c r="O907" s="8" t="s">
        <v>18</v>
      </c>
      <c r="P907" s="4">
        <f t="shared" si="319"/>
        <v>1728</v>
      </c>
      <c r="Q907" s="8" t="s">
        <v>18</v>
      </c>
      <c r="R907" s="9">
        <f>S907/1.11</f>
        <v>13391999.999999998</v>
      </c>
      <c r="S907" s="9">
        <f t="shared" si="320"/>
        <v>14865120</v>
      </c>
    </row>
    <row r="908" spans="1:19" x14ac:dyDescent="0.2">
      <c r="A908" s="17" t="s">
        <v>677</v>
      </c>
      <c r="B908" s="3" t="s">
        <v>170</v>
      </c>
      <c r="D908" s="5" t="s">
        <v>18</v>
      </c>
      <c r="F908" s="7">
        <v>1</v>
      </c>
      <c r="G908" s="8" t="s">
        <v>19</v>
      </c>
      <c r="H908" s="7">
        <v>144</v>
      </c>
      <c r="I908" s="8" t="s">
        <v>18</v>
      </c>
      <c r="J908" s="9">
        <v>8750</v>
      </c>
      <c r="K908" s="5" t="s">
        <v>18</v>
      </c>
      <c r="O908" s="8" t="s">
        <v>18</v>
      </c>
      <c r="P908" s="4">
        <f t="shared" si="319"/>
        <v>0</v>
      </c>
      <c r="Q908" s="8" t="s">
        <v>18</v>
      </c>
      <c r="R908" s="9">
        <f>S908/1.11</f>
        <v>0</v>
      </c>
      <c r="S908" s="9">
        <f t="shared" si="320"/>
        <v>0</v>
      </c>
    </row>
    <row r="909" spans="1:19" x14ac:dyDescent="0.2">
      <c r="A909" s="17" t="s">
        <v>678</v>
      </c>
      <c r="B909" s="3" t="s">
        <v>170</v>
      </c>
      <c r="D909" s="5" t="s">
        <v>18</v>
      </c>
      <c r="F909" s="7">
        <v>1</v>
      </c>
      <c r="G909" s="8" t="s">
        <v>19</v>
      </c>
      <c r="H909" s="7">
        <v>144</v>
      </c>
      <c r="I909" s="8" t="s">
        <v>18</v>
      </c>
      <c r="J909" s="9">
        <v>8750</v>
      </c>
      <c r="K909" s="5" t="s">
        <v>18</v>
      </c>
      <c r="O909" s="8" t="s">
        <v>18</v>
      </c>
      <c r="P909" s="4">
        <f t="shared" si="319"/>
        <v>0</v>
      </c>
      <c r="Q909" s="8" t="s">
        <v>18</v>
      </c>
      <c r="R909" s="9">
        <f>S909/1.11</f>
        <v>0</v>
      </c>
      <c r="S909" s="9">
        <f t="shared" si="320"/>
        <v>0</v>
      </c>
    </row>
    <row r="910" spans="1:19" x14ac:dyDescent="0.2">
      <c r="A910" s="17" t="s">
        <v>679</v>
      </c>
      <c r="B910" s="3" t="s">
        <v>170</v>
      </c>
      <c r="D910" s="5" t="s">
        <v>18</v>
      </c>
      <c r="F910" s="7">
        <v>1</v>
      </c>
      <c r="G910" s="8" t="s">
        <v>19</v>
      </c>
      <c r="H910" s="7">
        <v>160</v>
      </c>
      <c r="I910" s="8" t="s">
        <v>18</v>
      </c>
      <c r="J910" s="9">
        <v>8750</v>
      </c>
      <c r="K910" s="5" t="s">
        <v>18</v>
      </c>
      <c r="O910" s="8" t="s">
        <v>18</v>
      </c>
      <c r="P910" s="4">
        <f t="shared" si="319"/>
        <v>0</v>
      </c>
      <c r="Q910" s="8" t="s">
        <v>18</v>
      </c>
      <c r="R910" s="9">
        <f>S910/1.11</f>
        <v>0</v>
      </c>
      <c r="S910" s="9">
        <f t="shared" si="320"/>
        <v>0</v>
      </c>
    </row>
    <row r="911" spans="1:19" x14ac:dyDescent="0.2">
      <c r="A911" s="17" t="s">
        <v>930</v>
      </c>
      <c r="B911" s="3" t="s">
        <v>170</v>
      </c>
      <c r="D911" s="5" t="s">
        <v>18</v>
      </c>
      <c r="F911" s="7">
        <v>1</v>
      </c>
      <c r="G911" s="8" t="s">
        <v>19</v>
      </c>
      <c r="H911" s="7">
        <v>192</v>
      </c>
      <c r="I911" s="8" t="s">
        <v>18</v>
      </c>
      <c r="J911" s="9">
        <v>10000</v>
      </c>
      <c r="K911" s="5" t="s">
        <v>18</v>
      </c>
      <c r="L911" s="10">
        <v>7.0000000000000007E-2</v>
      </c>
      <c r="O911" s="8" t="s">
        <v>18</v>
      </c>
      <c r="P911" s="4">
        <f t="shared" si="319"/>
        <v>0</v>
      </c>
      <c r="Q911" s="8" t="s">
        <v>18</v>
      </c>
      <c r="R911" s="9">
        <f>S911/1.11</f>
        <v>0</v>
      </c>
      <c r="S911" s="9">
        <f t="shared" si="320"/>
        <v>0</v>
      </c>
    </row>
    <row r="912" spans="1:19" x14ac:dyDescent="0.2">
      <c r="A912" s="17" t="s">
        <v>931</v>
      </c>
      <c r="B912" s="3" t="s">
        <v>170</v>
      </c>
      <c r="C912" s="4">
        <v>288</v>
      </c>
      <c r="D912" s="5" t="s">
        <v>18</v>
      </c>
      <c r="F912" s="7">
        <v>1</v>
      </c>
      <c r="G912" s="8" t="s">
        <v>19</v>
      </c>
      <c r="H912" s="7">
        <v>144</v>
      </c>
      <c r="I912" s="8" t="s">
        <v>18</v>
      </c>
      <c r="J912" s="9">
        <v>11500</v>
      </c>
      <c r="K912" s="5" t="s">
        <v>18</v>
      </c>
      <c r="L912" s="10">
        <v>7.0000000000000007E-2</v>
      </c>
      <c r="O912" s="8" t="s">
        <v>18</v>
      </c>
      <c r="P912" s="4">
        <f t="shared" si="319"/>
        <v>288</v>
      </c>
      <c r="Q912" s="8" t="s">
        <v>18</v>
      </c>
      <c r="R912" s="9">
        <f>S912/1.11</f>
        <v>2774918.9189189188</v>
      </c>
      <c r="S912" s="9">
        <f t="shared" si="320"/>
        <v>3080160</v>
      </c>
    </row>
    <row r="913" spans="1:19" x14ac:dyDescent="0.2">
      <c r="A913" s="17" t="s">
        <v>932</v>
      </c>
      <c r="B913" s="3" t="s">
        <v>170</v>
      </c>
      <c r="C913" s="4">
        <v>3744</v>
      </c>
      <c r="D913" s="5" t="s">
        <v>18</v>
      </c>
      <c r="F913" s="7">
        <v>1</v>
      </c>
      <c r="G913" s="8" t="s">
        <v>19</v>
      </c>
      <c r="H913" s="7">
        <v>144</v>
      </c>
      <c r="I913" s="8" t="s">
        <v>18</v>
      </c>
      <c r="J913" s="9">
        <v>10500</v>
      </c>
      <c r="K913" s="5" t="s">
        <v>18</v>
      </c>
      <c r="L913" s="10">
        <v>7.0000000000000007E-2</v>
      </c>
      <c r="O913" s="8" t="s">
        <v>18</v>
      </c>
      <c r="P913" s="4">
        <f t="shared" si="319"/>
        <v>3744</v>
      </c>
      <c r="Q913" s="8" t="s">
        <v>18</v>
      </c>
      <c r="R913" s="9">
        <f>S913/1.11</f>
        <v>32937081.081081077</v>
      </c>
      <c r="S913" s="9">
        <f t="shared" si="320"/>
        <v>36560160</v>
      </c>
    </row>
    <row r="914" spans="1:19" x14ac:dyDescent="0.2">
      <c r="A914" s="17" t="s">
        <v>933</v>
      </c>
      <c r="B914" s="3" t="s">
        <v>170</v>
      </c>
      <c r="C914" s="4">
        <v>288</v>
      </c>
      <c r="D914" s="5" t="s">
        <v>18</v>
      </c>
      <c r="F914" s="7">
        <v>1</v>
      </c>
      <c r="G914" s="8" t="s">
        <v>19</v>
      </c>
      <c r="H914" s="7">
        <v>144</v>
      </c>
      <c r="I914" s="8" t="s">
        <v>18</v>
      </c>
      <c r="J914" s="9">
        <v>11000</v>
      </c>
      <c r="K914" s="5" t="s">
        <v>18</v>
      </c>
      <c r="L914" s="10">
        <v>7.0000000000000007E-2</v>
      </c>
      <c r="O914" s="8" t="s">
        <v>18</v>
      </c>
      <c r="P914" s="4">
        <f t="shared" si="319"/>
        <v>288</v>
      </c>
      <c r="Q914" s="8" t="s">
        <v>18</v>
      </c>
      <c r="R914" s="9">
        <f>S914/1.11</f>
        <v>2654270.2702702698</v>
      </c>
      <c r="S914" s="9">
        <f t="shared" si="320"/>
        <v>2946240</v>
      </c>
    </row>
    <row r="915" spans="1:19" x14ac:dyDescent="0.2">
      <c r="A915" s="17" t="s">
        <v>934</v>
      </c>
      <c r="B915" s="3" t="s">
        <v>170</v>
      </c>
      <c r="C915" s="4">
        <v>2736</v>
      </c>
      <c r="D915" s="5" t="s">
        <v>18</v>
      </c>
      <c r="F915" s="7">
        <v>1</v>
      </c>
      <c r="G915" s="8" t="s">
        <v>19</v>
      </c>
      <c r="H915" s="7">
        <v>144</v>
      </c>
      <c r="I915" s="8" t="s">
        <v>18</v>
      </c>
      <c r="J915" s="9">
        <v>11500</v>
      </c>
      <c r="K915" s="5" t="s">
        <v>18</v>
      </c>
      <c r="L915" s="10">
        <v>7.0000000000000007E-2</v>
      </c>
      <c r="O915" s="8" t="s">
        <v>18</v>
      </c>
      <c r="P915" s="4">
        <f t="shared" si="319"/>
        <v>2736</v>
      </c>
      <c r="Q915" s="8" t="s">
        <v>18</v>
      </c>
      <c r="R915" s="9">
        <f>S915/1.11</f>
        <v>26361729.729729727</v>
      </c>
      <c r="S915" s="9">
        <f t="shared" si="320"/>
        <v>29261520</v>
      </c>
    </row>
    <row r="916" spans="1:19" x14ac:dyDescent="0.2">
      <c r="A916" s="17" t="s">
        <v>935</v>
      </c>
      <c r="B916" s="3" t="s">
        <v>170</v>
      </c>
      <c r="D916" s="5" t="s">
        <v>18</v>
      </c>
      <c r="F916" s="7">
        <v>1</v>
      </c>
      <c r="G916" s="8" t="s">
        <v>19</v>
      </c>
      <c r="H916" s="7">
        <v>144</v>
      </c>
      <c r="I916" s="8" t="s">
        <v>18</v>
      </c>
      <c r="J916" s="9">
        <v>11000</v>
      </c>
      <c r="K916" s="5" t="s">
        <v>18</v>
      </c>
      <c r="L916" s="10">
        <v>7.0000000000000007E-2</v>
      </c>
      <c r="O916" s="8" t="s">
        <v>18</v>
      </c>
      <c r="P916" s="4">
        <f t="shared" si="319"/>
        <v>0</v>
      </c>
      <c r="Q916" s="8" t="s">
        <v>18</v>
      </c>
      <c r="R916" s="9">
        <f>S916/1.11</f>
        <v>0</v>
      </c>
      <c r="S916" s="9">
        <f t="shared" si="320"/>
        <v>0</v>
      </c>
    </row>
    <row r="917" spans="1:19" x14ac:dyDescent="0.2">
      <c r="A917" s="17" t="s">
        <v>961</v>
      </c>
      <c r="B917" s="3" t="s">
        <v>170</v>
      </c>
      <c r="C917" s="4">
        <v>4608</v>
      </c>
      <c r="D917" s="5" t="s">
        <v>18</v>
      </c>
      <c r="F917" s="7">
        <v>1</v>
      </c>
      <c r="G917" s="8" t="s">
        <v>19</v>
      </c>
      <c r="H917" s="7">
        <v>192</v>
      </c>
      <c r="I917" s="8" t="s">
        <v>18</v>
      </c>
      <c r="J917" s="9">
        <v>9500</v>
      </c>
      <c r="K917" s="5" t="s">
        <v>18</v>
      </c>
      <c r="L917" s="10">
        <v>7.0000000000000007E-2</v>
      </c>
      <c r="O917" s="8" t="s">
        <v>18</v>
      </c>
      <c r="P917" s="4">
        <f t="shared" si="319"/>
        <v>4608</v>
      </c>
      <c r="Q917" s="8" t="s">
        <v>18</v>
      </c>
      <c r="R917" s="9">
        <f>S917/1.11</f>
        <v>36677189.189189188</v>
      </c>
      <c r="S917" s="9">
        <f t="shared" si="320"/>
        <v>40711680</v>
      </c>
    </row>
    <row r="918" spans="1:19" x14ac:dyDescent="0.2">
      <c r="A918" s="17" t="s">
        <v>943</v>
      </c>
      <c r="B918" s="3" t="s">
        <v>170</v>
      </c>
      <c r="C918" s="4">
        <v>7200</v>
      </c>
      <c r="D918" s="5" t="s">
        <v>18</v>
      </c>
      <c r="F918" s="7">
        <v>1</v>
      </c>
      <c r="G918" s="8" t="s">
        <v>19</v>
      </c>
      <c r="H918" s="7">
        <v>144</v>
      </c>
      <c r="I918" s="8" t="s">
        <v>18</v>
      </c>
      <c r="J918" s="9">
        <v>8500</v>
      </c>
      <c r="K918" s="5" t="s">
        <v>18</v>
      </c>
      <c r="L918" s="10">
        <v>7.0000000000000007E-2</v>
      </c>
      <c r="O918" s="8" t="s">
        <v>18</v>
      </c>
      <c r="P918" s="4">
        <f t="shared" si="319"/>
        <v>7200</v>
      </c>
      <c r="Q918" s="8" t="s">
        <v>18</v>
      </c>
      <c r="R918" s="9">
        <f>S918/1.11</f>
        <v>51275675.675675668</v>
      </c>
      <c r="S918" s="9">
        <f t="shared" si="320"/>
        <v>56916000</v>
      </c>
    </row>
    <row r="919" spans="1:19" x14ac:dyDescent="0.2">
      <c r="A919" s="17"/>
    </row>
    <row r="920" spans="1:19" x14ac:dyDescent="0.2">
      <c r="A920" s="2" t="s">
        <v>673</v>
      </c>
      <c r="B920" s="3" t="s">
        <v>258</v>
      </c>
      <c r="D920" s="5" t="s">
        <v>18</v>
      </c>
      <c r="E920" s="20"/>
      <c r="F920" s="7">
        <v>1</v>
      </c>
      <c r="G920" s="8" t="s">
        <v>19</v>
      </c>
      <c r="H920" s="39">
        <v>480</v>
      </c>
      <c r="I920" s="8" t="s">
        <v>18</v>
      </c>
      <c r="J920" s="9">
        <v>26000</v>
      </c>
      <c r="K920" s="5" t="s">
        <v>18</v>
      </c>
      <c r="L920" s="40">
        <v>0.2</v>
      </c>
      <c r="O920" s="8" t="s">
        <v>18</v>
      </c>
      <c r="P920" s="4">
        <f>(C920+(E920*F920*H920))-N920</f>
        <v>0</v>
      </c>
      <c r="Q920" s="8" t="s">
        <v>18</v>
      </c>
      <c r="R920" s="9">
        <f>S920/1.11</f>
        <v>0</v>
      </c>
      <c r="S920" s="9">
        <f>P920*(J920-(J920*L920)-((J920-(J920*L920))*M920))</f>
        <v>0</v>
      </c>
    </row>
    <row r="921" spans="1:19" x14ac:dyDescent="0.2">
      <c r="A921" s="2" t="s">
        <v>675</v>
      </c>
      <c r="B921" s="3" t="s">
        <v>258</v>
      </c>
      <c r="D921" s="5" t="s">
        <v>18</v>
      </c>
      <c r="E921" s="20"/>
      <c r="F921" s="7">
        <v>1</v>
      </c>
      <c r="G921" s="8" t="s">
        <v>19</v>
      </c>
      <c r="H921" s="39">
        <v>480</v>
      </c>
      <c r="I921" s="8" t="s">
        <v>18</v>
      </c>
      <c r="J921" s="9">
        <v>20800</v>
      </c>
      <c r="K921" s="5" t="s">
        <v>18</v>
      </c>
      <c r="L921" s="40">
        <v>0.3</v>
      </c>
      <c r="O921" s="8" t="s">
        <v>18</v>
      </c>
      <c r="P921" s="4">
        <f>(C921+(E921*F921*H921))-N921</f>
        <v>0</v>
      </c>
      <c r="Q921" s="8" t="s">
        <v>18</v>
      </c>
      <c r="R921" s="9">
        <f>S921/1.11</f>
        <v>0</v>
      </c>
      <c r="S921" s="9">
        <f>P921*(J921-(J921*L921)-((J921-(J921*L921))*M921))</f>
        <v>0</v>
      </c>
    </row>
    <row r="922" spans="1:19" x14ac:dyDescent="0.2">
      <c r="A922" s="2" t="s">
        <v>671</v>
      </c>
      <c r="B922" s="3" t="s">
        <v>258</v>
      </c>
      <c r="C922" s="4">
        <v>960</v>
      </c>
      <c r="D922" s="5" t="s">
        <v>18</v>
      </c>
      <c r="E922" s="20"/>
      <c r="F922" s="7">
        <v>1</v>
      </c>
      <c r="G922" s="8" t="s">
        <v>19</v>
      </c>
      <c r="H922" s="39">
        <v>480</v>
      </c>
      <c r="I922" s="8" t="s">
        <v>18</v>
      </c>
      <c r="J922" s="9">
        <v>15000</v>
      </c>
      <c r="K922" s="5" t="s">
        <v>18</v>
      </c>
      <c r="L922" s="40">
        <v>0.2</v>
      </c>
      <c r="O922" s="8" t="s">
        <v>18</v>
      </c>
      <c r="P922" s="4">
        <f>(C922+(E922*F922*H922))-N922</f>
        <v>960</v>
      </c>
      <c r="Q922" s="8" t="s">
        <v>18</v>
      </c>
      <c r="R922" s="9">
        <f>S922/1.11</f>
        <v>10378378.378378378</v>
      </c>
      <c r="S922" s="9">
        <f>P922*(J922-(J922*L922)-((J922-(J922*L922))*M922))</f>
        <v>11520000</v>
      </c>
    </row>
    <row r="923" spans="1:19" x14ac:dyDescent="0.2">
      <c r="A923" s="2" t="s">
        <v>674</v>
      </c>
      <c r="B923" s="3" t="s">
        <v>258</v>
      </c>
      <c r="C923" s="4">
        <v>2400</v>
      </c>
      <c r="D923" s="5" t="s">
        <v>18</v>
      </c>
      <c r="E923" s="20"/>
      <c r="F923" s="7">
        <v>1</v>
      </c>
      <c r="G923" s="8" t="s">
        <v>19</v>
      </c>
      <c r="H923" s="39">
        <v>480</v>
      </c>
      <c r="I923" s="8" t="s">
        <v>18</v>
      </c>
      <c r="J923" s="9">
        <v>29900</v>
      </c>
      <c r="K923" s="5" t="s">
        <v>18</v>
      </c>
      <c r="L923" s="40">
        <v>0.25</v>
      </c>
      <c r="O923" s="8" t="s">
        <v>18</v>
      </c>
      <c r="P923" s="4">
        <f>(C923+(E923*F923*H923))-N923</f>
        <v>2400</v>
      </c>
      <c r="Q923" s="8" t="s">
        <v>18</v>
      </c>
      <c r="R923" s="9">
        <f>S923/1.11</f>
        <v>48486486.48648648</v>
      </c>
      <c r="S923" s="9">
        <f>P923*(J923-(J923*L923)-((J923-(J923*L923))*M923))</f>
        <v>53820000</v>
      </c>
    </row>
    <row r="924" spans="1:19" x14ac:dyDescent="0.2">
      <c r="A924" s="2" t="s">
        <v>672</v>
      </c>
      <c r="B924" s="3" t="s">
        <v>258</v>
      </c>
      <c r="D924" s="5" t="s">
        <v>18</v>
      </c>
      <c r="E924" s="20"/>
      <c r="F924" s="7">
        <v>1</v>
      </c>
      <c r="G924" s="8" t="s">
        <v>19</v>
      </c>
      <c r="H924" s="39">
        <v>384</v>
      </c>
      <c r="I924" s="8" t="s">
        <v>18</v>
      </c>
      <c r="J924" s="9">
        <v>16000</v>
      </c>
      <c r="K924" s="5" t="s">
        <v>18</v>
      </c>
      <c r="L924" s="40">
        <v>0.25</v>
      </c>
      <c r="O924" s="8" t="s">
        <v>18</v>
      </c>
      <c r="P924" s="4">
        <f>(C924+(E924*F924*H924))-N924</f>
        <v>0</v>
      </c>
      <c r="Q924" s="8" t="s">
        <v>18</v>
      </c>
      <c r="R924" s="9">
        <f>S924/1.11</f>
        <v>0</v>
      </c>
      <c r="S924" s="9">
        <f>P924*(J924-(J924*L924)-((J924-(J924*L924))*M924))</f>
        <v>0</v>
      </c>
    </row>
    <row r="926" spans="1:19" ht="15.75" x14ac:dyDescent="0.25">
      <c r="A926" s="29" t="s">
        <v>486</v>
      </c>
    </row>
    <row r="927" spans="1:19" x14ac:dyDescent="0.2">
      <c r="A927" s="30" t="s">
        <v>487</v>
      </c>
    </row>
    <row r="928" spans="1:19" x14ac:dyDescent="0.2">
      <c r="A928" s="2" t="s">
        <v>754</v>
      </c>
      <c r="B928" s="3" t="s">
        <v>17</v>
      </c>
      <c r="C928" s="4">
        <v>48</v>
      </c>
      <c r="D928" s="5" t="s">
        <v>32</v>
      </c>
      <c r="F928" s="7">
        <v>1</v>
      </c>
      <c r="G928" s="8" t="s">
        <v>19</v>
      </c>
      <c r="H928" s="7">
        <v>48</v>
      </c>
      <c r="I928" s="8" t="s">
        <v>32</v>
      </c>
      <c r="J928" s="9">
        <v>31200</v>
      </c>
      <c r="K928" s="5" t="s">
        <v>32</v>
      </c>
      <c r="L928" s="10">
        <v>0.125</v>
      </c>
      <c r="M928" s="10">
        <v>0.05</v>
      </c>
      <c r="O928" s="8" t="s">
        <v>32</v>
      </c>
      <c r="P928" s="4">
        <f>(C928+(E928*F928*H928))-N928</f>
        <v>48</v>
      </c>
      <c r="Q928" s="8" t="s">
        <v>32</v>
      </c>
      <c r="R928" s="9">
        <f>S928/1.11</f>
        <v>1121513.5135135134</v>
      </c>
      <c r="S928" s="9">
        <f>P928*(J928-(J928*L928)-((J928-(J928*L928))*M928))</f>
        <v>1244880</v>
      </c>
    </row>
    <row r="930" spans="1:19" x14ac:dyDescent="0.2">
      <c r="A930" s="12" t="s">
        <v>755</v>
      </c>
      <c r="B930" s="3" t="s">
        <v>24</v>
      </c>
      <c r="D930" s="5" t="s">
        <v>39</v>
      </c>
      <c r="F930" s="7">
        <v>1</v>
      </c>
      <c r="G930" s="8" t="s">
        <v>19</v>
      </c>
      <c r="H930" s="7">
        <v>48</v>
      </c>
      <c r="I930" s="8" t="s">
        <v>39</v>
      </c>
      <c r="J930" s="9">
        <f>1584000/48</f>
        <v>33000</v>
      </c>
      <c r="K930" s="5" t="s">
        <v>39</v>
      </c>
      <c r="M930" s="10">
        <v>0.17</v>
      </c>
      <c r="O930" s="8" t="s">
        <v>39</v>
      </c>
      <c r="P930" s="4">
        <f>(C930+(E930*F930*H930))-N930</f>
        <v>0</v>
      </c>
      <c r="Q930" s="8" t="s">
        <v>39</v>
      </c>
      <c r="R930" s="9">
        <f>S930/1.11</f>
        <v>0</v>
      </c>
      <c r="S930" s="9">
        <f>P930*(J930-(J930*L930)-((J930-(J930*L930))*M930))</f>
        <v>0</v>
      </c>
    </row>
    <row r="931" spans="1:19" x14ac:dyDescent="0.2">
      <c r="A931" s="12"/>
    </row>
    <row r="932" spans="1:19" x14ac:dyDescent="0.2">
      <c r="A932" s="12" t="s">
        <v>1005</v>
      </c>
      <c r="B932" s="3" t="s">
        <v>17</v>
      </c>
      <c r="D932" s="5" t="s">
        <v>32</v>
      </c>
      <c r="F932" s="7">
        <v>1</v>
      </c>
      <c r="G932" s="8" t="s">
        <v>19</v>
      </c>
      <c r="H932" s="7">
        <v>100</v>
      </c>
      <c r="I932" s="8" t="s">
        <v>32</v>
      </c>
      <c r="J932" s="9">
        <v>22000</v>
      </c>
      <c r="K932" s="5" t="s">
        <v>32</v>
      </c>
      <c r="L932" s="10">
        <v>0.125</v>
      </c>
      <c r="M932" s="10">
        <v>0.05</v>
      </c>
      <c r="O932" s="8" t="s">
        <v>32</v>
      </c>
      <c r="P932" s="4">
        <f>(C932+(E932*F932*H932))-N932</f>
        <v>0</v>
      </c>
      <c r="Q932" s="8" t="s">
        <v>32</v>
      </c>
      <c r="R932" s="9">
        <f>S932/1.11</f>
        <v>0</v>
      </c>
      <c r="S932" s="9">
        <f>P932*(J932-(J932*L932)-((J932-(J932*L932))*M932))</f>
        <v>0</v>
      </c>
    </row>
    <row r="934" spans="1:19" ht="15.75" x14ac:dyDescent="0.25">
      <c r="A934" s="29" t="s">
        <v>488</v>
      </c>
    </row>
    <row r="935" spans="1:19" x14ac:dyDescent="0.2">
      <c r="A935" s="2" t="s">
        <v>649</v>
      </c>
      <c r="B935" s="3" t="s">
        <v>17</v>
      </c>
      <c r="D935" s="5" t="s">
        <v>18</v>
      </c>
      <c r="F935" s="7">
        <v>10</v>
      </c>
      <c r="G935" s="8" t="s">
        <v>32</v>
      </c>
      <c r="H935" s="7">
        <v>12</v>
      </c>
      <c r="I935" s="8" t="s">
        <v>18</v>
      </c>
      <c r="J935" s="9">
        <v>11600</v>
      </c>
      <c r="K935" s="5" t="s">
        <v>18</v>
      </c>
      <c r="L935" s="10">
        <v>0.125</v>
      </c>
      <c r="M935" s="10">
        <v>0.05</v>
      </c>
      <c r="O935" s="8" t="s">
        <v>18</v>
      </c>
      <c r="P935" s="4">
        <f t="shared" ref="P935" si="321">(C935+(E935*F935*H935))-N935</f>
        <v>0</v>
      </c>
      <c r="Q935" s="8" t="s">
        <v>18</v>
      </c>
      <c r="R935" s="9">
        <f>S935/1.11</f>
        <v>0</v>
      </c>
      <c r="S935" s="9">
        <f t="shared" ref="S935" si="322">P935*(J935-(J935*L935)-((J935-(J935*L935))*M935))</f>
        <v>0</v>
      </c>
    </row>
    <row r="936" spans="1:19" x14ac:dyDescent="0.2">
      <c r="A936" s="2" t="s">
        <v>650</v>
      </c>
      <c r="B936" s="3" t="s">
        <v>17</v>
      </c>
      <c r="D936" s="5" t="s">
        <v>18</v>
      </c>
      <c r="F936" s="7">
        <v>10</v>
      </c>
      <c r="G936" s="8" t="s">
        <v>32</v>
      </c>
      <c r="H936" s="7">
        <v>12</v>
      </c>
      <c r="I936" s="8" t="s">
        <v>18</v>
      </c>
      <c r="J936" s="9">
        <v>12400</v>
      </c>
      <c r="K936" s="5" t="s">
        <v>18</v>
      </c>
      <c r="L936" s="10">
        <v>0.125</v>
      </c>
      <c r="M936" s="10">
        <v>0.05</v>
      </c>
      <c r="O936" s="8" t="s">
        <v>18</v>
      </c>
      <c r="P936" s="4">
        <f t="shared" ref="P936:P940" si="323">(C936+(E936*F936*H936))-N936</f>
        <v>0</v>
      </c>
      <c r="Q936" s="8" t="s">
        <v>18</v>
      </c>
      <c r="R936" s="9">
        <f>S936/1.11</f>
        <v>0</v>
      </c>
      <c r="S936" s="9">
        <f t="shared" ref="S936:S940" si="324">P936*(J936-(J936*L936)-((J936-(J936*L936))*M936))</f>
        <v>0</v>
      </c>
    </row>
    <row r="937" spans="1:19" x14ac:dyDescent="0.2">
      <c r="A937" s="2" t="s">
        <v>489</v>
      </c>
      <c r="B937" s="3" t="s">
        <v>17</v>
      </c>
      <c r="D937" s="5" t="s">
        <v>18</v>
      </c>
      <c r="F937" s="7">
        <v>10</v>
      </c>
      <c r="G937" s="8" t="s">
        <v>32</v>
      </c>
      <c r="H937" s="7">
        <v>12</v>
      </c>
      <c r="I937" s="8" t="s">
        <v>18</v>
      </c>
      <c r="J937" s="9">
        <v>12950</v>
      </c>
      <c r="K937" s="5" t="s">
        <v>18</v>
      </c>
      <c r="L937" s="10">
        <v>0.125</v>
      </c>
      <c r="M937" s="10">
        <v>0.05</v>
      </c>
      <c r="O937" s="8" t="s">
        <v>18</v>
      </c>
      <c r="P937" s="4">
        <f t="shared" si="323"/>
        <v>0</v>
      </c>
      <c r="Q937" s="8" t="s">
        <v>18</v>
      </c>
      <c r="R937" s="9">
        <f>S937/1.11</f>
        <v>0</v>
      </c>
      <c r="S937" s="9">
        <f t="shared" si="324"/>
        <v>0</v>
      </c>
    </row>
    <row r="938" spans="1:19" x14ac:dyDescent="0.2">
      <c r="A938" s="2" t="s">
        <v>490</v>
      </c>
      <c r="B938" s="3" t="s">
        <v>17</v>
      </c>
      <c r="D938" s="5" t="s">
        <v>18</v>
      </c>
      <c r="F938" s="7">
        <v>5</v>
      </c>
      <c r="G938" s="8" t="s">
        <v>32</v>
      </c>
      <c r="H938" s="7">
        <v>12</v>
      </c>
      <c r="I938" s="8" t="s">
        <v>18</v>
      </c>
      <c r="J938" s="9">
        <v>29500</v>
      </c>
      <c r="K938" s="5" t="s">
        <v>18</v>
      </c>
      <c r="L938" s="10">
        <v>0.125</v>
      </c>
      <c r="M938" s="10">
        <v>0.05</v>
      </c>
      <c r="O938" s="8" t="s">
        <v>18</v>
      </c>
      <c r="P938" s="4">
        <f t="shared" ref="P938" si="325">(C938+(E938*F938*H938))-N938</f>
        <v>0</v>
      </c>
      <c r="Q938" s="8" t="s">
        <v>18</v>
      </c>
      <c r="R938" s="9">
        <f>S938/1.11</f>
        <v>0</v>
      </c>
      <c r="S938" s="9">
        <f t="shared" ref="S938" si="326">P938*(J938-(J938*L938)-((J938-(J938*L938))*M938))</f>
        <v>0</v>
      </c>
    </row>
    <row r="939" spans="1:19" x14ac:dyDescent="0.2">
      <c r="A939" s="2" t="s">
        <v>491</v>
      </c>
      <c r="B939" s="3" t="s">
        <v>17</v>
      </c>
      <c r="D939" s="5" t="s">
        <v>18</v>
      </c>
      <c r="F939" s="7">
        <v>1</v>
      </c>
      <c r="G939" s="8" t="s">
        <v>19</v>
      </c>
      <c r="H939" s="7">
        <v>24</v>
      </c>
      <c r="I939" s="8" t="s">
        <v>18</v>
      </c>
      <c r="J939" s="9">
        <v>40000</v>
      </c>
      <c r="K939" s="5" t="s">
        <v>18</v>
      </c>
      <c r="L939" s="10">
        <v>0.125</v>
      </c>
      <c r="M939" s="10">
        <v>0.05</v>
      </c>
      <c r="O939" s="8" t="s">
        <v>18</v>
      </c>
      <c r="P939" s="4">
        <f t="shared" si="323"/>
        <v>0</v>
      </c>
      <c r="Q939" s="8" t="s">
        <v>18</v>
      </c>
      <c r="R939" s="9">
        <f>S939/1.11</f>
        <v>0</v>
      </c>
      <c r="S939" s="9">
        <f t="shared" si="324"/>
        <v>0</v>
      </c>
    </row>
    <row r="940" spans="1:19" x14ac:dyDescent="0.2">
      <c r="A940" s="2" t="s">
        <v>492</v>
      </c>
      <c r="B940" s="3" t="s">
        <v>17</v>
      </c>
      <c r="D940" s="5" t="s">
        <v>18</v>
      </c>
      <c r="F940" s="7">
        <v>1</v>
      </c>
      <c r="G940" s="8" t="s">
        <v>19</v>
      </c>
      <c r="H940" s="7">
        <v>24</v>
      </c>
      <c r="I940" s="8" t="s">
        <v>18</v>
      </c>
      <c r="J940" s="9">
        <v>45500</v>
      </c>
      <c r="K940" s="5" t="s">
        <v>18</v>
      </c>
      <c r="L940" s="10">
        <v>0.125</v>
      </c>
      <c r="M940" s="10">
        <v>0.05</v>
      </c>
      <c r="O940" s="8" t="s">
        <v>18</v>
      </c>
      <c r="P940" s="4">
        <f t="shared" si="323"/>
        <v>0</v>
      </c>
      <c r="Q940" s="8" t="s">
        <v>18</v>
      </c>
      <c r="R940" s="9">
        <f>S940/1.11</f>
        <v>0</v>
      </c>
      <c r="S940" s="9">
        <f t="shared" si="324"/>
        <v>0</v>
      </c>
    </row>
    <row r="942" spans="1:19" x14ac:dyDescent="0.2">
      <c r="A942" s="2" t="s">
        <v>493</v>
      </c>
      <c r="B942" s="3" t="s">
        <v>24</v>
      </c>
      <c r="D942" s="5" t="s">
        <v>18</v>
      </c>
      <c r="F942" s="7">
        <v>10</v>
      </c>
      <c r="G942" s="8" t="s">
        <v>39</v>
      </c>
      <c r="H942" s="7">
        <v>12</v>
      </c>
      <c r="I942" s="8" t="s">
        <v>18</v>
      </c>
      <c r="J942" s="9">
        <f>1500000/10/12</f>
        <v>12500</v>
      </c>
      <c r="K942" s="5" t="s">
        <v>18</v>
      </c>
      <c r="M942" s="10">
        <v>0.17</v>
      </c>
      <c r="O942" s="8" t="s">
        <v>18</v>
      </c>
      <c r="P942" s="4">
        <f t="shared" ref="P942:P950" si="327">(C942+(E942*F942*H942))-N942</f>
        <v>0</v>
      </c>
      <c r="Q942" s="8" t="s">
        <v>18</v>
      </c>
      <c r="R942" s="9">
        <f>S942/1.11</f>
        <v>0</v>
      </c>
      <c r="S942" s="9">
        <f t="shared" ref="S942:S950" si="328">P942*(J942-(J942*L942)-((J942-(J942*L942))*M942))</f>
        <v>0</v>
      </c>
    </row>
    <row r="943" spans="1:19" x14ac:dyDescent="0.2">
      <c r="A943" s="2" t="s">
        <v>494</v>
      </c>
      <c r="B943" s="3" t="s">
        <v>24</v>
      </c>
      <c r="D943" s="5" t="s">
        <v>39</v>
      </c>
      <c r="F943" s="7">
        <v>1</v>
      </c>
      <c r="G943" s="8" t="s">
        <v>19</v>
      </c>
      <c r="H943" s="7">
        <v>10</v>
      </c>
      <c r="I943" s="8" t="s">
        <v>39</v>
      </c>
      <c r="J943" s="9">
        <f>1560000/10</f>
        <v>156000</v>
      </c>
      <c r="K943" s="5" t="s">
        <v>39</v>
      </c>
      <c r="M943" s="10">
        <v>0.17</v>
      </c>
      <c r="O943" s="8" t="s">
        <v>39</v>
      </c>
      <c r="P943" s="4">
        <f t="shared" si="327"/>
        <v>0</v>
      </c>
      <c r="Q943" s="8" t="s">
        <v>39</v>
      </c>
      <c r="R943" s="9">
        <f>S943/1.11</f>
        <v>0</v>
      </c>
      <c r="S943" s="9">
        <f t="shared" si="328"/>
        <v>0</v>
      </c>
    </row>
    <row r="944" spans="1:19" x14ac:dyDescent="0.2">
      <c r="A944" s="2" t="s">
        <v>495</v>
      </c>
      <c r="B944" s="3" t="s">
        <v>24</v>
      </c>
      <c r="D944" s="5" t="s">
        <v>18</v>
      </c>
      <c r="F944" s="7">
        <v>10</v>
      </c>
      <c r="G944" s="8" t="s">
        <v>39</v>
      </c>
      <c r="H944" s="7">
        <v>12</v>
      </c>
      <c r="I944" s="8" t="s">
        <v>18</v>
      </c>
      <c r="J944" s="9">
        <f>13000</f>
        <v>13000</v>
      </c>
      <c r="K944" s="5" t="s">
        <v>18</v>
      </c>
      <c r="M944" s="10">
        <v>0.17</v>
      </c>
      <c r="O944" s="8" t="s">
        <v>18</v>
      </c>
      <c r="P944" s="4">
        <f t="shared" si="327"/>
        <v>0</v>
      </c>
      <c r="Q944" s="8" t="s">
        <v>18</v>
      </c>
      <c r="R944" s="9">
        <f>S944/1.11</f>
        <v>0</v>
      </c>
      <c r="S944" s="9">
        <f t="shared" si="328"/>
        <v>0</v>
      </c>
    </row>
    <row r="945" spans="1:19" x14ac:dyDescent="0.2">
      <c r="A945" s="2" t="s">
        <v>496</v>
      </c>
      <c r="B945" s="3" t="s">
        <v>24</v>
      </c>
      <c r="D945" s="5" t="s">
        <v>39</v>
      </c>
      <c r="F945" s="7">
        <v>4</v>
      </c>
      <c r="G945" s="8" t="s">
        <v>32</v>
      </c>
      <c r="H945" s="7">
        <v>2</v>
      </c>
      <c r="I945" s="8" t="s">
        <v>39</v>
      </c>
      <c r="J945" s="9">
        <f>1440000/4/2</f>
        <v>180000</v>
      </c>
      <c r="K945" s="5" t="s">
        <v>39</v>
      </c>
      <c r="M945" s="10">
        <v>0.17</v>
      </c>
      <c r="O945" s="8" t="s">
        <v>39</v>
      </c>
      <c r="P945" s="4">
        <f t="shared" si="327"/>
        <v>0</v>
      </c>
      <c r="Q945" s="8" t="s">
        <v>39</v>
      </c>
      <c r="R945" s="9">
        <f>S945/1.11</f>
        <v>0</v>
      </c>
      <c r="S945" s="9">
        <f t="shared" si="328"/>
        <v>0</v>
      </c>
    </row>
    <row r="946" spans="1:19" x14ac:dyDescent="0.2">
      <c r="A946" s="2" t="s">
        <v>497</v>
      </c>
      <c r="B946" s="3" t="s">
        <v>24</v>
      </c>
      <c r="D946" s="5" t="s">
        <v>39</v>
      </c>
      <c r="F946" s="7">
        <v>1</v>
      </c>
      <c r="G946" s="8" t="s">
        <v>19</v>
      </c>
      <c r="H946" s="7">
        <v>5</v>
      </c>
      <c r="I946" s="8" t="s">
        <v>39</v>
      </c>
      <c r="J946" s="9">
        <f>1410000/5</f>
        <v>282000</v>
      </c>
      <c r="K946" s="5" t="s">
        <v>18</v>
      </c>
      <c r="M946" s="10">
        <v>0.17</v>
      </c>
      <c r="O946" s="8" t="s">
        <v>39</v>
      </c>
      <c r="P946" s="4">
        <f t="shared" si="327"/>
        <v>0</v>
      </c>
      <c r="Q946" s="8" t="s">
        <v>39</v>
      </c>
      <c r="R946" s="9">
        <f>S946/1.11</f>
        <v>0</v>
      </c>
      <c r="S946" s="9">
        <f t="shared" si="328"/>
        <v>0</v>
      </c>
    </row>
    <row r="947" spans="1:19" x14ac:dyDescent="0.2">
      <c r="A947" s="2" t="s">
        <v>498</v>
      </c>
      <c r="B947" s="3" t="s">
        <v>24</v>
      </c>
      <c r="C947" s="4">
        <v>4</v>
      </c>
      <c r="D947" s="5" t="s">
        <v>39</v>
      </c>
      <c r="F947" s="7">
        <v>1</v>
      </c>
      <c r="G947" s="8" t="s">
        <v>19</v>
      </c>
      <c r="H947" s="7">
        <v>4</v>
      </c>
      <c r="I947" s="8" t="s">
        <v>39</v>
      </c>
      <c r="J947" s="9">
        <v>384000</v>
      </c>
      <c r="K947" s="5" t="s">
        <v>39</v>
      </c>
      <c r="M947" s="10">
        <v>0.17</v>
      </c>
      <c r="O947" s="8" t="s">
        <v>39</v>
      </c>
      <c r="P947" s="4">
        <f t="shared" ref="P947" si="329">(C947+(E947*F947*H947))-N947</f>
        <v>4</v>
      </c>
      <c r="Q947" s="8" t="s">
        <v>39</v>
      </c>
      <c r="R947" s="9">
        <f>S947/1.11</f>
        <v>1148540.5405405404</v>
      </c>
      <c r="S947" s="9">
        <f t="shared" ref="S947" si="330">P947*(J947-(J947*L947)-((J947-(J947*L947))*M947))</f>
        <v>1274880</v>
      </c>
    </row>
    <row r="948" spans="1:19" x14ac:dyDescent="0.2">
      <c r="A948" s="2" t="s">
        <v>499</v>
      </c>
      <c r="B948" s="3" t="s">
        <v>24</v>
      </c>
      <c r="D948" s="5" t="s">
        <v>18</v>
      </c>
      <c r="F948" s="7">
        <v>1</v>
      </c>
      <c r="G948" s="8" t="s">
        <v>19</v>
      </c>
      <c r="H948" s="7">
        <v>24</v>
      </c>
      <c r="I948" s="8" t="s">
        <v>18</v>
      </c>
      <c r="J948" s="9">
        <f>1164000/24</f>
        <v>48500</v>
      </c>
      <c r="K948" s="5" t="s">
        <v>18</v>
      </c>
      <c r="M948" s="10">
        <v>0.17</v>
      </c>
      <c r="O948" s="8" t="s">
        <v>18</v>
      </c>
      <c r="P948" s="4">
        <f t="shared" si="327"/>
        <v>0</v>
      </c>
      <c r="Q948" s="8" t="s">
        <v>18</v>
      </c>
      <c r="R948" s="9">
        <f>S948/1.11</f>
        <v>0</v>
      </c>
      <c r="S948" s="9">
        <f t="shared" si="328"/>
        <v>0</v>
      </c>
    </row>
    <row r="949" spans="1:19" x14ac:dyDescent="0.2">
      <c r="A949" s="2" t="s">
        <v>500</v>
      </c>
      <c r="B949" s="3" t="s">
        <v>24</v>
      </c>
      <c r="D949" s="5" t="s">
        <v>18</v>
      </c>
      <c r="F949" s="7">
        <v>1</v>
      </c>
      <c r="G949" s="8" t="s">
        <v>19</v>
      </c>
      <c r="H949" s="7">
        <v>24</v>
      </c>
      <c r="I949" s="8" t="s">
        <v>18</v>
      </c>
      <c r="J949" s="9">
        <f>1020000/24</f>
        <v>42500</v>
      </c>
      <c r="K949" s="5" t="s">
        <v>18</v>
      </c>
      <c r="M949" s="10">
        <v>0.17</v>
      </c>
      <c r="O949" s="8" t="s">
        <v>18</v>
      </c>
      <c r="P949" s="4">
        <f t="shared" si="327"/>
        <v>0</v>
      </c>
      <c r="Q949" s="8" t="s">
        <v>18</v>
      </c>
      <c r="R949" s="9">
        <f>S949/1.11</f>
        <v>0</v>
      </c>
      <c r="S949" s="9">
        <f t="shared" si="328"/>
        <v>0</v>
      </c>
    </row>
    <row r="950" spans="1:19" x14ac:dyDescent="0.2">
      <c r="A950" s="2" t="s">
        <v>501</v>
      </c>
      <c r="B950" s="3" t="s">
        <v>24</v>
      </c>
      <c r="D950" s="5" t="s">
        <v>18</v>
      </c>
      <c r="F950" s="7">
        <v>1</v>
      </c>
      <c r="G950" s="8" t="s">
        <v>19</v>
      </c>
      <c r="H950" s="7">
        <v>24</v>
      </c>
      <c r="I950" s="8" t="s">
        <v>18</v>
      </c>
      <c r="J950" s="9">
        <f>1416000/24</f>
        <v>59000</v>
      </c>
      <c r="K950" s="5" t="s">
        <v>18</v>
      </c>
      <c r="M950" s="10">
        <v>0.17</v>
      </c>
      <c r="O950" s="8" t="s">
        <v>18</v>
      </c>
      <c r="P950" s="4">
        <f t="shared" si="327"/>
        <v>0</v>
      </c>
      <c r="Q950" s="8" t="s">
        <v>18</v>
      </c>
      <c r="R950" s="9">
        <f>S950/1.11</f>
        <v>0</v>
      </c>
      <c r="S950" s="9">
        <f t="shared" si="328"/>
        <v>0</v>
      </c>
    </row>
    <row r="952" spans="1:19" ht="15.75" x14ac:dyDescent="0.25">
      <c r="A952" s="29" t="s">
        <v>970</v>
      </c>
    </row>
    <row r="953" spans="1:19" x14ac:dyDescent="0.2">
      <c r="A953" s="2" t="s">
        <v>971</v>
      </c>
      <c r="B953" s="3" t="s">
        <v>1027</v>
      </c>
      <c r="D953" s="5" t="s">
        <v>815</v>
      </c>
      <c r="F953" s="7">
        <v>1</v>
      </c>
      <c r="G953" s="8" t="s">
        <v>19</v>
      </c>
      <c r="H953" s="7">
        <v>180</v>
      </c>
      <c r="I953" s="8" t="s">
        <v>815</v>
      </c>
      <c r="J953" s="9">
        <v>7555</v>
      </c>
      <c r="K953" s="5" t="s">
        <v>815</v>
      </c>
      <c r="L953" s="10">
        <v>0.1</v>
      </c>
      <c r="M953" s="10">
        <v>0.1</v>
      </c>
      <c r="O953" s="8" t="s">
        <v>815</v>
      </c>
      <c r="P953" s="4">
        <f>(C953+(E953*F953*H953))-N953</f>
        <v>0</v>
      </c>
      <c r="Q953" s="8" t="s">
        <v>815</v>
      </c>
      <c r="R953" s="9">
        <f>S953/1.11</f>
        <v>0</v>
      </c>
      <c r="S953" s="9">
        <f>P953*(J953-(J953*L953)-((J953-(J953*L953))*M953))</f>
        <v>0</v>
      </c>
    </row>
    <row r="954" spans="1:19" x14ac:dyDescent="0.2">
      <c r="A954" s="2" t="s">
        <v>972</v>
      </c>
      <c r="B954" s="3" t="s">
        <v>1027</v>
      </c>
      <c r="D954" s="5" t="s">
        <v>815</v>
      </c>
      <c r="F954" s="7">
        <v>1</v>
      </c>
      <c r="G954" s="8" t="s">
        <v>19</v>
      </c>
      <c r="H954" s="7">
        <v>240</v>
      </c>
      <c r="I954" s="8" t="s">
        <v>815</v>
      </c>
      <c r="J954" s="9">
        <v>5485</v>
      </c>
      <c r="K954" s="5" t="s">
        <v>815</v>
      </c>
      <c r="L954" s="10">
        <v>0.1</v>
      </c>
      <c r="M954" s="10">
        <v>0.1</v>
      </c>
      <c r="O954" s="8" t="s">
        <v>815</v>
      </c>
      <c r="P954" s="4">
        <f>(C954+(E954*F954*H954))-N954</f>
        <v>0</v>
      </c>
      <c r="Q954" s="8" t="s">
        <v>815</v>
      </c>
      <c r="R954" s="9">
        <f>S954/1.11</f>
        <v>0</v>
      </c>
      <c r="S954" s="9">
        <f>P954*(J954-(J954*L954)-((J954-(J954*L954))*M954))</f>
        <v>0</v>
      </c>
    </row>
    <row r="956" spans="1:19" ht="15.75" x14ac:dyDescent="0.25">
      <c r="A956" s="29" t="s">
        <v>513</v>
      </c>
    </row>
    <row r="957" spans="1:19" x14ac:dyDescent="0.2">
      <c r="A957" s="2" t="s">
        <v>514</v>
      </c>
      <c r="B957" s="3" t="s">
        <v>17</v>
      </c>
      <c r="D957" s="5" t="s">
        <v>18</v>
      </c>
      <c r="F957" s="7">
        <v>72</v>
      </c>
      <c r="G957" s="8" t="s">
        <v>32</v>
      </c>
      <c r="H957" s="7">
        <v>10</v>
      </c>
      <c r="I957" s="8" t="s">
        <v>18</v>
      </c>
      <c r="J957" s="9">
        <v>3700</v>
      </c>
      <c r="K957" s="5" t="s">
        <v>18</v>
      </c>
      <c r="L957" s="10">
        <v>0.125</v>
      </c>
      <c r="M957" s="10">
        <v>0.05</v>
      </c>
      <c r="O957" s="8" t="s">
        <v>18</v>
      </c>
      <c r="P957" s="4">
        <f>(C957+(E957*F957*H957))-N957</f>
        <v>0</v>
      </c>
      <c r="Q957" s="8" t="s">
        <v>18</v>
      </c>
      <c r="R957" s="9">
        <f>S957/1.11</f>
        <v>0</v>
      </c>
      <c r="S957" s="9">
        <f>P957*(J957-(J957*L957)-((J957-(J957*L957))*M957))</f>
        <v>0</v>
      </c>
    </row>
    <row r="958" spans="1:19" x14ac:dyDescent="0.2">
      <c r="A958" s="2" t="s">
        <v>958</v>
      </c>
      <c r="B958" s="3" t="s">
        <v>17</v>
      </c>
      <c r="D958" s="5" t="s">
        <v>18</v>
      </c>
      <c r="F958" s="7">
        <v>72</v>
      </c>
      <c r="G958" s="8" t="s">
        <v>32</v>
      </c>
      <c r="H958" s="7">
        <v>10</v>
      </c>
      <c r="I958" s="8" t="s">
        <v>18</v>
      </c>
      <c r="J958" s="9">
        <v>3700</v>
      </c>
      <c r="K958" s="5" t="s">
        <v>18</v>
      </c>
      <c r="L958" s="10">
        <v>0.125</v>
      </c>
      <c r="M958" s="10">
        <v>0.05</v>
      </c>
      <c r="O958" s="8" t="s">
        <v>18</v>
      </c>
      <c r="P958" s="4">
        <f>(C958+(E958*F958*H958))-N958</f>
        <v>0</v>
      </c>
      <c r="Q958" s="8" t="s">
        <v>18</v>
      </c>
      <c r="R958" s="9">
        <f>S958/1.11</f>
        <v>0</v>
      </c>
      <c r="S958" s="9">
        <f>P958*(J958-(J958*L958)-((J958-(J958*L958))*M958))</f>
        <v>0</v>
      </c>
    </row>
    <row r="959" spans="1:19" x14ac:dyDescent="0.2">
      <c r="A959" s="2" t="s">
        <v>515</v>
      </c>
      <c r="B959" s="3" t="s">
        <v>17</v>
      </c>
      <c r="D959" s="5" t="s">
        <v>150</v>
      </c>
      <c r="F959" s="7">
        <v>12</v>
      </c>
      <c r="G959" s="8" t="s">
        <v>32</v>
      </c>
      <c r="H959" s="7">
        <v>24</v>
      </c>
      <c r="I959" s="8" t="s">
        <v>150</v>
      </c>
      <c r="J959" s="9">
        <v>16500</v>
      </c>
      <c r="K959" s="5" t="s">
        <v>150</v>
      </c>
      <c r="L959" s="10">
        <v>0.125</v>
      </c>
      <c r="M959" s="10">
        <v>0.05</v>
      </c>
      <c r="O959" s="8" t="s">
        <v>150</v>
      </c>
      <c r="P959" s="4">
        <f>(C959+(E959*F959*H959))-N959</f>
        <v>0</v>
      </c>
      <c r="Q959" s="8" t="s">
        <v>150</v>
      </c>
      <c r="R959" s="9">
        <f>S959/1.11</f>
        <v>0</v>
      </c>
      <c r="S959" s="9">
        <f>P959*(J959-(J959*L959)-((J959-(J959*L959))*M959))</f>
        <v>0</v>
      </c>
    </row>
    <row r="961" spans="1:19" x14ac:dyDescent="0.2">
      <c r="A961" s="2" t="s">
        <v>516</v>
      </c>
      <c r="B961" s="3" t="s">
        <v>24</v>
      </c>
      <c r="D961" s="5" t="s">
        <v>18</v>
      </c>
      <c r="F961" s="7">
        <v>48</v>
      </c>
      <c r="G961" s="8" t="s">
        <v>32</v>
      </c>
      <c r="H961" s="7">
        <v>10</v>
      </c>
      <c r="I961" s="8" t="s">
        <v>18</v>
      </c>
      <c r="J961" s="9">
        <f>30500/10</f>
        <v>3050</v>
      </c>
      <c r="K961" s="5" t="s">
        <v>18</v>
      </c>
      <c r="M961" s="10">
        <v>0.17</v>
      </c>
      <c r="O961" s="8" t="s">
        <v>18</v>
      </c>
      <c r="P961" s="4">
        <f>(C961+(E961*F961*H961))-N961</f>
        <v>0</v>
      </c>
      <c r="Q961" s="8" t="s">
        <v>18</v>
      </c>
      <c r="R961" s="9">
        <f>S961/1.11</f>
        <v>0</v>
      </c>
      <c r="S961" s="9">
        <f>P961*(J961-(J961*L961)-((J961-(J961*L961))*M961))</f>
        <v>0</v>
      </c>
    </row>
    <row r="962" spans="1:19" x14ac:dyDescent="0.2">
      <c r="A962" s="2" t="s">
        <v>517</v>
      </c>
      <c r="B962" s="3" t="s">
        <v>24</v>
      </c>
      <c r="C962" s="4">
        <v>1920</v>
      </c>
      <c r="D962" s="5" t="s">
        <v>18</v>
      </c>
      <c r="F962" s="7">
        <v>48</v>
      </c>
      <c r="G962" s="8" t="s">
        <v>32</v>
      </c>
      <c r="H962" s="7">
        <v>10</v>
      </c>
      <c r="I962" s="8" t="s">
        <v>18</v>
      </c>
      <c r="J962" s="9">
        <f>30500/10</f>
        <v>3050</v>
      </c>
      <c r="K962" s="5" t="s">
        <v>18</v>
      </c>
      <c r="M962" s="10">
        <v>0.17</v>
      </c>
      <c r="O962" s="8" t="s">
        <v>18</v>
      </c>
      <c r="P962" s="4">
        <f>(C962+(E962*F962*H962))-N962</f>
        <v>1920</v>
      </c>
      <c r="Q962" s="8" t="s">
        <v>18</v>
      </c>
      <c r="R962" s="9">
        <f>S962/1.11</f>
        <v>4378810.8108108109</v>
      </c>
      <c r="S962" s="9">
        <f>P962*(J962-(J962*L962)-((J962-(J962*L962))*M962))</f>
        <v>4860480</v>
      </c>
    </row>
    <row r="963" spans="1:19" x14ac:dyDescent="0.2">
      <c r="A963" s="2" t="s">
        <v>518</v>
      </c>
      <c r="B963" s="3" t="s">
        <v>24</v>
      </c>
      <c r="D963" s="5" t="s">
        <v>39</v>
      </c>
      <c r="F963" s="7">
        <v>12</v>
      </c>
      <c r="G963" s="8" t="s">
        <v>32</v>
      </c>
      <c r="H963" s="7">
        <v>12</v>
      </c>
      <c r="I963" s="8" t="s">
        <v>39</v>
      </c>
      <c r="J963" s="9">
        <v>25800</v>
      </c>
      <c r="K963" s="5" t="s">
        <v>39</v>
      </c>
      <c r="M963" s="10">
        <v>0.17</v>
      </c>
      <c r="O963" s="8" t="s">
        <v>39</v>
      </c>
      <c r="P963" s="4">
        <f>(C963+(E963*F963*H963))-N963</f>
        <v>0</v>
      </c>
      <c r="Q963" s="8" t="s">
        <v>39</v>
      </c>
      <c r="R963" s="9">
        <f>S963/1.11</f>
        <v>0</v>
      </c>
      <c r="S963" s="9">
        <f>P963*(J963-(J963*L963)-((J963-(J963*L963))*M963))</f>
        <v>0</v>
      </c>
    </row>
    <row r="964" spans="1:19" x14ac:dyDescent="0.2">
      <c r="A964" s="2" t="s">
        <v>923</v>
      </c>
      <c r="B964" s="3" t="s">
        <v>24</v>
      </c>
      <c r="C964" s="4">
        <v>960</v>
      </c>
      <c r="D964" s="5" t="s">
        <v>18</v>
      </c>
      <c r="F964" s="7">
        <v>48</v>
      </c>
      <c r="G964" s="8" t="s">
        <v>32</v>
      </c>
      <c r="H964" s="7">
        <v>10</v>
      </c>
      <c r="I964" s="8" t="s">
        <v>18</v>
      </c>
      <c r="J964" s="9">
        <v>2400</v>
      </c>
      <c r="K964" s="5" t="s">
        <v>18</v>
      </c>
      <c r="L964" s="10">
        <v>2.5000000000000001E-2</v>
      </c>
      <c r="M964" s="10">
        <v>0.17</v>
      </c>
      <c r="O964" s="8" t="s">
        <v>18</v>
      </c>
      <c r="P964" s="4">
        <f>(C964+(E964*F964*H964))-N964</f>
        <v>960</v>
      </c>
      <c r="Q964" s="8" t="s">
        <v>18</v>
      </c>
      <c r="R964" s="9">
        <f>S964/1.11</f>
        <v>1679740.5405405404</v>
      </c>
      <c r="S964" s="9">
        <f>P964*(J964-(J964*L964)-((J964-(J964*L964))*M964))</f>
        <v>1864512</v>
      </c>
    </row>
    <row r="966" spans="1:19" ht="13.5" customHeight="1" x14ac:dyDescent="0.2">
      <c r="A966" s="2" t="s">
        <v>519</v>
      </c>
      <c r="B966" s="3" t="s">
        <v>258</v>
      </c>
      <c r="D966" s="5" t="s">
        <v>97</v>
      </c>
      <c r="F966" s="7">
        <v>1</v>
      </c>
      <c r="G966" s="8" t="s">
        <v>19</v>
      </c>
      <c r="H966" s="7">
        <v>24</v>
      </c>
      <c r="I966" s="8" t="s">
        <v>97</v>
      </c>
      <c r="J966" s="9">
        <v>106000</v>
      </c>
      <c r="K966" s="5" t="s">
        <v>97</v>
      </c>
      <c r="O966" s="8" t="s">
        <v>97</v>
      </c>
      <c r="P966" s="4">
        <f>(C966+(E966*F966*H966))-N966</f>
        <v>0</v>
      </c>
      <c r="Q966" s="8" t="s">
        <v>97</v>
      </c>
      <c r="R966" s="9">
        <f>S966/1.11</f>
        <v>0</v>
      </c>
      <c r="S966" s="9">
        <f>P966*(J966-(J966*L966)-((J966-(J966*L966))*M966))</f>
        <v>0</v>
      </c>
    </row>
    <row r="967" spans="1:19" x14ac:dyDescent="0.2">
      <c r="A967" s="2" t="s">
        <v>854</v>
      </c>
      <c r="B967" s="3" t="s">
        <v>258</v>
      </c>
      <c r="D967" s="5" t="s">
        <v>97</v>
      </c>
      <c r="F967" s="7">
        <v>1</v>
      </c>
      <c r="G967" s="8" t="s">
        <v>19</v>
      </c>
      <c r="H967" s="7">
        <v>32</v>
      </c>
      <c r="I967" s="8" t="s">
        <v>97</v>
      </c>
      <c r="J967" s="9">
        <v>49500</v>
      </c>
      <c r="K967" s="5" t="s">
        <v>97</v>
      </c>
      <c r="O967" s="8" t="s">
        <v>97</v>
      </c>
      <c r="P967" s="4">
        <f>(C967+(E967*F967*H967))-N967</f>
        <v>0</v>
      </c>
      <c r="Q967" s="8" t="s">
        <v>97</v>
      </c>
      <c r="R967" s="9">
        <f>S967/1.11</f>
        <v>0</v>
      </c>
      <c r="S967" s="9">
        <f>P967*(J967-(J967*L967)-((J967-(J967*L967))*M967))</f>
        <v>0</v>
      </c>
    </row>
    <row r="969" spans="1:19" x14ac:dyDescent="0.2">
      <c r="A969" s="2" t="s">
        <v>520</v>
      </c>
      <c r="B969" s="3" t="s">
        <v>170</v>
      </c>
      <c r="D969" s="5" t="s">
        <v>39</v>
      </c>
      <c r="F969" s="7">
        <v>1</v>
      </c>
      <c r="G969" s="8" t="s">
        <v>19</v>
      </c>
      <c r="H969" s="7">
        <v>108</v>
      </c>
      <c r="I969" s="8" t="s">
        <v>39</v>
      </c>
      <c r="J969" s="9">
        <v>18000</v>
      </c>
      <c r="K969" s="5" t="s">
        <v>39</v>
      </c>
      <c r="L969" s="10">
        <v>0.05</v>
      </c>
      <c r="O969" s="8" t="s">
        <v>39</v>
      </c>
      <c r="P969" s="4">
        <f>(C969+(E969*F969*H969))-N969</f>
        <v>0</v>
      </c>
      <c r="Q969" s="8" t="s">
        <v>39</v>
      </c>
      <c r="R969" s="9">
        <f>S969/1.11</f>
        <v>0</v>
      </c>
      <c r="S969" s="9">
        <f>P969*(J969-(J969*L969)-((J969-(J969*L969))*M969))</f>
        <v>0</v>
      </c>
    </row>
    <row r="970" spans="1:19" x14ac:dyDescent="0.2">
      <c r="A970" s="2" t="s">
        <v>814</v>
      </c>
      <c r="B970" s="3" t="s">
        <v>170</v>
      </c>
      <c r="C970" s="4">
        <v>300</v>
      </c>
      <c r="D970" s="5" t="s">
        <v>39</v>
      </c>
      <c r="F970" s="7">
        <v>1</v>
      </c>
      <c r="G970" s="8" t="s">
        <v>19</v>
      </c>
      <c r="H970" s="7">
        <v>100</v>
      </c>
      <c r="I970" s="8" t="s">
        <v>39</v>
      </c>
      <c r="J970" s="9">
        <v>18000</v>
      </c>
      <c r="K970" s="5" t="s">
        <v>39</v>
      </c>
      <c r="L970" s="10">
        <v>7.0000000000000007E-2</v>
      </c>
      <c r="O970" s="8" t="s">
        <v>39</v>
      </c>
      <c r="P970" s="4">
        <f>(C970+(E970*F970*H970))-N970</f>
        <v>300</v>
      </c>
      <c r="Q970" s="8" t="s">
        <v>39</v>
      </c>
      <c r="R970" s="9">
        <f>S970/1.11</f>
        <v>4524324.3243243238</v>
      </c>
      <c r="S970" s="9">
        <f>P970*(J970-(J970*L970)-((J970-(J970*L970))*M970))</f>
        <v>5022000</v>
      </c>
    </row>
    <row r="971" spans="1:19" x14ac:dyDescent="0.2">
      <c r="A971" s="2" t="s">
        <v>987</v>
      </c>
      <c r="B971" s="3" t="s">
        <v>170</v>
      </c>
      <c r="D971" s="5" t="s">
        <v>39</v>
      </c>
      <c r="F971" s="7">
        <v>1</v>
      </c>
      <c r="G971" s="8" t="s">
        <v>19</v>
      </c>
      <c r="H971" s="7">
        <v>100</v>
      </c>
      <c r="I971" s="8" t="s">
        <v>39</v>
      </c>
      <c r="J971" s="9">
        <v>18500</v>
      </c>
      <c r="K971" s="5" t="s">
        <v>39</v>
      </c>
      <c r="L971" s="10">
        <v>7.0000000000000007E-2</v>
      </c>
      <c r="O971" s="8" t="s">
        <v>39</v>
      </c>
      <c r="P971" s="4">
        <f>(C971+(E971*F971*H971))-N971</f>
        <v>0</v>
      </c>
      <c r="Q971" s="8" t="s">
        <v>39</v>
      </c>
      <c r="R971" s="9">
        <f>S971/1.11</f>
        <v>0</v>
      </c>
      <c r="S971" s="9">
        <f>P971*(J971-(J971*L971)-((J971-(J971*L971))*M971))</f>
        <v>0</v>
      </c>
    </row>
    <row r="973" spans="1:19" x14ac:dyDescent="0.2">
      <c r="A973" s="2" t="s">
        <v>653</v>
      </c>
      <c r="B973" s="3" t="s">
        <v>587</v>
      </c>
      <c r="C973" s="4">
        <v>6000</v>
      </c>
      <c r="D973" s="5" t="s">
        <v>18</v>
      </c>
      <c r="F973" s="7">
        <v>1</v>
      </c>
      <c r="G973" s="8" t="s">
        <v>19</v>
      </c>
      <c r="H973" s="7">
        <v>600</v>
      </c>
      <c r="I973" s="8" t="s">
        <v>18</v>
      </c>
      <c r="J973" s="9">
        <v>2700</v>
      </c>
      <c r="K973" s="5" t="s">
        <v>18</v>
      </c>
      <c r="L973" s="10">
        <v>0.3</v>
      </c>
      <c r="O973" s="8" t="s">
        <v>18</v>
      </c>
      <c r="P973" s="4">
        <f>(C973+(E973*F973*H973))-N973</f>
        <v>6000</v>
      </c>
      <c r="Q973" s="8" t="s">
        <v>18</v>
      </c>
      <c r="R973" s="9">
        <f>S973/1.11</f>
        <v>10216216.216216216</v>
      </c>
      <c r="S973" s="9">
        <f>P973*(J973-(J973*L973)-((J973-(J973*L973))*M973))</f>
        <v>11340000</v>
      </c>
    </row>
    <row r="975" spans="1:19" s="65" customFormat="1" x14ac:dyDescent="0.2">
      <c r="A975" s="73" t="s">
        <v>1047</v>
      </c>
      <c r="B975" s="65" t="s">
        <v>180</v>
      </c>
      <c r="C975" s="66"/>
      <c r="D975" s="67" t="s">
        <v>150</v>
      </c>
      <c r="E975" s="68"/>
      <c r="F975" s="69">
        <v>1</v>
      </c>
      <c r="G975" s="70" t="s">
        <v>19</v>
      </c>
      <c r="H975" s="69">
        <v>12</v>
      </c>
      <c r="I975" s="70" t="s">
        <v>150</v>
      </c>
      <c r="J975" s="71">
        <v>25000</v>
      </c>
      <c r="K975" s="67" t="s">
        <v>39</v>
      </c>
      <c r="L975" s="72"/>
      <c r="M975" s="72"/>
      <c r="N975" s="69"/>
      <c r="O975" s="70" t="s">
        <v>39</v>
      </c>
      <c r="P975" s="66">
        <f t="shared" ref="P975:P976" si="331">(C975+(E975*F975*H975))-N975</f>
        <v>0</v>
      </c>
      <c r="Q975" s="70" t="s">
        <v>39</v>
      </c>
      <c r="R975" s="71">
        <f t="shared" ref="R975:R976" si="332">P975*(J975-(J975*L975)-((J975-(J975*L975))*M975))</f>
        <v>0</v>
      </c>
      <c r="S975" s="71">
        <f t="shared" ref="S975:S976" si="333">R975/1.11</f>
        <v>0</v>
      </c>
    </row>
    <row r="976" spans="1:19" s="65" customFormat="1" x14ac:dyDescent="0.2">
      <c r="A976" s="73" t="s">
        <v>1048</v>
      </c>
      <c r="B976" s="65" t="s">
        <v>180</v>
      </c>
      <c r="C976" s="66"/>
      <c r="D976" s="67" t="s">
        <v>150</v>
      </c>
      <c r="E976" s="68"/>
      <c r="F976" s="69">
        <v>1</v>
      </c>
      <c r="G976" s="70" t="s">
        <v>19</v>
      </c>
      <c r="H976" s="69">
        <v>12</v>
      </c>
      <c r="I976" s="70" t="s">
        <v>150</v>
      </c>
      <c r="J976" s="71">
        <v>120000</v>
      </c>
      <c r="K976" s="67" t="s">
        <v>39</v>
      </c>
      <c r="L976" s="72"/>
      <c r="M976" s="72"/>
      <c r="N976" s="69"/>
      <c r="O976" s="70" t="s">
        <v>39</v>
      </c>
      <c r="P976" s="66">
        <f t="shared" si="331"/>
        <v>0</v>
      </c>
      <c r="Q976" s="70" t="s">
        <v>39</v>
      </c>
      <c r="R976" s="71">
        <f t="shared" si="332"/>
        <v>0</v>
      </c>
      <c r="S976" s="71">
        <f t="shared" si="333"/>
        <v>0</v>
      </c>
    </row>
    <row r="977" spans="1:19" s="65" customFormat="1" x14ac:dyDescent="0.2">
      <c r="A977" s="73"/>
      <c r="C977" s="66"/>
      <c r="D977" s="67"/>
      <c r="E977" s="68"/>
      <c r="F977" s="69"/>
      <c r="G977" s="70"/>
      <c r="H977" s="69"/>
      <c r="I977" s="70"/>
      <c r="J977" s="71"/>
      <c r="K977" s="67"/>
      <c r="L977" s="72"/>
      <c r="M977" s="72"/>
      <c r="N977" s="69"/>
      <c r="O977" s="70"/>
      <c r="P977" s="66"/>
      <c r="Q977" s="70"/>
      <c r="R977" s="71"/>
      <c r="S977" s="71"/>
    </row>
    <row r="978" spans="1:19" ht="15.75" x14ac:dyDescent="0.25">
      <c r="A978" s="29" t="s">
        <v>521</v>
      </c>
    </row>
    <row r="979" spans="1:19" x14ac:dyDescent="0.2">
      <c r="A979" s="30" t="s">
        <v>522</v>
      </c>
    </row>
    <row r="980" spans="1:19" x14ac:dyDescent="0.2">
      <c r="A980" s="2" t="s">
        <v>523</v>
      </c>
      <c r="B980" s="3" t="s">
        <v>17</v>
      </c>
      <c r="D980" s="5" t="s">
        <v>18</v>
      </c>
      <c r="F980" s="7">
        <v>40</v>
      </c>
      <c r="G980" s="8" t="s">
        <v>97</v>
      </c>
      <c r="H980" s="7">
        <v>12</v>
      </c>
      <c r="I980" s="8" t="s">
        <v>18</v>
      </c>
      <c r="J980" s="9">
        <v>6700</v>
      </c>
      <c r="K980" s="5" t="s">
        <v>18</v>
      </c>
      <c r="L980" s="10">
        <v>0.125</v>
      </c>
      <c r="M980" s="10">
        <v>0.05</v>
      </c>
      <c r="O980" s="8" t="s">
        <v>18</v>
      </c>
      <c r="P980" s="4">
        <f>(C980+(E980*F980*H980))-N980</f>
        <v>0</v>
      </c>
      <c r="Q980" s="8" t="s">
        <v>18</v>
      </c>
      <c r="R980" s="9">
        <f>S980/1.11</f>
        <v>0</v>
      </c>
      <c r="S980" s="9">
        <f>P980*(J980-(J980*L980)-((J980-(J980*L980))*M980))</f>
        <v>0</v>
      </c>
    </row>
    <row r="981" spans="1:19" x14ac:dyDescent="0.2">
      <c r="A981" s="2" t="s">
        <v>853</v>
      </c>
      <c r="B981" s="3" t="s">
        <v>17</v>
      </c>
      <c r="D981" s="5" t="s">
        <v>18</v>
      </c>
      <c r="F981" s="7">
        <v>40</v>
      </c>
      <c r="G981" s="8" t="s">
        <v>97</v>
      </c>
      <c r="H981" s="7">
        <v>12</v>
      </c>
      <c r="I981" s="8" t="s">
        <v>18</v>
      </c>
      <c r="J981" s="9">
        <v>6600</v>
      </c>
      <c r="K981" s="5" t="s">
        <v>18</v>
      </c>
      <c r="L981" s="10">
        <v>0.125</v>
      </c>
      <c r="M981" s="10">
        <v>0.05</v>
      </c>
      <c r="O981" s="8" t="s">
        <v>18</v>
      </c>
      <c r="P981" s="4">
        <f>(C981+(E981*F981*H981))-N981</f>
        <v>0</v>
      </c>
      <c r="Q981" s="8" t="s">
        <v>18</v>
      </c>
      <c r="R981" s="9">
        <f>S981/1.11</f>
        <v>0</v>
      </c>
      <c r="S981" s="9">
        <f>P981*(J981-(J981*L981)-((J981-(J981*L981))*M981))</f>
        <v>0</v>
      </c>
    </row>
    <row r="982" spans="1:19" x14ac:dyDescent="0.2">
      <c r="A982" s="2" t="s">
        <v>524</v>
      </c>
      <c r="B982" s="3" t="s">
        <v>17</v>
      </c>
      <c r="D982" s="5" t="s">
        <v>18</v>
      </c>
      <c r="F982" s="7">
        <v>20</v>
      </c>
      <c r="G982" s="8" t="s">
        <v>97</v>
      </c>
      <c r="H982" s="7">
        <v>12</v>
      </c>
      <c r="I982" s="8" t="s">
        <v>18</v>
      </c>
      <c r="J982" s="9">
        <v>8600</v>
      </c>
      <c r="K982" s="5" t="s">
        <v>18</v>
      </c>
      <c r="L982" s="10">
        <v>0.125</v>
      </c>
      <c r="M982" s="10">
        <v>0.05</v>
      </c>
      <c r="O982" s="8" t="s">
        <v>18</v>
      </c>
      <c r="P982" s="4">
        <f>(C982+(E982*F982*H982))-N982</f>
        <v>0</v>
      </c>
      <c r="Q982" s="8" t="s">
        <v>18</v>
      </c>
      <c r="R982" s="9">
        <f>S982/1.11</f>
        <v>0</v>
      </c>
      <c r="S982" s="9">
        <f>P982*(J982-(J982*L982)-((J982-(J982*L982))*M982))</f>
        <v>0</v>
      </c>
    </row>
    <row r="984" spans="1:19" x14ac:dyDescent="0.2">
      <c r="A984" s="12" t="s">
        <v>525</v>
      </c>
      <c r="B984" s="3" t="s">
        <v>24</v>
      </c>
      <c r="D984" s="5" t="s">
        <v>39</v>
      </c>
      <c r="F984" s="7">
        <v>1</v>
      </c>
      <c r="G984" s="8" t="s">
        <v>19</v>
      </c>
      <c r="H984" s="7">
        <v>40</v>
      </c>
      <c r="I984" s="8" t="s">
        <v>39</v>
      </c>
      <c r="J984" s="9">
        <f>3096000/40</f>
        <v>77400</v>
      </c>
      <c r="K984" s="5" t="s">
        <v>39</v>
      </c>
      <c r="M984" s="10">
        <v>0.17</v>
      </c>
      <c r="O984" s="8" t="s">
        <v>39</v>
      </c>
      <c r="P984" s="4">
        <f t="shared" ref="P984:P989" si="334">(C984+(E984*F984*H984))-N984</f>
        <v>0</v>
      </c>
      <c r="Q984" s="8" t="s">
        <v>39</v>
      </c>
      <c r="R984" s="9">
        <f>S984/1.11</f>
        <v>0</v>
      </c>
      <c r="S984" s="9">
        <f t="shared" ref="S984:S989" si="335">P984*(J984-(J984*L984)-((J984-(J984*L984))*M984))</f>
        <v>0</v>
      </c>
    </row>
    <row r="985" spans="1:19" x14ac:dyDescent="0.2">
      <c r="A985" s="12" t="s">
        <v>526</v>
      </c>
      <c r="B985" s="3" t="s">
        <v>24</v>
      </c>
      <c r="D985" s="5" t="s">
        <v>39</v>
      </c>
      <c r="F985" s="7">
        <v>1</v>
      </c>
      <c r="G985" s="8" t="s">
        <v>19</v>
      </c>
      <c r="H985" s="7">
        <v>40</v>
      </c>
      <c r="I985" s="8" t="s">
        <v>39</v>
      </c>
      <c r="J985" s="9">
        <f>2976000/40</f>
        <v>74400</v>
      </c>
      <c r="K985" s="5" t="s">
        <v>39</v>
      </c>
      <c r="M985" s="10">
        <v>0.17</v>
      </c>
      <c r="O985" s="8" t="s">
        <v>39</v>
      </c>
      <c r="P985" s="4">
        <f t="shared" si="334"/>
        <v>0</v>
      </c>
      <c r="Q985" s="8" t="s">
        <v>39</v>
      </c>
      <c r="R985" s="9">
        <f>S985/1.11</f>
        <v>0</v>
      </c>
      <c r="S985" s="9">
        <f t="shared" si="335"/>
        <v>0</v>
      </c>
    </row>
    <row r="986" spans="1:19" x14ac:dyDescent="0.2">
      <c r="A986" s="12" t="s">
        <v>527</v>
      </c>
      <c r="B986" s="3" t="s">
        <v>24</v>
      </c>
      <c r="D986" s="5" t="s">
        <v>18</v>
      </c>
      <c r="F986" s="7">
        <v>1</v>
      </c>
      <c r="G986" s="8" t="s">
        <v>19</v>
      </c>
      <c r="H986" s="7">
        <v>20</v>
      </c>
      <c r="I986" s="8" t="s">
        <v>18</v>
      </c>
      <c r="J986" s="9">
        <v>90000</v>
      </c>
      <c r="K986" s="5" t="s">
        <v>18</v>
      </c>
      <c r="M986" s="10">
        <v>0.17</v>
      </c>
      <c r="O986" s="8" t="s">
        <v>18</v>
      </c>
      <c r="P986" s="4">
        <f t="shared" si="334"/>
        <v>0</v>
      </c>
      <c r="Q986" s="8" t="s">
        <v>18</v>
      </c>
      <c r="R986" s="9">
        <f>S986/1.11</f>
        <v>0</v>
      </c>
      <c r="S986" s="9">
        <f t="shared" si="335"/>
        <v>0</v>
      </c>
    </row>
    <row r="987" spans="1:19" x14ac:dyDescent="0.2">
      <c r="A987" s="12" t="s">
        <v>528</v>
      </c>
      <c r="B987" s="3" t="s">
        <v>24</v>
      </c>
      <c r="D987" s="5" t="s">
        <v>18</v>
      </c>
      <c r="F987" s="7">
        <v>1</v>
      </c>
      <c r="G987" s="8" t="s">
        <v>19</v>
      </c>
      <c r="H987" s="7">
        <v>20</v>
      </c>
      <c r="I987" s="8" t="s">
        <v>18</v>
      </c>
      <c r="J987" s="9">
        <v>87500</v>
      </c>
      <c r="K987" s="5" t="s">
        <v>18</v>
      </c>
      <c r="M987" s="10">
        <v>0.17</v>
      </c>
      <c r="O987" s="8" t="s">
        <v>18</v>
      </c>
      <c r="P987" s="4">
        <f t="shared" si="334"/>
        <v>0</v>
      </c>
      <c r="Q987" s="8" t="s">
        <v>18</v>
      </c>
      <c r="R987" s="9">
        <f>S987/1.11</f>
        <v>0</v>
      </c>
      <c r="S987" s="9">
        <f t="shared" si="335"/>
        <v>0</v>
      </c>
    </row>
    <row r="988" spans="1:19" x14ac:dyDescent="0.2">
      <c r="A988" s="12" t="s">
        <v>529</v>
      </c>
      <c r="B988" s="3" t="s">
        <v>24</v>
      </c>
      <c r="D988" s="5" t="s">
        <v>39</v>
      </c>
      <c r="F988" s="7">
        <v>1</v>
      </c>
      <c r="G988" s="8" t="s">
        <v>19</v>
      </c>
      <c r="H988" s="7">
        <v>40</v>
      </c>
      <c r="I988" s="8" t="s">
        <v>39</v>
      </c>
      <c r="J988" s="9">
        <f>3360000/40</f>
        <v>84000</v>
      </c>
      <c r="K988" s="5" t="s">
        <v>39</v>
      </c>
      <c r="M988" s="10">
        <v>0.17</v>
      </c>
      <c r="O988" s="8" t="s">
        <v>39</v>
      </c>
      <c r="P988" s="4">
        <f t="shared" si="334"/>
        <v>0</v>
      </c>
      <c r="Q988" s="8" t="s">
        <v>39</v>
      </c>
      <c r="R988" s="9">
        <f>S988/1.11</f>
        <v>0</v>
      </c>
      <c r="S988" s="9">
        <f t="shared" si="335"/>
        <v>0</v>
      </c>
    </row>
    <row r="989" spans="1:19" x14ac:dyDescent="0.2">
      <c r="A989" s="12" t="s">
        <v>530</v>
      </c>
      <c r="B989" s="3" t="s">
        <v>24</v>
      </c>
      <c r="D989" s="5" t="s">
        <v>39</v>
      </c>
      <c r="F989" s="7">
        <v>1</v>
      </c>
      <c r="G989" s="8" t="s">
        <v>19</v>
      </c>
      <c r="H989" s="7">
        <v>20</v>
      </c>
      <c r="I989" s="8" t="s">
        <v>39</v>
      </c>
      <c r="J989" s="9">
        <f>1992000/20</f>
        <v>99600</v>
      </c>
      <c r="K989" s="5" t="s">
        <v>39</v>
      </c>
      <c r="M989" s="10">
        <v>0.17</v>
      </c>
      <c r="O989" s="8" t="s">
        <v>39</v>
      </c>
      <c r="P989" s="4">
        <f t="shared" si="334"/>
        <v>0</v>
      </c>
      <c r="Q989" s="8" t="s">
        <v>39</v>
      </c>
      <c r="R989" s="9">
        <f>S989/1.11</f>
        <v>0</v>
      </c>
      <c r="S989" s="9">
        <f t="shared" si="335"/>
        <v>0</v>
      </c>
    </row>
    <row r="990" spans="1:19" x14ac:dyDescent="0.2">
      <c r="A990" s="12"/>
    </row>
    <row r="991" spans="1:19" x14ac:dyDescent="0.2">
      <c r="A991" s="30" t="s">
        <v>531</v>
      </c>
    </row>
    <row r="992" spans="1:19" x14ac:dyDescent="0.2">
      <c r="A992" s="2" t="s">
        <v>532</v>
      </c>
      <c r="B992" s="3" t="s">
        <v>17</v>
      </c>
      <c r="D992" s="5" t="s">
        <v>39</v>
      </c>
      <c r="F992" s="7">
        <v>18</v>
      </c>
      <c r="G992" s="8" t="s">
        <v>97</v>
      </c>
      <c r="H992" s="7">
        <v>1</v>
      </c>
      <c r="I992" s="8" t="s">
        <v>39</v>
      </c>
      <c r="J992" s="9">
        <f>4900*12</f>
        <v>58800</v>
      </c>
      <c r="K992" s="5" t="s">
        <v>39</v>
      </c>
      <c r="L992" s="10">
        <v>0.125</v>
      </c>
      <c r="M992" s="10">
        <v>0.05</v>
      </c>
      <c r="O992" s="8" t="s">
        <v>39</v>
      </c>
      <c r="P992" s="4">
        <f>(C992+(E992*F992*H992))-N992</f>
        <v>0</v>
      </c>
      <c r="Q992" s="8" t="s">
        <v>39</v>
      </c>
      <c r="R992" s="9">
        <f>S992/1.11</f>
        <v>0</v>
      </c>
      <c r="S992" s="9">
        <f>P992*(J992-(J992*L992)-((J992-(J992*L992))*M992))</f>
        <v>0</v>
      </c>
    </row>
    <row r="993" spans="1:19" x14ac:dyDescent="0.2">
      <c r="A993" s="2" t="s">
        <v>533</v>
      </c>
      <c r="B993" s="3" t="s">
        <v>17</v>
      </c>
      <c r="D993" s="5" t="s">
        <v>39</v>
      </c>
      <c r="F993" s="7">
        <v>24</v>
      </c>
      <c r="G993" s="8" t="s">
        <v>97</v>
      </c>
      <c r="H993" s="7">
        <v>2</v>
      </c>
      <c r="I993" s="8" t="s">
        <v>39</v>
      </c>
      <c r="J993" s="9">
        <v>56400</v>
      </c>
      <c r="K993" s="5" t="s">
        <v>39</v>
      </c>
      <c r="L993" s="10">
        <v>0.125</v>
      </c>
      <c r="M993" s="10">
        <v>0.05</v>
      </c>
      <c r="O993" s="8" t="s">
        <v>39</v>
      </c>
      <c r="P993" s="4">
        <f>(C993+(E993*F993*H993))-N993</f>
        <v>0</v>
      </c>
      <c r="Q993" s="8" t="s">
        <v>39</v>
      </c>
      <c r="R993" s="9">
        <f>S993/1.11</f>
        <v>0</v>
      </c>
      <c r="S993" s="9">
        <f>P993*(J993-(J993*L993)-((J993-(J993*L993))*M993))</f>
        <v>0</v>
      </c>
    </row>
    <row r="994" spans="1:19" x14ac:dyDescent="0.2">
      <c r="A994" s="2" t="s">
        <v>534</v>
      </c>
      <c r="B994" s="3" t="s">
        <v>17</v>
      </c>
      <c r="D994" s="5" t="s">
        <v>39</v>
      </c>
      <c r="F994" s="7">
        <v>18</v>
      </c>
      <c r="G994" s="8" t="s">
        <v>97</v>
      </c>
      <c r="H994" s="7">
        <v>1</v>
      </c>
      <c r="I994" s="8" t="s">
        <v>39</v>
      </c>
      <c r="J994" s="9">
        <v>69600</v>
      </c>
      <c r="K994" s="5" t="s">
        <v>39</v>
      </c>
      <c r="L994" s="10">
        <v>0.125</v>
      </c>
      <c r="M994" s="10">
        <v>0.05</v>
      </c>
      <c r="O994" s="8" t="s">
        <v>39</v>
      </c>
      <c r="P994" s="4">
        <f>(C994+(E994*F994*H994))-N994</f>
        <v>0</v>
      </c>
      <c r="Q994" s="8" t="s">
        <v>39</v>
      </c>
      <c r="R994" s="9">
        <f>S994/1.11</f>
        <v>0</v>
      </c>
      <c r="S994" s="9">
        <f>P994*(J994-(J994*L994)-((J994-(J994*L994))*M994))</f>
        <v>0</v>
      </c>
    </row>
    <row r="995" spans="1:19" x14ac:dyDescent="0.2">
      <c r="A995" s="2" t="s">
        <v>535</v>
      </c>
      <c r="B995" s="3" t="s">
        <v>17</v>
      </c>
      <c r="D995" s="5" t="s">
        <v>39</v>
      </c>
      <c r="F995" s="7">
        <v>24</v>
      </c>
      <c r="G995" s="8" t="s">
        <v>97</v>
      </c>
      <c r="H995" s="7">
        <v>6</v>
      </c>
      <c r="I995" s="8" t="s">
        <v>18</v>
      </c>
      <c r="J995" s="9">
        <v>12600</v>
      </c>
      <c r="K995" s="5" t="s">
        <v>18</v>
      </c>
      <c r="L995" s="10">
        <v>0.125</v>
      </c>
      <c r="M995" s="10">
        <v>0.05</v>
      </c>
      <c r="O995" s="8" t="s">
        <v>18</v>
      </c>
      <c r="P995" s="4">
        <f>(C995+(E995*F995*H995))-N995</f>
        <v>0</v>
      </c>
      <c r="Q995" s="8" t="s">
        <v>18</v>
      </c>
      <c r="R995" s="9">
        <f>S995/1.11</f>
        <v>0</v>
      </c>
      <c r="S995" s="9">
        <f>P995*(J995-(J995*L995)-((J995-(J995*L995))*M995))</f>
        <v>0</v>
      </c>
    </row>
    <row r="997" spans="1:19" x14ac:dyDescent="0.2">
      <c r="A997" s="2" t="s">
        <v>536</v>
      </c>
      <c r="B997" s="3" t="s">
        <v>24</v>
      </c>
      <c r="D997" s="5" t="s">
        <v>39</v>
      </c>
      <c r="F997" s="7">
        <v>1</v>
      </c>
      <c r="G997" s="8" t="s">
        <v>19</v>
      </c>
      <c r="H997" s="7">
        <v>18</v>
      </c>
      <c r="I997" s="8" t="s">
        <v>39</v>
      </c>
      <c r="J997" s="9">
        <f>1069200/18</f>
        <v>59400</v>
      </c>
      <c r="K997" s="5" t="s">
        <v>39</v>
      </c>
      <c r="M997" s="10">
        <v>0.17</v>
      </c>
      <c r="O997" s="8" t="s">
        <v>39</v>
      </c>
      <c r="P997" s="4">
        <f>(C997+(E997*F997*H997))-N997</f>
        <v>0</v>
      </c>
      <c r="Q997" s="8" t="s">
        <v>39</v>
      </c>
      <c r="R997" s="9">
        <f>S997/1.11</f>
        <v>0</v>
      </c>
      <c r="S997" s="9">
        <f>P997*(J997-(J997*L997)-((J997-(J997*L997))*M997))</f>
        <v>0</v>
      </c>
    </row>
    <row r="998" spans="1:19" x14ac:dyDescent="0.2">
      <c r="A998" s="2" t="s">
        <v>537</v>
      </c>
      <c r="B998" s="3" t="s">
        <v>24</v>
      </c>
      <c r="D998" s="5" t="s">
        <v>39</v>
      </c>
      <c r="F998" s="7">
        <v>1</v>
      </c>
      <c r="G998" s="8" t="s">
        <v>19</v>
      </c>
      <c r="H998" s="7">
        <v>18</v>
      </c>
      <c r="I998" s="8" t="s">
        <v>39</v>
      </c>
      <c r="J998" s="9">
        <f>1274400/18</f>
        <v>70800</v>
      </c>
      <c r="K998" s="5" t="s">
        <v>39</v>
      </c>
      <c r="M998" s="10">
        <v>0.17</v>
      </c>
      <c r="O998" s="8" t="s">
        <v>39</v>
      </c>
      <c r="P998" s="4">
        <f>(C998+(E998*F998*H998))-N998</f>
        <v>0</v>
      </c>
      <c r="Q998" s="8" t="s">
        <v>39</v>
      </c>
      <c r="R998" s="9">
        <f>S998/1.11</f>
        <v>0</v>
      </c>
      <c r="S998" s="9">
        <f>P998*(J998-(J998*L998)-((J998-(J998*L998))*M998))</f>
        <v>0</v>
      </c>
    </row>
    <row r="1000" spans="1:19" x14ac:dyDescent="0.2">
      <c r="A1000" s="30" t="s">
        <v>1028</v>
      </c>
    </row>
    <row r="1001" spans="1:19" x14ac:dyDescent="0.2">
      <c r="A1001" s="2" t="s">
        <v>905</v>
      </c>
      <c r="B1001" s="3" t="s">
        <v>180</v>
      </c>
      <c r="D1001" s="5" t="s">
        <v>39</v>
      </c>
      <c r="F1001" s="7">
        <v>1</v>
      </c>
      <c r="G1001" s="8" t="s">
        <v>19</v>
      </c>
      <c r="H1001" s="7">
        <v>12</v>
      </c>
      <c r="I1001" s="8" t="s">
        <v>39</v>
      </c>
      <c r="J1001" s="9">
        <v>52552.583333333336</v>
      </c>
      <c r="K1001" s="5" t="s">
        <v>39</v>
      </c>
      <c r="O1001" s="8" t="s">
        <v>39</v>
      </c>
      <c r="P1001" s="4">
        <f>(C1001+(E1001*F1001*H1001))-N1001</f>
        <v>0</v>
      </c>
      <c r="Q1001" s="8" t="s">
        <v>39</v>
      </c>
      <c r="R1001" s="9">
        <f>S1001/1.11</f>
        <v>0</v>
      </c>
      <c r="S1001" s="9">
        <f>P1001*(J1001-(J1001*L1001)-((J1001-(J1001*L1001))*M1001))</f>
        <v>0</v>
      </c>
    </row>
    <row r="1003" spans="1:19" x14ac:dyDescent="0.2">
      <c r="A1003" s="2" t="s">
        <v>977</v>
      </c>
      <c r="B1003" s="3" t="s">
        <v>17</v>
      </c>
      <c r="D1003" s="5" t="s">
        <v>39</v>
      </c>
      <c r="F1003" s="7">
        <v>1</v>
      </c>
      <c r="G1003" s="8" t="s">
        <v>19</v>
      </c>
      <c r="H1003" s="7">
        <v>12</v>
      </c>
      <c r="I1003" s="8" t="s">
        <v>39</v>
      </c>
      <c r="J1003" s="9">
        <v>60600</v>
      </c>
      <c r="K1003" s="5" t="s">
        <v>39</v>
      </c>
      <c r="L1003" s="10">
        <v>0.125</v>
      </c>
      <c r="M1003" s="10">
        <v>0.05</v>
      </c>
      <c r="O1003" s="8" t="s">
        <v>39</v>
      </c>
      <c r="P1003" s="4">
        <f>(C1003+(E1003*F1003*H1003))-N1003</f>
        <v>0</v>
      </c>
      <c r="Q1003" s="8" t="s">
        <v>39</v>
      </c>
      <c r="R1003" s="9">
        <f>S1003/1.11</f>
        <v>0</v>
      </c>
      <c r="S1003" s="9">
        <f>P1003*(J1003-(J1003*L1003)-((J1003-(J1003*L1003))*M1003))</f>
        <v>0</v>
      </c>
    </row>
    <row r="1005" spans="1:19" ht="15.75" x14ac:dyDescent="0.25">
      <c r="A1005" s="29" t="s">
        <v>538</v>
      </c>
    </row>
    <row r="1006" spans="1:19" x14ac:dyDescent="0.2">
      <c r="A1006" s="30" t="s">
        <v>539</v>
      </c>
    </row>
    <row r="1007" spans="1:19" x14ac:dyDescent="0.2">
      <c r="A1007" s="2" t="s">
        <v>693</v>
      </c>
      <c r="B1007" s="3" t="s">
        <v>17</v>
      </c>
      <c r="D1007" s="5" t="s">
        <v>18</v>
      </c>
      <c r="F1007" s="7">
        <v>1</v>
      </c>
      <c r="G1007" s="8" t="s">
        <v>19</v>
      </c>
      <c r="H1007" s="7">
        <v>72</v>
      </c>
      <c r="I1007" s="8" t="s">
        <v>18</v>
      </c>
      <c r="J1007" s="9">
        <v>34500</v>
      </c>
      <c r="K1007" s="5" t="s">
        <v>18</v>
      </c>
      <c r="L1007" s="10">
        <v>0.125</v>
      </c>
      <c r="M1007" s="10">
        <v>0.05</v>
      </c>
      <c r="O1007" s="8" t="s">
        <v>18</v>
      </c>
      <c r="P1007" s="4">
        <f>(C1007+(E1007*F1007*H1007))-N1007</f>
        <v>0</v>
      </c>
      <c r="Q1007" s="8" t="s">
        <v>18</v>
      </c>
      <c r="R1007" s="9">
        <f>S1007/1.11</f>
        <v>0</v>
      </c>
      <c r="S1007" s="9">
        <f>P1007*(J1007-(J1007*L1007)-((J1007-(J1007*L1007))*M1007))</f>
        <v>0</v>
      </c>
    </row>
    <row r="1008" spans="1:19" x14ac:dyDescent="0.2">
      <c r="A1008" s="2" t="s">
        <v>540</v>
      </c>
      <c r="B1008" s="3" t="s">
        <v>17</v>
      </c>
      <c r="D1008" s="5" t="s">
        <v>18</v>
      </c>
      <c r="F1008" s="7">
        <v>1</v>
      </c>
      <c r="G1008" s="8" t="s">
        <v>19</v>
      </c>
      <c r="H1008" s="7">
        <v>24</v>
      </c>
      <c r="I1008" s="8" t="s">
        <v>18</v>
      </c>
      <c r="J1008" s="9">
        <v>97000</v>
      </c>
      <c r="K1008" s="5" t="s">
        <v>18</v>
      </c>
      <c r="L1008" s="10">
        <v>0.125</v>
      </c>
      <c r="M1008" s="10">
        <v>0.05</v>
      </c>
      <c r="O1008" s="8" t="s">
        <v>18</v>
      </c>
      <c r="P1008" s="4">
        <f>(C1008+(E1008*F1008*H1008))-N1008</f>
        <v>0</v>
      </c>
      <c r="Q1008" s="8" t="s">
        <v>18</v>
      </c>
      <c r="R1008" s="9">
        <f>S1008/1.11</f>
        <v>0</v>
      </c>
      <c r="S1008" s="9">
        <f>P1008*(J1008-(J1008*L1008)-((J1008-(J1008*L1008))*M1008))</f>
        <v>0</v>
      </c>
    </row>
    <row r="1010" spans="1:19" x14ac:dyDescent="0.2">
      <c r="A1010" s="2" t="s">
        <v>541</v>
      </c>
      <c r="B1010" s="3" t="s">
        <v>24</v>
      </c>
      <c r="D1010" s="5" t="s">
        <v>39</v>
      </c>
      <c r="F1010" s="7">
        <v>1</v>
      </c>
      <c r="G1010" s="8" t="s">
        <v>19</v>
      </c>
      <c r="H1010" s="7">
        <v>48</v>
      </c>
      <c r="I1010" s="8" t="s">
        <v>18</v>
      </c>
      <c r="J1010" s="9">
        <f>2400000/48</f>
        <v>50000</v>
      </c>
      <c r="K1010" s="5" t="s">
        <v>18</v>
      </c>
      <c r="M1010" s="10">
        <v>0.17</v>
      </c>
      <c r="O1010" s="8" t="s">
        <v>18</v>
      </c>
      <c r="P1010" s="4">
        <f>(C1010+(E1010*F1010*H1010))-N1010</f>
        <v>0</v>
      </c>
      <c r="Q1010" s="8" t="s">
        <v>18</v>
      </c>
      <c r="R1010" s="9">
        <f>S1010/1.11</f>
        <v>0</v>
      </c>
      <c r="S1010" s="9">
        <f>P1010*(J1010-(J1010*L1010)-((J1010-(J1010*L1010))*M1010))</f>
        <v>0</v>
      </c>
    </row>
    <row r="1012" spans="1:19" x14ac:dyDescent="0.2">
      <c r="A1012" s="30" t="s">
        <v>542</v>
      </c>
    </row>
    <row r="1013" spans="1:19" x14ac:dyDescent="0.2">
      <c r="A1013" s="2" t="s">
        <v>543</v>
      </c>
      <c r="B1013" s="3" t="s">
        <v>17</v>
      </c>
      <c r="D1013" s="5" t="s">
        <v>39</v>
      </c>
      <c r="F1013" s="7">
        <v>1</v>
      </c>
      <c r="G1013" s="8" t="s">
        <v>19</v>
      </c>
      <c r="H1013" s="7">
        <v>20</v>
      </c>
      <c r="I1013" s="8" t="s">
        <v>39</v>
      </c>
      <c r="J1013" s="9">
        <v>85200</v>
      </c>
      <c r="K1013" s="5" t="s">
        <v>39</v>
      </c>
      <c r="L1013" s="10">
        <v>0.125</v>
      </c>
      <c r="M1013" s="10">
        <v>0.05</v>
      </c>
      <c r="O1013" s="8" t="s">
        <v>39</v>
      </c>
      <c r="P1013" s="4">
        <f t="shared" ref="P1013:P1027" si="336">(C1013+(E1013*F1013*H1013))-N1013</f>
        <v>0</v>
      </c>
      <c r="Q1013" s="8" t="s">
        <v>39</v>
      </c>
      <c r="R1013" s="9">
        <f>S1013/1.11</f>
        <v>0</v>
      </c>
      <c r="S1013" s="9">
        <f t="shared" ref="S1013:S1027" si="337">P1013*(J1013-(J1013*L1013)-((J1013-(J1013*L1013))*M1013))</f>
        <v>0</v>
      </c>
    </row>
    <row r="1014" spans="1:19" x14ac:dyDescent="0.2">
      <c r="A1014" s="2" t="s">
        <v>544</v>
      </c>
      <c r="B1014" s="3" t="s">
        <v>17</v>
      </c>
      <c r="D1014" s="5" t="s">
        <v>18</v>
      </c>
      <c r="F1014" s="7">
        <v>24</v>
      </c>
      <c r="G1014" s="8" t="s">
        <v>32</v>
      </c>
      <c r="H1014" s="7">
        <v>10</v>
      </c>
      <c r="I1014" s="8" t="s">
        <v>18</v>
      </c>
      <c r="J1014" s="9">
        <v>9750</v>
      </c>
      <c r="K1014" s="5" t="s">
        <v>18</v>
      </c>
      <c r="L1014" s="10">
        <v>0.125</v>
      </c>
      <c r="M1014" s="10">
        <v>0.05</v>
      </c>
      <c r="O1014" s="8" t="s">
        <v>18</v>
      </c>
      <c r="P1014" s="4">
        <f t="shared" si="336"/>
        <v>0</v>
      </c>
      <c r="Q1014" s="8" t="s">
        <v>18</v>
      </c>
      <c r="R1014" s="9">
        <f>S1014/1.11</f>
        <v>0</v>
      </c>
      <c r="S1014" s="9">
        <f t="shared" si="337"/>
        <v>0</v>
      </c>
    </row>
    <row r="1015" spans="1:19" x14ac:dyDescent="0.2">
      <c r="A1015" s="2" t="s">
        <v>545</v>
      </c>
      <c r="B1015" s="3" t="s">
        <v>17</v>
      </c>
      <c r="D1015" s="5" t="s">
        <v>39</v>
      </c>
      <c r="F1015" s="7">
        <v>1</v>
      </c>
      <c r="G1015" s="8" t="s">
        <v>19</v>
      </c>
      <c r="H1015" s="7">
        <v>25</v>
      </c>
      <c r="I1015" s="8" t="s">
        <v>39</v>
      </c>
      <c r="J1015" s="9">
        <v>70800</v>
      </c>
      <c r="K1015" s="5" t="s">
        <v>39</v>
      </c>
      <c r="L1015" s="10">
        <v>0.125</v>
      </c>
      <c r="M1015" s="10">
        <v>0.05</v>
      </c>
      <c r="O1015" s="8" t="s">
        <v>39</v>
      </c>
      <c r="P1015" s="4">
        <f t="shared" si="336"/>
        <v>0</v>
      </c>
      <c r="Q1015" s="8" t="s">
        <v>39</v>
      </c>
      <c r="R1015" s="9">
        <f>S1015/1.11</f>
        <v>0</v>
      </c>
      <c r="S1015" s="9">
        <f t="shared" si="337"/>
        <v>0</v>
      </c>
    </row>
    <row r="1016" spans="1:19" x14ac:dyDescent="0.2">
      <c r="A1016" s="2" t="s">
        <v>819</v>
      </c>
      <c r="B1016" s="3" t="s">
        <v>17</v>
      </c>
      <c r="D1016" s="5" t="s">
        <v>39</v>
      </c>
      <c r="F1016" s="7">
        <v>1</v>
      </c>
      <c r="G1016" s="8" t="s">
        <v>19</v>
      </c>
      <c r="H1016" s="7">
        <v>25</v>
      </c>
      <c r="I1016" s="8" t="s">
        <v>39</v>
      </c>
      <c r="J1016" s="9">
        <v>66600</v>
      </c>
      <c r="K1016" s="5" t="s">
        <v>39</v>
      </c>
      <c r="L1016" s="10">
        <v>0.125</v>
      </c>
      <c r="M1016" s="10">
        <v>0.05</v>
      </c>
      <c r="O1016" s="8" t="s">
        <v>39</v>
      </c>
      <c r="P1016" s="4">
        <f t="shared" ref="P1016:P1017" si="338">(C1016+(E1016*F1016*H1016))-N1016</f>
        <v>0</v>
      </c>
      <c r="Q1016" s="8" t="s">
        <v>39</v>
      </c>
      <c r="R1016" s="9">
        <f>S1016/1.11</f>
        <v>0</v>
      </c>
      <c r="S1016" s="9">
        <f t="shared" ref="S1016:S1017" si="339">P1016*(J1016-(J1016*L1016)-((J1016-(J1016*L1016))*M1016))</f>
        <v>0</v>
      </c>
    </row>
    <row r="1017" spans="1:19" x14ac:dyDescent="0.2">
      <c r="A1017" s="2" t="s">
        <v>546</v>
      </c>
      <c r="B1017" s="3" t="s">
        <v>17</v>
      </c>
      <c r="D1017" s="5" t="s">
        <v>39</v>
      </c>
      <c r="F1017" s="7">
        <v>20</v>
      </c>
      <c r="G1017" s="8" t="s">
        <v>32</v>
      </c>
      <c r="H1017" s="7">
        <v>1</v>
      </c>
      <c r="I1017" s="8" t="s">
        <v>39</v>
      </c>
      <c r="J1017" s="9">
        <v>84000</v>
      </c>
      <c r="K1017" s="5" t="s">
        <v>39</v>
      </c>
      <c r="L1017" s="10">
        <v>0.125</v>
      </c>
      <c r="M1017" s="10">
        <v>0.05</v>
      </c>
      <c r="O1017" s="8" t="s">
        <v>39</v>
      </c>
      <c r="P1017" s="4">
        <f t="shared" si="338"/>
        <v>0</v>
      </c>
      <c r="Q1017" s="8" t="s">
        <v>39</v>
      </c>
      <c r="R1017" s="9">
        <f>S1017/1.11</f>
        <v>0</v>
      </c>
      <c r="S1017" s="9">
        <f t="shared" si="339"/>
        <v>0</v>
      </c>
    </row>
    <row r="1018" spans="1:19" x14ac:dyDescent="0.2">
      <c r="A1018" s="2" t="s">
        <v>939</v>
      </c>
      <c r="B1018" s="3" t="s">
        <v>17</v>
      </c>
      <c r="D1018" s="5" t="s">
        <v>18</v>
      </c>
      <c r="F1018" s="7">
        <v>1</v>
      </c>
      <c r="G1018" s="8" t="s">
        <v>19</v>
      </c>
      <c r="H1018" s="7">
        <v>10</v>
      </c>
      <c r="I1018" s="8" t="s">
        <v>39</v>
      </c>
      <c r="J1018" s="9">
        <v>282000</v>
      </c>
      <c r="K1018" s="5" t="s">
        <v>39</v>
      </c>
      <c r="L1018" s="10">
        <v>0.125</v>
      </c>
      <c r="M1018" s="10">
        <v>0.05</v>
      </c>
      <c r="O1018" s="8" t="s">
        <v>39</v>
      </c>
      <c r="P1018" s="4">
        <f t="shared" ref="P1018" si="340">(C1018+(E1018*F1018*H1018))-N1018</f>
        <v>0</v>
      </c>
      <c r="Q1018" s="8" t="s">
        <v>39</v>
      </c>
      <c r="R1018" s="9">
        <f>S1018/1.11</f>
        <v>0</v>
      </c>
      <c r="S1018" s="9">
        <f t="shared" ref="S1018" si="341">P1018*(J1018-(J1018*L1018)-((J1018-(J1018*L1018))*M1018))</f>
        <v>0</v>
      </c>
    </row>
    <row r="1019" spans="1:19" x14ac:dyDescent="0.2">
      <c r="A1019" s="2" t="s">
        <v>547</v>
      </c>
      <c r="B1019" s="3" t="s">
        <v>17</v>
      </c>
      <c r="D1019" s="5" t="s">
        <v>18</v>
      </c>
      <c r="F1019" s="7">
        <v>20</v>
      </c>
      <c r="G1019" s="8" t="s">
        <v>32</v>
      </c>
      <c r="H1019" s="7">
        <v>6</v>
      </c>
      <c r="I1019" s="8" t="s">
        <v>18</v>
      </c>
      <c r="J1019" s="9">
        <v>18700</v>
      </c>
      <c r="K1019" s="5" t="s">
        <v>18</v>
      </c>
      <c r="L1019" s="10">
        <v>0.125</v>
      </c>
      <c r="M1019" s="10">
        <v>0.05</v>
      </c>
      <c r="O1019" s="8" t="s">
        <v>18</v>
      </c>
      <c r="P1019" s="4">
        <f t="shared" si="336"/>
        <v>0</v>
      </c>
      <c r="Q1019" s="8" t="s">
        <v>18</v>
      </c>
      <c r="R1019" s="9">
        <f>S1019/1.11</f>
        <v>0</v>
      </c>
      <c r="S1019" s="9">
        <f t="shared" si="337"/>
        <v>0</v>
      </c>
    </row>
    <row r="1020" spans="1:19" x14ac:dyDescent="0.2">
      <c r="A1020" s="2" t="s">
        <v>548</v>
      </c>
      <c r="B1020" s="3" t="s">
        <v>17</v>
      </c>
      <c r="D1020" s="5" t="s">
        <v>18</v>
      </c>
      <c r="F1020" s="7">
        <v>20</v>
      </c>
      <c r="G1020" s="8" t="s">
        <v>32</v>
      </c>
      <c r="H1020" s="7">
        <v>6</v>
      </c>
      <c r="I1020" s="8" t="s">
        <v>18</v>
      </c>
      <c r="J1020" s="9">
        <v>18000</v>
      </c>
      <c r="K1020" s="5" t="s">
        <v>18</v>
      </c>
      <c r="L1020" s="10">
        <v>0.125</v>
      </c>
      <c r="M1020" s="10">
        <v>0.05</v>
      </c>
      <c r="O1020" s="8" t="s">
        <v>18</v>
      </c>
      <c r="P1020" s="4">
        <f t="shared" si="336"/>
        <v>0</v>
      </c>
      <c r="Q1020" s="8" t="s">
        <v>18</v>
      </c>
      <c r="R1020" s="9">
        <f>S1020/1.11</f>
        <v>0</v>
      </c>
      <c r="S1020" s="9">
        <f t="shared" si="337"/>
        <v>0</v>
      </c>
    </row>
    <row r="1021" spans="1:19" x14ac:dyDescent="0.2">
      <c r="A1021" s="2" t="s">
        <v>549</v>
      </c>
      <c r="B1021" s="3" t="s">
        <v>17</v>
      </c>
      <c r="D1021" s="5" t="s">
        <v>18</v>
      </c>
      <c r="F1021" s="7">
        <v>1</v>
      </c>
      <c r="G1021" s="8" t="s">
        <v>19</v>
      </c>
      <c r="H1021" s="7">
        <v>12</v>
      </c>
      <c r="I1021" s="8" t="s">
        <v>18</v>
      </c>
      <c r="J1021" s="9">
        <v>162000</v>
      </c>
      <c r="K1021" s="5" t="s">
        <v>18</v>
      </c>
      <c r="L1021" s="10">
        <v>0.125</v>
      </c>
      <c r="M1021" s="10">
        <v>0.05</v>
      </c>
      <c r="O1021" s="8" t="s">
        <v>18</v>
      </c>
      <c r="P1021" s="4">
        <f t="shared" si="336"/>
        <v>0</v>
      </c>
      <c r="Q1021" s="8" t="s">
        <v>18</v>
      </c>
      <c r="R1021" s="9">
        <f>S1021/1.11</f>
        <v>0</v>
      </c>
      <c r="S1021" s="9">
        <f t="shared" si="337"/>
        <v>0</v>
      </c>
    </row>
    <row r="1022" spans="1:19" x14ac:dyDescent="0.2">
      <c r="A1022" s="2" t="s">
        <v>745</v>
      </c>
      <c r="B1022" s="3" t="s">
        <v>17</v>
      </c>
      <c r="D1022" s="5" t="s">
        <v>18</v>
      </c>
      <c r="F1022" s="7">
        <v>1</v>
      </c>
      <c r="G1022" s="8" t="s">
        <v>19</v>
      </c>
      <c r="H1022" s="7">
        <v>12</v>
      </c>
      <c r="I1022" s="8" t="s">
        <v>18</v>
      </c>
      <c r="J1022" s="9">
        <v>208000</v>
      </c>
      <c r="K1022" s="5" t="s">
        <v>18</v>
      </c>
      <c r="L1022" s="10">
        <v>0.125</v>
      </c>
      <c r="M1022" s="10">
        <v>0.05</v>
      </c>
      <c r="O1022" s="8" t="s">
        <v>18</v>
      </c>
      <c r="P1022" s="4">
        <f t="shared" ref="P1022" si="342">(C1022+(E1022*F1022*H1022))-N1022</f>
        <v>0</v>
      </c>
      <c r="Q1022" s="8" t="s">
        <v>18</v>
      </c>
      <c r="R1022" s="9">
        <f>S1022/1.11</f>
        <v>0</v>
      </c>
      <c r="S1022" s="9">
        <f t="shared" ref="S1022" si="343">P1022*(J1022-(J1022*L1022)-((J1022-(J1022*L1022))*M1022))</f>
        <v>0</v>
      </c>
    </row>
    <row r="1023" spans="1:19" x14ac:dyDescent="0.2">
      <c r="A1023" s="2" t="s">
        <v>550</v>
      </c>
      <c r="B1023" s="3" t="s">
        <v>17</v>
      </c>
      <c r="D1023" s="5" t="s">
        <v>18</v>
      </c>
      <c r="F1023" s="7">
        <v>1</v>
      </c>
      <c r="G1023" s="8" t="s">
        <v>19</v>
      </c>
      <c r="H1023" s="7">
        <v>36</v>
      </c>
      <c r="I1023" s="8" t="s">
        <v>18</v>
      </c>
      <c r="J1023" s="9">
        <v>58000</v>
      </c>
      <c r="K1023" s="5" t="s">
        <v>18</v>
      </c>
      <c r="L1023" s="10">
        <v>0.125</v>
      </c>
      <c r="M1023" s="10">
        <v>0.05</v>
      </c>
      <c r="O1023" s="8" t="s">
        <v>18</v>
      </c>
      <c r="P1023" s="4">
        <f t="shared" si="336"/>
        <v>0</v>
      </c>
      <c r="Q1023" s="8" t="s">
        <v>18</v>
      </c>
      <c r="R1023" s="9">
        <f>S1023/1.11</f>
        <v>0</v>
      </c>
      <c r="S1023" s="9">
        <f t="shared" si="337"/>
        <v>0</v>
      </c>
    </row>
    <row r="1024" spans="1:19" x14ac:dyDescent="0.2">
      <c r="A1024" s="2" t="s">
        <v>551</v>
      </c>
      <c r="B1024" s="3" t="s">
        <v>17</v>
      </c>
      <c r="D1024" s="5" t="s">
        <v>18</v>
      </c>
      <c r="F1024" s="7">
        <v>1</v>
      </c>
      <c r="G1024" s="8" t="s">
        <v>19</v>
      </c>
      <c r="H1024" s="7">
        <v>12</v>
      </c>
      <c r="I1024" s="8" t="s">
        <v>18</v>
      </c>
      <c r="J1024" s="9">
        <v>97000</v>
      </c>
      <c r="K1024" s="5" t="s">
        <v>18</v>
      </c>
      <c r="L1024" s="10">
        <v>0.125</v>
      </c>
      <c r="M1024" s="10">
        <v>0.05</v>
      </c>
      <c r="O1024" s="8" t="s">
        <v>18</v>
      </c>
      <c r="P1024" s="4">
        <f t="shared" si="336"/>
        <v>0</v>
      </c>
      <c r="Q1024" s="8" t="s">
        <v>18</v>
      </c>
      <c r="R1024" s="9">
        <f>S1024/1.11</f>
        <v>0</v>
      </c>
      <c r="S1024" s="9">
        <f t="shared" si="337"/>
        <v>0</v>
      </c>
    </row>
    <row r="1025" spans="1:19" x14ac:dyDescent="0.2">
      <c r="A1025" s="2" t="s">
        <v>552</v>
      </c>
      <c r="B1025" s="3" t="s">
        <v>17</v>
      </c>
      <c r="D1025" s="5" t="s">
        <v>18</v>
      </c>
      <c r="F1025" s="7">
        <v>1</v>
      </c>
      <c r="G1025" s="8" t="s">
        <v>19</v>
      </c>
      <c r="H1025" s="7">
        <v>12</v>
      </c>
      <c r="I1025" s="8" t="s">
        <v>18</v>
      </c>
      <c r="J1025" s="9">
        <v>97000</v>
      </c>
      <c r="K1025" s="5" t="s">
        <v>18</v>
      </c>
      <c r="L1025" s="10">
        <v>0.125</v>
      </c>
      <c r="M1025" s="10">
        <v>0.05</v>
      </c>
      <c r="O1025" s="8" t="s">
        <v>18</v>
      </c>
      <c r="P1025" s="4">
        <f t="shared" si="336"/>
        <v>0</v>
      </c>
      <c r="Q1025" s="8" t="s">
        <v>18</v>
      </c>
      <c r="R1025" s="9">
        <f>S1025/1.11</f>
        <v>0</v>
      </c>
      <c r="S1025" s="9">
        <f t="shared" si="337"/>
        <v>0</v>
      </c>
    </row>
    <row r="1026" spans="1:19" x14ac:dyDescent="0.2">
      <c r="A1026" s="2" t="s">
        <v>553</v>
      </c>
      <c r="B1026" s="3" t="s">
        <v>17</v>
      </c>
      <c r="D1026" s="5" t="s">
        <v>18</v>
      </c>
      <c r="F1026" s="7">
        <v>1</v>
      </c>
      <c r="G1026" s="8" t="s">
        <v>19</v>
      </c>
      <c r="H1026" s="7">
        <v>6</v>
      </c>
      <c r="I1026" s="8" t="s">
        <v>18</v>
      </c>
      <c r="J1026" s="9">
        <v>187000</v>
      </c>
      <c r="K1026" s="5" t="s">
        <v>18</v>
      </c>
      <c r="L1026" s="10">
        <v>0.125</v>
      </c>
      <c r="M1026" s="10">
        <v>0.05</v>
      </c>
      <c r="O1026" s="8" t="s">
        <v>18</v>
      </c>
      <c r="P1026" s="4">
        <f t="shared" si="336"/>
        <v>0</v>
      </c>
      <c r="Q1026" s="8" t="s">
        <v>18</v>
      </c>
      <c r="R1026" s="9">
        <f>S1026/1.11</f>
        <v>0</v>
      </c>
      <c r="S1026" s="9">
        <f t="shared" si="337"/>
        <v>0</v>
      </c>
    </row>
    <row r="1027" spans="1:19" x14ac:dyDescent="0.2">
      <c r="A1027" s="2" t="s">
        <v>554</v>
      </c>
      <c r="B1027" s="3" t="s">
        <v>17</v>
      </c>
      <c r="C1027" s="4">
        <v>6</v>
      </c>
      <c r="D1027" s="5" t="s">
        <v>18</v>
      </c>
      <c r="F1027" s="7">
        <v>1</v>
      </c>
      <c r="G1027" s="8" t="s">
        <v>19</v>
      </c>
      <c r="H1027" s="7">
        <v>6</v>
      </c>
      <c r="I1027" s="8" t="s">
        <v>18</v>
      </c>
      <c r="J1027" s="9">
        <v>420000</v>
      </c>
      <c r="K1027" s="5" t="s">
        <v>18</v>
      </c>
      <c r="L1027" s="10">
        <v>0.125</v>
      </c>
      <c r="M1027" s="10">
        <v>0.05</v>
      </c>
      <c r="O1027" s="8" t="s">
        <v>18</v>
      </c>
      <c r="P1027" s="4">
        <f t="shared" si="336"/>
        <v>6</v>
      </c>
      <c r="Q1027" s="8" t="s">
        <v>18</v>
      </c>
      <c r="R1027" s="9">
        <f>S1027/1.11</f>
        <v>1887162.1621621619</v>
      </c>
      <c r="S1027" s="9">
        <f t="shared" si="337"/>
        <v>2094750</v>
      </c>
    </row>
    <row r="1029" spans="1:19" x14ac:dyDescent="0.2">
      <c r="A1029" s="2" t="s">
        <v>555</v>
      </c>
      <c r="B1029" s="3" t="s">
        <v>24</v>
      </c>
      <c r="C1029" s="4">
        <v>1660</v>
      </c>
      <c r="D1029" s="5" t="s">
        <v>39</v>
      </c>
      <c r="F1029" s="7">
        <v>1</v>
      </c>
      <c r="G1029" s="8" t="s">
        <v>19</v>
      </c>
      <c r="H1029" s="7">
        <v>20</v>
      </c>
      <c r="I1029" s="8" t="s">
        <v>39</v>
      </c>
      <c r="J1029" s="9">
        <f>1860000/20</f>
        <v>93000</v>
      </c>
      <c r="K1029" s="5" t="s">
        <v>39</v>
      </c>
      <c r="L1029" s="10">
        <v>0.03</v>
      </c>
      <c r="M1029" s="10">
        <v>0.17</v>
      </c>
      <c r="O1029" s="8" t="s">
        <v>39</v>
      </c>
      <c r="P1029" s="4">
        <f t="shared" ref="P1029" si="344">(C1029+(E1029*F1029*H1029))-N1029</f>
        <v>1660</v>
      </c>
      <c r="Q1029" s="8" t="s">
        <v>39</v>
      </c>
      <c r="R1029" s="9">
        <f>S1029/1.11</f>
        <v>111974178.37837836</v>
      </c>
      <c r="S1029" s="9">
        <f t="shared" ref="S1029" si="345">P1029*(J1029-(J1029*L1029)-((J1029-(J1029*L1029))*M1029))</f>
        <v>124291338</v>
      </c>
    </row>
    <row r="1030" spans="1:19" x14ac:dyDescent="0.2">
      <c r="A1030" s="2" t="s">
        <v>556</v>
      </c>
      <c r="B1030" s="3" t="s">
        <v>24</v>
      </c>
      <c r="D1030" s="5" t="s">
        <v>39</v>
      </c>
      <c r="F1030" s="7">
        <v>1</v>
      </c>
      <c r="G1030" s="8" t="s">
        <v>19</v>
      </c>
      <c r="H1030" s="7">
        <v>20</v>
      </c>
      <c r="I1030" s="8" t="s">
        <v>39</v>
      </c>
      <c r="J1030" s="9">
        <f>1740000/20</f>
        <v>87000</v>
      </c>
      <c r="K1030" s="5" t="s">
        <v>39</v>
      </c>
      <c r="M1030" s="10">
        <v>0.17</v>
      </c>
      <c r="O1030" s="8" t="s">
        <v>39</v>
      </c>
      <c r="P1030" s="4">
        <f t="shared" ref="P1030:P1047" si="346">(C1030+(E1030*F1030*H1030))-N1030</f>
        <v>0</v>
      </c>
      <c r="Q1030" s="8" t="s">
        <v>39</v>
      </c>
      <c r="R1030" s="9">
        <f>S1030/1.11</f>
        <v>0</v>
      </c>
      <c r="S1030" s="9">
        <f t="shared" ref="S1030:S1047" si="347">P1030*(J1030-(J1030*L1030)-((J1030-(J1030*L1030))*M1030))</f>
        <v>0</v>
      </c>
    </row>
    <row r="1031" spans="1:19" x14ac:dyDescent="0.2">
      <c r="A1031" s="2" t="s">
        <v>557</v>
      </c>
      <c r="B1031" s="3" t="s">
        <v>24</v>
      </c>
      <c r="D1031" s="5" t="s">
        <v>39</v>
      </c>
      <c r="F1031" s="7">
        <v>1</v>
      </c>
      <c r="G1031" s="8" t="s">
        <v>19</v>
      </c>
      <c r="H1031" s="7">
        <v>20</v>
      </c>
      <c r="I1031" s="8" t="s">
        <v>39</v>
      </c>
      <c r="J1031" s="9">
        <f>1740000/20</f>
        <v>87000</v>
      </c>
      <c r="K1031" s="5" t="s">
        <v>39</v>
      </c>
      <c r="M1031" s="10">
        <v>0.17</v>
      </c>
      <c r="O1031" s="8" t="s">
        <v>39</v>
      </c>
      <c r="P1031" s="4">
        <f t="shared" si="346"/>
        <v>0</v>
      </c>
      <c r="Q1031" s="8" t="s">
        <v>39</v>
      </c>
      <c r="R1031" s="9">
        <f>S1031/1.11</f>
        <v>0</v>
      </c>
      <c r="S1031" s="9">
        <f t="shared" si="347"/>
        <v>0</v>
      </c>
    </row>
    <row r="1032" spans="1:19" x14ac:dyDescent="0.2">
      <c r="A1032" s="2" t="s">
        <v>558</v>
      </c>
      <c r="B1032" s="3" t="s">
        <v>24</v>
      </c>
      <c r="D1032" s="5" t="s">
        <v>39</v>
      </c>
      <c r="F1032" s="7">
        <v>1</v>
      </c>
      <c r="G1032" s="8" t="s">
        <v>19</v>
      </c>
      <c r="H1032" s="7">
        <v>20</v>
      </c>
      <c r="I1032" s="8" t="s">
        <v>39</v>
      </c>
      <c r="J1032" s="9">
        <f>2352000/20</f>
        <v>117600</v>
      </c>
      <c r="K1032" s="5" t="s">
        <v>39</v>
      </c>
      <c r="M1032" s="10">
        <v>0.17</v>
      </c>
      <c r="O1032" s="11" t="s">
        <v>39</v>
      </c>
      <c r="P1032" s="4">
        <f t="shared" si="346"/>
        <v>0</v>
      </c>
      <c r="Q1032" s="8" t="s">
        <v>39</v>
      </c>
      <c r="R1032" s="9">
        <f>S1032/1.11</f>
        <v>0</v>
      </c>
      <c r="S1032" s="9">
        <f t="shared" si="347"/>
        <v>0</v>
      </c>
    </row>
    <row r="1033" spans="1:19" x14ac:dyDescent="0.2">
      <c r="A1033" s="2" t="s">
        <v>642</v>
      </c>
      <c r="B1033" s="3" t="s">
        <v>24</v>
      </c>
      <c r="D1033" s="5" t="s">
        <v>39</v>
      </c>
      <c r="F1033" s="7">
        <v>1</v>
      </c>
      <c r="G1033" s="8" t="s">
        <v>19</v>
      </c>
      <c r="H1033" s="7">
        <v>20</v>
      </c>
      <c r="I1033" s="8" t="s">
        <v>39</v>
      </c>
      <c r="J1033" s="9">
        <f>2352000/20</f>
        <v>117600</v>
      </c>
      <c r="K1033" s="5" t="s">
        <v>39</v>
      </c>
      <c r="M1033" s="10">
        <v>0.17</v>
      </c>
      <c r="O1033" s="35" t="s">
        <v>39</v>
      </c>
      <c r="P1033" s="4">
        <f t="shared" si="346"/>
        <v>0</v>
      </c>
      <c r="Q1033" s="8" t="s">
        <v>39</v>
      </c>
      <c r="R1033" s="9">
        <f>S1033/1.11</f>
        <v>0</v>
      </c>
      <c r="S1033" s="9">
        <f t="shared" si="347"/>
        <v>0</v>
      </c>
    </row>
    <row r="1034" spans="1:19" x14ac:dyDescent="0.2">
      <c r="A1034" s="2" t="s">
        <v>559</v>
      </c>
      <c r="B1034" s="3" t="s">
        <v>24</v>
      </c>
      <c r="D1034" s="5" t="s">
        <v>39</v>
      </c>
      <c r="F1034" s="7">
        <v>1</v>
      </c>
      <c r="G1034" s="8" t="s">
        <v>19</v>
      </c>
      <c r="H1034" s="7">
        <v>20</v>
      </c>
      <c r="I1034" s="8" t="s">
        <v>39</v>
      </c>
      <c r="J1034" s="9">
        <f>2352000/20</f>
        <v>117600</v>
      </c>
      <c r="K1034" s="5" t="s">
        <v>39</v>
      </c>
      <c r="M1034" s="10">
        <v>0.17</v>
      </c>
      <c r="O1034" s="8" t="s">
        <v>39</v>
      </c>
      <c r="P1034" s="4">
        <f t="shared" si="346"/>
        <v>0</v>
      </c>
      <c r="Q1034" s="8" t="s">
        <v>39</v>
      </c>
      <c r="R1034" s="9">
        <f>S1034/1.11</f>
        <v>0</v>
      </c>
      <c r="S1034" s="9">
        <f t="shared" si="347"/>
        <v>0</v>
      </c>
    </row>
    <row r="1035" spans="1:19" x14ac:dyDescent="0.2">
      <c r="A1035" s="2" t="s">
        <v>769</v>
      </c>
      <c r="B1035" s="3" t="s">
        <v>24</v>
      </c>
      <c r="D1035" s="5" t="s">
        <v>39</v>
      </c>
      <c r="F1035" s="7">
        <v>1</v>
      </c>
      <c r="G1035" s="8" t="s">
        <v>19</v>
      </c>
      <c r="H1035" s="7">
        <v>10</v>
      </c>
      <c r="I1035" s="8" t="s">
        <v>39</v>
      </c>
      <c r="J1035" s="9">
        <f>2400000/10</f>
        <v>240000</v>
      </c>
      <c r="K1035" s="5" t="s">
        <v>39</v>
      </c>
      <c r="M1035" s="10">
        <v>0.17</v>
      </c>
      <c r="O1035" s="11" t="s">
        <v>39</v>
      </c>
      <c r="P1035" s="4">
        <f t="shared" si="346"/>
        <v>0</v>
      </c>
      <c r="Q1035" s="8" t="s">
        <v>39</v>
      </c>
      <c r="R1035" s="9">
        <f>S1035/1.11</f>
        <v>0</v>
      </c>
      <c r="S1035" s="9">
        <f t="shared" si="347"/>
        <v>0</v>
      </c>
    </row>
    <row r="1036" spans="1:19" x14ac:dyDescent="0.2">
      <c r="A1036" s="2" t="s">
        <v>560</v>
      </c>
      <c r="B1036" s="3" t="s">
        <v>24</v>
      </c>
      <c r="D1036" s="5" t="s">
        <v>39</v>
      </c>
      <c r="F1036" s="7">
        <v>1</v>
      </c>
      <c r="G1036" s="8" t="s">
        <v>19</v>
      </c>
      <c r="H1036" s="7">
        <v>40</v>
      </c>
      <c r="I1036" s="8" t="s">
        <v>39</v>
      </c>
      <c r="J1036" s="9">
        <f>2688000/40</f>
        <v>67200</v>
      </c>
      <c r="K1036" s="5" t="s">
        <v>39</v>
      </c>
      <c r="M1036" s="10">
        <v>0.17</v>
      </c>
      <c r="O1036" s="8" t="s">
        <v>39</v>
      </c>
      <c r="P1036" s="4">
        <f t="shared" si="346"/>
        <v>0</v>
      </c>
      <c r="Q1036" s="8" t="s">
        <v>39</v>
      </c>
      <c r="R1036" s="9">
        <f>S1036/1.11</f>
        <v>0</v>
      </c>
      <c r="S1036" s="9">
        <f t="shared" si="347"/>
        <v>0</v>
      </c>
    </row>
    <row r="1037" spans="1:19" x14ac:dyDescent="0.2">
      <c r="A1037" s="2" t="s">
        <v>561</v>
      </c>
      <c r="B1037" s="3" t="s">
        <v>24</v>
      </c>
      <c r="D1037" s="5" t="s">
        <v>39</v>
      </c>
      <c r="F1037" s="7">
        <v>1</v>
      </c>
      <c r="G1037" s="8" t="s">
        <v>19</v>
      </c>
      <c r="H1037" s="7">
        <v>20</v>
      </c>
      <c r="I1037" s="8" t="s">
        <v>39</v>
      </c>
      <c r="J1037" s="9">
        <v>120000</v>
      </c>
      <c r="K1037" s="5" t="s">
        <v>39</v>
      </c>
      <c r="M1037" s="10">
        <v>0.17</v>
      </c>
      <c r="O1037" s="8" t="s">
        <v>39</v>
      </c>
      <c r="P1037" s="4">
        <f t="shared" si="346"/>
        <v>0</v>
      </c>
      <c r="Q1037" s="8" t="s">
        <v>39</v>
      </c>
      <c r="R1037" s="9">
        <f>S1037/1.11</f>
        <v>0</v>
      </c>
      <c r="S1037" s="9">
        <f t="shared" si="347"/>
        <v>0</v>
      </c>
    </row>
    <row r="1038" spans="1:19" x14ac:dyDescent="0.2">
      <c r="A1038" s="2" t="s">
        <v>562</v>
      </c>
      <c r="B1038" s="3" t="s">
        <v>24</v>
      </c>
      <c r="D1038" s="5" t="s">
        <v>39</v>
      </c>
      <c r="F1038" s="7">
        <v>1</v>
      </c>
      <c r="G1038" s="8" t="s">
        <v>19</v>
      </c>
      <c r="H1038" s="7">
        <v>25</v>
      </c>
      <c r="I1038" s="8" t="s">
        <v>39</v>
      </c>
      <c r="J1038" s="9">
        <v>74400</v>
      </c>
      <c r="K1038" s="5" t="s">
        <v>39</v>
      </c>
      <c r="M1038" s="10">
        <v>0.17</v>
      </c>
      <c r="O1038" s="8" t="s">
        <v>39</v>
      </c>
      <c r="P1038" s="4">
        <f t="shared" ref="P1038" si="348">(C1038+(E1038*F1038*H1038))-N1038</f>
        <v>0</v>
      </c>
      <c r="Q1038" s="8" t="s">
        <v>39</v>
      </c>
      <c r="R1038" s="9">
        <f>S1038/1.11</f>
        <v>0</v>
      </c>
      <c r="S1038" s="9">
        <f t="shared" ref="S1038" si="349">P1038*(J1038-(J1038*L1038)-((J1038-(J1038*L1038))*M1038))</f>
        <v>0</v>
      </c>
    </row>
    <row r="1039" spans="1:19" x14ac:dyDescent="0.2">
      <c r="A1039" s="2" t="s">
        <v>563</v>
      </c>
      <c r="B1039" s="3" t="s">
        <v>24</v>
      </c>
      <c r="D1039" s="5" t="s">
        <v>39</v>
      </c>
      <c r="F1039" s="7">
        <v>1</v>
      </c>
      <c r="G1039" s="8" t="s">
        <v>19</v>
      </c>
      <c r="H1039" s="7">
        <v>10</v>
      </c>
      <c r="I1039" s="8" t="s">
        <v>39</v>
      </c>
      <c r="J1039" s="9">
        <f>2280000/10</f>
        <v>228000</v>
      </c>
      <c r="K1039" s="5" t="s">
        <v>39</v>
      </c>
      <c r="M1039" s="10">
        <v>0.17</v>
      </c>
      <c r="O1039" s="8" t="s">
        <v>39</v>
      </c>
      <c r="P1039" s="4">
        <f t="shared" si="346"/>
        <v>0</v>
      </c>
      <c r="Q1039" s="8" t="s">
        <v>39</v>
      </c>
      <c r="R1039" s="9">
        <f>S1039/1.11</f>
        <v>0</v>
      </c>
      <c r="S1039" s="9">
        <f t="shared" si="347"/>
        <v>0</v>
      </c>
    </row>
    <row r="1040" spans="1:19" x14ac:dyDescent="0.2">
      <c r="A1040" s="2" t="s">
        <v>564</v>
      </c>
      <c r="B1040" s="3" t="s">
        <v>24</v>
      </c>
      <c r="C1040" s="4">
        <v>200</v>
      </c>
      <c r="D1040" s="5" t="s">
        <v>39</v>
      </c>
      <c r="F1040" s="7">
        <v>1</v>
      </c>
      <c r="G1040" s="8" t="s">
        <v>19</v>
      </c>
      <c r="H1040" s="7">
        <v>10</v>
      </c>
      <c r="I1040" s="8" t="s">
        <v>39</v>
      </c>
      <c r="J1040" s="9">
        <f>2280000/10</f>
        <v>228000</v>
      </c>
      <c r="K1040" s="5" t="s">
        <v>39</v>
      </c>
      <c r="M1040" s="10">
        <v>0.17</v>
      </c>
      <c r="O1040" s="41" t="s">
        <v>39</v>
      </c>
      <c r="P1040" s="4">
        <f t="shared" si="346"/>
        <v>200</v>
      </c>
      <c r="Q1040" s="8" t="s">
        <v>39</v>
      </c>
      <c r="R1040" s="9">
        <f>S1040/1.11</f>
        <v>34097297.297297291</v>
      </c>
      <c r="S1040" s="9">
        <f t="shared" si="347"/>
        <v>37848000</v>
      </c>
    </row>
    <row r="1041" spans="1:19" x14ac:dyDescent="0.2">
      <c r="A1041" s="2" t="s">
        <v>565</v>
      </c>
      <c r="B1041" s="3" t="s">
        <v>24</v>
      </c>
      <c r="D1041" s="5" t="s">
        <v>39</v>
      </c>
      <c r="F1041" s="7">
        <v>1</v>
      </c>
      <c r="G1041" s="8" t="s">
        <v>19</v>
      </c>
      <c r="H1041" s="7">
        <v>10</v>
      </c>
      <c r="I1041" s="8" t="s">
        <v>39</v>
      </c>
      <c r="J1041" s="9">
        <v>228000</v>
      </c>
      <c r="K1041" s="5" t="s">
        <v>39</v>
      </c>
      <c r="M1041" s="10">
        <v>0.17</v>
      </c>
      <c r="O1041" s="8" t="s">
        <v>39</v>
      </c>
      <c r="P1041" s="4">
        <f t="shared" ref="P1041" si="350">(C1041+(E1041*F1041*H1041))-N1041</f>
        <v>0</v>
      </c>
      <c r="Q1041" s="8" t="s">
        <v>39</v>
      </c>
      <c r="R1041" s="9">
        <f>S1041/1.11</f>
        <v>0</v>
      </c>
      <c r="S1041" s="9">
        <f t="shared" ref="S1041" si="351">P1041*(J1041-(J1041*L1041)-((J1041-(J1041*L1041))*M1041))</f>
        <v>0</v>
      </c>
    </row>
    <row r="1042" spans="1:19" x14ac:dyDescent="0.2">
      <c r="A1042" s="2" t="s">
        <v>566</v>
      </c>
      <c r="B1042" s="3" t="s">
        <v>24</v>
      </c>
      <c r="D1042" s="5" t="s">
        <v>39</v>
      </c>
      <c r="F1042" s="7">
        <v>1</v>
      </c>
      <c r="G1042" s="8" t="s">
        <v>19</v>
      </c>
      <c r="H1042" s="7">
        <v>10</v>
      </c>
      <c r="I1042" s="8" t="s">
        <v>39</v>
      </c>
      <c r="J1042" s="9">
        <v>228000</v>
      </c>
      <c r="K1042" s="5" t="s">
        <v>39</v>
      </c>
      <c r="M1042" s="10">
        <v>0.17</v>
      </c>
      <c r="O1042" s="8" t="s">
        <v>39</v>
      </c>
      <c r="P1042" s="4">
        <f t="shared" ref="P1042" si="352">(C1042+(E1042*F1042*H1042))-N1042</f>
        <v>0</v>
      </c>
      <c r="Q1042" s="8" t="s">
        <v>39</v>
      </c>
      <c r="R1042" s="9">
        <f>S1042/1.11</f>
        <v>0</v>
      </c>
      <c r="S1042" s="9">
        <f t="shared" ref="S1042" si="353">P1042*(J1042-(J1042*L1042)-((J1042-(J1042*L1042))*M1042))</f>
        <v>0</v>
      </c>
    </row>
    <row r="1043" spans="1:19" x14ac:dyDescent="0.2">
      <c r="A1043" s="2" t="s">
        <v>567</v>
      </c>
      <c r="B1043" s="3" t="s">
        <v>24</v>
      </c>
      <c r="D1043" s="5" t="s">
        <v>18</v>
      </c>
      <c r="F1043" s="7">
        <v>20</v>
      </c>
      <c r="G1043" s="8" t="s">
        <v>32</v>
      </c>
      <c r="H1043" s="7">
        <v>6</v>
      </c>
      <c r="I1043" s="8" t="s">
        <v>18</v>
      </c>
      <c r="J1043" s="9">
        <v>14500</v>
      </c>
      <c r="K1043" s="5" t="s">
        <v>18</v>
      </c>
      <c r="M1043" s="10">
        <v>0.17</v>
      </c>
      <c r="O1043" s="8" t="s">
        <v>18</v>
      </c>
      <c r="P1043" s="4">
        <f t="shared" si="346"/>
        <v>0</v>
      </c>
      <c r="Q1043" s="8" t="s">
        <v>18</v>
      </c>
      <c r="R1043" s="9">
        <f>S1043/1.11</f>
        <v>0</v>
      </c>
      <c r="S1043" s="9">
        <f t="shared" si="347"/>
        <v>0</v>
      </c>
    </row>
    <row r="1044" spans="1:19" x14ac:dyDescent="0.2">
      <c r="A1044" s="2" t="s">
        <v>568</v>
      </c>
      <c r="B1044" s="3" t="s">
        <v>24</v>
      </c>
      <c r="D1044" s="5" t="s">
        <v>18</v>
      </c>
      <c r="F1044" s="7">
        <v>1</v>
      </c>
      <c r="G1044" s="8" t="s">
        <v>19</v>
      </c>
      <c r="H1044" s="7">
        <v>6</v>
      </c>
      <c r="I1044" s="8" t="s">
        <v>18</v>
      </c>
      <c r="J1044" s="9">
        <f>2160000/6</f>
        <v>360000</v>
      </c>
      <c r="K1044" s="5" t="s">
        <v>18</v>
      </c>
      <c r="M1044" s="10">
        <v>0.17</v>
      </c>
      <c r="O1044" s="8" t="s">
        <v>18</v>
      </c>
      <c r="P1044" s="4">
        <f t="shared" si="346"/>
        <v>0</v>
      </c>
      <c r="Q1044" s="8" t="s">
        <v>18</v>
      </c>
      <c r="R1044" s="9">
        <f>S1044/1.11</f>
        <v>0</v>
      </c>
      <c r="S1044" s="9">
        <f t="shared" si="347"/>
        <v>0</v>
      </c>
    </row>
    <row r="1045" spans="1:19" x14ac:dyDescent="0.2">
      <c r="A1045" s="2" t="s">
        <v>569</v>
      </c>
      <c r="B1045" s="3" t="s">
        <v>24</v>
      </c>
      <c r="D1045" s="5" t="s">
        <v>18</v>
      </c>
      <c r="F1045" s="7">
        <v>1</v>
      </c>
      <c r="G1045" s="8" t="s">
        <v>19</v>
      </c>
      <c r="H1045" s="7">
        <v>6</v>
      </c>
      <c r="I1045" s="8" t="s">
        <v>18</v>
      </c>
      <c r="J1045" s="9">
        <f>930000/6</f>
        <v>155000</v>
      </c>
      <c r="K1045" s="5" t="s">
        <v>18</v>
      </c>
      <c r="M1045" s="10">
        <v>0.17</v>
      </c>
      <c r="O1045" s="8" t="s">
        <v>18</v>
      </c>
      <c r="P1045" s="4">
        <f t="shared" si="346"/>
        <v>0</v>
      </c>
      <c r="Q1045" s="8" t="s">
        <v>18</v>
      </c>
      <c r="R1045" s="9">
        <f>S1045/1.11</f>
        <v>0</v>
      </c>
      <c r="S1045" s="9">
        <f t="shared" si="347"/>
        <v>0</v>
      </c>
    </row>
    <row r="1046" spans="1:19" x14ac:dyDescent="0.2">
      <c r="A1046" s="2" t="s">
        <v>570</v>
      </c>
      <c r="B1046" s="3" t="s">
        <v>24</v>
      </c>
      <c r="D1046" s="5" t="s">
        <v>18</v>
      </c>
      <c r="F1046" s="7">
        <v>1</v>
      </c>
      <c r="G1046" s="8" t="s">
        <v>19</v>
      </c>
      <c r="H1046" s="7">
        <v>6</v>
      </c>
      <c r="I1046" s="8" t="s">
        <v>18</v>
      </c>
      <c r="J1046" s="9">
        <f>504000/6</f>
        <v>84000</v>
      </c>
      <c r="K1046" s="5" t="s">
        <v>18</v>
      </c>
      <c r="M1046" s="10">
        <v>0.17</v>
      </c>
      <c r="O1046" s="8" t="s">
        <v>18</v>
      </c>
      <c r="P1046" s="4">
        <f t="shared" si="346"/>
        <v>0</v>
      </c>
      <c r="Q1046" s="8" t="s">
        <v>18</v>
      </c>
      <c r="R1046" s="9">
        <f>S1046/1.11</f>
        <v>0</v>
      </c>
      <c r="S1046" s="9">
        <f t="shared" si="347"/>
        <v>0</v>
      </c>
    </row>
    <row r="1047" spans="1:19" x14ac:dyDescent="0.2">
      <c r="A1047" s="2" t="s">
        <v>571</v>
      </c>
      <c r="B1047" s="3" t="s">
        <v>24</v>
      </c>
      <c r="D1047" s="5" t="s">
        <v>18</v>
      </c>
      <c r="F1047" s="7">
        <v>1</v>
      </c>
      <c r="G1047" s="8" t="s">
        <v>19</v>
      </c>
      <c r="H1047" s="7">
        <v>6</v>
      </c>
      <c r="I1047" s="8" t="s">
        <v>18</v>
      </c>
      <c r="J1047" s="9">
        <f>990000/6</f>
        <v>165000</v>
      </c>
      <c r="K1047" s="5" t="s">
        <v>18</v>
      </c>
      <c r="M1047" s="10">
        <v>0.17</v>
      </c>
      <c r="O1047" s="8" t="s">
        <v>18</v>
      </c>
      <c r="P1047" s="4">
        <f t="shared" si="346"/>
        <v>0</v>
      </c>
      <c r="Q1047" s="8" t="s">
        <v>18</v>
      </c>
      <c r="R1047" s="9">
        <f>S1047/1.11</f>
        <v>0</v>
      </c>
      <c r="S1047" s="9">
        <f t="shared" si="347"/>
        <v>0</v>
      </c>
    </row>
    <row r="1049" spans="1:19" x14ac:dyDescent="0.2">
      <c r="A1049" s="24" t="s">
        <v>572</v>
      </c>
      <c r="B1049" s="3" t="s">
        <v>573</v>
      </c>
      <c r="D1049" s="5" t="s">
        <v>39</v>
      </c>
      <c r="F1049" s="7">
        <v>1</v>
      </c>
      <c r="G1049" s="8" t="s">
        <v>19</v>
      </c>
      <c r="H1049" s="7">
        <v>30</v>
      </c>
      <c r="I1049" s="8" t="s">
        <v>39</v>
      </c>
      <c r="J1049" s="9">
        <f>124342.32*1.11</f>
        <v>138019.97520000002</v>
      </c>
      <c r="K1049" s="5" t="s">
        <v>39</v>
      </c>
      <c r="L1049" s="10">
        <v>0.17499999999999999</v>
      </c>
      <c r="M1049" s="10">
        <v>0.03</v>
      </c>
      <c r="O1049" s="8" t="s">
        <v>39</v>
      </c>
      <c r="P1049" s="4">
        <f t="shared" ref="P1049:P1053" si="354">(C1049+(E1049*F1049*H1049))-N1049</f>
        <v>0</v>
      </c>
      <c r="Q1049" s="8" t="s">
        <v>39</v>
      </c>
      <c r="R1049" s="9">
        <f>S1049/1.11</f>
        <v>0</v>
      </c>
      <c r="S1049" s="9">
        <f t="shared" ref="S1049:S1053" si="355">P1049*(J1049-(J1049*L1049)-((J1049-(J1049*L1049))*M1049))</f>
        <v>0</v>
      </c>
    </row>
    <row r="1050" spans="1:19" x14ac:dyDescent="0.2">
      <c r="A1050" s="24" t="s">
        <v>574</v>
      </c>
      <c r="B1050" s="3" t="s">
        <v>573</v>
      </c>
      <c r="D1050" s="5" t="s">
        <v>39</v>
      </c>
      <c r="F1050" s="7">
        <v>1</v>
      </c>
      <c r="G1050" s="8" t="s">
        <v>19</v>
      </c>
      <c r="H1050" s="7">
        <v>30</v>
      </c>
      <c r="I1050" s="8" t="s">
        <v>39</v>
      </c>
      <c r="J1050" s="9">
        <v>216000</v>
      </c>
      <c r="K1050" s="5" t="s">
        <v>39</v>
      </c>
      <c r="M1050" s="10">
        <v>0.15</v>
      </c>
      <c r="O1050" s="8" t="s">
        <v>39</v>
      </c>
      <c r="P1050" s="4">
        <f t="shared" si="354"/>
        <v>0</v>
      </c>
      <c r="Q1050" s="8" t="s">
        <v>39</v>
      </c>
      <c r="R1050" s="9">
        <f>S1050/1.11</f>
        <v>0</v>
      </c>
      <c r="S1050" s="9">
        <f t="shared" si="355"/>
        <v>0</v>
      </c>
    </row>
    <row r="1051" spans="1:19" x14ac:dyDescent="0.2">
      <c r="A1051" s="24" t="s">
        <v>575</v>
      </c>
      <c r="B1051" s="3" t="s">
        <v>573</v>
      </c>
      <c r="D1051" s="5" t="s">
        <v>39</v>
      </c>
      <c r="F1051" s="7">
        <v>1</v>
      </c>
      <c r="G1051" s="8" t="s">
        <v>19</v>
      </c>
      <c r="H1051" s="7">
        <v>30</v>
      </c>
      <c r="I1051" s="8" t="s">
        <v>39</v>
      </c>
      <c r="J1051" s="9">
        <v>216000</v>
      </c>
      <c r="K1051" s="5" t="s">
        <v>39</v>
      </c>
      <c r="M1051" s="10">
        <v>0.15</v>
      </c>
      <c r="O1051" s="8" t="s">
        <v>39</v>
      </c>
      <c r="P1051" s="4">
        <f t="shared" si="354"/>
        <v>0</v>
      </c>
      <c r="Q1051" s="8" t="s">
        <v>39</v>
      </c>
      <c r="R1051" s="9">
        <f>S1051/1.11</f>
        <v>0</v>
      </c>
      <c r="S1051" s="9">
        <f t="shared" si="355"/>
        <v>0</v>
      </c>
    </row>
    <row r="1052" spans="1:19" x14ac:dyDescent="0.2">
      <c r="A1052" s="24" t="s">
        <v>576</v>
      </c>
      <c r="B1052" s="3" t="s">
        <v>573</v>
      </c>
      <c r="D1052" s="5" t="s">
        <v>39</v>
      </c>
      <c r="F1052" s="7">
        <v>1</v>
      </c>
      <c r="G1052" s="8" t="s">
        <v>19</v>
      </c>
      <c r="H1052" s="7">
        <v>30</v>
      </c>
      <c r="I1052" s="8" t="s">
        <v>39</v>
      </c>
      <c r="J1052" s="9">
        <v>220000</v>
      </c>
      <c r="K1052" s="5" t="s">
        <v>39</v>
      </c>
      <c r="M1052" s="10">
        <v>0.15</v>
      </c>
      <c r="O1052" s="8" t="s">
        <v>39</v>
      </c>
      <c r="P1052" s="4">
        <f t="shared" si="354"/>
        <v>0</v>
      </c>
      <c r="Q1052" s="8" t="s">
        <v>39</v>
      </c>
      <c r="R1052" s="9">
        <f>S1052/1.11</f>
        <v>0</v>
      </c>
      <c r="S1052" s="9">
        <f t="shared" si="355"/>
        <v>0</v>
      </c>
    </row>
    <row r="1053" spans="1:19" x14ac:dyDescent="0.2">
      <c r="A1053" s="24" t="s">
        <v>577</v>
      </c>
      <c r="B1053" s="3" t="s">
        <v>573</v>
      </c>
      <c r="D1053" s="5" t="s">
        <v>39</v>
      </c>
      <c r="F1053" s="7">
        <v>1</v>
      </c>
      <c r="G1053" s="8" t="s">
        <v>19</v>
      </c>
      <c r="H1053" s="7">
        <v>20</v>
      </c>
      <c r="I1053" s="8" t="s">
        <v>39</v>
      </c>
      <c r="J1053" s="9">
        <f>216283.78*1.11</f>
        <v>240074.99580000003</v>
      </c>
      <c r="K1053" s="5" t="s">
        <v>39</v>
      </c>
      <c r="L1053" s="10">
        <v>0.17499999999999999</v>
      </c>
      <c r="M1053" s="10">
        <v>0.03</v>
      </c>
      <c r="O1053" s="8" t="s">
        <v>39</v>
      </c>
      <c r="P1053" s="4">
        <f t="shared" si="354"/>
        <v>0</v>
      </c>
      <c r="Q1053" s="8" t="s">
        <v>39</v>
      </c>
      <c r="R1053" s="9">
        <f>S1053/1.11</f>
        <v>0</v>
      </c>
      <c r="S1053" s="9">
        <f t="shared" si="355"/>
        <v>0</v>
      </c>
    </row>
    <row r="1054" spans="1:19" x14ac:dyDescent="0.2">
      <c r="A1054" s="24"/>
    </row>
    <row r="1055" spans="1:19" x14ac:dyDescent="0.2">
      <c r="A1055" s="24" t="s">
        <v>578</v>
      </c>
      <c r="B1055" s="3" t="s">
        <v>180</v>
      </c>
      <c r="C1055" s="4">
        <v>15</v>
      </c>
      <c r="D1055" s="5" t="s">
        <v>39</v>
      </c>
      <c r="F1055" s="7">
        <v>1</v>
      </c>
      <c r="G1055" s="8" t="s">
        <v>19</v>
      </c>
      <c r="H1055" s="7">
        <v>5</v>
      </c>
      <c r="I1055" s="8" t="s">
        <v>39</v>
      </c>
      <c r="J1055" s="9">
        <v>250000</v>
      </c>
      <c r="K1055" s="5" t="s">
        <v>39</v>
      </c>
      <c r="O1055" s="35" t="s">
        <v>39</v>
      </c>
      <c r="P1055" s="4">
        <f>(C1055+(E1055*F1055*H1055))-N1055</f>
        <v>15</v>
      </c>
      <c r="Q1055" s="8" t="s">
        <v>39</v>
      </c>
      <c r="R1055" s="9">
        <f>S1055/1.11</f>
        <v>3378378.3783783782</v>
      </c>
      <c r="S1055" s="9">
        <f>P1055*(J1055-(J1055*L1055)-((J1055-(J1055*L1055))*M1055))</f>
        <v>3750000</v>
      </c>
    </row>
    <row r="1056" spans="1:19" x14ac:dyDescent="0.2">
      <c r="A1056" s="24"/>
      <c r="O1056" s="35"/>
    </row>
    <row r="1057" spans="1:19" x14ac:dyDescent="0.2">
      <c r="A1057" s="30" t="s">
        <v>579</v>
      </c>
    </row>
    <row r="1058" spans="1:19" x14ac:dyDescent="0.2">
      <c r="A1058" s="2" t="s">
        <v>581</v>
      </c>
      <c r="B1058" s="3" t="s">
        <v>573</v>
      </c>
      <c r="C1058" s="4">
        <v>800</v>
      </c>
      <c r="D1058" s="5" t="s">
        <v>97</v>
      </c>
      <c r="F1058" s="7">
        <v>1</v>
      </c>
      <c r="G1058" s="8" t="s">
        <v>19</v>
      </c>
      <c r="H1058" s="7">
        <v>100</v>
      </c>
      <c r="I1058" s="8" t="s">
        <v>97</v>
      </c>
      <c r="J1058" s="9">
        <v>14000</v>
      </c>
      <c r="K1058" s="5" t="s">
        <v>97</v>
      </c>
      <c r="L1058" s="10">
        <v>0.1</v>
      </c>
      <c r="O1058" s="8" t="s">
        <v>97</v>
      </c>
      <c r="P1058" s="4">
        <f>(C1058+(E1058*F1058*H1058))-N1058</f>
        <v>800</v>
      </c>
      <c r="Q1058" s="8" t="s">
        <v>97</v>
      </c>
      <c r="R1058" s="9">
        <f>S1058/1.11</f>
        <v>9081081.0810810812</v>
      </c>
      <c r="S1058" s="9">
        <f>P1058*(J1058-(J1058*L1058)-((J1058-(J1058*L1058))*M1058))</f>
        <v>10080000</v>
      </c>
    </row>
    <row r="1059" spans="1:19" x14ac:dyDescent="0.2">
      <c r="A1059" s="2" t="s">
        <v>582</v>
      </c>
      <c r="B1059" s="3" t="s">
        <v>573</v>
      </c>
      <c r="D1059" s="5" t="s">
        <v>97</v>
      </c>
      <c r="F1059" s="7">
        <v>1</v>
      </c>
      <c r="G1059" s="8" t="s">
        <v>19</v>
      </c>
      <c r="H1059" s="7">
        <v>50</v>
      </c>
      <c r="I1059" s="8" t="s">
        <v>97</v>
      </c>
      <c r="J1059" s="9">
        <v>24000</v>
      </c>
      <c r="K1059" s="5" t="s">
        <v>97</v>
      </c>
      <c r="O1059" s="8" t="s">
        <v>97</v>
      </c>
      <c r="P1059" s="4">
        <f>(C1059+(E1059*F1059*H1059))-N1059</f>
        <v>0</v>
      </c>
      <c r="Q1059" s="8" t="s">
        <v>97</v>
      </c>
      <c r="R1059" s="9">
        <f>S1059/1.11</f>
        <v>0</v>
      </c>
      <c r="S1059" s="9">
        <f>P1059*(J1059-(J1059*L1059)-((J1059-(J1059*L1059))*M1059))</f>
        <v>0</v>
      </c>
    </row>
    <row r="1061" spans="1:19" x14ac:dyDescent="0.2">
      <c r="A1061" s="2" t="s">
        <v>580</v>
      </c>
      <c r="B1061" s="3" t="s">
        <v>17</v>
      </c>
      <c r="D1061" s="5" t="s">
        <v>32</v>
      </c>
      <c r="F1061" s="7">
        <v>1</v>
      </c>
      <c r="G1061" s="8" t="s">
        <v>19</v>
      </c>
      <c r="H1061" s="7">
        <v>50</v>
      </c>
      <c r="I1061" s="8" t="s">
        <v>32</v>
      </c>
      <c r="J1061" s="9">
        <v>28000</v>
      </c>
      <c r="K1061" s="5" t="s">
        <v>32</v>
      </c>
      <c r="L1061" s="10">
        <v>0.125</v>
      </c>
      <c r="M1061" s="10">
        <v>0.05</v>
      </c>
      <c r="O1061" s="8" t="s">
        <v>32</v>
      </c>
      <c r="P1061" s="4">
        <f>(C1061+(E1061*F1061*H1061))-N1061</f>
        <v>0</v>
      </c>
      <c r="Q1061" s="8" t="s">
        <v>32</v>
      </c>
      <c r="R1061" s="9">
        <f>S1061/1.11</f>
        <v>0</v>
      </c>
      <c r="S1061" s="9">
        <f>P1061*(J1061-(J1061*L1061)-((J1061-(J1061*L1061))*M1061))</f>
        <v>0</v>
      </c>
    </row>
    <row r="1063" spans="1:19" x14ac:dyDescent="0.2">
      <c r="A1063" s="13" t="s">
        <v>583</v>
      </c>
      <c r="B1063" s="3" t="s">
        <v>24</v>
      </c>
      <c r="C1063" s="4">
        <v>6400</v>
      </c>
      <c r="D1063" s="5" t="s">
        <v>32</v>
      </c>
      <c r="F1063" s="7">
        <v>40</v>
      </c>
      <c r="G1063" s="8" t="s">
        <v>97</v>
      </c>
      <c r="H1063" s="7">
        <v>20</v>
      </c>
      <c r="I1063" s="8" t="s">
        <v>32</v>
      </c>
      <c r="J1063" s="9">
        <f>840000/40/20</f>
        <v>1050</v>
      </c>
      <c r="K1063" s="5" t="s">
        <v>32</v>
      </c>
      <c r="M1063" s="10">
        <v>0.17</v>
      </c>
      <c r="O1063" s="8" t="s">
        <v>32</v>
      </c>
      <c r="P1063" s="4">
        <f>(C1063+(E1063*F1063*H1063))-N1063</f>
        <v>6400</v>
      </c>
      <c r="Q1063" s="8" t="s">
        <v>32</v>
      </c>
      <c r="R1063" s="9">
        <f>S1063/1.11</f>
        <v>5024864.8648648644</v>
      </c>
      <c r="S1063" s="9">
        <f>P1063*(J1063-(J1063*L1063)-((J1063-(J1063*L1063))*M1063))</f>
        <v>5577600</v>
      </c>
    </row>
    <row r="1064" spans="1:19" x14ac:dyDescent="0.2">
      <c r="A1064" s="13" t="s">
        <v>584</v>
      </c>
      <c r="B1064" s="3" t="s">
        <v>24</v>
      </c>
      <c r="D1064" s="5" t="s">
        <v>97</v>
      </c>
      <c r="F1064" s="7">
        <v>1</v>
      </c>
      <c r="G1064" s="8" t="s">
        <v>19</v>
      </c>
      <c r="H1064" s="7">
        <v>20</v>
      </c>
      <c r="I1064" s="8" t="s">
        <v>97</v>
      </c>
      <c r="J1064" s="9">
        <f>840000/20</f>
        <v>42000</v>
      </c>
      <c r="K1064" s="5" t="s">
        <v>97</v>
      </c>
      <c r="M1064" s="10">
        <v>0.17</v>
      </c>
      <c r="O1064" s="8" t="s">
        <v>97</v>
      </c>
      <c r="P1064" s="4">
        <f>(C1064+(E1064*F1064*H1064))-N1064</f>
        <v>0</v>
      </c>
      <c r="Q1064" s="8" t="s">
        <v>97</v>
      </c>
      <c r="R1064" s="9">
        <f>S1064/1.11</f>
        <v>0</v>
      </c>
      <c r="S1064" s="9">
        <f>P1064*(J1064-(J1064*L1064)-((J1064-(J1064*L1064))*M1064))</f>
        <v>0</v>
      </c>
    </row>
    <row r="1065" spans="1:19" s="2" customFormat="1" x14ac:dyDescent="0.2">
      <c r="A1065" s="2" t="s">
        <v>585</v>
      </c>
      <c r="B1065" s="2" t="s">
        <v>24</v>
      </c>
      <c r="C1065" s="18"/>
      <c r="D1065" s="19" t="s">
        <v>97</v>
      </c>
      <c r="E1065" s="20"/>
      <c r="F1065" s="21">
        <v>1</v>
      </c>
      <c r="G1065" s="17" t="s">
        <v>19</v>
      </c>
      <c r="H1065" s="21">
        <v>15</v>
      </c>
      <c r="I1065" s="17" t="s">
        <v>97</v>
      </c>
      <c r="J1065" s="22">
        <f>525000/15</f>
        <v>35000</v>
      </c>
      <c r="K1065" s="19" t="s">
        <v>97</v>
      </c>
      <c r="L1065" s="23"/>
      <c r="M1065" s="23">
        <v>0.17</v>
      </c>
      <c r="N1065" s="21"/>
      <c r="O1065" s="17" t="s">
        <v>97</v>
      </c>
      <c r="P1065" s="18">
        <f>(C1065+(E1065*F1065*H1065))-N1065</f>
        <v>0</v>
      </c>
      <c r="Q1065" s="17" t="s">
        <v>97</v>
      </c>
      <c r="R1065" s="22">
        <f>S1065/1.11</f>
        <v>0</v>
      </c>
      <c r="S1065" s="22">
        <f>P1065*(J1065-(J1065*L1065)-((J1065-(J1065*L1065))*M1065))</f>
        <v>0</v>
      </c>
    </row>
    <row r="1066" spans="1:19" s="2" customFormat="1" x14ac:dyDescent="0.2">
      <c r="C1066" s="18"/>
      <c r="D1066" s="19"/>
      <c r="E1066" s="20"/>
      <c r="F1066" s="21"/>
      <c r="G1066" s="17"/>
      <c r="H1066" s="21"/>
      <c r="I1066" s="17"/>
      <c r="J1066" s="22"/>
      <c r="K1066" s="19"/>
      <c r="L1066" s="23"/>
      <c r="M1066" s="23"/>
      <c r="N1066" s="21"/>
      <c r="O1066" s="17"/>
      <c r="P1066" s="18"/>
      <c r="Q1066" s="17"/>
      <c r="R1066" s="22"/>
      <c r="S1066" s="22"/>
    </row>
    <row r="1067" spans="1:19" x14ac:dyDescent="0.2">
      <c r="A1067" s="13" t="s">
        <v>791</v>
      </c>
      <c r="B1067" s="3" t="s">
        <v>587</v>
      </c>
      <c r="C1067" s="4">
        <v>1000</v>
      </c>
      <c r="D1067" s="5" t="s">
        <v>32</v>
      </c>
      <c r="F1067" s="7">
        <v>1</v>
      </c>
      <c r="G1067" s="8" t="s">
        <v>19</v>
      </c>
      <c r="H1067" s="7">
        <v>500</v>
      </c>
      <c r="I1067" s="8" t="s">
        <v>32</v>
      </c>
      <c r="J1067" s="9">
        <v>3000</v>
      </c>
      <c r="K1067" s="5" t="s">
        <v>32</v>
      </c>
      <c r="L1067" s="10">
        <v>0.17499999999999999</v>
      </c>
      <c r="O1067" s="8" t="s">
        <v>32</v>
      </c>
      <c r="P1067" s="4">
        <f>(C1067+(E1067*F1067*H1067))-N1067</f>
        <v>1000</v>
      </c>
      <c r="Q1067" s="8" t="s">
        <v>32</v>
      </c>
      <c r="R1067" s="9">
        <f>S1067/1.11</f>
        <v>2229729.7297297297</v>
      </c>
      <c r="S1067" s="9">
        <f>P1067*(J1067-(J1067*L1067)-((J1067-(J1067*L1067))*M1067))</f>
        <v>2475000</v>
      </c>
    </row>
    <row r="1068" spans="1:19" x14ac:dyDescent="0.2">
      <c r="A1068" s="13" t="s">
        <v>586</v>
      </c>
      <c r="B1068" s="3" t="s">
        <v>587</v>
      </c>
      <c r="C1068" s="4">
        <v>400</v>
      </c>
      <c r="D1068" s="5" t="s">
        <v>32</v>
      </c>
      <c r="F1068" s="7">
        <v>1</v>
      </c>
      <c r="G1068" s="8" t="s">
        <v>19</v>
      </c>
      <c r="H1068" s="7">
        <v>200</v>
      </c>
      <c r="I1068" s="8" t="s">
        <v>32</v>
      </c>
      <c r="J1068" s="9">
        <v>11500</v>
      </c>
      <c r="K1068" s="5" t="s">
        <v>32</v>
      </c>
      <c r="L1068" s="10">
        <v>0.17499999999999999</v>
      </c>
      <c r="O1068" s="8" t="s">
        <v>32</v>
      </c>
      <c r="P1068" s="4">
        <f>(C1068+(E1068*F1068*H1068))-N1068</f>
        <v>400</v>
      </c>
      <c r="Q1068" s="8" t="s">
        <v>32</v>
      </c>
      <c r="R1068" s="9">
        <f>S1068/1.11</f>
        <v>3418918.9189189188</v>
      </c>
      <c r="S1068" s="9">
        <f>P1068*(J1068-(J1068*L1068)-((J1068-(J1068*L1068))*M1068))</f>
        <v>3795000</v>
      </c>
    </row>
    <row r="1069" spans="1:19" x14ac:dyDescent="0.2">
      <c r="A1069" s="13" t="s">
        <v>651</v>
      </c>
      <c r="B1069" s="3" t="s">
        <v>587</v>
      </c>
      <c r="D1069" s="5" t="s">
        <v>32</v>
      </c>
      <c r="F1069" s="7">
        <v>1</v>
      </c>
      <c r="G1069" s="8" t="s">
        <v>19</v>
      </c>
      <c r="H1069" s="7">
        <v>200</v>
      </c>
      <c r="I1069" s="8" t="s">
        <v>32</v>
      </c>
      <c r="J1069" s="9">
        <v>13800</v>
      </c>
      <c r="K1069" s="5" t="s">
        <v>32</v>
      </c>
      <c r="L1069" s="10">
        <v>0.17499999999999999</v>
      </c>
      <c r="M1069" s="10">
        <v>0.03</v>
      </c>
      <c r="O1069" s="8" t="s">
        <v>32</v>
      </c>
      <c r="P1069" s="4">
        <f>(C1069+(E1069*F1069*H1069))-N1069</f>
        <v>0</v>
      </c>
      <c r="Q1069" s="8" t="s">
        <v>32</v>
      </c>
      <c r="R1069" s="9">
        <f>S1069/1.11</f>
        <v>0</v>
      </c>
      <c r="S1069" s="9">
        <f>P1069*(J1069-(J1069*L1069)-((J1069-(J1069*L1069))*M1069))</f>
        <v>0</v>
      </c>
    </row>
    <row r="1070" spans="1:19" x14ac:dyDescent="0.2">
      <c r="A1070" s="24"/>
      <c r="O1070" s="35"/>
    </row>
    <row r="1071" spans="1:19" x14ac:dyDescent="0.2">
      <c r="A1071" s="30" t="s">
        <v>727</v>
      </c>
    </row>
    <row r="1072" spans="1:19" x14ac:dyDescent="0.2">
      <c r="A1072" s="2" t="s">
        <v>728</v>
      </c>
      <c r="B1072" s="3" t="s">
        <v>573</v>
      </c>
      <c r="D1072" s="5" t="s">
        <v>39</v>
      </c>
      <c r="F1072" s="7">
        <v>1</v>
      </c>
      <c r="G1072" s="8" t="s">
        <v>19</v>
      </c>
      <c r="H1072" s="7">
        <v>30</v>
      </c>
      <c r="I1072" s="8" t="s">
        <v>39</v>
      </c>
      <c r="J1072" s="9">
        <v>102000</v>
      </c>
      <c r="K1072" s="5" t="s">
        <v>39</v>
      </c>
      <c r="L1072" s="10">
        <v>0.17499999999999999</v>
      </c>
      <c r="M1072" s="10">
        <v>0.03</v>
      </c>
      <c r="O1072" s="8" t="s">
        <v>39</v>
      </c>
      <c r="P1072" s="4">
        <f>(C1072+(E1072*F1072*H1072))-N1072</f>
        <v>0</v>
      </c>
      <c r="Q1072" s="8" t="s">
        <v>39</v>
      </c>
      <c r="R1072" s="9">
        <f>S1072/1.11</f>
        <v>0</v>
      </c>
      <c r="S1072" s="9">
        <f>P1072*(J1072-(J1072*L1072)-((J1072-(J1072*L1072))*M1072))</f>
        <v>0</v>
      </c>
    </row>
    <row r="1074" spans="1:19" ht="15.75" x14ac:dyDescent="0.25">
      <c r="A1074" s="29" t="s">
        <v>588</v>
      </c>
    </row>
    <row r="1075" spans="1:19" x14ac:dyDescent="0.2">
      <c r="A1075" s="12" t="s">
        <v>589</v>
      </c>
      <c r="B1075" s="3" t="s">
        <v>170</v>
      </c>
      <c r="D1075" s="5" t="s">
        <v>97</v>
      </c>
      <c r="F1075" s="7">
        <v>1</v>
      </c>
      <c r="G1075" s="8" t="s">
        <v>19</v>
      </c>
      <c r="H1075" s="7">
        <v>60</v>
      </c>
      <c r="I1075" s="8" t="s">
        <v>97</v>
      </c>
      <c r="J1075" s="9">
        <v>8600</v>
      </c>
      <c r="K1075" s="5" t="s">
        <v>97</v>
      </c>
      <c r="L1075" s="10">
        <v>0.05</v>
      </c>
      <c r="O1075" s="8" t="s">
        <v>97</v>
      </c>
      <c r="P1075" s="4">
        <f>(C1075+(E1075*F1075*H1075))-N1075</f>
        <v>0</v>
      </c>
      <c r="Q1075" s="8" t="s">
        <v>97</v>
      </c>
      <c r="R1075" s="9">
        <f>S1075/1.11</f>
        <v>0</v>
      </c>
      <c r="S1075" s="9">
        <f>P1075*(J1075-(J1075*L1075)-((J1075-(J1075*L1075))*M1075))</f>
        <v>0</v>
      </c>
    </row>
    <row r="1076" spans="1:19" x14ac:dyDescent="0.2">
      <c r="A1076" s="12" t="s">
        <v>1010</v>
      </c>
      <c r="B1076" s="3" t="s">
        <v>170</v>
      </c>
      <c r="C1076" s="4">
        <v>240</v>
      </c>
      <c r="D1076" s="5" t="s">
        <v>97</v>
      </c>
      <c r="F1076" s="7">
        <v>1</v>
      </c>
      <c r="G1076" s="8" t="s">
        <v>19</v>
      </c>
      <c r="H1076" s="7">
        <v>60</v>
      </c>
      <c r="I1076" s="8" t="s">
        <v>97</v>
      </c>
      <c r="J1076" s="9">
        <v>8500</v>
      </c>
      <c r="K1076" s="5" t="s">
        <v>97</v>
      </c>
      <c r="L1076" s="10">
        <v>7.0000000000000007E-2</v>
      </c>
      <c r="O1076" s="8" t="s">
        <v>97</v>
      </c>
      <c r="P1076" s="4">
        <f>(C1076+(E1076*F1076*H1076))-N1076</f>
        <v>240</v>
      </c>
      <c r="Q1076" s="8" t="s">
        <v>97</v>
      </c>
      <c r="R1076" s="9">
        <f>S1076/1.11</f>
        <v>1709189.1891891891</v>
      </c>
      <c r="S1076" s="9">
        <f>P1076*(J1076-(J1076*L1076)-((J1076-(J1076*L1076))*M1076))</f>
        <v>1897200</v>
      </c>
    </row>
    <row r="1077" spans="1:19" x14ac:dyDescent="0.2">
      <c r="A1077" s="12"/>
    </row>
    <row r="1078" spans="1:19" x14ac:dyDescent="0.2">
      <c r="A1078" s="12" t="s">
        <v>870</v>
      </c>
      <c r="B1078" s="3" t="s">
        <v>17</v>
      </c>
      <c r="D1078" s="5" t="s">
        <v>32</v>
      </c>
      <c r="F1078" s="7">
        <v>1</v>
      </c>
      <c r="G1078" s="8" t="s">
        <v>19</v>
      </c>
      <c r="H1078" s="7">
        <v>50</v>
      </c>
      <c r="I1078" s="8" t="s">
        <v>32</v>
      </c>
      <c r="J1078" s="9">
        <v>44800</v>
      </c>
      <c r="K1078" s="5" t="s">
        <v>32</v>
      </c>
      <c r="L1078" s="10">
        <v>0.125</v>
      </c>
      <c r="M1078" s="10">
        <v>0.05</v>
      </c>
      <c r="O1078" s="8" t="s">
        <v>32</v>
      </c>
      <c r="P1078" s="4">
        <f t="shared" ref="P1078" si="356">(C1078+(E1078*F1078*H1078))-N1078</f>
        <v>0</v>
      </c>
      <c r="Q1078" s="8" t="s">
        <v>32</v>
      </c>
      <c r="R1078" s="9">
        <f>S1078/1.11</f>
        <v>0</v>
      </c>
      <c r="S1078" s="9">
        <f t="shared" ref="S1078" si="357">P1078*(J1078-(J1078*L1078)-((J1078-(J1078*L1078))*M1078))</f>
        <v>0</v>
      </c>
    </row>
    <row r="1079" spans="1:19" x14ac:dyDescent="0.2">
      <c r="A1079" s="12" t="s">
        <v>594</v>
      </c>
      <c r="B1079" s="3" t="s">
        <v>17</v>
      </c>
      <c r="D1079" s="5" t="s">
        <v>32</v>
      </c>
      <c r="F1079" s="7">
        <v>1</v>
      </c>
      <c r="G1079" s="8" t="s">
        <v>19</v>
      </c>
      <c r="H1079" s="7">
        <v>50</v>
      </c>
      <c r="I1079" s="8" t="s">
        <v>32</v>
      </c>
      <c r="J1079" s="9">
        <v>32300</v>
      </c>
      <c r="K1079" s="5" t="s">
        <v>32</v>
      </c>
      <c r="L1079" s="10">
        <v>0.125</v>
      </c>
      <c r="M1079" s="10">
        <v>0.05</v>
      </c>
      <c r="O1079" s="8" t="s">
        <v>32</v>
      </c>
      <c r="P1079" s="4">
        <f t="shared" ref="P1079:P1092" si="358">(C1079+(E1079*F1079*H1079))-N1079</f>
        <v>0</v>
      </c>
      <c r="Q1079" s="8" t="s">
        <v>32</v>
      </c>
      <c r="R1079" s="9">
        <f>S1079/1.11</f>
        <v>0</v>
      </c>
      <c r="S1079" s="9">
        <f t="shared" ref="S1079:S1092" si="359">P1079*(J1079-(J1079*L1079)-((J1079-(J1079*L1079))*M1079))</f>
        <v>0</v>
      </c>
    </row>
    <row r="1080" spans="1:19" x14ac:dyDescent="0.2">
      <c r="A1080" s="12" t="s">
        <v>595</v>
      </c>
      <c r="B1080" s="3" t="s">
        <v>17</v>
      </c>
      <c r="D1080" s="5" t="s">
        <v>32</v>
      </c>
      <c r="F1080" s="7">
        <v>1</v>
      </c>
      <c r="G1080" s="8" t="s">
        <v>19</v>
      </c>
      <c r="H1080" s="7">
        <v>50</v>
      </c>
      <c r="I1080" s="8" t="s">
        <v>32</v>
      </c>
      <c r="J1080" s="9">
        <v>12000</v>
      </c>
      <c r="K1080" s="5" t="s">
        <v>32</v>
      </c>
      <c r="L1080" s="10">
        <v>0.125</v>
      </c>
      <c r="M1080" s="10">
        <v>0.05</v>
      </c>
      <c r="O1080" s="8" t="s">
        <v>32</v>
      </c>
      <c r="P1080" s="4">
        <f t="shared" si="358"/>
        <v>0</v>
      </c>
      <c r="Q1080" s="8" t="s">
        <v>32</v>
      </c>
      <c r="R1080" s="9">
        <f>S1080/1.11</f>
        <v>0</v>
      </c>
      <c r="S1080" s="9">
        <f t="shared" si="359"/>
        <v>0</v>
      </c>
    </row>
    <row r="1081" spans="1:19" x14ac:dyDescent="0.2">
      <c r="A1081" s="12" t="s">
        <v>713</v>
      </c>
      <c r="B1081" s="3" t="s">
        <v>17</v>
      </c>
      <c r="D1081" s="5" t="s">
        <v>32</v>
      </c>
      <c r="F1081" s="7">
        <v>1</v>
      </c>
      <c r="G1081" s="8" t="s">
        <v>19</v>
      </c>
      <c r="H1081" s="7">
        <v>50</v>
      </c>
      <c r="I1081" s="8" t="s">
        <v>32</v>
      </c>
      <c r="J1081" s="9">
        <v>29100</v>
      </c>
      <c r="K1081" s="5" t="s">
        <v>32</v>
      </c>
      <c r="L1081" s="10">
        <v>0.125</v>
      </c>
      <c r="M1081" s="10">
        <v>0.05</v>
      </c>
      <c r="O1081" s="8" t="s">
        <v>32</v>
      </c>
      <c r="P1081" s="4">
        <f t="shared" si="358"/>
        <v>0</v>
      </c>
      <c r="Q1081" s="8" t="s">
        <v>32</v>
      </c>
      <c r="R1081" s="9">
        <f>S1081/1.11</f>
        <v>0</v>
      </c>
      <c r="S1081" s="9">
        <f t="shared" si="359"/>
        <v>0</v>
      </c>
    </row>
    <row r="1082" spans="1:19" x14ac:dyDescent="0.2">
      <c r="A1082" s="12" t="s">
        <v>596</v>
      </c>
      <c r="B1082" s="3" t="s">
        <v>17</v>
      </c>
      <c r="D1082" s="5" t="s">
        <v>32</v>
      </c>
      <c r="F1082" s="7">
        <v>1</v>
      </c>
      <c r="G1082" s="8" t="s">
        <v>19</v>
      </c>
      <c r="H1082" s="7">
        <v>50</v>
      </c>
      <c r="I1082" s="8" t="s">
        <v>32</v>
      </c>
      <c r="J1082" s="9">
        <v>36200</v>
      </c>
      <c r="K1082" s="5" t="s">
        <v>32</v>
      </c>
      <c r="L1082" s="10">
        <v>0.125</v>
      </c>
      <c r="M1082" s="10">
        <v>0.05</v>
      </c>
      <c r="O1082" s="8" t="s">
        <v>32</v>
      </c>
      <c r="P1082" s="4">
        <f t="shared" si="358"/>
        <v>0</v>
      </c>
      <c r="Q1082" s="8" t="s">
        <v>32</v>
      </c>
      <c r="R1082" s="9">
        <f>S1082/1.11</f>
        <v>0</v>
      </c>
      <c r="S1082" s="9">
        <f t="shared" si="359"/>
        <v>0</v>
      </c>
    </row>
    <row r="1083" spans="1:19" x14ac:dyDescent="0.2">
      <c r="A1083" s="12" t="s">
        <v>590</v>
      </c>
      <c r="B1083" s="3" t="s">
        <v>17</v>
      </c>
      <c r="D1083" s="5" t="s">
        <v>32</v>
      </c>
      <c r="F1083" s="7">
        <v>1</v>
      </c>
      <c r="G1083" s="8" t="s">
        <v>19</v>
      </c>
      <c r="H1083" s="7">
        <v>50</v>
      </c>
      <c r="I1083" s="8" t="s">
        <v>32</v>
      </c>
      <c r="J1083" s="9">
        <v>34100</v>
      </c>
      <c r="K1083" s="5" t="s">
        <v>32</v>
      </c>
      <c r="L1083" s="10">
        <v>0.125</v>
      </c>
      <c r="M1083" s="10">
        <v>0.05</v>
      </c>
      <c r="O1083" s="8" t="s">
        <v>32</v>
      </c>
      <c r="P1083" s="4">
        <f t="shared" si="358"/>
        <v>0</v>
      </c>
      <c r="Q1083" s="8" t="s">
        <v>32</v>
      </c>
      <c r="R1083" s="9">
        <f>S1083/1.11</f>
        <v>0</v>
      </c>
      <c r="S1083" s="9">
        <f t="shared" si="359"/>
        <v>0</v>
      </c>
    </row>
    <row r="1084" spans="1:19" x14ac:dyDescent="0.2">
      <c r="A1084" s="2" t="s">
        <v>591</v>
      </c>
      <c r="B1084" s="3" t="s">
        <v>17</v>
      </c>
      <c r="D1084" s="5" t="s">
        <v>32</v>
      </c>
      <c r="F1084" s="7">
        <v>1</v>
      </c>
      <c r="G1084" s="8" t="s">
        <v>19</v>
      </c>
      <c r="H1084" s="7">
        <v>50</v>
      </c>
      <c r="I1084" s="8" t="s">
        <v>32</v>
      </c>
      <c r="J1084" s="9">
        <v>34100</v>
      </c>
      <c r="K1084" s="5" t="s">
        <v>32</v>
      </c>
      <c r="L1084" s="10">
        <v>0.125</v>
      </c>
      <c r="M1084" s="10">
        <v>0.05</v>
      </c>
      <c r="O1084" s="8" t="s">
        <v>32</v>
      </c>
      <c r="P1084" s="4">
        <f t="shared" si="358"/>
        <v>0</v>
      </c>
      <c r="Q1084" s="8" t="s">
        <v>32</v>
      </c>
      <c r="R1084" s="9">
        <f>S1084/1.11</f>
        <v>0</v>
      </c>
      <c r="S1084" s="9">
        <f t="shared" si="359"/>
        <v>0</v>
      </c>
    </row>
    <row r="1085" spans="1:19" x14ac:dyDescent="0.2">
      <c r="A1085" s="2" t="s">
        <v>592</v>
      </c>
      <c r="B1085" s="3" t="s">
        <v>17</v>
      </c>
      <c r="D1085" s="5" t="s">
        <v>32</v>
      </c>
      <c r="F1085" s="7">
        <v>1</v>
      </c>
      <c r="G1085" s="8" t="s">
        <v>19</v>
      </c>
      <c r="H1085" s="7">
        <v>50</v>
      </c>
      <c r="I1085" s="8" t="s">
        <v>32</v>
      </c>
      <c r="J1085" s="9">
        <v>32000</v>
      </c>
      <c r="K1085" s="5" t="s">
        <v>32</v>
      </c>
      <c r="L1085" s="10">
        <v>0.125</v>
      </c>
      <c r="M1085" s="10">
        <v>0.05</v>
      </c>
      <c r="O1085" s="8" t="s">
        <v>32</v>
      </c>
      <c r="P1085" s="4">
        <f t="shared" si="358"/>
        <v>0</v>
      </c>
      <c r="Q1085" s="8" t="s">
        <v>32</v>
      </c>
      <c r="R1085" s="9">
        <f>S1085/1.11</f>
        <v>0</v>
      </c>
      <c r="S1085" s="9">
        <f t="shared" si="359"/>
        <v>0</v>
      </c>
    </row>
    <row r="1086" spans="1:19" x14ac:dyDescent="0.2">
      <c r="A1086" s="12" t="s">
        <v>593</v>
      </c>
      <c r="B1086" s="3" t="s">
        <v>17</v>
      </c>
      <c r="D1086" s="5" t="s">
        <v>32</v>
      </c>
      <c r="F1086" s="7">
        <v>1</v>
      </c>
      <c r="G1086" s="8" t="s">
        <v>19</v>
      </c>
      <c r="H1086" s="7">
        <v>50</v>
      </c>
      <c r="I1086" s="8" t="s">
        <v>32</v>
      </c>
      <c r="J1086" s="9">
        <v>32000</v>
      </c>
      <c r="K1086" s="5" t="s">
        <v>32</v>
      </c>
      <c r="L1086" s="10">
        <v>0.125</v>
      </c>
      <c r="M1086" s="10">
        <v>0.05</v>
      </c>
      <c r="O1086" s="8" t="s">
        <v>32</v>
      </c>
      <c r="P1086" s="4">
        <f t="shared" si="358"/>
        <v>0</v>
      </c>
      <c r="Q1086" s="8" t="s">
        <v>32</v>
      </c>
      <c r="R1086" s="9">
        <f>S1086/1.11</f>
        <v>0</v>
      </c>
      <c r="S1086" s="9">
        <f t="shared" si="359"/>
        <v>0</v>
      </c>
    </row>
    <row r="1087" spans="1:19" x14ac:dyDescent="0.2">
      <c r="A1087" s="12" t="s">
        <v>940</v>
      </c>
      <c r="B1087" s="3" t="s">
        <v>17</v>
      </c>
      <c r="D1087" s="5" t="s">
        <v>32</v>
      </c>
      <c r="F1087" s="7">
        <v>1</v>
      </c>
      <c r="G1087" s="8" t="s">
        <v>19</v>
      </c>
      <c r="H1087" s="7">
        <v>32</v>
      </c>
      <c r="I1087" s="8" t="s">
        <v>32</v>
      </c>
      <c r="J1087" s="9">
        <v>74800</v>
      </c>
      <c r="K1087" s="5" t="s">
        <v>32</v>
      </c>
      <c r="L1087" s="10">
        <v>0.125</v>
      </c>
      <c r="M1087" s="10">
        <v>0.05</v>
      </c>
      <c r="O1087" s="8" t="s">
        <v>32</v>
      </c>
      <c r="P1087" s="4">
        <f t="shared" ref="P1087:P1088" si="360">(C1087+(E1087*F1087*H1087))-N1087</f>
        <v>0</v>
      </c>
      <c r="Q1087" s="8" t="s">
        <v>32</v>
      </c>
      <c r="R1087" s="9">
        <f>S1087/1.11</f>
        <v>0</v>
      </c>
      <c r="S1087" s="9">
        <f t="shared" ref="S1087:S1088" si="361">P1087*(J1087-(J1087*L1087)-((J1087-(J1087*L1087))*M1087))</f>
        <v>0</v>
      </c>
    </row>
    <row r="1088" spans="1:19" x14ac:dyDescent="0.2">
      <c r="A1088" s="12" t="s">
        <v>941</v>
      </c>
      <c r="B1088" s="3" t="s">
        <v>17</v>
      </c>
      <c r="D1088" s="5" t="s">
        <v>32</v>
      </c>
      <c r="F1088" s="7">
        <v>1</v>
      </c>
      <c r="G1088" s="8" t="s">
        <v>19</v>
      </c>
      <c r="H1088" s="7">
        <v>32</v>
      </c>
      <c r="I1088" s="8" t="s">
        <v>32</v>
      </c>
      <c r="J1088" s="9">
        <v>70000</v>
      </c>
      <c r="K1088" s="5" t="s">
        <v>32</v>
      </c>
      <c r="L1088" s="10">
        <v>0.125</v>
      </c>
      <c r="M1088" s="10">
        <v>0.05</v>
      </c>
      <c r="O1088" s="8" t="s">
        <v>32</v>
      </c>
      <c r="P1088" s="4">
        <f t="shared" si="360"/>
        <v>0</v>
      </c>
      <c r="Q1088" s="8" t="s">
        <v>32</v>
      </c>
      <c r="R1088" s="9">
        <f>S1088/1.11</f>
        <v>0</v>
      </c>
      <c r="S1088" s="9">
        <f t="shared" si="361"/>
        <v>0</v>
      </c>
    </row>
    <row r="1089" spans="1:19" x14ac:dyDescent="0.2">
      <c r="A1089" s="12" t="s">
        <v>597</v>
      </c>
      <c r="B1089" s="3" t="s">
        <v>17</v>
      </c>
      <c r="D1089" s="5" t="s">
        <v>32</v>
      </c>
      <c r="F1089" s="7">
        <v>1</v>
      </c>
      <c r="G1089" s="8" t="s">
        <v>19</v>
      </c>
      <c r="H1089" s="7">
        <v>50</v>
      </c>
      <c r="I1089" s="8" t="s">
        <v>32</v>
      </c>
      <c r="J1089" s="9">
        <v>28300</v>
      </c>
      <c r="K1089" s="5" t="s">
        <v>32</v>
      </c>
      <c r="L1089" s="10">
        <v>0.125</v>
      </c>
      <c r="M1089" s="10">
        <v>0.05</v>
      </c>
      <c r="O1089" s="8" t="s">
        <v>32</v>
      </c>
      <c r="P1089" s="4">
        <f t="shared" si="358"/>
        <v>0</v>
      </c>
      <c r="Q1089" s="8" t="s">
        <v>32</v>
      </c>
      <c r="R1089" s="9">
        <f>S1089/1.11</f>
        <v>0</v>
      </c>
      <c r="S1089" s="9">
        <f t="shared" si="359"/>
        <v>0</v>
      </c>
    </row>
    <row r="1090" spans="1:19" x14ac:dyDescent="0.2">
      <c r="A1090" s="12" t="s">
        <v>598</v>
      </c>
      <c r="B1090" s="3" t="s">
        <v>17</v>
      </c>
      <c r="D1090" s="5" t="s">
        <v>32</v>
      </c>
      <c r="F1090" s="7">
        <v>1</v>
      </c>
      <c r="G1090" s="8" t="s">
        <v>19</v>
      </c>
      <c r="H1090" s="7">
        <v>50</v>
      </c>
      <c r="I1090" s="8" t="s">
        <v>32</v>
      </c>
      <c r="J1090" s="9">
        <v>28300</v>
      </c>
      <c r="K1090" s="5" t="s">
        <v>32</v>
      </c>
      <c r="L1090" s="10">
        <v>0.125</v>
      </c>
      <c r="M1090" s="10">
        <v>0.05</v>
      </c>
      <c r="O1090" s="8" t="s">
        <v>32</v>
      </c>
      <c r="P1090" s="4">
        <f t="shared" si="358"/>
        <v>0</v>
      </c>
      <c r="Q1090" s="8" t="s">
        <v>32</v>
      </c>
      <c r="R1090" s="9">
        <f>S1090/1.11</f>
        <v>0</v>
      </c>
      <c r="S1090" s="9">
        <f t="shared" si="359"/>
        <v>0</v>
      </c>
    </row>
    <row r="1091" spans="1:19" x14ac:dyDescent="0.2">
      <c r="A1091" s="12" t="s">
        <v>599</v>
      </c>
      <c r="B1091" s="3" t="s">
        <v>17</v>
      </c>
      <c r="D1091" s="5" t="s">
        <v>32</v>
      </c>
      <c r="F1091" s="7">
        <v>1</v>
      </c>
      <c r="G1091" s="8" t="s">
        <v>19</v>
      </c>
      <c r="H1091" s="7">
        <v>50</v>
      </c>
      <c r="I1091" s="8" t="s">
        <v>32</v>
      </c>
      <c r="J1091" s="9">
        <v>28600</v>
      </c>
      <c r="K1091" s="5" t="s">
        <v>32</v>
      </c>
      <c r="L1091" s="10">
        <v>0.125</v>
      </c>
      <c r="M1091" s="10">
        <v>0.05</v>
      </c>
      <c r="O1091" s="8" t="s">
        <v>32</v>
      </c>
      <c r="P1091" s="4">
        <f t="shared" ref="P1091" si="362">(C1091+(E1091*F1091*H1091))-N1091</f>
        <v>0</v>
      </c>
      <c r="Q1091" s="8" t="s">
        <v>32</v>
      </c>
      <c r="R1091" s="9">
        <f>S1091/1.11</f>
        <v>0</v>
      </c>
      <c r="S1091" s="9">
        <f t="shared" ref="S1091" si="363">P1091*(J1091-(J1091*L1091)-((J1091-(J1091*L1091))*M1091))</f>
        <v>0</v>
      </c>
    </row>
    <row r="1092" spans="1:19" x14ac:dyDescent="0.2">
      <c r="A1092" s="12" t="s">
        <v>599</v>
      </c>
      <c r="B1092" s="3" t="s">
        <v>17</v>
      </c>
      <c r="D1092" s="5" t="s">
        <v>32</v>
      </c>
      <c r="F1092" s="7">
        <v>1</v>
      </c>
      <c r="G1092" s="8" t="s">
        <v>19</v>
      </c>
      <c r="H1092" s="7">
        <v>50</v>
      </c>
      <c r="I1092" s="8" t="s">
        <v>32</v>
      </c>
      <c r="J1092" s="9">
        <v>26500</v>
      </c>
      <c r="K1092" s="5" t="s">
        <v>32</v>
      </c>
      <c r="L1092" s="10">
        <v>0.125</v>
      </c>
      <c r="M1092" s="10">
        <v>0.05</v>
      </c>
      <c r="O1092" s="8" t="s">
        <v>32</v>
      </c>
      <c r="P1092" s="4">
        <f t="shared" si="358"/>
        <v>0</v>
      </c>
      <c r="Q1092" s="8" t="s">
        <v>32</v>
      </c>
      <c r="R1092" s="9">
        <f>S1092/1.11</f>
        <v>0</v>
      </c>
      <c r="S1092" s="9">
        <f t="shared" si="359"/>
        <v>0</v>
      </c>
    </row>
    <row r="1093" spans="1:19" x14ac:dyDescent="0.2">
      <c r="A1093" s="12"/>
    </row>
    <row r="1094" spans="1:19" x14ac:dyDescent="0.2">
      <c r="A1094" s="15" t="s">
        <v>600</v>
      </c>
      <c r="B1094" s="3" t="s">
        <v>24</v>
      </c>
      <c r="D1094" s="5" t="s">
        <v>32</v>
      </c>
      <c r="F1094" s="7">
        <v>1</v>
      </c>
      <c r="G1094" s="8" t="s">
        <v>19</v>
      </c>
      <c r="H1094" s="7">
        <v>50</v>
      </c>
      <c r="I1094" s="8" t="s">
        <v>32</v>
      </c>
      <c r="J1094" s="9">
        <f>1500000/50</f>
        <v>30000</v>
      </c>
      <c r="K1094" s="5" t="s">
        <v>32</v>
      </c>
      <c r="M1094" s="10">
        <v>0.17</v>
      </c>
      <c r="O1094" s="8" t="s">
        <v>32</v>
      </c>
      <c r="P1094" s="4">
        <f t="shared" ref="P1094:P1099" si="364">(C1094+(E1094*F1094*H1094))-N1094</f>
        <v>0</v>
      </c>
      <c r="Q1094" s="8" t="s">
        <v>32</v>
      </c>
      <c r="R1094" s="9">
        <f>S1094/1.11</f>
        <v>0</v>
      </c>
      <c r="S1094" s="9">
        <f t="shared" ref="S1094:S1099" si="365">P1094*(J1094-(J1094*L1094)-((J1094-(J1094*L1094))*M1094))</f>
        <v>0</v>
      </c>
    </row>
    <row r="1095" spans="1:19" x14ac:dyDescent="0.2">
      <c r="A1095" s="15" t="s">
        <v>601</v>
      </c>
      <c r="B1095" s="3" t="s">
        <v>24</v>
      </c>
      <c r="D1095" s="5" t="s">
        <v>32</v>
      </c>
      <c r="F1095" s="7">
        <v>1</v>
      </c>
      <c r="G1095" s="8" t="s">
        <v>19</v>
      </c>
      <c r="H1095" s="7">
        <v>50</v>
      </c>
      <c r="I1095" s="8" t="s">
        <v>32</v>
      </c>
      <c r="J1095" s="9">
        <f>1500000/50</f>
        <v>30000</v>
      </c>
      <c r="K1095" s="5" t="s">
        <v>32</v>
      </c>
      <c r="M1095" s="10">
        <v>0.17</v>
      </c>
      <c r="O1095" s="8" t="s">
        <v>32</v>
      </c>
      <c r="P1095" s="4">
        <f t="shared" si="364"/>
        <v>0</v>
      </c>
      <c r="Q1095" s="8" t="s">
        <v>32</v>
      </c>
      <c r="R1095" s="9">
        <f>S1095/1.11</f>
        <v>0</v>
      </c>
      <c r="S1095" s="9">
        <f t="shared" si="365"/>
        <v>0</v>
      </c>
    </row>
    <row r="1096" spans="1:19" x14ac:dyDescent="0.2">
      <c r="A1096" s="12" t="s">
        <v>716</v>
      </c>
      <c r="B1096" s="3" t="s">
        <v>24</v>
      </c>
      <c r="D1096" s="5" t="s">
        <v>32</v>
      </c>
      <c r="F1096" s="7">
        <v>1</v>
      </c>
      <c r="G1096" s="8" t="s">
        <v>19</v>
      </c>
      <c r="H1096" s="7">
        <v>50</v>
      </c>
      <c r="I1096" s="8" t="s">
        <v>32</v>
      </c>
      <c r="J1096" s="9">
        <v>32400</v>
      </c>
      <c r="K1096" s="5" t="s">
        <v>32</v>
      </c>
      <c r="M1096" s="10">
        <v>0.17</v>
      </c>
      <c r="O1096" s="8" t="s">
        <v>32</v>
      </c>
      <c r="P1096" s="4">
        <f t="shared" si="364"/>
        <v>0</v>
      </c>
      <c r="Q1096" s="8" t="s">
        <v>32</v>
      </c>
      <c r="R1096" s="9">
        <f>S1096/1.11</f>
        <v>0</v>
      </c>
      <c r="S1096" s="9">
        <f t="shared" si="365"/>
        <v>0</v>
      </c>
    </row>
    <row r="1097" spans="1:19" x14ac:dyDescent="0.2">
      <c r="A1097" s="12" t="s">
        <v>602</v>
      </c>
      <c r="B1097" s="3" t="s">
        <v>24</v>
      </c>
      <c r="D1097" s="5" t="s">
        <v>32</v>
      </c>
      <c r="F1097" s="7">
        <v>1</v>
      </c>
      <c r="G1097" s="8" t="s">
        <v>19</v>
      </c>
      <c r="H1097" s="7">
        <v>50</v>
      </c>
      <c r="I1097" s="8" t="s">
        <v>32</v>
      </c>
      <c r="J1097" s="9">
        <v>28500</v>
      </c>
      <c r="K1097" s="5" t="s">
        <v>32</v>
      </c>
      <c r="M1097" s="10">
        <v>0.17</v>
      </c>
      <c r="O1097" s="8" t="s">
        <v>32</v>
      </c>
      <c r="P1097" s="4">
        <f t="shared" si="364"/>
        <v>0</v>
      </c>
      <c r="Q1097" s="8" t="s">
        <v>32</v>
      </c>
      <c r="R1097" s="9">
        <f>S1097/1.11</f>
        <v>0</v>
      </c>
      <c r="S1097" s="9">
        <f t="shared" si="365"/>
        <v>0</v>
      </c>
    </row>
    <row r="1098" spans="1:19" x14ac:dyDescent="0.2">
      <c r="A1098" s="15" t="s">
        <v>603</v>
      </c>
      <c r="B1098" s="3" t="s">
        <v>24</v>
      </c>
      <c r="D1098" s="5" t="s">
        <v>32</v>
      </c>
      <c r="F1098" s="7">
        <v>1</v>
      </c>
      <c r="G1098" s="8" t="s">
        <v>19</v>
      </c>
      <c r="H1098" s="7">
        <v>50</v>
      </c>
      <c r="I1098" s="8" t="s">
        <v>32</v>
      </c>
      <c r="J1098" s="9">
        <f>1375000/50</f>
        <v>27500</v>
      </c>
      <c r="K1098" s="5" t="s">
        <v>32</v>
      </c>
      <c r="M1098" s="10">
        <v>0.17</v>
      </c>
      <c r="O1098" s="8" t="s">
        <v>32</v>
      </c>
      <c r="P1098" s="4">
        <f t="shared" si="364"/>
        <v>0</v>
      </c>
      <c r="Q1098" s="8" t="s">
        <v>32</v>
      </c>
      <c r="R1098" s="9">
        <f>S1098/1.11</f>
        <v>0</v>
      </c>
      <c r="S1098" s="9">
        <f t="shared" si="365"/>
        <v>0</v>
      </c>
    </row>
    <row r="1099" spans="1:19" x14ac:dyDescent="0.2">
      <c r="A1099" s="15" t="s">
        <v>604</v>
      </c>
      <c r="B1099" s="3" t="s">
        <v>24</v>
      </c>
      <c r="D1099" s="5" t="s">
        <v>32</v>
      </c>
      <c r="F1099" s="7">
        <v>1</v>
      </c>
      <c r="G1099" s="8" t="s">
        <v>19</v>
      </c>
      <c r="H1099" s="7">
        <v>50</v>
      </c>
      <c r="I1099" s="8" t="s">
        <v>32</v>
      </c>
      <c r="J1099" s="9">
        <f>1375000/50</f>
        <v>27500</v>
      </c>
      <c r="K1099" s="5" t="s">
        <v>32</v>
      </c>
      <c r="M1099" s="10">
        <v>0.17</v>
      </c>
      <c r="O1099" s="8" t="s">
        <v>32</v>
      </c>
      <c r="P1099" s="4">
        <f t="shared" si="364"/>
        <v>0</v>
      </c>
      <c r="Q1099" s="8" t="s">
        <v>32</v>
      </c>
      <c r="R1099" s="9">
        <f>S1099/1.11</f>
        <v>0</v>
      </c>
      <c r="S1099" s="9">
        <f t="shared" si="365"/>
        <v>0</v>
      </c>
    </row>
    <row r="1101" spans="1:19" ht="15.75" x14ac:dyDescent="0.25">
      <c r="A1101" s="29" t="s">
        <v>746</v>
      </c>
    </row>
    <row r="1102" spans="1:19" x14ac:dyDescent="0.2">
      <c r="A1102" s="2" t="s">
        <v>748</v>
      </c>
      <c r="B1102" s="3" t="s">
        <v>170</v>
      </c>
      <c r="D1102" s="5" t="s">
        <v>18</v>
      </c>
      <c r="F1102" s="7">
        <v>50</v>
      </c>
      <c r="G1102" s="8" t="s">
        <v>97</v>
      </c>
      <c r="H1102" s="7">
        <v>100</v>
      </c>
      <c r="I1102" s="8" t="s">
        <v>18</v>
      </c>
      <c r="J1102" s="9">
        <f>39500/100</f>
        <v>395</v>
      </c>
      <c r="K1102" s="5" t="s">
        <v>18</v>
      </c>
      <c r="L1102" s="10">
        <v>0.05</v>
      </c>
      <c r="O1102" s="8" t="s">
        <v>18</v>
      </c>
      <c r="P1102" s="4">
        <f>(C1102+(E1102*F1102*H1102))-N1102</f>
        <v>0</v>
      </c>
      <c r="Q1102" s="8" t="s">
        <v>18</v>
      </c>
      <c r="R1102" s="9">
        <f>S1102/1.11</f>
        <v>0</v>
      </c>
      <c r="S1102" s="9">
        <f>P1102*(J1102-(J1102*L1102)-((J1102-(J1102*L1102))*M1102))</f>
        <v>0</v>
      </c>
    </row>
    <row r="1104" spans="1:19" ht="15.75" x14ac:dyDescent="0.25">
      <c r="A1104" s="29" t="s">
        <v>605</v>
      </c>
    </row>
    <row r="1105" spans="1:19" x14ac:dyDescent="0.2">
      <c r="A1105" s="30" t="s">
        <v>606</v>
      </c>
    </row>
    <row r="1106" spans="1:19" x14ac:dyDescent="0.2">
      <c r="A1106" s="15" t="s">
        <v>607</v>
      </c>
      <c r="B1106" s="3" t="s">
        <v>180</v>
      </c>
      <c r="D1106" s="5" t="s">
        <v>275</v>
      </c>
      <c r="F1106" s="7">
        <v>1</v>
      </c>
      <c r="G1106" s="8" t="s">
        <v>19</v>
      </c>
      <c r="H1106" s="7">
        <v>720</v>
      </c>
      <c r="I1106" s="8" t="s">
        <v>275</v>
      </c>
      <c r="J1106" s="9">
        <v>3100</v>
      </c>
      <c r="K1106" s="5" t="s">
        <v>275</v>
      </c>
      <c r="M1106" s="10">
        <v>0.15</v>
      </c>
      <c r="O1106" s="8" t="s">
        <v>275</v>
      </c>
      <c r="P1106" s="4">
        <f>(C1106+(E1106*F1106*H1106))-N1106</f>
        <v>0</v>
      </c>
      <c r="Q1106" s="8" t="s">
        <v>275</v>
      </c>
      <c r="R1106" s="9">
        <f>S1106/1.11</f>
        <v>0</v>
      </c>
      <c r="S1106" s="9">
        <f>P1106*(J1106-(J1106*L1106)-((J1106-(J1106*L1106))*M1106))</f>
        <v>0</v>
      </c>
    </row>
    <row r="1107" spans="1:19" x14ac:dyDescent="0.2">
      <c r="A1107" s="15" t="s">
        <v>608</v>
      </c>
      <c r="B1107" s="3" t="s">
        <v>180</v>
      </c>
      <c r="D1107" s="5" t="s">
        <v>275</v>
      </c>
      <c r="F1107" s="7">
        <v>1</v>
      </c>
      <c r="G1107" s="8" t="s">
        <v>19</v>
      </c>
      <c r="H1107" s="7">
        <v>480</v>
      </c>
      <c r="I1107" s="8" t="s">
        <v>275</v>
      </c>
      <c r="J1107" s="9">
        <v>4750</v>
      </c>
      <c r="K1107" s="5" t="s">
        <v>275</v>
      </c>
      <c r="M1107" s="10">
        <v>0.15</v>
      </c>
      <c r="O1107" s="8" t="s">
        <v>275</v>
      </c>
      <c r="P1107" s="4">
        <f>(C1107+(E1107*F1107*H1107))-N1107</f>
        <v>0</v>
      </c>
      <c r="Q1107" s="8" t="s">
        <v>275</v>
      </c>
      <c r="R1107" s="9">
        <f>S1107/1.11</f>
        <v>0</v>
      </c>
      <c r="S1107" s="9">
        <f>P1107*(J1107-(J1107*L1107)-((J1107-(J1107*L1107))*M1107))</f>
        <v>0</v>
      </c>
    </row>
    <row r="1108" spans="1:19" x14ac:dyDescent="0.2">
      <c r="A1108" s="15" t="s">
        <v>609</v>
      </c>
      <c r="B1108" s="3" t="s">
        <v>180</v>
      </c>
      <c r="D1108" s="5" t="s">
        <v>275</v>
      </c>
      <c r="F1108" s="7">
        <v>1</v>
      </c>
      <c r="G1108" s="8" t="s">
        <v>19</v>
      </c>
      <c r="H1108" s="7">
        <v>360</v>
      </c>
      <c r="I1108" s="8" t="s">
        <v>275</v>
      </c>
      <c r="J1108" s="9">
        <v>6000</v>
      </c>
      <c r="K1108" s="5" t="s">
        <v>275</v>
      </c>
      <c r="M1108" s="10">
        <v>0.15</v>
      </c>
      <c r="O1108" s="8" t="s">
        <v>275</v>
      </c>
      <c r="P1108" s="4">
        <f>(C1108+(E1108*F1108*H1108))-N1108</f>
        <v>0</v>
      </c>
      <c r="Q1108" s="8" t="s">
        <v>275</v>
      </c>
      <c r="R1108" s="9">
        <f>S1108/1.11</f>
        <v>0</v>
      </c>
      <c r="S1108" s="9">
        <f>P1108*(J1108-(J1108*L1108)-((J1108-(J1108*L1108))*M1108))</f>
        <v>0</v>
      </c>
    </row>
    <row r="1109" spans="1:19" x14ac:dyDescent="0.2">
      <c r="A1109" s="12"/>
    </row>
    <row r="1110" spans="1:19" x14ac:dyDescent="0.2">
      <c r="A1110" s="12" t="s">
        <v>610</v>
      </c>
      <c r="B1110" s="3" t="s">
        <v>17</v>
      </c>
      <c r="D1110" s="5" t="s">
        <v>275</v>
      </c>
      <c r="F1110" s="7">
        <v>10</v>
      </c>
      <c r="G1110" s="8" t="s">
        <v>97</v>
      </c>
      <c r="H1110" s="7">
        <v>24</v>
      </c>
      <c r="I1110" s="8" t="s">
        <v>275</v>
      </c>
      <c r="J1110" s="9">
        <v>2300</v>
      </c>
      <c r="K1110" s="5" t="s">
        <v>275</v>
      </c>
      <c r="L1110" s="10">
        <v>0.125</v>
      </c>
      <c r="M1110" s="10">
        <v>0.05</v>
      </c>
      <c r="O1110" s="8" t="s">
        <v>275</v>
      </c>
      <c r="P1110" s="4">
        <f>(C1110+(E1110*F1110*H1110))-N1110</f>
        <v>0</v>
      </c>
      <c r="Q1110" s="8" t="s">
        <v>275</v>
      </c>
      <c r="R1110" s="9">
        <f>S1110/1.11</f>
        <v>0</v>
      </c>
      <c r="S1110" s="9">
        <f>P1110*(J1110-(J1110*L1110)-((J1110-(J1110*L1110))*M1110))</f>
        <v>0</v>
      </c>
    </row>
    <row r="1111" spans="1:19" x14ac:dyDescent="0.2">
      <c r="A1111" s="12" t="s">
        <v>611</v>
      </c>
      <c r="B1111" s="3" t="s">
        <v>17</v>
      </c>
      <c r="D1111" s="5" t="s">
        <v>275</v>
      </c>
      <c r="F1111" s="7">
        <v>10</v>
      </c>
      <c r="G1111" s="8" t="s">
        <v>97</v>
      </c>
      <c r="H1111" s="7">
        <v>12</v>
      </c>
      <c r="I1111" s="8" t="s">
        <v>275</v>
      </c>
      <c r="J1111" s="9">
        <v>4600</v>
      </c>
      <c r="K1111" s="5" t="s">
        <v>275</v>
      </c>
      <c r="L1111" s="10">
        <v>0.125</v>
      </c>
      <c r="M1111" s="10">
        <v>0.05</v>
      </c>
      <c r="O1111" s="8" t="s">
        <v>275</v>
      </c>
      <c r="P1111" s="4">
        <f>(C1111+(E1111*F1111*H1111))-N1111</f>
        <v>0</v>
      </c>
      <c r="Q1111" s="8" t="s">
        <v>275</v>
      </c>
      <c r="R1111" s="9">
        <f>S1111/1.11</f>
        <v>0</v>
      </c>
      <c r="S1111" s="9">
        <f>P1111*(J1111-(J1111*L1111)-((J1111-(J1111*L1111))*M1111))</f>
        <v>0</v>
      </c>
    </row>
    <row r="1112" spans="1:19" x14ac:dyDescent="0.2">
      <c r="A1112" s="12"/>
    </row>
    <row r="1113" spans="1:19" x14ac:dyDescent="0.2">
      <c r="A1113" s="13" t="s">
        <v>612</v>
      </c>
      <c r="B1113" s="3" t="s">
        <v>24</v>
      </c>
      <c r="D1113" s="5" t="s">
        <v>275</v>
      </c>
      <c r="F1113" s="7">
        <v>1</v>
      </c>
      <c r="G1113" s="8" t="s">
        <v>19</v>
      </c>
      <c r="H1113" s="7">
        <v>480</v>
      </c>
      <c r="I1113" s="8" t="s">
        <v>275</v>
      </c>
      <c r="J1113" s="9">
        <f>588000/480</f>
        <v>1225</v>
      </c>
      <c r="K1113" s="5" t="s">
        <v>275</v>
      </c>
      <c r="M1113" s="10">
        <v>0.17</v>
      </c>
      <c r="O1113" s="8" t="s">
        <v>275</v>
      </c>
      <c r="P1113" s="4">
        <f>(C1113+(E1113*F1113*H1113))-N1113</f>
        <v>0</v>
      </c>
      <c r="Q1113" s="8" t="s">
        <v>275</v>
      </c>
      <c r="R1113" s="9">
        <f>S1113/1.11</f>
        <v>0</v>
      </c>
      <c r="S1113" s="9">
        <f>P1113*(J1113-(J1113*L1113)-((J1113-(J1113*L1113))*M1113))</f>
        <v>0</v>
      </c>
    </row>
    <row r="1114" spans="1:19" x14ac:dyDescent="0.2">
      <c r="A1114" s="13" t="s">
        <v>613</v>
      </c>
      <c r="B1114" s="3" t="s">
        <v>24</v>
      </c>
      <c r="D1114" s="5" t="s">
        <v>275</v>
      </c>
      <c r="F1114" s="7">
        <v>1</v>
      </c>
      <c r="G1114" s="8" t="s">
        <v>19</v>
      </c>
      <c r="H1114" s="7">
        <v>240</v>
      </c>
      <c r="I1114" s="8" t="s">
        <v>275</v>
      </c>
      <c r="J1114" s="9">
        <f>588000/240</f>
        <v>2450</v>
      </c>
      <c r="K1114" s="5" t="s">
        <v>275</v>
      </c>
      <c r="M1114" s="10">
        <v>0.17</v>
      </c>
      <c r="O1114" s="8" t="s">
        <v>275</v>
      </c>
      <c r="P1114" s="4">
        <f>(C1114+(E1114*F1114*H1114))-N1114</f>
        <v>0</v>
      </c>
      <c r="Q1114" s="8" t="s">
        <v>275</v>
      </c>
      <c r="R1114" s="9">
        <f>S1114/1.11</f>
        <v>0</v>
      </c>
      <c r="S1114" s="9">
        <f>P1114*(J1114-(J1114*L1114)-((J1114-(J1114*L1114))*M1114))</f>
        <v>0</v>
      </c>
    </row>
    <row r="1115" spans="1:19" x14ac:dyDescent="0.2">
      <c r="A1115" s="13" t="s">
        <v>614</v>
      </c>
      <c r="B1115" s="3" t="s">
        <v>24</v>
      </c>
      <c r="D1115" s="5" t="s">
        <v>275</v>
      </c>
      <c r="F1115" s="7">
        <v>1</v>
      </c>
      <c r="G1115" s="8" t="s">
        <v>19</v>
      </c>
      <c r="H1115" s="7">
        <v>120</v>
      </c>
      <c r="I1115" s="8" t="s">
        <v>275</v>
      </c>
      <c r="J1115" s="9">
        <v>4800</v>
      </c>
      <c r="K1115" s="5" t="s">
        <v>275</v>
      </c>
      <c r="M1115" s="10">
        <v>0.17</v>
      </c>
      <c r="O1115" s="8" t="s">
        <v>275</v>
      </c>
      <c r="P1115" s="4">
        <f>(C1115+(E1115*F1115*H1115))-N1115</f>
        <v>0</v>
      </c>
      <c r="Q1115" s="8" t="s">
        <v>275</v>
      </c>
      <c r="R1115" s="9">
        <f>S1115/1.11</f>
        <v>0</v>
      </c>
      <c r="S1115" s="9">
        <f>P1115*(J1115-(J1115*L1115)-((J1115-(J1115*L1115))*M1115))</f>
        <v>0</v>
      </c>
    </row>
    <row r="1116" spans="1:19" x14ac:dyDescent="0.2">
      <c r="A1116" s="13" t="s">
        <v>615</v>
      </c>
      <c r="B1116" s="3" t="s">
        <v>24</v>
      </c>
      <c r="D1116" s="5" t="s">
        <v>275</v>
      </c>
      <c r="F1116" s="7">
        <v>1</v>
      </c>
      <c r="G1116" s="8" t="s">
        <v>19</v>
      </c>
      <c r="H1116" s="7">
        <v>60</v>
      </c>
      <c r="I1116" s="8" t="s">
        <v>275</v>
      </c>
      <c r="J1116" s="9">
        <v>9500</v>
      </c>
      <c r="K1116" s="5" t="s">
        <v>275</v>
      </c>
      <c r="M1116" s="10">
        <v>0.17</v>
      </c>
      <c r="O1116" s="8" t="s">
        <v>275</v>
      </c>
      <c r="P1116" s="4">
        <f>(C1116+(E1116*F1116*H1116))-N1116</f>
        <v>0</v>
      </c>
      <c r="Q1116" s="8" t="s">
        <v>275</v>
      </c>
      <c r="R1116" s="9">
        <f>S1116/1.11</f>
        <v>0</v>
      </c>
      <c r="S1116" s="9">
        <f>P1116*(J1116-(J1116*L1116)-((J1116-(J1116*L1116))*M1116))</f>
        <v>0</v>
      </c>
    </row>
    <row r="1118" spans="1:19" x14ac:dyDescent="0.2">
      <c r="A1118" s="30" t="s">
        <v>777</v>
      </c>
      <c r="R1118" s="9">
        <f>S1118/1.11</f>
        <v>0</v>
      </c>
    </row>
    <row r="1119" spans="1:19" x14ac:dyDescent="0.2">
      <c r="A1119" s="2" t="s">
        <v>778</v>
      </c>
      <c r="B1119" s="3" t="s">
        <v>17</v>
      </c>
      <c r="D1119" s="5" t="s">
        <v>275</v>
      </c>
      <c r="F1119" s="7">
        <v>1</v>
      </c>
      <c r="G1119" s="8" t="s">
        <v>19</v>
      </c>
      <c r="H1119" s="7">
        <v>120</v>
      </c>
      <c r="I1119" s="8" t="s">
        <v>275</v>
      </c>
      <c r="J1119" s="9">
        <v>5500</v>
      </c>
      <c r="K1119" s="5" t="s">
        <v>275</v>
      </c>
      <c r="L1119" s="10">
        <v>0.125</v>
      </c>
      <c r="M1119" s="10">
        <v>0.05</v>
      </c>
      <c r="O1119" s="8" t="s">
        <v>275</v>
      </c>
      <c r="P1119" s="4">
        <f t="shared" ref="P1119" si="366">(C1119+(E1119*F1119*H1119))-N1119</f>
        <v>0</v>
      </c>
      <c r="Q1119" s="8" t="s">
        <v>275</v>
      </c>
      <c r="R1119" s="9">
        <f>S1119/1.11</f>
        <v>0</v>
      </c>
      <c r="S1119" s="9">
        <f t="shared" ref="S1119" si="367">P1119*(J1119-(J1119*L1119)-((J1119-(J1119*L1119))*M1119))</f>
        <v>0</v>
      </c>
    </row>
    <row r="1120" spans="1:19" x14ac:dyDescent="0.2">
      <c r="A1120" s="17"/>
    </row>
    <row r="1121" spans="1:19" x14ac:dyDescent="0.2">
      <c r="A1121" s="30" t="s">
        <v>616</v>
      </c>
    </row>
    <row r="1122" spans="1:19" x14ac:dyDescent="0.2">
      <c r="A1122" s="2" t="s">
        <v>695</v>
      </c>
      <c r="B1122" s="3" t="s">
        <v>24</v>
      </c>
      <c r="C1122" s="4">
        <v>1008</v>
      </c>
      <c r="D1122" s="5" t="s">
        <v>275</v>
      </c>
      <c r="F1122" s="7">
        <v>1</v>
      </c>
      <c r="G1122" s="8" t="s">
        <v>19</v>
      </c>
      <c r="H1122" s="7">
        <v>72</v>
      </c>
      <c r="I1122" s="8" t="s">
        <v>275</v>
      </c>
      <c r="J1122" s="9">
        <v>10000</v>
      </c>
      <c r="K1122" s="5" t="s">
        <v>275</v>
      </c>
      <c r="L1122" s="10">
        <v>0.12</v>
      </c>
      <c r="M1122" s="10">
        <v>0.17</v>
      </c>
      <c r="O1122" s="8" t="s">
        <v>275</v>
      </c>
      <c r="P1122" s="4">
        <f t="shared" ref="P1122:P1125" si="368">(C1122+(E1122*F1122*H1122))-N1122</f>
        <v>1008</v>
      </c>
      <c r="Q1122" s="8" t="s">
        <v>275</v>
      </c>
      <c r="R1122" s="9">
        <f>S1122/1.11</f>
        <v>6632821.6216216208</v>
      </c>
      <c r="S1122" s="9">
        <f t="shared" ref="S1122:S1125" si="369">P1122*(J1122-(J1122*L1122)-((J1122-(J1122*L1122))*M1122))</f>
        <v>7362432</v>
      </c>
    </row>
    <row r="1123" spans="1:19" x14ac:dyDescent="0.2">
      <c r="A1123" s="2" t="s">
        <v>617</v>
      </c>
      <c r="B1123" s="3" t="s">
        <v>24</v>
      </c>
      <c r="C1123" s="4">
        <v>1872</v>
      </c>
      <c r="D1123" s="5" t="s">
        <v>275</v>
      </c>
      <c r="F1123" s="7">
        <v>1</v>
      </c>
      <c r="G1123" s="8" t="s">
        <v>19</v>
      </c>
      <c r="H1123" s="7">
        <v>72</v>
      </c>
      <c r="I1123" s="8" t="s">
        <v>275</v>
      </c>
      <c r="J1123" s="9">
        <v>10000</v>
      </c>
      <c r="K1123" s="5" t="s">
        <v>275</v>
      </c>
      <c r="L1123" s="10">
        <v>0.12</v>
      </c>
      <c r="M1123" s="10">
        <v>0.17</v>
      </c>
      <c r="O1123" s="8" t="s">
        <v>275</v>
      </c>
      <c r="P1123" s="4">
        <f t="shared" si="368"/>
        <v>1872</v>
      </c>
      <c r="Q1123" s="8" t="s">
        <v>275</v>
      </c>
      <c r="R1123" s="9">
        <f>S1123/1.11</f>
        <v>12318097.297297297</v>
      </c>
      <c r="S1123" s="9">
        <f t="shared" si="369"/>
        <v>13673088</v>
      </c>
    </row>
    <row r="1124" spans="1:19" x14ac:dyDescent="0.2">
      <c r="A1124" s="2" t="s">
        <v>793</v>
      </c>
      <c r="B1124" s="3" t="s">
        <v>24</v>
      </c>
      <c r="D1124" s="5" t="s">
        <v>275</v>
      </c>
      <c r="F1124" s="7">
        <v>1</v>
      </c>
      <c r="G1124" s="8" t="s">
        <v>19</v>
      </c>
      <c r="H1124" s="7">
        <v>72</v>
      </c>
      <c r="I1124" s="8" t="s">
        <v>275</v>
      </c>
      <c r="J1124" s="9">
        <f>705600/72</f>
        <v>9800</v>
      </c>
      <c r="K1124" s="5" t="s">
        <v>275</v>
      </c>
      <c r="M1124" s="10">
        <v>0.17</v>
      </c>
      <c r="O1124" s="8" t="s">
        <v>275</v>
      </c>
      <c r="P1124" s="4">
        <f t="shared" si="368"/>
        <v>0</v>
      </c>
      <c r="Q1124" s="8" t="s">
        <v>275</v>
      </c>
      <c r="R1124" s="9">
        <f>S1124/1.11</f>
        <v>0</v>
      </c>
      <c r="S1124" s="9">
        <f t="shared" si="369"/>
        <v>0</v>
      </c>
    </row>
    <row r="1125" spans="1:19" x14ac:dyDescent="0.2">
      <c r="A1125" s="2" t="s">
        <v>794</v>
      </c>
      <c r="B1125" s="3" t="s">
        <v>24</v>
      </c>
      <c r="D1125" s="5" t="s">
        <v>275</v>
      </c>
      <c r="F1125" s="7">
        <v>1</v>
      </c>
      <c r="G1125" s="8" t="s">
        <v>19</v>
      </c>
      <c r="H1125" s="7">
        <v>72</v>
      </c>
      <c r="I1125" s="8" t="s">
        <v>275</v>
      </c>
      <c r="J1125" s="9">
        <f>705600/72</f>
        <v>9800</v>
      </c>
      <c r="K1125" s="5" t="s">
        <v>275</v>
      </c>
      <c r="M1125" s="10">
        <v>0.17</v>
      </c>
      <c r="O1125" s="8" t="s">
        <v>275</v>
      </c>
      <c r="P1125" s="4">
        <f t="shared" si="368"/>
        <v>0</v>
      </c>
      <c r="Q1125" s="8" t="s">
        <v>275</v>
      </c>
      <c r="R1125" s="9">
        <f>S1125/1.11</f>
        <v>0</v>
      </c>
      <c r="S1125" s="9">
        <f t="shared" si="369"/>
        <v>0</v>
      </c>
    </row>
    <row r="1127" spans="1:19" x14ac:dyDescent="0.2">
      <c r="A1127" s="30" t="s">
        <v>618</v>
      </c>
      <c r="R1127" s="9">
        <f>S1127/1.11</f>
        <v>0</v>
      </c>
    </row>
    <row r="1128" spans="1:19" x14ac:dyDescent="0.2">
      <c r="A1128" s="2" t="s">
        <v>775</v>
      </c>
      <c r="B1128" s="3" t="s">
        <v>17</v>
      </c>
      <c r="D1128" s="5" t="s">
        <v>275</v>
      </c>
      <c r="F1128" s="7">
        <v>1</v>
      </c>
      <c r="G1128" s="8" t="s">
        <v>19</v>
      </c>
      <c r="H1128" s="7">
        <v>120</v>
      </c>
      <c r="I1128" s="8" t="s">
        <v>275</v>
      </c>
      <c r="J1128" s="9">
        <v>13800</v>
      </c>
      <c r="K1128" s="5" t="s">
        <v>275</v>
      </c>
      <c r="L1128" s="10">
        <v>0.125</v>
      </c>
      <c r="M1128" s="10">
        <v>0.05</v>
      </c>
      <c r="O1128" s="8" t="s">
        <v>275</v>
      </c>
      <c r="P1128" s="4">
        <f t="shared" ref="P1128" si="370">(C1128+(E1128*F1128*H1128))-N1128</f>
        <v>0</v>
      </c>
      <c r="Q1128" s="8" t="s">
        <v>275</v>
      </c>
      <c r="R1128" s="9">
        <f>S1128/1.11</f>
        <v>0</v>
      </c>
      <c r="S1128" s="9">
        <f t="shared" ref="S1128" si="371">P1128*(J1128-(J1128*L1128)-((J1128-(J1128*L1128))*M1128))</f>
        <v>0</v>
      </c>
    </row>
    <row r="1130" spans="1:19" x14ac:dyDescent="0.2">
      <c r="A1130" s="2" t="s">
        <v>795</v>
      </c>
      <c r="B1130" s="3" t="s">
        <v>24</v>
      </c>
      <c r="D1130" s="5" t="s">
        <v>275</v>
      </c>
      <c r="F1130" s="7">
        <v>1</v>
      </c>
      <c r="G1130" s="8" t="s">
        <v>19</v>
      </c>
      <c r="H1130" s="7">
        <v>120</v>
      </c>
      <c r="I1130" s="8" t="s">
        <v>275</v>
      </c>
      <c r="J1130" s="9">
        <f>762000/120</f>
        <v>6350</v>
      </c>
      <c r="K1130" s="5" t="s">
        <v>275</v>
      </c>
      <c r="M1130" s="10">
        <v>0.17</v>
      </c>
      <c r="O1130" s="8" t="s">
        <v>275</v>
      </c>
      <c r="P1130" s="4">
        <f t="shared" ref="P1130:P1134" si="372">(C1130+(E1130*F1130*H1130))-N1130</f>
        <v>0</v>
      </c>
      <c r="Q1130" s="8" t="s">
        <v>275</v>
      </c>
      <c r="R1130" s="9">
        <f>S1130/1.11</f>
        <v>0</v>
      </c>
      <c r="S1130" s="9">
        <f t="shared" ref="S1130:S1134" si="373">P1130*(J1130-(J1130*L1130)-((J1130-(J1130*L1130))*M1130))</f>
        <v>0</v>
      </c>
    </row>
    <row r="1131" spans="1:19" x14ac:dyDescent="0.2">
      <c r="A1131" s="2" t="s">
        <v>619</v>
      </c>
      <c r="B1131" s="3" t="s">
        <v>24</v>
      </c>
      <c r="D1131" s="5" t="s">
        <v>275</v>
      </c>
      <c r="F1131" s="7">
        <v>1</v>
      </c>
      <c r="G1131" s="8" t="s">
        <v>19</v>
      </c>
      <c r="H1131" s="7">
        <v>80</v>
      </c>
      <c r="I1131" s="8" t="s">
        <v>275</v>
      </c>
      <c r="J1131" s="9">
        <f>732000/80</f>
        <v>9150</v>
      </c>
      <c r="K1131" s="5" t="s">
        <v>275</v>
      </c>
      <c r="M1131" s="10">
        <v>0.17</v>
      </c>
      <c r="O1131" s="8" t="s">
        <v>275</v>
      </c>
      <c r="P1131" s="4">
        <f t="shared" si="372"/>
        <v>0</v>
      </c>
      <c r="Q1131" s="8" t="s">
        <v>275</v>
      </c>
      <c r="R1131" s="9">
        <f>S1131/1.11</f>
        <v>0</v>
      </c>
      <c r="S1131" s="9">
        <f t="shared" si="373"/>
        <v>0</v>
      </c>
    </row>
    <row r="1132" spans="1:19" x14ac:dyDescent="0.2">
      <c r="A1132" s="2" t="s">
        <v>796</v>
      </c>
      <c r="B1132" s="3" t="s">
        <v>24</v>
      </c>
      <c r="D1132" s="5" t="s">
        <v>275</v>
      </c>
      <c r="F1132" s="7">
        <v>1</v>
      </c>
      <c r="G1132" s="8" t="s">
        <v>19</v>
      </c>
      <c r="H1132" s="7">
        <v>60</v>
      </c>
      <c r="I1132" s="8" t="s">
        <v>275</v>
      </c>
      <c r="J1132" s="9">
        <f>732000/60</f>
        <v>12200</v>
      </c>
      <c r="K1132" s="5" t="s">
        <v>275</v>
      </c>
      <c r="M1132" s="10">
        <v>0.17</v>
      </c>
      <c r="O1132" s="8" t="s">
        <v>275</v>
      </c>
      <c r="P1132" s="4">
        <f t="shared" si="372"/>
        <v>0</v>
      </c>
      <c r="Q1132" s="8" t="s">
        <v>275</v>
      </c>
      <c r="R1132" s="9">
        <f>S1132/1.11</f>
        <v>0</v>
      </c>
      <c r="S1132" s="9">
        <f t="shared" si="373"/>
        <v>0</v>
      </c>
    </row>
    <row r="1133" spans="1:19" x14ac:dyDescent="0.2">
      <c r="A1133" s="2" t="s">
        <v>643</v>
      </c>
      <c r="B1133" s="3" t="s">
        <v>24</v>
      </c>
      <c r="D1133" s="5" t="s">
        <v>275</v>
      </c>
      <c r="F1133" s="7">
        <v>1</v>
      </c>
      <c r="G1133" s="8" t="s">
        <v>19</v>
      </c>
      <c r="H1133" s="7">
        <v>80</v>
      </c>
      <c r="I1133" s="8" t="s">
        <v>275</v>
      </c>
      <c r="J1133" s="9">
        <v>10650</v>
      </c>
      <c r="K1133" s="5" t="s">
        <v>275</v>
      </c>
      <c r="M1133" s="10">
        <v>0.17</v>
      </c>
      <c r="O1133" s="8" t="s">
        <v>275</v>
      </c>
      <c r="P1133" s="4">
        <f t="shared" si="372"/>
        <v>0</v>
      </c>
      <c r="Q1133" s="8" t="s">
        <v>275</v>
      </c>
      <c r="R1133" s="9">
        <f>S1133/1.11</f>
        <v>0</v>
      </c>
      <c r="S1133" s="9">
        <f t="shared" si="373"/>
        <v>0</v>
      </c>
    </row>
    <row r="1134" spans="1:19" x14ac:dyDescent="0.2">
      <c r="A1134" s="2" t="s">
        <v>620</v>
      </c>
      <c r="B1134" s="3" t="s">
        <v>24</v>
      </c>
      <c r="D1134" s="5" t="s">
        <v>275</v>
      </c>
      <c r="F1134" s="7">
        <v>1</v>
      </c>
      <c r="G1134" s="8" t="s">
        <v>19</v>
      </c>
      <c r="H1134" s="7">
        <v>60</v>
      </c>
      <c r="I1134" s="8" t="s">
        <v>275</v>
      </c>
      <c r="J1134" s="9">
        <f>852000/60</f>
        <v>14200</v>
      </c>
      <c r="K1134" s="5" t="s">
        <v>275</v>
      </c>
      <c r="M1134" s="10">
        <v>0.17</v>
      </c>
      <c r="O1134" s="8" t="s">
        <v>275</v>
      </c>
      <c r="P1134" s="4">
        <f t="shared" si="372"/>
        <v>0</v>
      </c>
      <c r="Q1134" s="8" t="s">
        <v>275</v>
      </c>
      <c r="R1134" s="9">
        <f>S1134/1.11</f>
        <v>0</v>
      </c>
      <c r="S1134" s="9">
        <f t="shared" si="373"/>
        <v>0</v>
      </c>
    </row>
    <row r="1136" spans="1:19" ht="15.75" x14ac:dyDescent="0.25">
      <c r="A1136" s="29" t="s">
        <v>621</v>
      </c>
    </row>
    <row r="1137" spans="1:19" x14ac:dyDescent="0.2">
      <c r="A1137" s="2" t="s">
        <v>623</v>
      </c>
      <c r="B1137" s="3" t="s">
        <v>17</v>
      </c>
      <c r="D1137" s="5" t="s">
        <v>18</v>
      </c>
      <c r="F1137" s="7">
        <v>1</v>
      </c>
      <c r="G1137" s="8" t="s">
        <v>19</v>
      </c>
      <c r="H1137" s="7">
        <v>24</v>
      </c>
      <c r="I1137" s="8" t="s">
        <v>18</v>
      </c>
      <c r="J1137" s="9">
        <v>22500</v>
      </c>
      <c r="K1137" s="5" t="s">
        <v>18</v>
      </c>
      <c r="L1137" s="10">
        <v>0.125</v>
      </c>
      <c r="M1137" s="10">
        <v>0.05</v>
      </c>
      <c r="O1137" s="8" t="s">
        <v>18</v>
      </c>
      <c r="P1137" s="4">
        <f t="shared" ref="P1137" si="374">(C1137+(E1137*F1137*H1137))-N1137</f>
        <v>0</v>
      </c>
      <c r="Q1137" s="8" t="s">
        <v>18</v>
      </c>
      <c r="R1137" s="9">
        <f>S1137/1.11</f>
        <v>0</v>
      </c>
      <c r="S1137" s="9">
        <f t="shared" ref="S1137" si="375">P1137*(J1137-(J1137*L1137)-((J1137-(J1137*L1137))*M1137))</f>
        <v>0</v>
      </c>
    </row>
    <row r="1138" spans="1:19" x14ac:dyDescent="0.2">
      <c r="A1138" s="2" t="s">
        <v>624</v>
      </c>
      <c r="B1138" s="3" t="s">
        <v>17</v>
      </c>
      <c r="D1138" s="5" t="s">
        <v>18</v>
      </c>
      <c r="F1138" s="7">
        <v>1</v>
      </c>
      <c r="G1138" s="8" t="s">
        <v>19</v>
      </c>
      <c r="H1138" s="7">
        <v>24</v>
      </c>
      <c r="I1138" s="8" t="s">
        <v>18</v>
      </c>
      <c r="J1138" s="9">
        <v>24300</v>
      </c>
      <c r="K1138" s="5" t="s">
        <v>18</v>
      </c>
      <c r="L1138" s="10">
        <v>0.125</v>
      </c>
      <c r="M1138" s="10">
        <v>0.05</v>
      </c>
      <c r="O1138" s="8" t="s">
        <v>18</v>
      </c>
      <c r="P1138" s="4">
        <f t="shared" ref="P1138:P1139" si="376">(C1138+(E1138*F1138*H1138))-N1138</f>
        <v>0</v>
      </c>
      <c r="Q1138" s="8" t="s">
        <v>18</v>
      </c>
      <c r="R1138" s="9">
        <f>S1138/1.11</f>
        <v>0</v>
      </c>
      <c r="S1138" s="9">
        <f t="shared" ref="S1138:S1139" si="377">P1138*(J1138-(J1138*L1138)-((J1138-(J1138*L1138))*M1138))</f>
        <v>0</v>
      </c>
    </row>
    <row r="1139" spans="1:19" x14ac:dyDescent="0.2">
      <c r="A1139" s="2" t="s">
        <v>625</v>
      </c>
      <c r="B1139" s="3" t="s">
        <v>17</v>
      </c>
      <c r="D1139" s="5" t="s">
        <v>18</v>
      </c>
      <c r="F1139" s="7">
        <v>1</v>
      </c>
      <c r="G1139" s="8" t="s">
        <v>19</v>
      </c>
      <c r="H1139" s="7">
        <v>24</v>
      </c>
      <c r="I1139" s="8" t="s">
        <v>18</v>
      </c>
      <c r="J1139" s="9">
        <v>11100</v>
      </c>
      <c r="K1139" s="5" t="s">
        <v>18</v>
      </c>
      <c r="L1139" s="10">
        <v>0.125</v>
      </c>
      <c r="M1139" s="10">
        <v>0.05</v>
      </c>
      <c r="O1139" s="8" t="s">
        <v>18</v>
      </c>
      <c r="P1139" s="4">
        <f t="shared" si="376"/>
        <v>0</v>
      </c>
      <c r="Q1139" s="8" t="s">
        <v>18</v>
      </c>
      <c r="R1139" s="9">
        <f>S1139/1.11</f>
        <v>0</v>
      </c>
      <c r="S1139" s="9">
        <f t="shared" si="377"/>
        <v>0</v>
      </c>
    </row>
    <row r="1140" spans="1:19" x14ac:dyDescent="0.2">
      <c r="A1140" s="2" t="s">
        <v>626</v>
      </c>
      <c r="B1140" s="3" t="s">
        <v>17</v>
      </c>
      <c r="D1140" s="5" t="s">
        <v>18</v>
      </c>
      <c r="F1140" s="7">
        <v>1</v>
      </c>
      <c r="G1140" s="8" t="s">
        <v>19</v>
      </c>
      <c r="H1140" s="7">
        <v>24</v>
      </c>
      <c r="I1140" s="8" t="s">
        <v>18</v>
      </c>
      <c r="J1140" s="9">
        <v>19000</v>
      </c>
      <c r="K1140" s="5" t="s">
        <v>18</v>
      </c>
      <c r="L1140" s="10">
        <v>0.125</v>
      </c>
      <c r="M1140" s="10">
        <v>0.05</v>
      </c>
      <c r="O1140" s="8" t="s">
        <v>18</v>
      </c>
      <c r="P1140" s="4">
        <f t="shared" ref="P1140:P1151" si="378">(C1140+(E1140*F1140*H1140))-N1140</f>
        <v>0</v>
      </c>
      <c r="Q1140" s="8" t="s">
        <v>18</v>
      </c>
      <c r="R1140" s="9">
        <f>S1140/1.11</f>
        <v>0</v>
      </c>
      <c r="S1140" s="9">
        <f t="shared" ref="S1140:S1151" si="379">P1140*(J1140-(J1140*L1140)-((J1140-(J1140*L1140))*M1140))</f>
        <v>0</v>
      </c>
    </row>
    <row r="1141" spans="1:19" x14ac:dyDescent="0.2">
      <c r="A1141" s="2" t="s">
        <v>718</v>
      </c>
      <c r="B1141" s="3" t="s">
        <v>17</v>
      </c>
      <c r="D1141" s="5" t="s">
        <v>18</v>
      </c>
      <c r="F1141" s="7">
        <v>1</v>
      </c>
      <c r="G1141" s="8" t="s">
        <v>19</v>
      </c>
      <c r="H1141" s="7">
        <v>12</v>
      </c>
      <c r="I1141" s="8" t="s">
        <v>18</v>
      </c>
      <c r="J1141" s="9">
        <v>31000</v>
      </c>
      <c r="K1141" s="5" t="s">
        <v>18</v>
      </c>
      <c r="L1141" s="10">
        <v>0.125</v>
      </c>
      <c r="M1141" s="10">
        <v>0.05</v>
      </c>
      <c r="O1141" s="8" t="s">
        <v>18</v>
      </c>
      <c r="P1141" s="4">
        <f t="shared" si="378"/>
        <v>0</v>
      </c>
      <c r="Q1141" s="8" t="s">
        <v>18</v>
      </c>
      <c r="R1141" s="9">
        <f>S1141/1.11</f>
        <v>0</v>
      </c>
      <c r="S1141" s="9">
        <f t="shared" si="379"/>
        <v>0</v>
      </c>
    </row>
    <row r="1142" spans="1:19" x14ac:dyDescent="0.2">
      <c r="A1142" s="2" t="s">
        <v>942</v>
      </c>
      <c r="B1142" s="3" t="s">
        <v>17</v>
      </c>
      <c r="D1142" s="5" t="s">
        <v>18</v>
      </c>
      <c r="F1142" s="7">
        <v>1</v>
      </c>
      <c r="G1142" s="8" t="s">
        <v>19</v>
      </c>
      <c r="H1142" s="7">
        <v>12</v>
      </c>
      <c r="I1142" s="8" t="s">
        <v>18</v>
      </c>
      <c r="J1142" s="9">
        <v>28500</v>
      </c>
      <c r="K1142" s="5" t="s">
        <v>18</v>
      </c>
      <c r="L1142" s="10">
        <v>0.125</v>
      </c>
      <c r="M1142" s="10">
        <v>0.05</v>
      </c>
      <c r="O1142" s="8" t="s">
        <v>18</v>
      </c>
      <c r="P1142" s="4">
        <f t="shared" ref="P1142" si="380">(C1142+(E1142*F1142*H1142))-N1142</f>
        <v>0</v>
      </c>
      <c r="Q1142" s="8" t="s">
        <v>18</v>
      </c>
      <c r="R1142" s="9">
        <f>S1142/1.11</f>
        <v>0</v>
      </c>
      <c r="S1142" s="9">
        <f t="shared" ref="S1142" si="381">P1142*(J1142-(J1142*L1142)-((J1142-(J1142*L1142))*M1142))</f>
        <v>0</v>
      </c>
    </row>
    <row r="1143" spans="1:19" x14ac:dyDescent="0.2">
      <c r="A1143" s="2" t="s">
        <v>896</v>
      </c>
      <c r="B1143" s="3" t="s">
        <v>17</v>
      </c>
      <c r="D1143" s="5" t="s">
        <v>18</v>
      </c>
      <c r="F1143" s="7">
        <v>1</v>
      </c>
      <c r="G1143" s="8" t="s">
        <v>19</v>
      </c>
      <c r="H1143" s="7">
        <v>24</v>
      </c>
      <c r="I1143" s="8" t="s">
        <v>18</v>
      </c>
      <c r="J1143" s="9">
        <v>20400</v>
      </c>
      <c r="K1143" s="5" t="s">
        <v>18</v>
      </c>
      <c r="L1143" s="10">
        <v>0.125</v>
      </c>
      <c r="M1143" s="10">
        <v>0.05</v>
      </c>
      <c r="O1143" s="8" t="s">
        <v>18</v>
      </c>
      <c r="P1143" s="4">
        <f t="shared" ref="P1143" si="382">(C1143+(E1143*F1143*H1143))-N1143</f>
        <v>0</v>
      </c>
      <c r="Q1143" s="8" t="s">
        <v>18</v>
      </c>
      <c r="R1143" s="9">
        <f>S1143/1.11</f>
        <v>0</v>
      </c>
      <c r="S1143" s="9">
        <f t="shared" ref="S1143" si="383">P1143*(J1143-(J1143*L1143)-((J1143-(J1143*L1143))*M1143))</f>
        <v>0</v>
      </c>
    </row>
    <row r="1144" spans="1:19" x14ac:dyDescent="0.2">
      <c r="A1144" s="2" t="s">
        <v>717</v>
      </c>
      <c r="B1144" s="3" t="s">
        <v>17</v>
      </c>
      <c r="D1144" s="5" t="s">
        <v>18</v>
      </c>
      <c r="F1144" s="7">
        <v>1</v>
      </c>
      <c r="G1144" s="8" t="s">
        <v>19</v>
      </c>
      <c r="H1144" s="7">
        <v>24</v>
      </c>
      <c r="I1144" s="8" t="s">
        <v>18</v>
      </c>
      <c r="J1144" s="9">
        <v>12300</v>
      </c>
      <c r="K1144" s="5" t="s">
        <v>18</v>
      </c>
      <c r="L1144" s="10">
        <v>0.125</v>
      </c>
      <c r="M1144" s="10">
        <v>0.05</v>
      </c>
      <c r="O1144" s="8" t="s">
        <v>18</v>
      </c>
      <c r="P1144" s="4">
        <f t="shared" si="378"/>
        <v>0</v>
      </c>
      <c r="Q1144" s="8" t="s">
        <v>18</v>
      </c>
      <c r="R1144" s="9">
        <f>S1144/1.11</f>
        <v>0</v>
      </c>
      <c r="S1144" s="9">
        <f t="shared" si="379"/>
        <v>0</v>
      </c>
    </row>
    <row r="1145" spans="1:19" x14ac:dyDescent="0.2">
      <c r="A1145" s="2" t="s">
        <v>809</v>
      </c>
      <c r="B1145" s="3" t="s">
        <v>17</v>
      </c>
      <c r="D1145" s="5" t="s">
        <v>18</v>
      </c>
      <c r="F1145" s="7">
        <v>1</v>
      </c>
      <c r="G1145" s="8" t="s">
        <v>19</v>
      </c>
      <c r="H1145" s="7">
        <v>24</v>
      </c>
      <c r="I1145" s="8" t="s">
        <v>18</v>
      </c>
      <c r="J1145" s="9">
        <v>16500</v>
      </c>
      <c r="K1145" s="5" t="s">
        <v>18</v>
      </c>
      <c r="L1145" s="10">
        <v>0.125</v>
      </c>
      <c r="M1145" s="10">
        <v>0.05</v>
      </c>
      <c r="O1145" s="8" t="s">
        <v>18</v>
      </c>
      <c r="P1145" s="4">
        <f t="shared" si="378"/>
        <v>0</v>
      </c>
      <c r="Q1145" s="8" t="s">
        <v>18</v>
      </c>
      <c r="R1145" s="9">
        <f>S1145/1.11</f>
        <v>0</v>
      </c>
      <c r="S1145" s="9">
        <f t="shared" si="379"/>
        <v>0</v>
      </c>
    </row>
    <row r="1146" spans="1:19" x14ac:dyDescent="0.2">
      <c r="A1146" s="2" t="s">
        <v>622</v>
      </c>
      <c r="B1146" s="3" t="s">
        <v>17</v>
      </c>
      <c r="D1146" s="5" t="s">
        <v>18</v>
      </c>
      <c r="F1146" s="7">
        <v>1</v>
      </c>
      <c r="G1146" s="8" t="s">
        <v>19</v>
      </c>
      <c r="H1146" s="7">
        <v>24</v>
      </c>
      <c r="I1146" s="8" t="s">
        <v>18</v>
      </c>
      <c r="J1146" s="9">
        <v>17200</v>
      </c>
      <c r="K1146" s="5" t="s">
        <v>18</v>
      </c>
      <c r="L1146" s="10">
        <v>0.125</v>
      </c>
      <c r="M1146" s="10">
        <v>0.05</v>
      </c>
      <c r="O1146" s="8" t="s">
        <v>18</v>
      </c>
      <c r="P1146" s="4">
        <f t="shared" si="378"/>
        <v>0</v>
      </c>
      <c r="Q1146" s="8" t="s">
        <v>18</v>
      </c>
      <c r="R1146" s="9">
        <f>S1146/1.11</f>
        <v>0</v>
      </c>
      <c r="S1146" s="9">
        <f t="shared" si="379"/>
        <v>0</v>
      </c>
    </row>
    <row r="1147" spans="1:19" x14ac:dyDescent="0.2">
      <c r="A1147" s="2" t="s">
        <v>856</v>
      </c>
      <c r="B1147" s="3" t="s">
        <v>17</v>
      </c>
      <c r="D1147" s="5" t="s">
        <v>18</v>
      </c>
      <c r="F1147" s="7">
        <v>1</v>
      </c>
      <c r="G1147" s="8" t="s">
        <v>19</v>
      </c>
      <c r="H1147" s="7">
        <v>12</v>
      </c>
      <c r="I1147" s="8" t="s">
        <v>18</v>
      </c>
      <c r="J1147" s="9">
        <v>30500</v>
      </c>
      <c r="K1147" s="5" t="s">
        <v>18</v>
      </c>
      <c r="L1147" s="10">
        <v>0.125</v>
      </c>
      <c r="M1147" s="10">
        <v>0.05</v>
      </c>
      <c r="O1147" s="8" t="s">
        <v>18</v>
      </c>
      <c r="P1147" s="4">
        <f>(C1147+(E1147*F1147*H1147))-N1147</f>
        <v>0</v>
      </c>
      <c r="Q1147" s="8" t="s">
        <v>18</v>
      </c>
      <c r="R1147" s="9">
        <f>S1147/1.11</f>
        <v>0</v>
      </c>
      <c r="S1147" s="9">
        <f t="shared" ref="S1147:S1148" si="384">P1147*(J1147-(J1147*L1147)-((J1147-(J1147*L1147))*M1147))</f>
        <v>0</v>
      </c>
    </row>
    <row r="1148" spans="1:19" x14ac:dyDescent="0.2">
      <c r="A1148" s="2" t="s">
        <v>637</v>
      </c>
      <c r="B1148" s="3" t="s">
        <v>17</v>
      </c>
      <c r="D1148" s="5" t="s">
        <v>18</v>
      </c>
      <c r="F1148" s="7">
        <v>12</v>
      </c>
      <c r="G1148" s="8" t="s">
        <v>32</v>
      </c>
      <c r="H1148" s="7">
        <v>20</v>
      </c>
      <c r="I1148" s="8" t="s">
        <v>18</v>
      </c>
      <c r="J1148" s="9">
        <v>5350</v>
      </c>
      <c r="K1148" s="5" t="s">
        <v>18</v>
      </c>
      <c r="L1148" s="10">
        <v>0.125</v>
      </c>
      <c r="M1148" s="10">
        <v>0.05</v>
      </c>
      <c r="O1148" s="8" t="s">
        <v>18</v>
      </c>
      <c r="P1148" s="4">
        <f t="shared" ref="P1148" si="385">(C1148+(E1148*F1148*H1148))-N1148</f>
        <v>0</v>
      </c>
      <c r="Q1148" s="8" t="s">
        <v>18</v>
      </c>
      <c r="R1148" s="9">
        <f>S1148/1.11</f>
        <v>0</v>
      </c>
      <c r="S1148" s="9">
        <f t="shared" si="384"/>
        <v>0</v>
      </c>
    </row>
    <row r="1149" spans="1:19" x14ac:dyDescent="0.2">
      <c r="A1149" s="2" t="s">
        <v>1011</v>
      </c>
      <c r="B1149" s="3" t="s">
        <v>17</v>
      </c>
      <c r="D1149" s="5" t="s">
        <v>18</v>
      </c>
      <c r="F1149" s="7">
        <v>1</v>
      </c>
      <c r="G1149" s="8" t="s">
        <v>19</v>
      </c>
      <c r="H1149" s="7">
        <v>100</v>
      </c>
      <c r="I1149" s="8" t="s">
        <v>18</v>
      </c>
      <c r="J1149" s="9">
        <v>18400</v>
      </c>
      <c r="K1149" s="5" t="s">
        <v>18</v>
      </c>
      <c r="L1149" s="10">
        <v>0.125</v>
      </c>
      <c r="M1149" s="10">
        <v>0.05</v>
      </c>
      <c r="O1149" s="8" t="s">
        <v>18</v>
      </c>
      <c r="P1149" s="4">
        <f t="shared" ref="P1149" si="386">(C1149+(E1149*F1149*H1149))-N1149</f>
        <v>0</v>
      </c>
      <c r="Q1149" s="8" t="s">
        <v>18</v>
      </c>
      <c r="R1149" s="9">
        <f>S1149/1.11</f>
        <v>0</v>
      </c>
      <c r="S1149" s="9">
        <f t="shared" ref="S1149" si="387">P1149*(J1149-(J1149*L1149)-((J1149-(J1149*L1149))*M1149))</f>
        <v>0</v>
      </c>
    </row>
    <row r="1150" spans="1:19" x14ac:dyDescent="0.2">
      <c r="A1150" s="2" t="s">
        <v>627</v>
      </c>
      <c r="B1150" s="3" t="s">
        <v>17</v>
      </c>
      <c r="D1150" s="5" t="s">
        <v>18</v>
      </c>
      <c r="F1150" s="7">
        <v>1</v>
      </c>
      <c r="G1150" s="8" t="s">
        <v>19</v>
      </c>
      <c r="H1150" s="7">
        <v>96</v>
      </c>
      <c r="I1150" s="8" t="s">
        <v>18</v>
      </c>
      <c r="J1150" s="9">
        <v>14200</v>
      </c>
      <c r="K1150" s="5" t="s">
        <v>18</v>
      </c>
      <c r="L1150" s="10">
        <v>0.125</v>
      </c>
      <c r="M1150" s="10">
        <v>0.05</v>
      </c>
      <c r="O1150" s="8" t="s">
        <v>18</v>
      </c>
      <c r="P1150" s="4">
        <f t="shared" si="378"/>
        <v>0</v>
      </c>
      <c r="Q1150" s="8" t="s">
        <v>18</v>
      </c>
      <c r="R1150" s="9">
        <f>S1150/1.11</f>
        <v>0</v>
      </c>
      <c r="S1150" s="9">
        <f t="shared" si="379"/>
        <v>0</v>
      </c>
    </row>
    <row r="1151" spans="1:19" x14ac:dyDescent="0.2">
      <c r="A1151" s="2" t="s">
        <v>628</v>
      </c>
      <c r="B1151" s="3" t="s">
        <v>17</v>
      </c>
      <c r="D1151" s="5" t="s">
        <v>18</v>
      </c>
      <c r="F1151" s="7">
        <v>1</v>
      </c>
      <c r="G1151" s="8" t="s">
        <v>19</v>
      </c>
      <c r="H1151" s="7">
        <v>24</v>
      </c>
      <c r="I1151" s="8" t="s">
        <v>18</v>
      </c>
      <c r="J1151" s="9">
        <v>41000</v>
      </c>
      <c r="K1151" s="5" t="s">
        <v>18</v>
      </c>
      <c r="L1151" s="10">
        <v>0.125</v>
      </c>
      <c r="M1151" s="10">
        <v>0.05</v>
      </c>
      <c r="O1151" s="8" t="s">
        <v>18</v>
      </c>
      <c r="P1151" s="4">
        <f t="shared" si="378"/>
        <v>0</v>
      </c>
      <c r="Q1151" s="8" t="s">
        <v>18</v>
      </c>
      <c r="R1151" s="9">
        <f>S1151/1.11</f>
        <v>0</v>
      </c>
      <c r="S1151" s="9">
        <f t="shared" si="379"/>
        <v>0</v>
      </c>
    </row>
    <row r="1152" spans="1:19" x14ac:dyDescent="0.2">
      <c r="A1152" s="2" t="s">
        <v>629</v>
      </c>
      <c r="B1152" s="3" t="s">
        <v>17</v>
      </c>
      <c r="D1152" s="5" t="s">
        <v>18</v>
      </c>
      <c r="F1152" s="7">
        <v>1</v>
      </c>
      <c r="G1152" s="8" t="s">
        <v>19</v>
      </c>
      <c r="H1152" s="7">
        <v>100</v>
      </c>
      <c r="I1152" s="8" t="s">
        <v>18</v>
      </c>
      <c r="J1152" s="9">
        <v>17000</v>
      </c>
      <c r="K1152" s="5" t="s">
        <v>18</v>
      </c>
      <c r="L1152" s="10">
        <v>0.125</v>
      </c>
      <c r="M1152" s="10">
        <v>0.05</v>
      </c>
      <c r="O1152" s="8" t="s">
        <v>18</v>
      </c>
      <c r="P1152" s="4">
        <f t="shared" ref="P1152" si="388">(C1152+(E1152*F1152*H1152))-N1152</f>
        <v>0</v>
      </c>
      <c r="Q1152" s="8" t="s">
        <v>18</v>
      </c>
      <c r="R1152" s="9">
        <f>S1152/1.11</f>
        <v>0</v>
      </c>
      <c r="S1152" s="9">
        <f t="shared" ref="S1152" si="389">P1152*(J1152-(J1152*L1152)-((J1152-(J1152*L1152))*M1152))</f>
        <v>0</v>
      </c>
    </row>
    <row r="1154" spans="1:19" x14ac:dyDescent="0.2">
      <c r="A1154" s="15" t="s">
        <v>666</v>
      </c>
      <c r="B1154" s="3" t="s">
        <v>24</v>
      </c>
      <c r="D1154" s="5" t="s">
        <v>18</v>
      </c>
      <c r="F1154" s="7">
        <v>1</v>
      </c>
      <c r="G1154" s="8" t="s">
        <v>19</v>
      </c>
      <c r="H1154" s="7">
        <v>24</v>
      </c>
      <c r="I1154" s="8" t="s">
        <v>18</v>
      </c>
      <c r="J1154" s="9">
        <f>372000/24</f>
        <v>15500</v>
      </c>
      <c r="K1154" s="5" t="s">
        <v>18</v>
      </c>
      <c r="M1154" s="10">
        <v>0.17</v>
      </c>
      <c r="O1154" s="8" t="s">
        <v>18</v>
      </c>
      <c r="P1154" s="4">
        <f t="shared" ref="P1154:P1162" si="390">(C1154+(E1154*F1154*H1154))-N1154</f>
        <v>0</v>
      </c>
      <c r="Q1154" s="8" t="s">
        <v>18</v>
      </c>
      <c r="R1154" s="9">
        <f>S1154/1.11</f>
        <v>0</v>
      </c>
      <c r="S1154" s="9">
        <f t="shared" ref="S1154:S1162" si="391">P1154*(J1154-(J1154*L1154)-((J1154-(J1154*L1154))*M1154))</f>
        <v>0</v>
      </c>
    </row>
    <row r="1155" spans="1:19" x14ac:dyDescent="0.2">
      <c r="A1155" s="15" t="s">
        <v>630</v>
      </c>
      <c r="B1155" s="3" t="s">
        <v>24</v>
      </c>
      <c r="D1155" s="5" t="s">
        <v>18</v>
      </c>
      <c r="F1155" s="7">
        <v>1</v>
      </c>
      <c r="G1155" s="8" t="s">
        <v>19</v>
      </c>
      <c r="H1155" s="7">
        <v>24</v>
      </c>
      <c r="I1155" s="8" t="s">
        <v>18</v>
      </c>
      <c r="J1155" s="9">
        <f>444000/24</f>
        <v>18500</v>
      </c>
      <c r="K1155" s="5" t="s">
        <v>18</v>
      </c>
      <c r="M1155" s="10">
        <v>0.17</v>
      </c>
      <c r="O1155" s="8" t="s">
        <v>18</v>
      </c>
      <c r="P1155" s="4">
        <f t="shared" si="390"/>
        <v>0</v>
      </c>
      <c r="Q1155" s="8" t="s">
        <v>18</v>
      </c>
      <c r="R1155" s="9">
        <f>S1155/1.11</f>
        <v>0</v>
      </c>
      <c r="S1155" s="9">
        <f t="shared" si="391"/>
        <v>0</v>
      </c>
    </row>
    <row r="1156" spans="1:19" x14ac:dyDescent="0.2">
      <c r="A1156" s="15" t="s">
        <v>631</v>
      </c>
      <c r="B1156" s="3" t="s">
        <v>24</v>
      </c>
      <c r="D1156" s="5" t="s">
        <v>18</v>
      </c>
      <c r="F1156" s="7">
        <v>1</v>
      </c>
      <c r="G1156" s="8" t="s">
        <v>19</v>
      </c>
      <c r="H1156" s="7">
        <v>24</v>
      </c>
      <c r="I1156" s="8" t="s">
        <v>18</v>
      </c>
      <c r="J1156" s="9">
        <f>462000/24</f>
        <v>19250</v>
      </c>
      <c r="K1156" s="5" t="s">
        <v>18</v>
      </c>
      <c r="M1156" s="10">
        <v>0.17</v>
      </c>
      <c r="O1156" s="8" t="s">
        <v>18</v>
      </c>
      <c r="P1156" s="4">
        <f t="shared" si="390"/>
        <v>0</v>
      </c>
      <c r="Q1156" s="8" t="s">
        <v>18</v>
      </c>
      <c r="R1156" s="9">
        <f>S1156/1.11</f>
        <v>0</v>
      </c>
      <c r="S1156" s="9">
        <f t="shared" si="391"/>
        <v>0</v>
      </c>
    </row>
    <row r="1157" spans="1:19" x14ac:dyDescent="0.2">
      <c r="A1157" s="15" t="s">
        <v>698</v>
      </c>
      <c r="B1157" s="3" t="s">
        <v>24</v>
      </c>
      <c r="D1157" s="5" t="s">
        <v>18</v>
      </c>
      <c r="F1157" s="7">
        <v>1</v>
      </c>
      <c r="G1157" s="8" t="s">
        <v>19</v>
      </c>
      <c r="H1157" s="7">
        <v>24</v>
      </c>
      <c r="I1157" s="8" t="s">
        <v>18</v>
      </c>
      <c r="J1157" s="9">
        <f>462000/24</f>
        <v>19250</v>
      </c>
      <c r="K1157" s="5" t="s">
        <v>18</v>
      </c>
      <c r="M1157" s="10">
        <v>0.17</v>
      </c>
      <c r="O1157" s="8" t="s">
        <v>18</v>
      </c>
      <c r="P1157" s="4">
        <f t="shared" si="390"/>
        <v>0</v>
      </c>
      <c r="Q1157" s="8" t="s">
        <v>18</v>
      </c>
      <c r="R1157" s="9">
        <f>S1157/1.11</f>
        <v>0</v>
      </c>
      <c r="S1157" s="9">
        <f t="shared" si="391"/>
        <v>0</v>
      </c>
    </row>
    <row r="1158" spans="1:19" x14ac:dyDescent="0.2">
      <c r="A1158" s="15" t="s">
        <v>632</v>
      </c>
      <c r="B1158" s="3" t="s">
        <v>24</v>
      </c>
      <c r="D1158" s="5" t="s">
        <v>18</v>
      </c>
      <c r="F1158" s="7">
        <v>1</v>
      </c>
      <c r="G1158" s="8" t="s">
        <v>19</v>
      </c>
      <c r="H1158" s="7">
        <v>24</v>
      </c>
      <c r="I1158" s="8" t="s">
        <v>18</v>
      </c>
      <c r="J1158" s="9">
        <v>17250</v>
      </c>
      <c r="K1158" s="5" t="s">
        <v>18</v>
      </c>
      <c r="M1158" s="10">
        <v>0.17</v>
      </c>
      <c r="O1158" s="8" t="s">
        <v>18</v>
      </c>
      <c r="P1158" s="4">
        <f t="shared" si="390"/>
        <v>0</v>
      </c>
      <c r="Q1158" s="8" t="s">
        <v>18</v>
      </c>
      <c r="R1158" s="9">
        <f>S1158/1.11</f>
        <v>0</v>
      </c>
      <c r="S1158" s="9">
        <f t="shared" si="391"/>
        <v>0</v>
      </c>
    </row>
    <row r="1159" spans="1:19" x14ac:dyDescent="0.2">
      <c r="A1159" s="15" t="s">
        <v>701</v>
      </c>
      <c r="B1159" s="3" t="s">
        <v>24</v>
      </c>
      <c r="D1159" s="5" t="s">
        <v>18</v>
      </c>
      <c r="F1159" s="7">
        <v>1</v>
      </c>
      <c r="G1159" s="8" t="s">
        <v>19</v>
      </c>
      <c r="H1159" s="7">
        <v>24</v>
      </c>
      <c r="I1159" s="8" t="s">
        <v>18</v>
      </c>
      <c r="J1159" s="9">
        <f>420000/24</f>
        <v>17500</v>
      </c>
      <c r="K1159" s="5" t="s">
        <v>18</v>
      </c>
      <c r="M1159" s="10">
        <v>0.17</v>
      </c>
      <c r="O1159" s="8" t="s">
        <v>18</v>
      </c>
      <c r="P1159" s="4">
        <f t="shared" si="390"/>
        <v>0</v>
      </c>
      <c r="Q1159" s="8" t="s">
        <v>18</v>
      </c>
      <c r="R1159" s="9">
        <f>S1159/1.11</f>
        <v>0</v>
      </c>
      <c r="S1159" s="9">
        <f t="shared" si="391"/>
        <v>0</v>
      </c>
    </row>
    <row r="1160" spans="1:19" x14ac:dyDescent="0.2">
      <c r="A1160" s="15" t="s">
        <v>633</v>
      </c>
      <c r="B1160" s="3" t="s">
        <v>24</v>
      </c>
      <c r="D1160" s="5" t="s">
        <v>18</v>
      </c>
      <c r="F1160" s="7">
        <v>1</v>
      </c>
      <c r="G1160" s="8" t="s">
        <v>19</v>
      </c>
      <c r="H1160" s="7">
        <v>12</v>
      </c>
      <c r="I1160" s="8" t="s">
        <v>18</v>
      </c>
      <c r="J1160" s="9">
        <f>342000/12</f>
        <v>28500</v>
      </c>
      <c r="K1160" s="5" t="s">
        <v>18</v>
      </c>
      <c r="M1160" s="10">
        <v>0.17</v>
      </c>
      <c r="O1160" s="8" t="s">
        <v>18</v>
      </c>
      <c r="P1160" s="4">
        <f t="shared" si="390"/>
        <v>0</v>
      </c>
      <c r="Q1160" s="8" t="s">
        <v>18</v>
      </c>
      <c r="R1160" s="9">
        <f>S1160/1.11</f>
        <v>0</v>
      </c>
      <c r="S1160" s="9">
        <f t="shared" si="391"/>
        <v>0</v>
      </c>
    </row>
    <row r="1161" spans="1:19" x14ac:dyDescent="0.2">
      <c r="A1161" s="15" t="s">
        <v>634</v>
      </c>
      <c r="B1161" s="3" t="s">
        <v>24</v>
      </c>
      <c r="D1161" s="5" t="s">
        <v>18</v>
      </c>
      <c r="F1161" s="7">
        <v>1</v>
      </c>
      <c r="G1161" s="8" t="s">
        <v>19</v>
      </c>
      <c r="H1161" s="7">
        <v>12</v>
      </c>
      <c r="I1161" s="8" t="s">
        <v>18</v>
      </c>
      <c r="J1161" s="9">
        <f>348000/12</f>
        <v>29000</v>
      </c>
      <c r="K1161" s="5" t="s">
        <v>18</v>
      </c>
      <c r="M1161" s="10">
        <v>0.17</v>
      </c>
      <c r="O1161" s="8" t="s">
        <v>18</v>
      </c>
      <c r="P1161" s="4">
        <f t="shared" si="390"/>
        <v>0</v>
      </c>
      <c r="Q1161" s="8" t="s">
        <v>18</v>
      </c>
      <c r="R1161" s="9">
        <f>S1161/1.11</f>
        <v>0</v>
      </c>
      <c r="S1161" s="9">
        <f t="shared" si="391"/>
        <v>0</v>
      </c>
    </row>
    <row r="1162" spans="1:19" x14ac:dyDescent="0.2">
      <c r="A1162" s="15" t="s">
        <v>646</v>
      </c>
      <c r="B1162" s="3" t="s">
        <v>24</v>
      </c>
      <c r="D1162" s="5" t="s">
        <v>18</v>
      </c>
      <c r="F1162" s="7">
        <v>8</v>
      </c>
      <c r="G1162" s="8" t="s">
        <v>39</v>
      </c>
      <c r="H1162" s="7">
        <v>12</v>
      </c>
      <c r="I1162" s="8" t="s">
        <v>18</v>
      </c>
      <c r="J1162" s="9">
        <f>2112000/8/12</f>
        <v>22000</v>
      </c>
      <c r="K1162" s="5" t="s">
        <v>18</v>
      </c>
      <c r="M1162" s="10">
        <v>0.17</v>
      </c>
      <c r="O1162" s="8" t="s">
        <v>18</v>
      </c>
      <c r="P1162" s="4">
        <f t="shared" si="390"/>
        <v>0</v>
      </c>
      <c r="Q1162" s="8" t="s">
        <v>18</v>
      </c>
      <c r="R1162" s="9">
        <f>S1162/1.11</f>
        <v>0</v>
      </c>
      <c r="S1162" s="9">
        <f t="shared" si="391"/>
        <v>0</v>
      </c>
    </row>
    <row r="1163" spans="1:19" x14ac:dyDescent="0.2">
      <c r="A1163" s="15"/>
    </row>
    <row r="1164" spans="1:19" x14ac:dyDescent="0.2">
      <c r="A1164" s="15" t="s">
        <v>635</v>
      </c>
      <c r="B1164" s="3" t="s">
        <v>180</v>
      </c>
      <c r="C1164" s="4">
        <v>384</v>
      </c>
      <c r="D1164" s="5" t="s">
        <v>39</v>
      </c>
      <c r="F1164" s="7">
        <v>48</v>
      </c>
      <c r="G1164" s="8" t="s">
        <v>32</v>
      </c>
      <c r="H1164" s="7">
        <v>1</v>
      </c>
      <c r="I1164" s="8" t="s">
        <v>39</v>
      </c>
      <c r="J1164" s="9">
        <v>92000</v>
      </c>
      <c r="K1164" s="5" t="s">
        <v>39</v>
      </c>
      <c r="L1164" s="42">
        <v>0.27927000000000002</v>
      </c>
      <c r="O1164" s="8" t="s">
        <v>39</v>
      </c>
      <c r="P1164" s="4">
        <f>(C1164+(E1164*F1164*H1164))-N1164</f>
        <v>384</v>
      </c>
      <c r="Q1164" s="8" t="s">
        <v>39</v>
      </c>
      <c r="R1164" s="9">
        <f>S1164/1.11</f>
        <v>22938693.189189188</v>
      </c>
      <c r="S1164" s="9">
        <f>P1164*(J1164-(J1164*L1164)-((J1164-(J1164*L1164))*M1164))</f>
        <v>25461949.440000001</v>
      </c>
    </row>
    <row r="1165" spans="1:19" x14ac:dyDescent="0.2">
      <c r="A1165" s="15"/>
    </row>
    <row r="1166" spans="1:19" x14ac:dyDescent="0.2">
      <c r="A1166" s="15" t="s">
        <v>636</v>
      </c>
      <c r="B1166" s="3" t="s">
        <v>587</v>
      </c>
      <c r="D1166" s="5" t="s">
        <v>18</v>
      </c>
      <c r="F1166" s="7">
        <v>1</v>
      </c>
      <c r="G1166" s="8" t="s">
        <v>19</v>
      </c>
      <c r="H1166" s="7">
        <v>24</v>
      </c>
      <c r="I1166" s="8" t="s">
        <v>18</v>
      </c>
      <c r="J1166" s="9">
        <v>18200</v>
      </c>
      <c r="K1166" s="5" t="s">
        <v>18</v>
      </c>
      <c r="L1166" s="10">
        <v>0.15</v>
      </c>
      <c r="M1166" s="10">
        <v>0.03</v>
      </c>
      <c r="O1166" s="8" t="s">
        <v>18</v>
      </c>
      <c r="P1166" s="4">
        <f>(C1166+(E1166*F1166*H1166))-N1166</f>
        <v>0</v>
      </c>
      <c r="Q1166" s="8" t="s">
        <v>18</v>
      </c>
      <c r="R1166" s="9">
        <f>S1166/1.11</f>
        <v>0</v>
      </c>
      <c r="S1166" s="9">
        <f>P1166*(J1166-(J1166*L1166)-((J1166-(J1166*L1166))*M1166))</f>
        <v>0</v>
      </c>
    </row>
    <row r="1168" spans="1:19" ht="15.75" x14ac:dyDescent="0.25">
      <c r="A1168" s="29" t="s">
        <v>640</v>
      </c>
    </row>
    <row r="1169" spans="1:19" x14ac:dyDescent="0.2">
      <c r="A1169" s="30" t="s">
        <v>1029</v>
      </c>
    </row>
    <row r="1170" spans="1:19" x14ac:dyDescent="0.2">
      <c r="A1170" s="2" t="s">
        <v>641</v>
      </c>
      <c r="B1170" s="3" t="s">
        <v>17</v>
      </c>
      <c r="D1170" s="5" t="s">
        <v>18</v>
      </c>
      <c r="F1170" s="7">
        <v>1</v>
      </c>
      <c r="G1170" s="8" t="s">
        <v>19</v>
      </c>
      <c r="H1170" s="7">
        <v>100</v>
      </c>
      <c r="I1170" s="8" t="s">
        <v>18</v>
      </c>
      <c r="J1170" s="9">
        <v>8400</v>
      </c>
      <c r="K1170" s="5" t="s">
        <v>18</v>
      </c>
      <c r="L1170" s="10">
        <v>0.125</v>
      </c>
      <c r="M1170" s="10">
        <v>0.05</v>
      </c>
      <c r="O1170" s="8" t="s">
        <v>18</v>
      </c>
      <c r="P1170" s="4">
        <f>(C1170+(E1170*F1170*H1170))-N1170</f>
        <v>0</v>
      </c>
      <c r="Q1170" s="8" t="s">
        <v>18</v>
      </c>
      <c r="R1170" s="9">
        <f>S1170/1.11</f>
        <v>0</v>
      </c>
      <c r="S1170" s="9">
        <f>P1170*(J1170-(J1170*L1170)-((J1170-(J1170*L1170))*M1170))</f>
        <v>0</v>
      </c>
    </row>
    <row r="1172" spans="1:19" x14ac:dyDescent="0.2">
      <c r="A1172" s="30" t="s">
        <v>1012</v>
      </c>
    </row>
    <row r="1173" spans="1:19" x14ac:dyDescent="0.2">
      <c r="A1173" s="2" t="s">
        <v>1013</v>
      </c>
      <c r="B1173" s="3" t="s">
        <v>170</v>
      </c>
      <c r="C1173" s="4">
        <v>480</v>
      </c>
      <c r="D1173" s="5" t="s">
        <v>18</v>
      </c>
      <c r="F1173" s="7">
        <v>1</v>
      </c>
      <c r="G1173" s="8" t="s">
        <v>19</v>
      </c>
      <c r="H1173" s="7">
        <v>240</v>
      </c>
      <c r="I1173" s="8" t="s">
        <v>18</v>
      </c>
      <c r="J1173" s="9">
        <v>10000</v>
      </c>
      <c r="K1173" s="5" t="s">
        <v>18</v>
      </c>
      <c r="L1173" s="10">
        <v>7.0000000000000007E-2</v>
      </c>
      <c r="O1173" s="8" t="s">
        <v>18</v>
      </c>
      <c r="P1173" s="4">
        <f>(C1173+(E1173*F1173*H1173))-N1173</f>
        <v>480</v>
      </c>
      <c r="Q1173" s="8" t="s">
        <v>18</v>
      </c>
      <c r="R1173" s="9">
        <f>S1173/1.11</f>
        <v>4021621.6216216213</v>
      </c>
      <c r="S1173" s="9">
        <f>P1173*(J1173-(J1173*L1173)-((J1173-(J1173*L1173))*M1173))</f>
        <v>4464000</v>
      </c>
    </row>
    <row r="1174" spans="1:19" x14ac:dyDescent="0.2">
      <c r="A1174" s="2" t="s">
        <v>1019</v>
      </c>
      <c r="B1174" s="3" t="s">
        <v>170</v>
      </c>
      <c r="D1174" s="5" t="s">
        <v>18</v>
      </c>
      <c r="F1174" s="7">
        <v>1</v>
      </c>
      <c r="G1174" s="8" t="s">
        <v>19</v>
      </c>
      <c r="H1174" s="7">
        <v>240</v>
      </c>
      <c r="I1174" s="8" t="s">
        <v>18</v>
      </c>
      <c r="J1174" s="9">
        <v>12500</v>
      </c>
      <c r="K1174" s="5" t="s">
        <v>18</v>
      </c>
      <c r="L1174" s="10">
        <v>7.0000000000000007E-2</v>
      </c>
      <c r="O1174" s="8" t="s">
        <v>18</v>
      </c>
      <c r="P1174" s="4">
        <f>(C1174+(E1174*F1174*H1174))-N1174</f>
        <v>0</v>
      </c>
      <c r="Q1174" s="8" t="s">
        <v>18</v>
      </c>
      <c r="R1174" s="9">
        <f>S1174/1.11</f>
        <v>0</v>
      </c>
      <c r="S1174" s="9">
        <f>P1174*(J1174-(J1174*L1174)-((J1174-(J1174*L1174))*M1174))</f>
        <v>0</v>
      </c>
    </row>
    <row r="1175" spans="1:19" x14ac:dyDescent="0.2">
      <c r="A1175" s="2" t="s">
        <v>1020</v>
      </c>
      <c r="B1175" s="3" t="s">
        <v>170</v>
      </c>
      <c r="C1175" s="4">
        <v>120</v>
      </c>
      <c r="D1175" s="5" t="s">
        <v>18</v>
      </c>
      <c r="F1175" s="7">
        <v>1</v>
      </c>
      <c r="G1175" s="8" t="s">
        <v>19</v>
      </c>
      <c r="H1175" s="7">
        <v>120</v>
      </c>
      <c r="I1175" s="8" t="s">
        <v>18</v>
      </c>
      <c r="J1175" s="9">
        <v>15000</v>
      </c>
      <c r="K1175" s="5" t="s">
        <v>18</v>
      </c>
      <c r="L1175" s="10">
        <v>7.0000000000000007E-2</v>
      </c>
      <c r="O1175" s="8" t="s">
        <v>18</v>
      </c>
      <c r="P1175" s="4">
        <f>(C1175+(E1175*F1175*H1175))-N1175</f>
        <v>120</v>
      </c>
      <c r="Q1175" s="8" t="s">
        <v>18</v>
      </c>
      <c r="R1175" s="9">
        <f>S1175/1.11</f>
        <v>1508108.1081081079</v>
      </c>
      <c r="S1175" s="9">
        <f>P1175*(J1175-(J1175*L1175)-((J1175-(J1175*L1175))*M1175))</f>
        <v>1674000</v>
      </c>
    </row>
    <row r="1177" spans="1:19" x14ac:dyDescent="0.2">
      <c r="A1177" s="30" t="s">
        <v>790</v>
      </c>
    </row>
    <row r="1178" spans="1:19" x14ac:dyDescent="0.2">
      <c r="A1178" s="2" t="s">
        <v>1038</v>
      </c>
      <c r="B1178" s="3" t="s">
        <v>44</v>
      </c>
      <c r="D1178" s="5" t="s">
        <v>18</v>
      </c>
      <c r="F1178" s="7">
        <v>4</v>
      </c>
      <c r="G1178" s="8" t="s">
        <v>32</v>
      </c>
      <c r="H1178" s="7">
        <v>12</v>
      </c>
      <c r="I1178" s="8" t="s">
        <v>18</v>
      </c>
      <c r="K1178" s="5" t="s">
        <v>18</v>
      </c>
      <c r="L1178" s="10">
        <v>0.1</v>
      </c>
      <c r="M1178" s="10">
        <v>0.05</v>
      </c>
      <c r="O1178" s="8" t="s">
        <v>18</v>
      </c>
      <c r="P1178" s="4">
        <f>(C1178+(E1178*F1178*H1178))-N1178</f>
        <v>0</v>
      </c>
      <c r="Q1178" s="8" t="s">
        <v>18</v>
      </c>
      <c r="R1178" s="9">
        <f>S1178/1.11</f>
        <v>0</v>
      </c>
      <c r="S1178" s="9">
        <f>P1178*(J1178-(J1178*L1178)-((J1178-(J1178*L1178))*M1178))</f>
        <v>0</v>
      </c>
    </row>
    <row r="1179" spans="1:19" x14ac:dyDescent="0.2">
      <c r="A1179" s="30" t="s">
        <v>1021</v>
      </c>
    </row>
    <row r="1180" spans="1:19" x14ac:dyDescent="0.2">
      <c r="A1180" s="2" t="s">
        <v>1039</v>
      </c>
      <c r="B1180" s="3" t="s">
        <v>44</v>
      </c>
      <c r="D1180" s="5" t="s">
        <v>18</v>
      </c>
      <c r="F1180" s="7">
        <v>1</v>
      </c>
      <c r="G1180" s="8" t="s">
        <v>19</v>
      </c>
      <c r="H1180" s="7">
        <v>5</v>
      </c>
      <c r="I1180" s="8" t="s">
        <v>18</v>
      </c>
      <c r="J1180" s="9">
        <v>56000</v>
      </c>
      <c r="K1180" s="5" t="s">
        <v>18</v>
      </c>
      <c r="L1180" s="10">
        <v>0.1</v>
      </c>
      <c r="M1180" s="10">
        <v>0.05</v>
      </c>
      <c r="O1180" s="8" t="s">
        <v>18</v>
      </c>
      <c r="P1180" s="4">
        <f>(C1180+(E1180*F1180*H1180))-N1180</f>
        <v>0</v>
      </c>
      <c r="Q1180" s="8" t="s">
        <v>18</v>
      </c>
      <c r="R1180" s="9">
        <f>S1180/1.11</f>
        <v>0</v>
      </c>
      <c r="S1180" s="9">
        <f>P1180*(J1180-(J1180*L1180)-((J1180-(J1180*L1180))*M1180))</f>
        <v>0</v>
      </c>
    </row>
    <row r="1181" spans="1:19" x14ac:dyDescent="0.2">
      <c r="A1181" s="30" t="s">
        <v>903</v>
      </c>
    </row>
    <row r="1182" spans="1:19" x14ac:dyDescent="0.2">
      <c r="A1182" s="2" t="s">
        <v>904</v>
      </c>
      <c r="B1182" s="3" t="s">
        <v>17</v>
      </c>
      <c r="D1182" s="5" t="s">
        <v>18</v>
      </c>
      <c r="F1182" s="7">
        <v>1</v>
      </c>
      <c r="G1182" s="8" t="s">
        <v>19</v>
      </c>
      <c r="H1182" s="7">
        <v>50</v>
      </c>
      <c r="I1182" s="8" t="s">
        <v>815</v>
      </c>
      <c r="J1182" s="9">
        <v>40000</v>
      </c>
      <c r="K1182" s="5" t="s">
        <v>18</v>
      </c>
      <c r="O1182" s="8" t="s">
        <v>18</v>
      </c>
      <c r="P1182" s="4">
        <f>(C1182+(E1182*F1182*H1182))-N1182</f>
        <v>0</v>
      </c>
      <c r="Q1182" s="8" t="s">
        <v>18</v>
      </c>
      <c r="R1182" s="9">
        <f>S1182/1.11</f>
        <v>0</v>
      </c>
      <c r="S1182" s="9">
        <f>P1182*(J1182-(J1182*L1182)-((J1182-(J1182*L1182))*M1182))</f>
        <v>0</v>
      </c>
    </row>
    <row r="1183" spans="1:19" x14ac:dyDescent="0.2">
      <c r="A1183" s="30" t="s">
        <v>883</v>
      </c>
    </row>
    <row r="1184" spans="1:19" x14ac:dyDescent="0.2">
      <c r="A1184" s="2" t="s">
        <v>1040</v>
      </c>
      <c r="B1184" s="3" t="s">
        <v>44</v>
      </c>
      <c r="D1184" s="5" t="s">
        <v>18</v>
      </c>
      <c r="F1184" s="7">
        <v>15</v>
      </c>
      <c r="G1184" s="8" t="s">
        <v>32</v>
      </c>
      <c r="H1184" s="7">
        <v>20</v>
      </c>
      <c r="I1184" s="8" t="s">
        <v>815</v>
      </c>
      <c r="J1184" s="9">
        <v>42900</v>
      </c>
      <c r="K1184" s="5" t="s">
        <v>18</v>
      </c>
      <c r="L1184" s="10">
        <v>0.1</v>
      </c>
      <c r="M1184" s="10">
        <v>0.05</v>
      </c>
      <c r="O1184" s="8" t="s">
        <v>18</v>
      </c>
      <c r="P1184" s="4">
        <f>(C1184+(E1184*F1184*H1184))-N1184</f>
        <v>0</v>
      </c>
      <c r="Q1184" s="8" t="s">
        <v>18</v>
      </c>
      <c r="R1184" s="9">
        <f>S1184/1.11</f>
        <v>0</v>
      </c>
      <c r="S1184" s="9">
        <f>P1184*(J1184-(J1184*L1184)-((J1184-(J1184*L1184))*M1184))</f>
        <v>0</v>
      </c>
    </row>
    <row r="1186" spans="18:19" x14ac:dyDescent="0.2">
      <c r="R1186" s="9">
        <f>SUM(R4:R1185)</f>
        <v>1604268549.4324319</v>
      </c>
      <c r="S1186" s="9">
        <f>SUM(S4:S1185)</f>
        <v>1780738089.8699999</v>
      </c>
    </row>
  </sheetData>
  <sortState ref="A898:U926">
    <sortCondition ref="A898"/>
  </sortState>
  <mergeCells count="12">
    <mergeCell ref="N2:O3"/>
    <mergeCell ref="P2:Q3"/>
    <mergeCell ref="S2:S3"/>
    <mergeCell ref="R2:R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7"/>
  <sheetViews>
    <sheetView topLeftCell="A966" zoomScale="90" zoomScaleNormal="90" workbookViewId="0">
      <selection activeCell="A971" sqref="A971:XFD971"/>
    </sheetView>
  </sheetViews>
  <sheetFormatPr defaultRowHeight="15.75" x14ac:dyDescent="0.25"/>
  <cols>
    <col min="1" max="1" width="66" style="46" bestFit="1" customWidth="1"/>
    <col min="2" max="2" width="37.140625" style="46" bestFit="1" customWidth="1"/>
    <col min="3" max="3" width="4.42578125" style="46" bestFit="1" customWidth="1"/>
    <col min="4" max="16384" width="9.140625" style="46"/>
  </cols>
  <sheetData>
    <row r="1" spans="1:3" x14ac:dyDescent="0.25">
      <c r="A1" s="43" t="s">
        <v>15</v>
      </c>
      <c r="B1" s="44"/>
      <c r="C1" s="45"/>
    </row>
    <row r="2" spans="1:3" x14ac:dyDescent="0.25">
      <c r="A2" s="44" t="s">
        <v>16</v>
      </c>
      <c r="B2" s="44" t="s">
        <v>17</v>
      </c>
      <c r="C2" s="45"/>
    </row>
    <row r="3" spans="1:3" x14ac:dyDescent="0.25">
      <c r="A3" s="44" t="s">
        <v>998</v>
      </c>
      <c r="B3" s="44" t="s">
        <v>17</v>
      </c>
      <c r="C3" s="45"/>
    </row>
    <row r="4" spans="1:3" x14ac:dyDescent="0.25">
      <c r="A4" s="44" t="s">
        <v>722</v>
      </c>
      <c r="B4" s="44" t="s">
        <v>17</v>
      </c>
      <c r="C4" s="45"/>
    </row>
    <row r="5" spans="1:3" x14ac:dyDescent="0.25">
      <c r="A5" s="44" t="s">
        <v>20</v>
      </c>
      <c r="B5" s="44" t="s">
        <v>17</v>
      </c>
      <c r="C5" s="45"/>
    </row>
    <row r="6" spans="1:3" x14ac:dyDescent="0.25">
      <c r="A6" s="44" t="s">
        <v>21</v>
      </c>
      <c r="B6" s="44" t="s">
        <v>17</v>
      </c>
      <c r="C6" s="45"/>
    </row>
    <row r="7" spans="1:3" x14ac:dyDescent="0.25">
      <c r="A7" s="44" t="s">
        <v>22</v>
      </c>
      <c r="B7" s="44" t="s">
        <v>17</v>
      </c>
      <c r="C7" s="45"/>
    </row>
    <row r="8" spans="1:3" x14ac:dyDescent="0.25">
      <c r="A8" s="44" t="s">
        <v>909</v>
      </c>
      <c r="B8" s="44" t="s">
        <v>17</v>
      </c>
      <c r="C8" s="45"/>
    </row>
    <row r="9" spans="1:3" x14ac:dyDescent="0.25">
      <c r="A9" s="44" t="s">
        <v>910</v>
      </c>
      <c r="B9" s="44" t="s">
        <v>17</v>
      </c>
      <c r="C9" s="45"/>
    </row>
    <row r="10" spans="1:3" x14ac:dyDescent="0.25">
      <c r="A10" s="44" t="s">
        <v>975</v>
      </c>
      <c r="B10" s="44" t="s">
        <v>17</v>
      </c>
      <c r="C10" s="45"/>
    </row>
    <row r="11" spans="1:3" x14ac:dyDescent="0.25">
      <c r="A11" s="44" t="s">
        <v>911</v>
      </c>
      <c r="B11" s="44" t="s">
        <v>17</v>
      </c>
      <c r="C11" s="45"/>
    </row>
    <row r="12" spans="1:3" x14ac:dyDescent="0.25">
      <c r="A12" s="44" t="s">
        <v>948</v>
      </c>
      <c r="B12" s="44" t="s">
        <v>17</v>
      </c>
      <c r="C12" s="45"/>
    </row>
    <row r="13" spans="1:3" x14ac:dyDescent="0.25">
      <c r="A13" s="44" t="s">
        <v>23</v>
      </c>
      <c r="B13" s="44" t="s">
        <v>24</v>
      </c>
      <c r="C13" s="45"/>
    </row>
    <row r="14" spans="1:3" x14ac:dyDescent="0.25">
      <c r="A14" s="44" t="s">
        <v>25</v>
      </c>
      <c r="B14" s="44" t="s">
        <v>24</v>
      </c>
      <c r="C14" s="45"/>
    </row>
    <row r="15" spans="1:3" x14ac:dyDescent="0.25">
      <c r="A15" s="44" t="s">
        <v>26</v>
      </c>
      <c r="B15" s="44" t="s">
        <v>24</v>
      </c>
      <c r="C15" s="45"/>
    </row>
    <row r="16" spans="1:3" x14ac:dyDescent="0.25">
      <c r="A16" s="44" t="s">
        <v>696</v>
      </c>
      <c r="B16" s="44" t="s">
        <v>24</v>
      </c>
      <c r="C16" s="45"/>
    </row>
    <row r="17" spans="1:3" x14ac:dyDescent="0.25">
      <c r="A17" s="44" t="s">
        <v>27</v>
      </c>
      <c r="B17" s="44" t="s">
        <v>24</v>
      </c>
      <c r="C17" s="45"/>
    </row>
    <row r="18" spans="1:3" x14ac:dyDescent="0.25">
      <c r="A18" s="44" t="s">
        <v>28</v>
      </c>
      <c r="B18" s="44" t="s">
        <v>24</v>
      </c>
      <c r="C18" s="45"/>
    </row>
    <row r="19" spans="1:3" x14ac:dyDescent="0.25">
      <c r="A19" s="44" t="s">
        <v>29</v>
      </c>
      <c r="B19" s="44" t="s">
        <v>24</v>
      </c>
      <c r="C19" s="45"/>
    </row>
    <row r="20" spans="1:3" x14ac:dyDescent="0.25">
      <c r="A20" s="44" t="s">
        <v>999</v>
      </c>
      <c r="B20" s="44" t="s">
        <v>170</v>
      </c>
      <c r="C20" s="45"/>
    </row>
    <row r="21" spans="1:3" x14ac:dyDescent="0.25">
      <c r="A21" s="43" t="s">
        <v>30</v>
      </c>
      <c r="B21" s="44"/>
      <c r="C21" s="45"/>
    </row>
    <row r="22" spans="1:3" x14ac:dyDescent="0.25">
      <c r="A22" s="44" t="s">
        <v>31</v>
      </c>
      <c r="B22" s="44" t="s">
        <v>17</v>
      </c>
      <c r="C22" s="45"/>
    </row>
    <row r="23" spans="1:3" x14ac:dyDescent="0.25">
      <c r="A23" s="44" t="s">
        <v>949</v>
      </c>
      <c r="B23" s="44" t="s">
        <v>17</v>
      </c>
      <c r="C23" s="45"/>
    </row>
    <row r="24" spans="1:3" x14ac:dyDescent="0.25">
      <c r="A24" s="44" t="s">
        <v>810</v>
      </c>
      <c r="B24" s="44" t="s">
        <v>17</v>
      </c>
      <c r="C24" s="45"/>
    </row>
    <row r="25" spans="1:3" x14ac:dyDescent="0.25">
      <c r="A25" s="44" t="s">
        <v>821</v>
      </c>
      <c r="B25" s="44" t="s">
        <v>17</v>
      </c>
      <c r="C25" s="45"/>
    </row>
    <row r="26" spans="1:3" x14ac:dyDescent="0.25">
      <c r="A26" s="44" t="s">
        <v>684</v>
      </c>
      <c r="B26" s="44" t="s">
        <v>17</v>
      </c>
      <c r="C26" s="45"/>
    </row>
    <row r="27" spans="1:3" x14ac:dyDescent="0.25">
      <c r="A27" s="44" t="s">
        <v>817</v>
      </c>
      <c r="B27" s="44" t="s">
        <v>17</v>
      </c>
      <c r="C27" s="45"/>
    </row>
    <row r="28" spans="1:3" x14ac:dyDescent="0.25">
      <c r="A28" s="44" t="s">
        <v>33</v>
      </c>
      <c r="B28" s="44" t="s">
        <v>17</v>
      </c>
      <c r="C28" s="45"/>
    </row>
    <row r="29" spans="1:3" x14ac:dyDescent="0.25">
      <c r="A29" s="44" t="s">
        <v>34</v>
      </c>
      <c r="B29" s="44" t="s">
        <v>17</v>
      </c>
      <c r="C29" s="45"/>
    </row>
    <row r="30" spans="1:3" x14ac:dyDescent="0.25">
      <c r="A30" s="44" t="s">
        <v>752</v>
      </c>
      <c r="B30" s="44" t="s">
        <v>24</v>
      </c>
      <c r="C30" s="45"/>
    </row>
    <row r="31" spans="1:3" x14ac:dyDescent="0.25">
      <c r="A31" s="44" t="s">
        <v>741</v>
      </c>
      <c r="B31" s="44" t="s">
        <v>24</v>
      </c>
      <c r="C31" s="45"/>
    </row>
    <row r="32" spans="1:3" x14ac:dyDescent="0.25">
      <c r="A32" s="44" t="s">
        <v>822</v>
      </c>
      <c r="B32" s="44" t="s">
        <v>24</v>
      </c>
      <c r="C32" s="45"/>
    </row>
    <row r="33" spans="1:3" x14ac:dyDescent="0.25">
      <c r="A33" s="44" t="s">
        <v>823</v>
      </c>
      <c r="B33" s="44" t="s">
        <v>24</v>
      </c>
      <c r="C33" s="45"/>
    </row>
    <row r="34" spans="1:3" x14ac:dyDescent="0.25">
      <c r="A34" s="44" t="s">
        <v>669</v>
      </c>
      <c r="B34" s="44" t="s">
        <v>24</v>
      </c>
      <c r="C34" s="45"/>
    </row>
    <row r="35" spans="1:3" x14ac:dyDescent="0.25">
      <c r="A35" s="43" t="s">
        <v>988</v>
      </c>
      <c r="B35" s="44"/>
      <c r="C35" s="45"/>
    </row>
    <row r="36" spans="1:3" x14ac:dyDescent="0.25">
      <c r="A36" s="44" t="s">
        <v>989</v>
      </c>
      <c r="B36" s="44" t="s">
        <v>990</v>
      </c>
      <c r="C36" s="45"/>
    </row>
    <row r="37" spans="1:3" x14ac:dyDescent="0.25">
      <c r="A37" s="43" t="s">
        <v>36</v>
      </c>
      <c r="B37" s="44"/>
      <c r="C37" s="45"/>
    </row>
    <row r="38" spans="1:3" x14ac:dyDescent="0.25">
      <c r="A38" s="44" t="s">
        <v>797</v>
      </c>
      <c r="B38" s="44" t="s">
        <v>17</v>
      </c>
      <c r="C38" s="45"/>
    </row>
    <row r="39" spans="1:3" x14ac:dyDescent="0.25">
      <c r="A39" s="44" t="s">
        <v>37</v>
      </c>
      <c r="B39" s="44" t="s">
        <v>17</v>
      </c>
      <c r="C39" s="45"/>
    </row>
    <row r="40" spans="1:3" x14ac:dyDescent="0.25">
      <c r="A40" s="44" t="s">
        <v>38</v>
      </c>
      <c r="B40" s="44" t="s">
        <v>24</v>
      </c>
      <c r="C40" s="45"/>
    </row>
    <row r="41" spans="1:3" x14ac:dyDescent="0.25">
      <c r="A41" s="44" t="s">
        <v>40</v>
      </c>
      <c r="B41" s="44" t="s">
        <v>24</v>
      </c>
      <c r="C41" s="45"/>
    </row>
    <row r="42" spans="1:3" x14ac:dyDescent="0.25">
      <c r="A42" s="44" t="s">
        <v>871</v>
      </c>
      <c r="B42" s="44" t="s">
        <v>24</v>
      </c>
      <c r="C42" s="45"/>
    </row>
    <row r="43" spans="1:3" x14ac:dyDescent="0.25">
      <c r="A43" s="44" t="s">
        <v>41</v>
      </c>
      <c r="B43" s="44" t="s">
        <v>24</v>
      </c>
      <c r="C43" s="45"/>
    </row>
    <row r="44" spans="1:3" x14ac:dyDescent="0.25">
      <c r="A44" s="43" t="s">
        <v>687</v>
      </c>
      <c r="B44" s="44"/>
      <c r="C44" s="45"/>
    </row>
    <row r="45" spans="1:3" x14ac:dyDescent="0.25">
      <c r="A45" s="44" t="s">
        <v>824</v>
      </c>
      <c r="B45" s="44" t="s">
        <v>690</v>
      </c>
      <c r="C45" s="45">
        <v>6</v>
      </c>
    </row>
    <row r="46" spans="1:3" x14ac:dyDescent="0.25">
      <c r="A46" s="44" t="s">
        <v>747</v>
      </c>
      <c r="B46" s="44" t="s">
        <v>690</v>
      </c>
      <c r="C46" s="45">
        <v>5</v>
      </c>
    </row>
    <row r="47" spans="1:3" x14ac:dyDescent="0.25">
      <c r="A47" s="44" t="s">
        <v>688</v>
      </c>
      <c r="B47" s="44" t="s">
        <v>690</v>
      </c>
      <c r="C47" s="45"/>
    </row>
    <row r="48" spans="1:3" x14ac:dyDescent="0.25">
      <c r="A48" s="44" t="s">
        <v>689</v>
      </c>
      <c r="B48" s="44" t="s">
        <v>690</v>
      </c>
      <c r="C48" s="45"/>
    </row>
    <row r="49" spans="1:3" x14ac:dyDescent="0.25">
      <c r="A49" s="43" t="s">
        <v>825</v>
      </c>
      <c r="B49" s="44"/>
      <c r="C49" s="45"/>
    </row>
    <row r="50" spans="1:3" x14ac:dyDescent="0.25">
      <c r="A50" s="44" t="s">
        <v>826</v>
      </c>
      <c r="B50" s="44" t="s">
        <v>690</v>
      </c>
      <c r="C50" s="45">
        <v>8</v>
      </c>
    </row>
    <row r="51" spans="1:3" x14ac:dyDescent="0.25">
      <c r="A51" s="44" t="s">
        <v>827</v>
      </c>
      <c r="B51" s="44" t="s">
        <v>690</v>
      </c>
      <c r="C51" s="45">
        <v>51</v>
      </c>
    </row>
    <row r="52" spans="1:3" x14ac:dyDescent="0.25">
      <c r="A52" s="43" t="s">
        <v>42</v>
      </c>
      <c r="B52" s="44"/>
      <c r="C52" s="45"/>
    </row>
    <row r="53" spans="1:3" x14ac:dyDescent="0.25">
      <c r="A53" s="44" t="s">
        <v>43</v>
      </c>
      <c r="B53" s="44" t="s">
        <v>44</v>
      </c>
      <c r="C53" s="45"/>
    </row>
    <row r="54" spans="1:3" x14ac:dyDescent="0.25">
      <c r="A54" s="44" t="s">
        <v>45</v>
      </c>
      <c r="B54" s="44" t="s">
        <v>44</v>
      </c>
      <c r="C54" s="45">
        <v>1</v>
      </c>
    </row>
    <row r="55" spans="1:3" x14ac:dyDescent="0.25">
      <c r="A55" s="44" t="s">
        <v>46</v>
      </c>
      <c r="B55" s="44" t="s">
        <v>44</v>
      </c>
      <c r="C55" s="45"/>
    </row>
    <row r="56" spans="1:3" x14ac:dyDescent="0.25">
      <c r="A56" s="44" t="s">
        <v>47</v>
      </c>
      <c r="B56" s="44" t="s">
        <v>44</v>
      </c>
      <c r="C56" s="45"/>
    </row>
    <row r="57" spans="1:3" x14ac:dyDescent="0.25">
      <c r="A57" s="44" t="s">
        <v>48</v>
      </c>
      <c r="B57" s="44" t="s">
        <v>44</v>
      </c>
      <c r="C57" s="45">
        <v>1</v>
      </c>
    </row>
    <row r="58" spans="1:3" x14ac:dyDescent="0.25">
      <c r="A58" s="44" t="s">
        <v>49</v>
      </c>
      <c r="B58" s="44" t="s">
        <v>44</v>
      </c>
      <c r="C58" s="45">
        <v>1</v>
      </c>
    </row>
    <row r="59" spans="1:3" x14ac:dyDescent="0.25">
      <c r="A59" s="44" t="s">
        <v>798</v>
      </c>
      <c r="B59" s="44" t="s">
        <v>44</v>
      </c>
      <c r="C59" s="45"/>
    </row>
    <row r="60" spans="1:3" x14ac:dyDescent="0.25">
      <c r="A60" s="44" t="s">
        <v>50</v>
      </c>
      <c r="B60" s="44" t="s">
        <v>44</v>
      </c>
      <c r="C60" s="45"/>
    </row>
    <row r="61" spans="1:3" x14ac:dyDescent="0.25">
      <c r="A61" s="44" t="s">
        <v>51</v>
      </c>
      <c r="B61" s="44" t="s">
        <v>44</v>
      </c>
      <c r="C61" s="45">
        <v>2</v>
      </c>
    </row>
    <row r="62" spans="1:3" x14ac:dyDescent="0.25">
      <c r="A62" s="44" t="s">
        <v>757</v>
      </c>
      <c r="B62" s="44" t="s">
        <v>44</v>
      </c>
      <c r="C62" s="45">
        <v>1</v>
      </c>
    </row>
    <row r="63" spans="1:3" x14ac:dyDescent="0.25">
      <c r="A63" s="44" t="s">
        <v>52</v>
      </c>
      <c r="B63" s="44" t="s">
        <v>44</v>
      </c>
      <c r="C63" s="45">
        <v>2</v>
      </c>
    </row>
    <row r="64" spans="1:3" x14ac:dyDescent="0.25">
      <c r="A64" s="44" t="s">
        <v>876</v>
      </c>
      <c r="B64" s="44" t="s">
        <v>44</v>
      </c>
      <c r="C64" s="45"/>
    </row>
    <row r="65" spans="1:3" x14ac:dyDescent="0.25">
      <c r="A65" s="44" t="s">
        <v>756</v>
      </c>
      <c r="B65" s="44" t="s">
        <v>44</v>
      </c>
      <c r="C65" s="45"/>
    </row>
    <row r="66" spans="1:3" x14ac:dyDescent="0.25">
      <c r="A66" s="44" t="s">
        <v>53</v>
      </c>
      <c r="B66" s="44" t="s">
        <v>44</v>
      </c>
      <c r="C66" s="45"/>
    </row>
    <row r="67" spans="1:3" x14ac:dyDescent="0.25">
      <c r="A67" s="44" t="s">
        <v>54</v>
      </c>
      <c r="B67" s="44" t="s">
        <v>44</v>
      </c>
      <c r="C67" s="45"/>
    </row>
    <row r="68" spans="1:3" x14ac:dyDescent="0.25">
      <c r="A68" s="44" t="s">
        <v>55</v>
      </c>
      <c r="B68" s="44" t="s">
        <v>44</v>
      </c>
      <c r="C68" s="45"/>
    </row>
    <row r="69" spans="1:3" x14ac:dyDescent="0.25">
      <c r="A69" s="44" t="s">
        <v>56</v>
      </c>
      <c r="B69" s="44" t="s">
        <v>44</v>
      </c>
      <c r="C69" s="45"/>
    </row>
    <row r="70" spans="1:3" x14ac:dyDescent="0.25">
      <c r="A70" s="44" t="s">
        <v>57</v>
      </c>
      <c r="B70" s="44" t="s">
        <v>44</v>
      </c>
      <c r="C70" s="45"/>
    </row>
    <row r="71" spans="1:3" x14ac:dyDescent="0.25">
      <c r="A71" s="44" t="s">
        <v>58</v>
      </c>
      <c r="B71" s="44" t="s">
        <v>44</v>
      </c>
      <c r="C71" s="45"/>
    </row>
    <row r="72" spans="1:3" x14ac:dyDescent="0.25">
      <c r="A72" s="44" t="s">
        <v>59</v>
      </c>
      <c r="B72" s="44" t="s">
        <v>44</v>
      </c>
      <c r="C72" s="45"/>
    </row>
    <row r="73" spans="1:3" x14ac:dyDescent="0.25">
      <c r="A73" s="44" t="s">
        <v>1024</v>
      </c>
      <c r="B73" s="44" t="s">
        <v>44</v>
      </c>
      <c r="C73" s="45"/>
    </row>
    <row r="74" spans="1:3" x14ac:dyDescent="0.25">
      <c r="A74" s="44" t="s">
        <v>60</v>
      </c>
      <c r="B74" s="44" t="s">
        <v>44</v>
      </c>
      <c r="C74" s="45"/>
    </row>
    <row r="75" spans="1:3" x14ac:dyDescent="0.25">
      <c r="A75" s="44" t="s">
        <v>61</v>
      </c>
      <c r="B75" s="44" t="s">
        <v>44</v>
      </c>
      <c r="C75" s="45">
        <v>1</v>
      </c>
    </row>
    <row r="76" spans="1:3" x14ac:dyDescent="0.25">
      <c r="A76" s="44" t="s">
        <v>799</v>
      </c>
      <c r="B76" s="44" t="s">
        <v>44</v>
      </c>
      <c r="C76" s="45"/>
    </row>
    <row r="77" spans="1:3" x14ac:dyDescent="0.25">
      <c r="A77" s="44" t="s">
        <v>800</v>
      </c>
      <c r="B77" s="44" t="s">
        <v>44</v>
      </c>
      <c r="C77" s="45"/>
    </row>
    <row r="78" spans="1:3" x14ac:dyDescent="0.25">
      <c r="A78" s="44" t="s">
        <v>62</v>
      </c>
      <c r="B78" s="44" t="s">
        <v>44</v>
      </c>
      <c r="C78" s="45"/>
    </row>
    <row r="79" spans="1:3" x14ac:dyDescent="0.25">
      <c r="A79" s="44" t="s">
        <v>63</v>
      </c>
      <c r="B79" s="44" t="s">
        <v>44</v>
      </c>
      <c r="C79" s="45"/>
    </row>
    <row r="80" spans="1:3" x14ac:dyDescent="0.25">
      <c r="A80" s="44" t="s">
        <v>64</v>
      </c>
      <c r="B80" s="44" t="s">
        <v>44</v>
      </c>
      <c r="C80" s="45">
        <v>1</v>
      </c>
    </row>
    <row r="81" spans="1:3" x14ac:dyDescent="0.25">
      <c r="A81" s="44" t="s">
        <v>65</v>
      </c>
      <c r="B81" s="44" t="s">
        <v>44</v>
      </c>
      <c r="C81" s="45"/>
    </row>
    <row r="82" spans="1:3" x14ac:dyDescent="0.25">
      <c r="A82" s="44" t="s">
        <v>872</v>
      </c>
      <c r="B82" s="44" t="s">
        <v>44</v>
      </c>
      <c r="C82" s="45"/>
    </row>
    <row r="83" spans="1:3" x14ac:dyDescent="0.25">
      <c r="A83" s="44" t="s">
        <v>66</v>
      </c>
      <c r="B83" s="44" t="s">
        <v>44</v>
      </c>
      <c r="C83" s="45"/>
    </row>
    <row r="84" spans="1:3" x14ac:dyDescent="0.25">
      <c r="A84" s="44" t="s">
        <v>67</v>
      </c>
      <c r="B84" s="44" t="s">
        <v>44</v>
      </c>
      <c r="C84" s="45">
        <v>2</v>
      </c>
    </row>
    <row r="85" spans="1:3" x14ac:dyDescent="0.25">
      <c r="A85" s="44" t="s">
        <v>68</v>
      </c>
      <c r="B85" s="44" t="s">
        <v>44</v>
      </c>
      <c r="C85" s="45">
        <v>1</v>
      </c>
    </row>
    <row r="86" spans="1:3" x14ac:dyDescent="0.25">
      <c r="A86" s="43" t="s">
        <v>69</v>
      </c>
      <c r="B86" s="44"/>
      <c r="C86" s="45"/>
    </row>
    <row r="87" spans="1:3" x14ac:dyDescent="0.25">
      <c r="A87" s="44" t="s">
        <v>811</v>
      </c>
      <c r="B87" s="44" t="s">
        <v>17</v>
      </c>
      <c r="C87" s="45"/>
    </row>
    <row r="88" spans="1:3" x14ac:dyDescent="0.25">
      <c r="A88" s="44" t="s">
        <v>812</v>
      </c>
      <c r="B88" s="44" t="s">
        <v>17</v>
      </c>
      <c r="C88" s="45"/>
    </row>
    <row r="89" spans="1:3" x14ac:dyDescent="0.25">
      <c r="A89" s="44" t="s">
        <v>70</v>
      </c>
      <c r="B89" s="44" t="s">
        <v>17</v>
      </c>
      <c r="C89" s="45"/>
    </row>
    <row r="90" spans="1:3" x14ac:dyDescent="0.25">
      <c r="A90" s="44" t="s">
        <v>71</v>
      </c>
      <c r="B90" s="44" t="s">
        <v>17</v>
      </c>
      <c r="C90" s="45"/>
    </row>
    <row r="91" spans="1:3" x14ac:dyDescent="0.25">
      <c r="A91" s="43" t="s">
        <v>73</v>
      </c>
      <c r="B91" s="44"/>
      <c r="C91" s="45"/>
    </row>
    <row r="92" spans="1:3" x14ac:dyDescent="0.25">
      <c r="A92" s="47" t="s">
        <v>74</v>
      </c>
      <c r="B92" s="44" t="s">
        <v>17</v>
      </c>
      <c r="C92" s="45"/>
    </row>
    <row r="93" spans="1:3" x14ac:dyDescent="0.25">
      <c r="A93" s="47" t="s">
        <v>785</v>
      </c>
      <c r="B93" s="44" t="s">
        <v>17</v>
      </c>
      <c r="C93" s="45"/>
    </row>
    <row r="94" spans="1:3" x14ac:dyDescent="0.25">
      <c r="A94" s="47" t="s">
        <v>76</v>
      </c>
      <c r="B94" s="44" t="s">
        <v>17</v>
      </c>
      <c r="C94" s="45"/>
    </row>
    <row r="95" spans="1:3" x14ac:dyDescent="0.25">
      <c r="A95" s="47" t="s">
        <v>77</v>
      </c>
      <c r="B95" s="44" t="s">
        <v>17</v>
      </c>
      <c r="C95" s="45"/>
    </row>
    <row r="96" spans="1:3" x14ac:dyDescent="0.25">
      <c r="A96" s="47" t="s">
        <v>78</v>
      </c>
      <c r="B96" s="44" t="s">
        <v>17</v>
      </c>
      <c r="C96" s="45"/>
    </row>
    <row r="97" spans="1:3" x14ac:dyDescent="0.25">
      <c r="A97" s="48" t="s">
        <v>79</v>
      </c>
      <c r="B97" s="44" t="s">
        <v>17</v>
      </c>
      <c r="C97" s="45"/>
    </row>
    <row r="98" spans="1:3" x14ac:dyDescent="0.25">
      <c r="A98" s="48" t="s">
        <v>80</v>
      </c>
      <c r="B98" s="44" t="s">
        <v>17</v>
      </c>
      <c r="C98" s="45"/>
    </row>
    <row r="99" spans="1:3" x14ac:dyDescent="0.25">
      <c r="A99" s="47" t="s">
        <v>786</v>
      </c>
      <c r="B99" s="44" t="s">
        <v>17</v>
      </c>
      <c r="C99" s="45"/>
    </row>
    <row r="100" spans="1:3" x14ac:dyDescent="0.25">
      <c r="A100" s="44" t="s">
        <v>81</v>
      </c>
      <c r="B100" s="44" t="s">
        <v>17</v>
      </c>
      <c r="C100" s="45">
        <v>1</v>
      </c>
    </row>
    <row r="101" spans="1:3" x14ac:dyDescent="0.25">
      <c r="A101" s="44" t="s">
        <v>83</v>
      </c>
      <c r="B101" s="44" t="s">
        <v>17</v>
      </c>
      <c r="C101" s="45"/>
    </row>
    <row r="102" spans="1:3" x14ac:dyDescent="0.25">
      <c r="A102" s="44" t="s">
        <v>84</v>
      </c>
      <c r="B102" s="44" t="s">
        <v>17</v>
      </c>
      <c r="C102" s="45"/>
    </row>
    <row r="103" spans="1:3" x14ac:dyDescent="0.25">
      <c r="A103" s="44" t="s">
        <v>1000</v>
      </c>
      <c r="B103" s="44" t="s">
        <v>17</v>
      </c>
      <c r="C103" s="45"/>
    </row>
    <row r="104" spans="1:3" x14ac:dyDescent="0.25">
      <c r="A104" s="44" t="s">
        <v>85</v>
      </c>
      <c r="B104" s="44" t="s">
        <v>17</v>
      </c>
      <c r="C104" s="45"/>
    </row>
    <row r="105" spans="1:3" x14ac:dyDescent="0.25">
      <c r="A105" s="44" t="s">
        <v>86</v>
      </c>
      <c r="B105" s="44" t="s">
        <v>17</v>
      </c>
      <c r="C105" s="45">
        <v>1</v>
      </c>
    </row>
    <row r="106" spans="1:3" x14ac:dyDescent="0.25">
      <c r="A106" s="44" t="s">
        <v>87</v>
      </c>
      <c r="B106" s="44" t="s">
        <v>17</v>
      </c>
      <c r="C106" s="45"/>
    </row>
    <row r="107" spans="1:3" x14ac:dyDescent="0.25">
      <c r="A107" s="44" t="s">
        <v>88</v>
      </c>
      <c r="B107" s="44" t="s">
        <v>17</v>
      </c>
      <c r="C107" s="45">
        <v>5</v>
      </c>
    </row>
    <row r="108" spans="1:3" x14ac:dyDescent="0.25">
      <c r="A108" s="44" t="s">
        <v>874</v>
      </c>
      <c r="B108" s="44" t="s">
        <v>17</v>
      </c>
      <c r="C108" s="45"/>
    </row>
    <row r="109" spans="1:3" x14ac:dyDescent="0.25">
      <c r="A109" s="44" t="s">
        <v>873</v>
      </c>
      <c r="B109" s="44" t="s">
        <v>17</v>
      </c>
      <c r="C109" s="45"/>
    </row>
    <row r="110" spans="1:3" x14ac:dyDescent="0.25">
      <c r="A110" s="44" t="s">
        <v>89</v>
      </c>
      <c r="B110" s="44" t="s">
        <v>24</v>
      </c>
      <c r="C110" s="45"/>
    </row>
    <row r="111" spans="1:3" x14ac:dyDescent="0.25">
      <c r="A111" s="44" t="s">
        <v>90</v>
      </c>
      <c r="B111" s="44" t="s">
        <v>24</v>
      </c>
      <c r="C111" s="45"/>
    </row>
    <row r="112" spans="1:3" x14ac:dyDescent="0.25">
      <c r="A112" s="44" t="s">
        <v>91</v>
      </c>
      <c r="B112" s="44" t="s">
        <v>24</v>
      </c>
      <c r="C112" s="45"/>
    </row>
    <row r="113" spans="1:3" x14ac:dyDescent="0.25">
      <c r="A113" s="44" t="s">
        <v>92</v>
      </c>
      <c r="B113" s="44" t="s">
        <v>24</v>
      </c>
      <c r="C113" s="45"/>
    </row>
    <row r="114" spans="1:3" x14ac:dyDescent="0.25">
      <c r="A114" s="44" t="s">
        <v>93</v>
      </c>
      <c r="B114" s="44" t="s">
        <v>24</v>
      </c>
      <c r="C114" s="45"/>
    </row>
    <row r="115" spans="1:3" x14ac:dyDescent="0.25">
      <c r="A115" s="44" t="s">
        <v>94</v>
      </c>
      <c r="B115" s="44" t="s">
        <v>24</v>
      </c>
      <c r="C115" s="45">
        <v>1</v>
      </c>
    </row>
    <row r="116" spans="1:3" x14ac:dyDescent="0.25">
      <c r="A116" s="44" t="s">
        <v>875</v>
      </c>
      <c r="B116" s="44" t="s">
        <v>24</v>
      </c>
      <c r="C116" s="45">
        <v>1</v>
      </c>
    </row>
    <row r="117" spans="1:3" x14ac:dyDescent="0.25">
      <c r="A117" s="44" t="s">
        <v>697</v>
      </c>
      <c r="B117" s="44" t="s">
        <v>24</v>
      </c>
      <c r="C117" s="45"/>
    </row>
    <row r="118" spans="1:3" x14ac:dyDescent="0.25">
      <c r="A118" s="44" t="s">
        <v>954</v>
      </c>
      <c r="B118" s="44" t="s">
        <v>24</v>
      </c>
      <c r="C118" s="45"/>
    </row>
    <row r="119" spans="1:3" x14ac:dyDescent="0.25">
      <c r="A119" s="43" t="s">
        <v>95</v>
      </c>
      <c r="B119" s="44"/>
      <c r="C119" s="45"/>
    </row>
    <row r="120" spans="1:3" x14ac:dyDescent="0.25">
      <c r="A120" s="44" t="s">
        <v>96</v>
      </c>
      <c r="B120" s="44" t="s">
        <v>17</v>
      </c>
      <c r="C120" s="45"/>
    </row>
    <row r="121" spans="1:3" x14ac:dyDescent="0.25">
      <c r="A121" s="44" t="s">
        <v>98</v>
      </c>
      <c r="B121" s="44" t="s">
        <v>17</v>
      </c>
      <c r="C121" s="45"/>
    </row>
    <row r="122" spans="1:3" x14ac:dyDescent="0.25">
      <c r="A122" s="44" t="s">
        <v>99</v>
      </c>
      <c r="B122" s="44" t="s">
        <v>17</v>
      </c>
      <c r="C122" s="45"/>
    </row>
    <row r="123" spans="1:3" x14ac:dyDescent="0.25">
      <c r="A123" s="44" t="s">
        <v>100</v>
      </c>
      <c r="B123" s="44" t="s">
        <v>17</v>
      </c>
      <c r="C123" s="45"/>
    </row>
    <row r="124" spans="1:3" x14ac:dyDescent="0.25">
      <c r="A124" s="44" t="s">
        <v>102</v>
      </c>
      <c r="B124" s="44" t="s">
        <v>24</v>
      </c>
      <c r="C124" s="45"/>
    </row>
    <row r="125" spans="1:3" x14ac:dyDescent="0.25">
      <c r="A125" s="44" t="s">
        <v>103</v>
      </c>
      <c r="B125" s="44" t="s">
        <v>24</v>
      </c>
      <c r="C125" s="45"/>
    </row>
    <row r="126" spans="1:3" x14ac:dyDescent="0.25">
      <c r="A126" s="44" t="s">
        <v>104</v>
      </c>
      <c r="B126" s="44" t="s">
        <v>24</v>
      </c>
      <c r="C126" s="45"/>
    </row>
    <row r="127" spans="1:3" x14ac:dyDescent="0.25">
      <c r="A127" s="44" t="s">
        <v>105</v>
      </c>
      <c r="B127" s="44" t="s">
        <v>24</v>
      </c>
      <c r="C127" s="45"/>
    </row>
    <row r="128" spans="1:3" x14ac:dyDescent="0.25">
      <c r="A128" s="43" t="s">
        <v>107</v>
      </c>
      <c r="B128" s="44"/>
      <c r="C128" s="45"/>
    </row>
    <row r="129" spans="1:3" x14ac:dyDescent="0.25">
      <c r="A129" s="44" t="s">
        <v>108</v>
      </c>
      <c r="B129" s="44" t="s">
        <v>17</v>
      </c>
      <c r="C129" s="45">
        <v>2</v>
      </c>
    </row>
    <row r="130" spans="1:3" x14ac:dyDescent="0.25">
      <c r="A130" s="44" t="s">
        <v>109</v>
      </c>
      <c r="B130" s="44" t="s">
        <v>17</v>
      </c>
      <c r="C130" s="45"/>
    </row>
    <row r="131" spans="1:3" x14ac:dyDescent="0.25">
      <c r="A131" s="44" t="s">
        <v>714</v>
      </c>
      <c r="B131" s="44" t="s">
        <v>17</v>
      </c>
      <c r="C131" s="45"/>
    </row>
    <row r="132" spans="1:3" x14ac:dyDescent="0.25">
      <c r="A132" s="44" t="s">
        <v>110</v>
      </c>
      <c r="B132" s="44" t="s">
        <v>17</v>
      </c>
      <c r="C132" s="45"/>
    </row>
    <row r="133" spans="1:3" x14ac:dyDescent="0.25">
      <c r="A133" s="44" t="s">
        <v>111</v>
      </c>
      <c r="B133" s="44" t="s">
        <v>17</v>
      </c>
      <c r="C133" s="45"/>
    </row>
    <row r="134" spans="1:3" x14ac:dyDescent="0.25">
      <c r="A134" s="44" t="s">
        <v>112</v>
      </c>
      <c r="B134" s="44" t="s">
        <v>17</v>
      </c>
      <c r="C134" s="45"/>
    </row>
    <row r="135" spans="1:3" x14ac:dyDescent="0.25">
      <c r="A135" s="44" t="s">
        <v>682</v>
      </c>
      <c r="B135" s="44" t="s">
        <v>17</v>
      </c>
      <c r="C135" s="45"/>
    </row>
    <row r="136" spans="1:3" x14ac:dyDescent="0.25">
      <c r="A136" s="44" t="s">
        <v>113</v>
      </c>
      <c r="B136" s="44" t="s">
        <v>17</v>
      </c>
      <c r="C136" s="45"/>
    </row>
    <row r="137" spans="1:3" x14ac:dyDescent="0.25">
      <c r="A137" s="44" t="s">
        <v>114</v>
      </c>
      <c r="B137" s="44" t="s">
        <v>17</v>
      </c>
      <c r="C137" s="45"/>
    </row>
    <row r="138" spans="1:3" x14ac:dyDescent="0.25">
      <c r="A138" s="44" t="s">
        <v>880</v>
      </c>
      <c r="B138" s="44" t="s">
        <v>17</v>
      </c>
      <c r="C138" s="45"/>
    </row>
    <row r="139" spans="1:3" x14ac:dyDescent="0.25">
      <c r="A139" s="44" t="s">
        <v>115</v>
      </c>
      <c r="B139" s="44" t="s">
        <v>17</v>
      </c>
      <c r="C139" s="45"/>
    </row>
    <row r="140" spans="1:3" x14ac:dyDescent="0.25">
      <c r="A140" s="44" t="s">
        <v>116</v>
      </c>
      <c r="B140" s="44" t="s">
        <v>17</v>
      </c>
      <c r="C140" s="45"/>
    </row>
    <row r="141" spans="1:3" x14ac:dyDescent="0.25">
      <c r="A141" s="44" t="s">
        <v>117</v>
      </c>
      <c r="B141" s="44" t="s">
        <v>17</v>
      </c>
      <c r="C141" s="45"/>
    </row>
    <row r="142" spans="1:3" x14ac:dyDescent="0.25">
      <c r="A142" s="44" t="s">
        <v>118</v>
      </c>
      <c r="B142" s="44" t="s">
        <v>17</v>
      </c>
      <c r="C142" s="45"/>
    </row>
    <row r="143" spans="1:3" x14ac:dyDescent="0.25">
      <c r="A143" s="44" t="s">
        <v>917</v>
      </c>
      <c r="B143" s="44" t="s">
        <v>17</v>
      </c>
      <c r="C143" s="45"/>
    </row>
    <row r="144" spans="1:3" x14ac:dyDescent="0.25">
      <c r="A144" s="44" t="s">
        <v>119</v>
      </c>
      <c r="B144" s="44" t="s">
        <v>17</v>
      </c>
      <c r="C144" s="45"/>
    </row>
    <row r="145" spans="1:3" x14ac:dyDescent="0.25">
      <c r="A145" s="44" t="s">
        <v>676</v>
      </c>
      <c r="B145" s="44" t="s">
        <v>17</v>
      </c>
      <c r="C145" s="45"/>
    </row>
    <row r="146" spans="1:3" x14ac:dyDescent="0.25">
      <c r="A146" s="44" t="s">
        <v>914</v>
      </c>
      <c r="B146" s="44" t="s">
        <v>17</v>
      </c>
      <c r="C146" s="45"/>
    </row>
    <row r="147" spans="1:3" x14ac:dyDescent="0.25">
      <c r="A147" s="44" t="s">
        <v>915</v>
      </c>
      <c r="B147" s="44" t="s">
        <v>17</v>
      </c>
      <c r="C147" s="45"/>
    </row>
    <row r="148" spans="1:3" x14ac:dyDescent="0.25">
      <c r="A148" s="44" t="s">
        <v>916</v>
      </c>
      <c r="B148" s="44" t="s">
        <v>17</v>
      </c>
      <c r="C148" s="45"/>
    </row>
    <row r="149" spans="1:3" x14ac:dyDescent="0.25">
      <c r="A149" s="44" t="s">
        <v>120</v>
      </c>
      <c r="B149" s="44" t="s">
        <v>24</v>
      </c>
      <c r="C149" s="45"/>
    </row>
    <row r="150" spans="1:3" x14ac:dyDescent="0.25">
      <c r="A150" s="44" t="s">
        <v>121</v>
      </c>
      <c r="B150" s="44" t="s">
        <v>24</v>
      </c>
      <c r="C150" s="45"/>
    </row>
    <row r="151" spans="1:3" x14ac:dyDescent="0.25">
      <c r="A151" s="44" t="s">
        <v>122</v>
      </c>
      <c r="B151" s="44" t="s">
        <v>24</v>
      </c>
      <c r="C151" s="45"/>
    </row>
    <row r="152" spans="1:3" x14ac:dyDescent="0.25">
      <c r="A152" s="44" t="s">
        <v>123</v>
      </c>
      <c r="B152" s="44" t="s">
        <v>24</v>
      </c>
      <c r="C152" s="45"/>
    </row>
    <row r="153" spans="1:3" x14ac:dyDescent="0.25">
      <c r="A153" s="44" t="s">
        <v>124</v>
      </c>
      <c r="B153" s="44" t="s">
        <v>24</v>
      </c>
      <c r="C153" s="45">
        <v>1</v>
      </c>
    </row>
    <row r="154" spans="1:3" x14ac:dyDescent="0.25">
      <c r="A154" s="44" t="s">
        <v>125</v>
      </c>
      <c r="B154" s="44" t="s">
        <v>24</v>
      </c>
      <c r="C154" s="45"/>
    </row>
    <row r="155" spans="1:3" x14ac:dyDescent="0.25">
      <c r="A155" s="44" t="s">
        <v>126</v>
      </c>
      <c r="B155" s="44" t="s">
        <v>24</v>
      </c>
      <c r="C155" s="45"/>
    </row>
    <row r="156" spans="1:3" x14ac:dyDescent="0.25">
      <c r="A156" s="44" t="s">
        <v>127</v>
      </c>
      <c r="B156" s="44" t="s">
        <v>24</v>
      </c>
      <c r="C156" s="45"/>
    </row>
    <row r="157" spans="1:3" x14ac:dyDescent="0.25">
      <c r="A157" s="43" t="s">
        <v>128</v>
      </c>
      <c r="B157" s="44"/>
      <c r="C157" s="45"/>
    </row>
    <row r="158" spans="1:3" x14ac:dyDescent="0.25">
      <c r="A158" s="44" t="s">
        <v>129</v>
      </c>
      <c r="B158" s="44" t="s">
        <v>17</v>
      </c>
      <c r="C158" s="45">
        <v>2</v>
      </c>
    </row>
    <row r="159" spans="1:3" x14ac:dyDescent="0.25">
      <c r="A159" s="44" t="s">
        <v>130</v>
      </c>
      <c r="B159" s="44" t="s">
        <v>17</v>
      </c>
      <c r="C159" s="45">
        <v>2</v>
      </c>
    </row>
    <row r="160" spans="1:3" x14ac:dyDescent="0.25">
      <c r="A160" s="44" t="s">
        <v>683</v>
      </c>
      <c r="B160" s="44" t="s">
        <v>17</v>
      </c>
      <c r="C160" s="45"/>
    </row>
    <row r="161" spans="1:3" x14ac:dyDescent="0.25">
      <c r="A161" s="44" t="s">
        <v>131</v>
      </c>
      <c r="B161" s="44" t="s">
        <v>17</v>
      </c>
      <c r="C161" s="45"/>
    </row>
    <row r="162" spans="1:3" x14ac:dyDescent="0.25">
      <c r="A162" s="44" t="s">
        <v>708</v>
      </c>
      <c r="B162" s="44" t="s">
        <v>17</v>
      </c>
      <c r="C162" s="45">
        <v>1</v>
      </c>
    </row>
    <row r="163" spans="1:3" x14ac:dyDescent="0.25">
      <c r="A163" s="44" t="s">
        <v>132</v>
      </c>
      <c r="B163" s="44" t="s">
        <v>17</v>
      </c>
      <c r="C163" s="45">
        <v>1</v>
      </c>
    </row>
    <row r="164" spans="1:3" x14ac:dyDescent="0.25">
      <c r="A164" s="44" t="s">
        <v>881</v>
      </c>
      <c r="B164" s="44" t="s">
        <v>17</v>
      </c>
      <c r="C164" s="45"/>
    </row>
    <row r="165" spans="1:3" x14ac:dyDescent="0.25">
      <c r="A165" s="44" t="s">
        <v>828</v>
      </c>
      <c r="B165" s="44" t="s">
        <v>17</v>
      </c>
      <c r="C165" s="45"/>
    </row>
    <row r="166" spans="1:3" x14ac:dyDescent="0.25">
      <c r="A166" s="44" t="s">
        <v>133</v>
      </c>
      <c r="B166" s="44" t="s">
        <v>17</v>
      </c>
      <c r="C166" s="45"/>
    </row>
    <row r="167" spans="1:3" x14ac:dyDescent="0.25">
      <c r="A167" s="44" t="s">
        <v>134</v>
      </c>
      <c r="B167" s="44" t="s">
        <v>17</v>
      </c>
      <c r="C167" s="45"/>
    </row>
    <row r="168" spans="1:3" x14ac:dyDescent="0.25">
      <c r="A168" s="44" t="s">
        <v>829</v>
      </c>
      <c r="B168" s="44" t="s">
        <v>17</v>
      </c>
      <c r="C168" s="45"/>
    </row>
    <row r="169" spans="1:3" x14ac:dyDescent="0.25">
      <c r="A169" s="44" t="s">
        <v>830</v>
      </c>
      <c r="B169" s="44" t="s">
        <v>17</v>
      </c>
      <c r="C169" s="45"/>
    </row>
    <row r="170" spans="1:3" x14ac:dyDescent="0.25">
      <c r="A170" s="44" t="s">
        <v>781</v>
      </c>
      <c r="B170" s="44" t="s">
        <v>17</v>
      </c>
      <c r="C170" s="45"/>
    </row>
    <row r="171" spans="1:3" x14ac:dyDescent="0.25">
      <c r="A171" s="44" t="s">
        <v>831</v>
      </c>
      <c r="B171" s="44" t="s">
        <v>17</v>
      </c>
      <c r="C171" s="45"/>
    </row>
    <row r="172" spans="1:3" x14ac:dyDescent="0.25">
      <c r="A172" s="44" t="s">
        <v>135</v>
      </c>
      <c r="B172" s="44" t="s">
        <v>17</v>
      </c>
      <c r="C172" s="45"/>
    </row>
    <row r="173" spans="1:3" x14ac:dyDescent="0.25">
      <c r="A173" s="44" t="s">
        <v>801</v>
      </c>
      <c r="B173" s="44" t="s">
        <v>17</v>
      </c>
      <c r="C173" s="45"/>
    </row>
    <row r="174" spans="1:3" x14ac:dyDescent="0.25">
      <c r="A174" s="44" t="s">
        <v>866</v>
      </c>
      <c r="B174" s="44" t="s">
        <v>17</v>
      </c>
      <c r="C174" s="45"/>
    </row>
    <row r="175" spans="1:3" x14ac:dyDescent="0.25">
      <c r="A175" s="44" t="s">
        <v>852</v>
      </c>
      <c r="B175" s="44" t="s">
        <v>17</v>
      </c>
      <c r="C175" s="45"/>
    </row>
    <row r="176" spans="1:3" x14ac:dyDescent="0.25">
      <c r="A176" s="44" t="s">
        <v>782</v>
      </c>
      <c r="B176" s="44" t="s">
        <v>17</v>
      </c>
      <c r="C176" s="45"/>
    </row>
    <row r="177" spans="1:3" x14ac:dyDescent="0.25">
      <c r="A177" s="44" t="s">
        <v>783</v>
      </c>
      <c r="B177" s="44" t="s">
        <v>17</v>
      </c>
      <c r="C177" s="45"/>
    </row>
    <row r="178" spans="1:3" x14ac:dyDescent="0.25">
      <c r="A178" s="44" t="s">
        <v>136</v>
      </c>
      <c r="B178" s="44" t="s">
        <v>24</v>
      </c>
      <c r="C178" s="45"/>
    </row>
    <row r="179" spans="1:3" x14ac:dyDescent="0.25">
      <c r="A179" s="44" t="s">
        <v>740</v>
      </c>
      <c r="B179" s="44" t="s">
        <v>24</v>
      </c>
      <c r="C179" s="45"/>
    </row>
    <row r="180" spans="1:3" x14ac:dyDescent="0.25">
      <c r="A180" s="44" t="s">
        <v>137</v>
      </c>
      <c r="B180" s="44" t="s">
        <v>24</v>
      </c>
      <c r="C180" s="45"/>
    </row>
    <row r="181" spans="1:3" x14ac:dyDescent="0.25">
      <c r="A181" s="44" t="s">
        <v>138</v>
      </c>
      <c r="B181" s="44" t="s">
        <v>24</v>
      </c>
      <c r="C181" s="45"/>
    </row>
    <row r="182" spans="1:3" x14ac:dyDescent="0.25">
      <c r="A182" s="44" t="s">
        <v>918</v>
      </c>
      <c r="B182" s="44" t="s">
        <v>24</v>
      </c>
      <c r="C182" s="45"/>
    </row>
    <row r="183" spans="1:3" x14ac:dyDescent="0.25">
      <c r="A183" s="44" t="s">
        <v>739</v>
      </c>
      <c r="B183" s="44" t="s">
        <v>24</v>
      </c>
      <c r="C183" s="45"/>
    </row>
    <row r="184" spans="1:3" x14ac:dyDescent="0.25">
      <c r="A184" s="44" t="s">
        <v>139</v>
      </c>
      <c r="B184" s="44" t="s">
        <v>24</v>
      </c>
      <c r="C184" s="45"/>
    </row>
    <row r="185" spans="1:3" x14ac:dyDescent="0.25">
      <c r="A185" s="44" t="s">
        <v>867</v>
      </c>
      <c r="B185" s="44" t="s">
        <v>24</v>
      </c>
      <c r="C185" s="45"/>
    </row>
    <row r="186" spans="1:3" x14ac:dyDescent="0.25">
      <c r="A186" s="44" t="s">
        <v>868</v>
      </c>
      <c r="B186" s="44" t="s">
        <v>24</v>
      </c>
      <c r="C186" s="45"/>
    </row>
    <row r="187" spans="1:3" x14ac:dyDescent="0.25">
      <c r="A187" s="44" t="s">
        <v>832</v>
      </c>
      <c r="B187" s="44" t="s">
        <v>24</v>
      </c>
      <c r="C187" s="45"/>
    </row>
    <row r="188" spans="1:3" x14ac:dyDescent="0.25">
      <c r="A188" s="44" t="s">
        <v>140</v>
      </c>
      <c r="B188" s="44" t="s">
        <v>24</v>
      </c>
      <c r="C188" s="45">
        <v>1</v>
      </c>
    </row>
    <row r="189" spans="1:3" x14ac:dyDescent="0.25">
      <c r="A189" s="44" t="s">
        <v>833</v>
      </c>
      <c r="B189" s="44" t="s">
        <v>24</v>
      </c>
      <c r="C189" s="45">
        <v>1</v>
      </c>
    </row>
    <row r="190" spans="1:3" x14ac:dyDescent="0.25">
      <c r="A190" s="44" t="s">
        <v>869</v>
      </c>
      <c r="B190" s="44" t="s">
        <v>24</v>
      </c>
      <c r="C190" s="45"/>
    </row>
    <row r="191" spans="1:3" x14ac:dyDescent="0.25">
      <c r="A191" s="44" t="s">
        <v>861</v>
      </c>
      <c r="B191" s="44" t="s">
        <v>24</v>
      </c>
      <c r="C191" s="45">
        <v>1</v>
      </c>
    </row>
    <row r="192" spans="1:3" x14ac:dyDescent="0.25">
      <c r="A192" s="44" t="s">
        <v>141</v>
      </c>
      <c r="B192" s="44" t="s">
        <v>24</v>
      </c>
      <c r="C192" s="45"/>
    </row>
    <row r="193" spans="1:3" x14ac:dyDescent="0.25">
      <c r="A193" s="44" t="s">
        <v>142</v>
      </c>
      <c r="B193" s="44" t="s">
        <v>24</v>
      </c>
      <c r="C193" s="45"/>
    </row>
    <row r="194" spans="1:3" x14ac:dyDescent="0.25">
      <c r="A194" s="44" t="s">
        <v>143</v>
      </c>
      <c r="B194" s="44" t="s">
        <v>24</v>
      </c>
      <c r="C194" s="45"/>
    </row>
    <row r="195" spans="1:3" x14ac:dyDescent="0.25">
      <c r="A195" s="44" t="s">
        <v>834</v>
      </c>
      <c r="B195" s="44" t="s">
        <v>24</v>
      </c>
      <c r="C195" s="45">
        <v>10</v>
      </c>
    </row>
    <row r="196" spans="1:3" x14ac:dyDescent="0.25">
      <c r="A196" s="44" t="s">
        <v>144</v>
      </c>
      <c r="B196" s="44" t="s">
        <v>24</v>
      </c>
      <c r="C196" s="45">
        <v>1</v>
      </c>
    </row>
    <row r="197" spans="1:3" x14ac:dyDescent="0.25">
      <c r="A197" s="44" t="s">
        <v>145</v>
      </c>
      <c r="B197" s="44" t="s">
        <v>24</v>
      </c>
      <c r="C197" s="45">
        <v>2</v>
      </c>
    </row>
    <row r="198" spans="1:3" x14ac:dyDescent="0.25">
      <c r="A198" s="44" t="s">
        <v>146</v>
      </c>
      <c r="B198" s="44" t="s">
        <v>24</v>
      </c>
      <c r="C198" s="45"/>
    </row>
    <row r="199" spans="1:3" x14ac:dyDescent="0.25">
      <c r="A199" s="44" t="s">
        <v>147</v>
      </c>
      <c r="B199" s="44" t="s">
        <v>24</v>
      </c>
      <c r="C199" s="45"/>
    </row>
    <row r="200" spans="1:3" x14ac:dyDescent="0.25">
      <c r="A200" s="44" t="s">
        <v>805</v>
      </c>
      <c r="B200" s="44" t="s">
        <v>24</v>
      </c>
      <c r="C200" s="45"/>
    </row>
    <row r="201" spans="1:3" x14ac:dyDescent="0.25">
      <c r="A201" s="44" t="s">
        <v>862</v>
      </c>
      <c r="B201" s="44" t="s">
        <v>24</v>
      </c>
      <c r="C201" s="45">
        <v>1</v>
      </c>
    </row>
    <row r="202" spans="1:3" x14ac:dyDescent="0.25">
      <c r="A202" s="44" t="s">
        <v>804</v>
      </c>
      <c r="B202" s="44" t="s">
        <v>24</v>
      </c>
      <c r="C202" s="45">
        <v>2</v>
      </c>
    </row>
    <row r="203" spans="1:3" x14ac:dyDescent="0.25">
      <c r="A203" s="44" t="s">
        <v>715</v>
      </c>
      <c r="B203" s="44" t="s">
        <v>24</v>
      </c>
      <c r="C203" s="45"/>
    </row>
    <row r="204" spans="1:3" x14ac:dyDescent="0.25">
      <c r="A204" s="44" t="s">
        <v>772</v>
      </c>
      <c r="B204" s="44" t="s">
        <v>24</v>
      </c>
      <c r="C204" s="45"/>
    </row>
    <row r="205" spans="1:3" x14ac:dyDescent="0.25">
      <c r="A205" s="43" t="s">
        <v>148</v>
      </c>
      <c r="B205" s="44"/>
      <c r="C205" s="45"/>
    </row>
    <row r="206" spans="1:3" x14ac:dyDescent="0.25">
      <c r="A206" s="49" t="s">
        <v>692</v>
      </c>
      <c r="B206" s="44" t="s">
        <v>17</v>
      </c>
      <c r="C206" s="45"/>
    </row>
    <row r="207" spans="1:3" x14ac:dyDescent="0.25">
      <c r="A207" s="49" t="s">
        <v>149</v>
      </c>
      <c r="B207" s="44" t="s">
        <v>17</v>
      </c>
      <c r="C207" s="45"/>
    </row>
    <row r="208" spans="1:3" x14ac:dyDescent="0.25">
      <c r="A208" s="49" t="s">
        <v>151</v>
      </c>
      <c r="B208" s="44" t="s">
        <v>17</v>
      </c>
      <c r="C208" s="45"/>
    </row>
    <row r="209" spans="1:3" x14ac:dyDescent="0.25">
      <c r="A209" s="44" t="s">
        <v>152</v>
      </c>
      <c r="B209" s="44" t="s">
        <v>17</v>
      </c>
      <c r="C209" s="45">
        <v>8</v>
      </c>
    </row>
    <row r="210" spans="1:3" x14ac:dyDescent="0.25">
      <c r="A210" s="44" t="s">
        <v>153</v>
      </c>
      <c r="B210" s="44" t="s">
        <v>17</v>
      </c>
      <c r="C210" s="45">
        <v>11</v>
      </c>
    </row>
    <row r="211" spans="1:3" x14ac:dyDescent="0.25">
      <c r="A211" s="44" t="s">
        <v>154</v>
      </c>
      <c r="B211" s="44" t="s">
        <v>17</v>
      </c>
      <c r="C211" s="45">
        <v>5</v>
      </c>
    </row>
    <row r="212" spans="1:3" x14ac:dyDescent="0.25">
      <c r="A212" s="44" t="s">
        <v>155</v>
      </c>
      <c r="B212" s="44" t="s">
        <v>17</v>
      </c>
      <c r="C212" s="45">
        <v>1</v>
      </c>
    </row>
    <row r="213" spans="1:3" x14ac:dyDescent="0.25">
      <c r="A213" s="44" t="s">
        <v>156</v>
      </c>
      <c r="B213" s="44" t="s">
        <v>17</v>
      </c>
      <c r="C213" s="45"/>
    </row>
    <row r="214" spans="1:3" x14ac:dyDescent="0.25">
      <c r="A214" s="44" t="s">
        <v>157</v>
      </c>
      <c r="B214" s="44" t="s">
        <v>17</v>
      </c>
      <c r="C214" s="45"/>
    </row>
    <row r="215" spans="1:3" x14ac:dyDescent="0.25">
      <c r="A215" s="44" t="s">
        <v>686</v>
      </c>
      <c r="B215" s="44" t="s">
        <v>17</v>
      </c>
      <c r="C215" s="45"/>
    </row>
    <row r="216" spans="1:3" x14ac:dyDescent="0.25">
      <c r="A216" s="49" t="s">
        <v>158</v>
      </c>
      <c r="B216" s="44" t="s">
        <v>24</v>
      </c>
      <c r="C216" s="45"/>
    </row>
    <row r="217" spans="1:3" x14ac:dyDescent="0.25">
      <c r="A217" s="49" t="s">
        <v>159</v>
      </c>
      <c r="B217" s="44" t="s">
        <v>24</v>
      </c>
      <c r="C217" s="45"/>
    </row>
    <row r="218" spans="1:3" x14ac:dyDescent="0.25">
      <c r="A218" s="49" t="s">
        <v>802</v>
      </c>
      <c r="B218" s="44" t="s">
        <v>24</v>
      </c>
      <c r="C218" s="45"/>
    </row>
    <row r="219" spans="1:3" x14ac:dyDescent="0.25">
      <c r="A219" s="49" t="s">
        <v>803</v>
      </c>
      <c r="B219" s="44" t="s">
        <v>24</v>
      </c>
      <c r="C219" s="45"/>
    </row>
    <row r="220" spans="1:3" x14ac:dyDescent="0.25">
      <c r="A220" s="49" t="s">
        <v>160</v>
      </c>
      <c r="B220" s="44" t="s">
        <v>24</v>
      </c>
      <c r="C220" s="45"/>
    </row>
    <row r="221" spans="1:3" x14ac:dyDescent="0.25">
      <c r="A221" s="49" t="s">
        <v>161</v>
      </c>
      <c r="B221" s="44" t="s">
        <v>24</v>
      </c>
      <c r="C221" s="45"/>
    </row>
    <row r="222" spans="1:3" x14ac:dyDescent="0.25">
      <c r="A222" s="44" t="s">
        <v>162</v>
      </c>
      <c r="B222" s="44" t="s">
        <v>24</v>
      </c>
      <c r="C222" s="45">
        <v>8</v>
      </c>
    </row>
    <row r="223" spans="1:3" x14ac:dyDescent="0.25">
      <c r="A223" s="44" t="s">
        <v>163</v>
      </c>
      <c r="B223" s="44" t="s">
        <v>24</v>
      </c>
      <c r="C223" s="45"/>
    </row>
    <row r="224" spans="1:3" x14ac:dyDescent="0.25">
      <c r="A224" s="44" t="s">
        <v>164</v>
      </c>
      <c r="B224" s="44" t="s">
        <v>24</v>
      </c>
      <c r="C224" s="45"/>
    </row>
    <row r="225" spans="1:3" x14ac:dyDescent="0.25">
      <c r="A225" s="44" t="s">
        <v>165</v>
      </c>
      <c r="B225" s="44" t="s">
        <v>24</v>
      </c>
      <c r="C225" s="45"/>
    </row>
    <row r="226" spans="1:3" x14ac:dyDescent="0.25">
      <c r="A226" s="44" t="s">
        <v>166</v>
      </c>
      <c r="B226" s="44" t="s">
        <v>24</v>
      </c>
      <c r="C226" s="45"/>
    </row>
    <row r="227" spans="1:3" x14ac:dyDescent="0.25">
      <c r="A227" s="44" t="s">
        <v>167</v>
      </c>
      <c r="B227" s="44" t="s">
        <v>24</v>
      </c>
      <c r="C227" s="45"/>
    </row>
    <row r="228" spans="1:3" x14ac:dyDescent="0.25">
      <c r="A228" s="43" t="s">
        <v>168</v>
      </c>
      <c r="B228" s="44"/>
      <c r="C228" s="45"/>
    </row>
    <row r="229" spans="1:3" x14ac:dyDescent="0.25">
      <c r="A229" s="44" t="s">
        <v>169</v>
      </c>
      <c r="B229" s="44" t="s">
        <v>170</v>
      </c>
      <c r="C229" s="45"/>
    </row>
    <row r="230" spans="1:3" x14ac:dyDescent="0.25">
      <c r="A230" s="44" t="s">
        <v>171</v>
      </c>
      <c r="B230" s="44" t="s">
        <v>17</v>
      </c>
      <c r="C230" s="45"/>
    </row>
    <row r="231" spans="1:3" x14ac:dyDescent="0.25">
      <c r="A231" s="44" t="s">
        <v>882</v>
      </c>
      <c r="B231" s="44" t="s">
        <v>17</v>
      </c>
      <c r="C231" s="45"/>
    </row>
    <row r="232" spans="1:3" x14ac:dyDescent="0.25">
      <c r="A232" s="44" t="s">
        <v>172</v>
      </c>
      <c r="B232" s="44" t="s">
        <v>17</v>
      </c>
      <c r="C232" s="45"/>
    </row>
    <row r="233" spans="1:3" x14ac:dyDescent="0.25">
      <c r="A233" s="44" t="s">
        <v>173</v>
      </c>
      <c r="B233" s="44" t="s">
        <v>17</v>
      </c>
      <c r="C233" s="45"/>
    </row>
    <row r="234" spans="1:3" x14ac:dyDescent="0.25">
      <c r="A234" s="44" t="s">
        <v>174</v>
      </c>
      <c r="B234" s="44" t="s">
        <v>24</v>
      </c>
      <c r="C234" s="45"/>
    </row>
    <row r="235" spans="1:3" x14ac:dyDescent="0.25">
      <c r="A235" s="44" t="s">
        <v>175</v>
      </c>
      <c r="B235" s="44" t="s">
        <v>24</v>
      </c>
      <c r="C235" s="45"/>
    </row>
    <row r="236" spans="1:3" x14ac:dyDescent="0.25">
      <c r="A236" s="44" t="s">
        <v>176</v>
      </c>
      <c r="B236" s="44" t="s">
        <v>24</v>
      </c>
      <c r="C236" s="45"/>
    </row>
    <row r="237" spans="1:3" x14ac:dyDescent="0.25">
      <c r="A237" s="44" t="s">
        <v>955</v>
      </c>
      <c r="B237" s="44" t="s">
        <v>24</v>
      </c>
      <c r="C237" s="45"/>
    </row>
    <row r="238" spans="1:3" x14ac:dyDescent="0.25">
      <c r="A238" s="44" t="s">
        <v>177</v>
      </c>
      <c r="B238" s="44" t="s">
        <v>24</v>
      </c>
      <c r="C238" s="45"/>
    </row>
    <row r="239" spans="1:3" x14ac:dyDescent="0.25">
      <c r="A239" s="43" t="s">
        <v>178</v>
      </c>
      <c r="B239" s="44"/>
      <c r="C239" s="45"/>
    </row>
    <row r="240" spans="1:3" x14ac:dyDescent="0.25">
      <c r="A240" s="44" t="s">
        <v>179</v>
      </c>
      <c r="B240" s="44" t="s">
        <v>180</v>
      </c>
      <c r="C240" s="45"/>
    </row>
    <row r="241" spans="1:3" x14ac:dyDescent="0.25">
      <c r="A241" s="44" t="s">
        <v>703</v>
      </c>
      <c r="B241" s="44" t="s">
        <v>17</v>
      </c>
      <c r="C241" s="45"/>
    </row>
    <row r="242" spans="1:3" x14ac:dyDescent="0.25">
      <c r="A242" s="44" t="s">
        <v>181</v>
      </c>
      <c r="B242" s="44" t="s">
        <v>17</v>
      </c>
      <c r="C242" s="45"/>
    </row>
    <row r="243" spans="1:3" x14ac:dyDescent="0.25">
      <c r="A243" s="44" t="s">
        <v>877</v>
      </c>
      <c r="B243" s="44" t="s">
        <v>17</v>
      </c>
      <c r="C243" s="45"/>
    </row>
    <row r="244" spans="1:3" x14ac:dyDescent="0.25">
      <c r="A244" s="44" t="s">
        <v>878</v>
      </c>
      <c r="B244" s="44" t="s">
        <v>17</v>
      </c>
      <c r="C244" s="45"/>
    </row>
    <row r="245" spans="1:3" x14ac:dyDescent="0.25">
      <c r="A245" s="44" t="s">
        <v>902</v>
      </c>
      <c r="B245" s="44" t="s">
        <v>17</v>
      </c>
      <c r="C245" s="45"/>
    </row>
    <row r="246" spans="1:3" x14ac:dyDescent="0.25">
      <c r="A246" s="43" t="s">
        <v>183</v>
      </c>
      <c r="B246" s="44"/>
      <c r="C246" s="45"/>
    </row>
    <row r="247" spans="1:3" x14ac:dyDescent="0.25">
      <c r="A247" s="44" t="s">
        <v>681</v>
      </c>
      <c r="B247" s="44" t="s">
        <v>17</v>
      </c>
      <c r="C247" s="45"/>
    </row>
    <row r="248" spans="1:3" x14ac:dyDescent="0.25">
      <c r="A248" s="44" t="s">
        <v>184</v>
      </c>
      <c r="B248" s="44" t="s">
        <v>17</v>
      </c>
      <c r="C248" s="45"/>
    </row>
    <row r="249" spans="1:3" x14ac:dyDescent="0.25">
      <c r="A249" s="44" t="s">
        <v>185</v>
      </c>
      <c r="B249" s="44" t="s">
        <v>17</v>
      </c>
      <c r="C249" s="45"/>
    </row>
    <row r="250" spans="1:3" x14ac:dyDescent="0.25">
      <c r="A250" s="44" t="s">
        <v>186</v>
      </c>
      <c r="B250" s="44" t="s">
        <v>17</v>
      </c>
      <c r="C250" s="45"/>
    </row>
    <row r="251" spans="1:3" x14ac:dyDescent="0.25">
      <c r="A251" s="44" t="s">
        <v>978</v>
      </c>
      <c r="B251" s="44" t="s">
        <v>17</v>
      </c>
      <c r="C251" s="45"/>
    </row>
    <row r="252" spans="1:3" x14ac:dyDescent="0.25">
      <c r="A252" s="44" t="s">
        <v>702</v>
      </c>
      <c r="B252" s="44" t="s">
        <v>17</v>
      </c>
      <c r="C252" s="45"/>
    </row>
    <row r="253" spans="1:3" x14ac:dyDescent="0.25">
      <c r="A253" s="44" t="s">
        <v>187</v>
      </c>
      <c r="B253" s="44" t="s">
        <v>17</v>
      </c>
      <c r="C253" s="45"/>
    </row>
    <row r="254" spans="1:3" x14ac:dyDescent="0.25">
      <c r="A254" s="44" t="s">
        <v>188</v>
      </c>
      <c r="B254" s="44" t="s">
        <v>24</v>
      </c>
      <c r="C254" s="45"/>
    </row>
    <row r="255" spans="1:3" x14ac:dyDescent="0.25">
      <c r="A255" s="44" t="s">
        <v>189</v>
      </c>
      <c r="B255" s="44" t="s">
        <v>24</v>
      </c>
      <c r="C255" s="45"/>
    </row>
    <row r="256" spans="1:3" x14ac:dyDescent="0.25">
      <c r="A256" s="44" t="s">
        <v>190</v>
      </c>
      <c r="B256" s="44" t="s">
        <v>24</v>
      </c>
      <c r="C256" s="45">
        <v>4</v>
      </c>
    </row>
    <row r="257" spans="1:3" x14ac:dyDescent="0.25">
      <c r="A257" s="44" t="s">
        <v>652</v>
      </c>
      <c r="B257" s="44" t="s">
        <v>587</v>
      </c>
      <c r="C257" s="45"/>
    </row>
    <row r="258" spans="1:3" x14ac:dyDescent="0.25">
      <c r="A258" s="44" t="s">
        <v>956</v>
      </c>
      <c r="B258" s="44" t="s">
        <v>587</v>
      </c>
      <c r="C258" s="45"/>
    </row>
    <row r="259" spans="1:3" x14ac:dyDescent="0.25">
      <c r="A259" s="44" t="s">
        <v>758</v>
      </c>
      <c r="B259" s="44" t="s">
        <v>170</v>
      </c>
      <c r="C259" s="45">
        <v>2</v>
      </c>
    </row>
    <row r="260" spans="1:3" x14ac:dyDescent="0.25">
      <c r="A260" s="44" t="s">
        <v>764</v>
      </c>
      <c r="B260" s="44" t="s">
        <v>170</v>
      </c>
      <c r="C260" s="45"/>
    </row>
    <row r="261" spans="1:3" x14ac:dyDescent="0.25">
      <c r="A261" s="43" t="s">
        <v>191</v>
      </c>
      <c r="B261" s="44"/>
      <c r="C261" s="45"/>
    </row>
    <row r="262" spans="1:3" x14ac:dyDescent="0.25">
      <c r="A262" s="44" t="s">
        <v>1025</v>
      </c>
      <c r="B262" s="44" t="s">
        <v>17</v>
      </c>
      <c r="C262" s="45"/>
    </row>
    <row r="263" spans="1:3" x14ac:dyDescent="0.25">
      <c r="A263" s="44" t="s">
        <v>719</v>
      </c>
      <c r="B263" s="44" t="s">
        <v>17</v>
      </c>
      <c r="C263" s="45"/>
    </row>
    <row r="264" spans="1:3" x14ac:dyDescent="0.25">
      <c r="A264" s="44" t="s">
        <v>192</v>
      </c>
      <c r="B264" s="44" t="s">
        <v>24</v>
      </c>
      <c r="C264" s="45">
        <v>6</v>
      </c>
    </row>
    <row r="265" spans="1:3" x14ac:dyDescent="0.25">
      <c r="A265" s="44" t="s">
        <v>193</v>
      </c>
      <c r="B265" s="44" t="s">
        <v>24</v>
      </c>
      <c r="C265" s="45">
        <v>45</v>
      </c>
    </row>
    <row r="266" spans="1:3" x14ac:dyDescent="0.25">
      <c r="A266" s="43" t="s">
        <v>194</v>
      </c>
      <c r="B266" s="44"/>
      <c r="C266" s="45"/>
    </row>
    <row r="267" spans="1:3" x14ac:dyDescent="0.25">
      <c r="A267" s="44" t="s">
        <v>780</v>
      </c>
      <c r="B267" s="44" t="s">
        <v>17</v>
      </c>
      <c r="C267" s="45"/>
    </row>
    <row r="268" spans="1:3" x14ac:dyDescent="0.25">
      <c r="A268" s="44" t="s">
        <v>195</v>
      </c>
      <c r="B268" s="44" t="s">
        <v>17</v>
      </c>
      <c r="C268" s="45"/>
    </row>
    <row r="269" spans="1:3" x14ac:dyDescent="0.25">
      <c r="A269" s="44" t="s">
        <v>196</v>
      </c>
      <c r="B269" s="44" t="s">
        <v>17</v>
      </c>
      <c r="C269" s="45"/>
    </row>
    <row r="270" spans="1:3" x14ac:dyDescent="0.25">
      <c r="A270" s="44" t="s">
        <v>197</v>
      </c>
      <c r="B270" s="44" t="s">
        <v>17</v>
      </c>
      <c r="C270" s="45"/>
    </row>
    <row r="271" spans="1:3" x14ac:dyDescent="0.25">
      <c r="A271" s="44" t="s">
        <v>198</v>
      </c>
      <c r="B271" s="44" t="s">
        <v>24</v>
      </c>
      <c r="C271" s="45"/>
    </row>
    <row r="272" spans="1:3" x14ac:dyDescent="0.25">
      <c r="A272" s="44" t="s">
        <v>199</v>
      </c>
      <c r="B272" s="44" t="s">
        <v>24</v>
      </c>
      <c r="C272" s="45"/>
    </row>
    <row r="273" spans="1:3" x14ac:dyDescent="0.25">
      <c r="A273" s="44" t="s">
        <v>200</v>
      </c>
      <c r="B273" s="44" t="s">
        <v>24</v>
      </c>
      <c r="C273" s="45"/>
    </row>
    <row r="274" spans="1:3" x14ac:dyDescent="0.25">
      <c r="A274" s="43" t="s">
        <v>730</v>
      </c>
      <c r="B274" s="44"/>
      <c r="C274" s="45"/>
    </row>
    <row r="275" spans="1:3" x14ac:dyDescent="0.25">
      <c r="A275" s="44" t="s">
        <v>731</v>
      </c>
      <c r="B275" s="44" t="s">
        <v>587</v>
      </c>
      <c r="C275" s="45"/>
    </row>
    <row r="276" spans="1:3" x14ac:dyDescent="0.25">
      <c r="A276" s="43" t="s">
        <v>201</v>
      </c>
      <c r="B276" s="44"/>
      <c r="C276" s="45"/>
    </row>
    <row r="277" spans="1:3" x14ac:dyDescent="0.25">
      <c r="A277" s="44" t="s">
        <v>789</v>
      </c>
      <c r="B277" s="44" t="s">
        <v>17</v>
      </c>
      <c r="C277" s="45"/>
    </row>
    <row r="278" spans="1:3" x14ac:dyDescent="0.25">
      <c r="A278" s="44" t="s">
        <v>202</v>
      </c>
      <c r="B278" s="44" t="s">
        <v>17</v>
      </c>
      <c r="C278" s="45"/>
    </row>
    <row r="279" spans="1:3" x14ac:dyDescent="0.25">
      <c r="A279" s="44" t="s">
        <v>203</v>
      </c>
      <c r="B279" s="44" t="s">
        <v>17</v>
      </c>
      <c r="C279" s="45">
        <v>1</v>
      </c>
    </row>
    <row r="280" spans="1:3" x14ac:dyDescent="0.25">
      <c r="A280" s="44" t="s">
        <v>818</v>
      </c>
      <c r="B280" s="44" t="s">
        <v>17</v>
      </c>
      <c r="C280" s="45"/>
    </row>
    <row r="281" spans="1:3" x14ac:dyDescent="0.25">
      <c r="A281" s="44" t="s">
        <v>204</v>
      </c>
      <c r="B281" s="44" t="s">
        <v>24</v>
      </c>
      <c r="C281" s="45"/>
    </row>
    <row r="282" spans="1:3" x14ac:dyDescent="0.25">
      <c r="A282" s="44" t="s">
        <v>205</v>
      </c>
      <c r="B282" s="44" t="s">
        <v>24</v>
      </c>
      <c r="C282" s="45"/>
    </row>
    <row r="283" spans="1:3" x14ac:dyDescent="0.25">
      <c r="A283" s="43" t="s">
        <v>750</v>
      </c>
      <c r="B283" s="44"/>
      <c r="C283" s="45"/>
    </row>
    <row r="284" spans="1:3" x14ac:dyDescent="0.25">
      <c r="A284" s="44" t="s">
        <v>751</v>
      </c>
      <c r="B284" s="44" t="s">
        <v>24</v>
      </c>
      <c r="C284" s="45"/>
    </row>
    <row r="285" spans="1:3" x14ac:dyDescent="0.25">
      <c r="A285" s="43" t="s">
        <v>207</v>
      </c>
      <c r="B285" s="44"/>
      <c r="C285" s="45"/>
    </row>
    <row r="286" spans="1:3" x14ac:dyDescent="0.25">
      <c r="A286" s="44" t="s">
        <v>208</v>
      </c>
      <c r="B286" s="44" t="s">
        <v>17</v>
      </c>
      <c r="C286" s="45"/>
    </row>
    <row r="287" spans="1:3" x14ac:dyDescent="0.25">
      <c r="A287" s="43" t="s">
        <v>209</v>
      </c>
      <c r="B287" s="44"/>
      <c r="C287" s="45"/>
    </row>
    <row r="288" spans="1:3" x14ac:dyDescent="0.25">
      <c r="A288" s="44" t="s">
        <v>720</v>
      </c>
      <c r="B288" s="44" t="s">
        <v>17</v>
      </c>
      <c r="C288" s="45"/>
    </row>
    <row r="289" spans="1:3" x14ac:dyDescent="0.25">
      <c r="A289" s="43" t="s">
        <v>211</v>
      </c>
      <c r="B289" s="44"/>
      <c r="C289" s="45"/>
    </row>
    <row r="290" spans="1:3" x14ac:dyDescent="0.25">
      <c r="A290" s="44" t="s">
        <v>212</v>
      </c>
      <c r="B290" s="44" t="s">
        <v>24</v>
      </c>
      <c r="C290" s="45"/>
    </row>
    <row r="291" spans="1:3" x14ac:dyDescent="0.25">
      <c r="A291" s="44" t="s">
        <v>738</v>
      </c>
      <c r="B291" s="44" t="s">
        <v>24</v>
      </c>
      <c r="C291" s="45"/>
    </row>
    <row r="292" spans="1:3" x14ac:dyDescent="0.25">
      <c r="A292" s="44" t="s">
        <v>213</v>
      </c>
      <c r="B292" s="44" t="s">
        <v>24</v>
      </c>
      <c r="C292" s="45">
        <v>1</v>
      </c>
    </row>
    <row r="293" spans="1:3" x14ac:dyDescent="0.25">
      <c r="A293" s="44" t="s">
        <v>214</v>
      </c>
      <c r="B293" s="44" t="s">
        <v>24</v>
      </c>
      <c r="C293" s="45"/>
    </row>
    <row r="294" spans="1:3" x14ac:dyDescent="0.25">
      <c r="A294" s="44" t="s">
        <v>215</v>
      </c>
      <c r="B294" s="44" t="s">
        <v>24</v>
      </c>
      <c r="C294" s="45"/>
    </row>
    <row r="295" spans="1:3" x14ac:dyDescent="0.25">
      <c r="A295" s="44" t="s">
        <v>216</v>
      </c>
      <c r="B295" s="44" t="s">
        <v>24</v>
      </c>
      <c r="C295" s="45"/>
    </row>
    <row r="296" spans="1:3" x14ac:dyDescent="0.25">
      <c r="A296" s="44" t="s">
        <v>217</v>
      </c>
      <c r="B296" s="44" t="s">
        <v>24</v>
      </c>
      <c r="C296" s="45"/>
    </row>
    <row r="297" spans="1:3" x14ac:dyDescent="0.25">
      <c r="A297" s="43" t="s">
        <v>654</v>
      </c>
      <c r="B297" s="44"/>
      <c r="C297" s="45"/>
    </row>
    <row r="298" spans="1:3" x14ac:dyDescent="0.25">
      <c r="A298" s="44" t="s">
        <v>749</v>
      </c>
      <c r="B298" s="44"/>
      <c r="C298" s="45"/>
    </row>
    <row r="299" spans="1:3" x14ac:dyDescent="0.25">
      <c r="A299" s="44" t="s">
        <v>919</v>
      </c>
      <c r="B299" s="44" t="s">
        <v>170</v>
      </c>
      <c r="C299" s="45"/>
    </row>
    <row r="300" spans="1:3" x14ac:dyDescent="0.25">
      <c r="A300" s="44" t="s">
        <v>944</v>
      </c>
      <c r="B300" s="44" t="s">
        <v>170</v>
      </c>
      <c r="C300" s="45"/>
    </row>
    <row r="301" spans="1:3" x14ac:dyDescent="0.25">
      <c r="A301" s="44" t="s">
        <v>979</v>
      </c>
      <c r="B301" s="44" t="s">
        <v>170</v>
      </c>
      <c r="C301" s="45">
        <v>1</v>
      </c>
    </row>
    <row r="302" spans="1:3" x14ac:dyDescent="0.25">
      <c r="A302" s="44" t="s">
        <v>980</v>
      </c>
      <c r="B302" s="44" t="s">
        <v>170</v>
      </c>
      <c r="C302" s="45">
        <v>1</v>
      </c>
    </row>
    <row r="303" spans="1:3" x14ac:dyDescent="0.25">
      <c r="A303" s="44" t="s">
        <v>944</v>
      </c>
      <c r="B303" s="44" t="s">
        <v>170</v>
      </c>
      <c r="C303" s="45">
        <v>1</v>
      </c>
    </row>
    <row r="304" spans="1:3" x14ac:dyDescent="0.25">
      <c r="A304" s="44" t="s">
        <v>981</v>
      </c>
      <c r="B304" s="44" t="s">
        <v>170</v>
      </c>
      <c r="C304" s="45">
        <v>1</v>
      </c>
    </row>
    <row r="305" spans="1:3" x14ac:dyDescent="0.25">
      <c r="A305" s="44" t="s">
        <v>982</v>
      </c>
      <c r="B305" s="44" t="s">
        <v>170</v>
      </c>
      <c r="C305" s="45"/>
    </row>
    <row r="306" spans="1:3" x14ac:dyDescent="0.25">
      <c r="A306" s="43" t="s">
        <v>945</v>
      </c>
      <c r="B306" s="44"/>
      <c r="C306" s="45"/>
    </row>
    <row r="307" spans="1:3" x14ac:dyDescent="0.25">
      <c r="A307" s="44" t="s">
        <v>946</v>
      </c>
      <c r="B307" s="44" t="s">
        <v>17</v>
      </c>
      <c r="C307" s="45"/>
    </row>
    <row r="308" spans="1:3" x14ac:dyDescent="0.25">
      <c r="A308" s="44" t="s">
        <v>947</v>
      </c>
      <c r="B308" s="44" t="s">
        <v>17</v>
      </c>
      <c r="C308" s="45"/>
    </row>
    <row r="309" spans="1:3" x14ac:dyDescent="0.25">
      <c r="A309" s="43" t="s">
        <v>218</v>
      </c>
      <c r="B309" s="44"/>
      <c r="C309" s="45"/>
    </row>
    <row r="310" spans="1:3" x14ac:dyDescent="0.25">
      <c r="A310" s="44" t="s">
        <v>219</v>
      </c>
      <c r="B310" s="44" t="s">
        <v>17</v>
      </c>
      <c r="C310" s="45"/>
    </row>
    <row r="311" spans="1:3" x14ac:dyDescent="0.25">
      <c r="A311" s="44" t="s">
        <v>806</v>
      </c>
      <c r="B311" s="44" t="s">
        <v>17</v>
      </c>
      <c r="C311" s="45"/>
    </row>
    <row r="312" spans="1:3" x14ac:dyDescent="0.25">
      <c r="A312" s="44" t="s">
        <v>220</v>
      </c>
      <c r="B312" s="44" t="s">
        <v>17</v>
      </c>
      <c r="C312" s="45"/>
    </row>
    <row r="313" spans="1:3" x14ac:dyDescent="0.25">
      <c r="A313" s="44" t="s">
        <v>221</v>
      </c>
      <c r="B313" s="44" t="s">
        <v>17</v>
      </c>
      <c r="C313" s="45"/>
    </row>
    <row r="314" spans="1:3" x14ac:dyDescent="0.25">
      <c r="A314" s="44" t="s">
        <v>222</v>
      </c>
      <c r="B314" s="44" t="s">
        <v>17</v>
      </c>
      <c r="C314" s="45"/>
    </row>
    <row r="315" spans="1:3" x14ac:dyDescent="0.25">
      <c r="A315" s="44" t="s">
        <v>223</v>
      </c>
      <c r="B315" s="44" t="s">
        <v>17</v>
      </c>
      <c r="C315" s="45"/>
    </row>
    <row r="316" spans="1:3" x14ac:dyDescent="0.25">
      <c r="A316" s="44" t="s">
        <v>224</v>
      </c>
      <c r="B316" s="44" t="s">
        <v>17</v>
      </c>
      <c r="C316" s="45"/>
    </row>
    <row r="317" spans="1:3" x14ac:dyDescent="0.25">
      <c r="A317" s="44" t="s">
        <v>885</v>
      </c>
      <c r="B317" s="44" t="s">
        <v>17</v>
      </c>
      <c r="C317" s="45"/>
    </row>
    <row r="318" spans="1:3" x14ac:dyDescent="0.25">
      <c r="A318" s="44" t="s">
        <v>225</v>
      </c>
      <c r="B318" s="44" t="s">
        <v>17</v>
      </c>
      <c r="C318" s="45"/>
    </row>
    <row r="319" spans="1:3" x14ac:dyDescent="0.25">
      <c r="A319" s="44" t="s">
        <v>226</v>
      </c>
      <c r="B319" s="44" t="s">
        <v>17</v>
      </c>
      <c r="C319" s="45"/>
    </row>
    <row r="320" spans="1:3" x14ac:dyDescent="0.25">
      <c r="A320" s="44" t="s">
        <v>227</v>
      </c>
      <c r="B320" s="44" t="s">
        <v>17</v>
      </c>
      <c r="C320" s="45"/>
    </row>
    <row r="321" spans="1:3" x14ac:dyDescent="0.25">
      <c r="A321" s="44" t="s">
        <v>228</v>
      </c>
      <c r="B321" s="44" t="s">
        <v>17</v>
      </c>
      <c r="C321" s="45"/>
    </row>
    <row r="322" spans="1:3" x14ac:dyDescent="0.25">
      <c r="A322" s="44" t="s">
        <v>229</v>
      </c>
      <c r="B322" s="44" t="s">
        <v>17</v>
      </c>
      <c r="C322" s="45"/>
    </row>
    <row r="323" spans="1:3" x14ac:dyDescent="0.25">
      <c r="A323" s="44" t="s">
        <v>230</v>
      </c>
      <c r="B323" s="44" t="s">
        <v>17</v>
      </c>
      <c r="C323" s="45"/>
    </row>
    <row r="324" spans="1:3" x14ac:dyDescent="0.25">
      <c r="A324" s="44" t="s">
        <v>231</v>
      </c>
      <c r="B324" s="44" t="s">
        <v>24</v>
      </c>
      <c r="C324" s="45"/>
    </row>
    <row r="325" spans="1:3" x14ac:dyDescent="0.25">
      <c r="A325" s="44" t="s">
        <v>232</v>
      </c>
      <c r="B325" s="44" t="s">
        <v>24</v>
      </c>
      <c r="C325" s="45">
        <v>6</v>
      </c>
    </row>
    <row r="326" spans="1:3" x14ac:dyDescent="0.25">
      <c r="A326" s="44" t="s">
        <v>233</v>
      </c>
      <c r="B326" s="44" t="s">
        <v>24</v>
      </c>
      <c r="C326" s="45"/>
    </row>
    <row r="327" spans="1:3" x14ac:dyDescent="0.25">
      <c r="A327" s="44" t="s">
        <v>668</v>
      </c>
      <c r="B327" s="44" t="s">
        <v>24</v>
      </c>
      <c r="C327" s="45"/>
    </row>
    <row r="328" spans="1:3" x14ac:dyDescent="0.25">
      <c r="A328" s="44" t="s">
        <v>234</v>
      </c>
      <c r="B328" s="44" t="s">
        <v>24</v>
      </c>
      <c r="C328" s="45">
        <v>1</v>
      </c>
    </row>
    <row r="329" spans="1:3" x14ac:dyDescent="0.25">
      <c r="A329" s="43" t="s">
        <v>235</v>
      </c>
      <c r="B329" s="44"/>
      <c r="C329" s="45"/>
    </row>
    <row r="330" spans="1:3" x14ac:dyDescent="0.25">
      <c r="A330" s="49" t="s">
        <v>236</v>
      </c>
      <c r="B330" s="44" t="s">
        <v>24</v>
      </c>
      <c r="C330" s="45"/>
    </row>
    <row r="331" spans="1:3" x14ac:dyDescent="0.25">
      <c r="A331" s="49" t="s">
        <v>237</v>
      </c>
      <c r="B331" s="44" t="s">
        <v>24</v>
      </c>
      <c r="C331" s="45"/>
    </row>
    <row r="332" spans="1:3" x14ac:dyDescent="0.25">
      <c r="A332" s="43" t="s">
        <v>238</v>
      </c>
      <c r="B332" s="44"/>
      <c r="C332" s="45"/>
    </row>
    <row r="333" spans="1:3" x14ac:dyDescent="0.25">
      <c r="A333" s="50" t="s">
        <v>888</v>
      </c>
      <c r="B333" s="44" t="s">
        <v>17</v>
      </c>
      <c r="C333" s="45"/>
    </row>
    <row r="334" spans="1:3" x14ac:dyDescent="0.25">
      <c r="A334" s="50" t="s">
        <v>239</v>
      </c>
      <c r="B334" s="44" t="s">
        <v>17</v>
      </c>
      <c r="C334" s="45"/>
    </row>
    <row r="335" spans="1:3" x14ac:dyDescent="0.25">
      <c r="A335" s="44" t="s">
        <v>645</v>
      </c>
      <c r="B335" s="44" t="s">
        <v>17</v>
      </c>
      <c r="C335" s="45"/>
    </row>
    <row r="336" spans="1:3" x14ac:dyDescent="0.25">
      <c r="A336" s="44" t="s">
        <v>240</v>
      </c>
      <c r="B336" s="44" t="s">
        <v>17</v>
      </c>
      <c r="C336" s="45"/>
    </row>
    <row r="337" spans="1:3" x14ac:dyDescent="0.25">
      <c r="A337" s="44" t="s">
        <v>241</v>
      </c>
      <c r="B337" s="44" t="s">
        <v>17</v>
      </c>
      <c r="C337" s="45"/>
    </row>
    <row r="338" spans="1:3" x14ac:dyDescent="0.25">
      <c r="A338" s="50" t="s">
        <v>889</v>
      </c>
      <c r="B338" s="44" t="s">
        <v>17</v>
      </c>
      <c r="C338" s="45"/>
    </row>
    <row r="339" spans="1:3" x14ac:dyDescent="0.25">
      <c r="A339" s="50" t="s">
        <v>890</v>
      </c>
      <c r="B339" s="44" t="s">
        <v>17</v>
      </c>
      <c r="C339" s="45"/>
    </row>
    <row r="340" spans="1:3" x14ac:dyDescent="0.25">
      <c r="A340" s="44" t="s">
        <v>906</v>
      </c>
      <c r="B340" s="44" t="s">
        <v>17</v>
      </c>
      <c r="C340" s="45"/>
    </row>
    <row r="341" spans="1:3" x14ac:dyDescent="0.25">
      <c r="A341" s="44" t="s">
        <v>242</v>
      </c>
      <c r="B341" s="44" t="s">
        <v>17</v>
      </c>
      <c r="C341" s="45"/>
    </row>
    <row r="342" spans="1:3" x14ac:dyDescent="0.25">
      <c r="A342" s="44" t="s">
        <v>243</v>
      </c>
      <c r="B342" s="44" t="s">
        <v>17</v>
      </c>
      <c r="C342" s="45"/>
    </row>
    <row r="343" spans="1:3" x14ac:dyDescent="0.25">
      <c r="A343" s="44" t="s">
        <v>244</v>
      </c>
      <c r="B343" s="44" t="s">
        <v>17</v>
      </c>
      <c r="C343" s="45"/>
    </row>
    <row r="344" spans="1:3" x14ac:dyDescent="0.25">
      <c r="A344" s="44" t="s">
        <v>245</v>
      </c>
      <c r="B344" s="44" t="s">
        <v>17</v>
      </c>
      <c r="C344" s="45"/>
    </row>
    <row r="345" spans="1:3" x14ac:dyDescent="0.25">
      <c r="A345" s="44" t="s">
        <v>246</v>
      </c>
      <c r="B345" s="44" t="s">
        <v>17</v>
      </c>
      <c r="C345" s="45"/>
    </row>
    <row r="346" spans="1:3" x14ac:dyDescent="0.25">
      <c r="A346" s="44" t="s">
        <v>247</v>
      </c>
      <c r="B346" s="44" t="s">
        <v>17</v>
      </c>
      <c r="C346" s="45"/>
    </row>
    <row r="347" spans="1:3" x14ac:dyDescent="0.25">
      <c r="A347" s="49" t="s">
        <v>248</v>
      </c>
      <c r="B347" s="44" t="s">
        <v>24</v>
      </c>
      <c r="C347" s="45"/>
    </row>
    <row r="348" spans="1:3" x14ac:dyDescent="0.25">
      <c r="A348" s="49" t="s">
        <v>249</v>
      </c>
      <c r="B348" s="44" t="s">
        <v>24</v>
      </c>
      <c r="C348" s="45"/>
    </row>
    <row r="349" spans="1:3" x14ac:dyDescent="0.25">
      <c r="A349" s="49" t="s">
        <v>773</v>
      </c>
      <c r="B349" s="44" t="s">
        <v>24</v>
      </c>
      <c r="C349" s="45"/>
    </row>
    <row r="350" spans="1:3" x14ac:dyDescent="0.25">
      <c r="A350" s="49" t="s">
        <v>774</v>
      </c>
      <c r="B350" s="44" t="s">
        <v>24</v>
      </c>
      <c r="C350" s="45"/>
    </row>
    <row r="351" spans="1:3" x14ac:dyDescent="0.25">
      <c r="A351" s="43" t="s">
        <v>250</v>
      </c>
      <c r="B351" s="44"/>
      <c r="C351" s="45"/>
    </row>
    <row r="352" spans="1:3" x14ac:dyDescent="0.25">
      <c r="A352" s="44" t="s">
        <v>251</v>
      </c>
      <c r="B352" s="44" t="s">
        <v>17</v>
      </c>
      <c r="C352" s="45"/>
    </row>
    <row r="353" spans="1:3" x14ac:dyDescent="0.25">
      <c r="A353" s="44" t="s">
        <v>252</v>
      </c>
      <c r="B353" s="44" t="s">
        <v>17</v>
      </c>
      <c r="C353" s="45"/>
    </row>
    <row r="354" spans="1:3" x14ac:dyDescent="0.25">
      <c r="A354" s="44" t="s">
        <v>850</v>
      </c>
      <c r="B354" s="44" t="s">
        <v>17</v>
      </c>
      <c r="C354" s="45"/>
    </row>
    <row r="355" spans="1:3" x14ac:dyDescent="0.25">
      <c r="A355" s="43" t="s">
        <v>254</v>
      </c>
      <c r="B355" s="44"/>
      <c r="C355" s="45"/>
    </row>
    <row r="356" spans="1:3" x14ac:dyDescent="0.25">
      <c r="A356" s="44" t="s">
        <v>255</v>
      </c>
      <c r="B356" s="44" t="s">
        <v>24</v>
      </c>
      <c r="C356" s="45"/>
    </row>
    <row r="357" spans="1:3" x14ac:dyDescent="0.25">
      <c r="A357" s="43" t="s">
        <v>1046</v>
      </c>
      <c r="B357" s="44"/>
      <c r="C357" s="45"/>
    </row>
    <row r="358" spans="1:3" x14ac:dyDescent="0.25">
      <c r="A358" s="44" t="s">
        <v>257</v>
      </c>
      <c r="B358" s="44" t="s">
        <v>258</v>
      </c>
      <c r="C358" s="45">
        <v>3</v>
      </c>
    </row>
    <row r="359" spans="1:3" x14ac:dyDescent="0.25">
      <c r="A359" s="43" t="s">
        <v>994</v>
      </c>
      <c r="B359" s="44"/>
      <c r="C359" s="45"/>
    </row>
    <row r="360" spans="1:3" x14ac:dyDescent="0.25">
      <c r="A360" s="44" t="s">
        <v>995</v>
      </c>
      <c r="B360" s="44" t="s">
        <v>1027</v>
      </c>
      <c r="C360" s="45"/>
    </row>
    <row r="361" spans="1:3" x14ac:dyDescent="0.25">
      <c r="A361" s="44" t="s">
        <v>996</v>
      </c>
      <c r="B361" s="44" t="s">
        <v>1027</v>
      </c>
      <c r="C361" s="45"/>
    </row>
    <row r="362" spans="1:3" x14ac:dyDescent="0.25">
      <c r="A362" s="43" t="s">
        <v>259</v>
      </c>
      <c r="B362" s="44"/>
      <c r="C362" s="45"/>
    </row>
    <row r="363" spans="1:3" x14ac:dyDescent="0.25">
      <c r="A363" s="44" t="s">
        <v>260</v>
      </c>
      <c r="B363" s="44" t="s">
        <v>17</v>
      </c>
      <c r="C363" s="45"/>
    </row>
    <row r="364" spans="1:3" x14ac:dyDescent="0.25">
      <c r="A364" s="44" t="s">
        <v>261</v>
      </c>
      <c r="B364" s="44" t="s">
        <v>17</v>
      </c>
      <c r="C364" s="45"/>
    </row>
    <row r="365" spans="1:3" x14ac:dyDescent="0.25">
      <c r="A365" s="44" t="s">
        <v>262</v>
      </c>
      <c r="B365" s="44" t="s">
        <v>17</v>
      </c>
      <c r="C365" s="45"/>
    </row>
    <row r="366" spans="1:3" x14ac:dyDescent="0.25">
      <c r="A366" s="44" t="s">
        <v>263</v>
      </c>
      <c r="B366" s="44" t="s">
        <v>24</v>
      </c>
      <c r="C366" s="45"/>
    </row>
    <row r="367" spans="1:3" x14ac:dyDescent="0.25">
      <c r="A367" s="44" t="s">
        <v>264</v>
      </c>
      <c r="B367" s="44" t="s">
        <v>24</v>
      </c>
      <c r="C367" s="45"/>
    </row>
    <row r="368" spans="1:3" x14ac:dyDescent="0.25">
      <c r="A368" s="43" t="s">
        <v>265</v>
      </c>
      <c r="B368" s="44"/>
      <c r="C368" s="45"/>
    </row>
    <row r="369" spans="1:3" x14ac:dyDescent="0.25">
      <c r="A369" s="44" t="s">
        <v>266</v>
      </c>
      <c r="B369" s="44" t="s">
        <v>17</v>
      </c>
      <c r="C369" s="45"/>
    </row>
    <row r="370" spans="1:3" x14ac:dyDescent="0.25">
      <c r="A370" s="44" t="s">
        <v>267</v>
      </c>
      <c r="B370" s="44" t="s">
        <v>17</v>
      </c>
      <c r="C370" s="45"/>
    </row>
    <row r="371" spans="1:3" x14ac:dyDescent="0.25">
      <c r="A371" s="44" t="s">
        <v>268</v>
      </c>
      <c r="B371" s="44" t="s">
        <v>17</v>
      </c>
      <c r="C371" s="45"/>
    </row>
    <row r="372" spans="1:3" x14ac:dyDescent="0.25">
      <c r="A372" s="44" t="s">
        <v>269</v>
      </c>
      <c r="B372" s="44" t="s">
        <v>17</v>
      </c>
      <c r="C372" s="45"/>
    </row>
    <row r="373" spans="1:3" x14ac:dyDescent="0.25">
      <c r="A373" s="44" t="s">
        <v>270</v>
      </c>
      <c r="B373" s="44" t="s">
        <v>17</v>
      </c>
      <c r="C373" s="45"/>
    </row>
    <row r="374" spans="1:3" x14ac:dyDescent="0.25">
      <c r="A374" s="44" t="s">
        <v>271</v>
      </c>
      <c r="B374" s="44" t="s">
        <v>17</v>
      </c>
      <c r="C374" s="45"/>
    </row>
    <row r="375" spans="1:3" x14ac:dyDescent="0.25">
      <c r="A375" s="44" t="s">
        <v>726</v>
      </c>
      <c r="B375" s="44" t="s">
        <v>17</v>
      </c>
      <c r="C375" s="45"/>
    </row>
    <row r="376" spans="1:3" x14ac:dyDescent="0.25">
      <c r="A376" s="44" t="s">
        <v>891</v>
      </c>
      <c r="B376" s="44" t="s">
        <v>17</v>
      </c>
      <c r="C376" s="45"/>
    </row>
    <row r="377" spans="1:3" x14ac:dyDescent="0.25">
      <c r="A377" s="44" t="s">
        <v>835</v>
      </c>
      <c r="B377" s="44" t="s">
        <v>17</v>
      </c>
      <c r="C377" s="45"/>
    </row>
    <row r="378" spans="1:3" x14ac:dyDescent="0.25">
      <c r="A378" s="44" t="s">
        <v>836</v>
      </c>
      <c r="B378" s="44" t="s">
        <v>17</v>
      </c>
      <c r="C378" s="45"/>
    </row>
    <row r="379" spans="1:3" x14ac:dyDescent="0.25">
      <c r="A379" s="44" t="s">
        <v>837</v>
      </c>
      <c r="B379" s="44" t="s">
        <v>17</v>
      </c>
      <c r="C379" s="45"/>
    </row>
    <row r="380" spans="1:3" x14ac:dyDescent="0.25">
      <c r="A380" s="44" t="s">
        <v>838</v>
      </c>
      <c r="B380" s="44" t="s">
        <v>17</v>
      </c>
      <c r="C380" s="45"/>
    </row>
    <row r="381" spans="1:3" x14ac:dyDescent="0.25">
      <c r="A381" s="44" t="s">
        <v>839</v>
      </c>
      <c r="B381" s="44" t="s">
        <v>17</v>
      </c>
      <c r="C381" s="45"/>
    </row>
    <row r="382" spans="1:3" x14ac:dyDescent="0.25">
      <c r="A382" s="44" t="s">
        <v>840</v>
      </c>
      <c r="B382" s="44" t="s">
        <v>17</v>
      </c>
      <c r="C382" s="45"/>
    </row>
    <row r="383" spans="1:3" x14ac:dyDescent="0.25">
      <c r="A383" s="44" t="s">
        <v>841</v>
      </c>
      <c r="B383" s="44" t="s">
        <v>17</v>
      </c>
      <c r="C383" s="45"/>
    </row>
    <row r="384" spans="1:3" x14ac:dyDescent="0.25">
      <c r="A384" s="44" t="s">
        <v>842</v>
      </c>
      <c r="B384" s="44" t="s">
        <v>17</v>
      </c>
      <c r="C384" s="45"/>
    </row>
    <row r="385" spans="1:3" x14ac:dyDescent="0.25">
      <c r="A385" s="44" t="s">
        <v>843</v>
      </c>
      <c r="B385" s="44" t="s">
        <v>17</v>
      </c>
      <c r="C385" s="45"/>
    </row>
    <row r="386" spans="1:3" x14ac:dyDescent="0.25">
      <c r="A386" s="44" t="s">
        <v>844</v>
      </c>
      <c r="B386" s="44" t="s">
        <v>17</v>
      </c>
      <c r="C386" s="45"/>
    </row>
    <row r="387" spans="1:3" x14ac:dyDescent="0.25">
      <c r="A387" s="44" t="s">
        <v>845</v>
      </c>
      <c r="B387" s="44" t="s">
        <v>17</v>
      </c>
      <c r="C387" s="45"/>
    </row>
    <row r="388" spans="1:3" x14ac:dyDescent="0.25">
      <c r="A388" s="44" t="s">
        <v>846</v>
      </c>
      <c r="B388" s="44" t="s">
        <v>17</v>
      </c>
      <c r="C388" s="45"/>
    </row>
    <row r="389" spans="1:3" x14ac:dyDescent="0.25">
      <c r="A389" s="44" t="s">
        <v>847</v>
      </c>
      <c r="B389" s="44" t="s">
        <v>17</v>
      </c>
      <c r="C389" s="45"/>
    </row>
    <row r="390" spans="1:3" x14ac:dyDescent="0.25">
      <c r="A390" s="43" t="s">
        <v>273</v>
      </c>
      <c r="B390" s="44"/>
      <c r="C390" s="45"/>
    </row>
    <row r="391" spans="1:3" x14ac:dyDescent="0.25">
      <c r="A391" s="44" t="s">
        <v>274</v>
      </c>
      <c r="B391" s="44" t="s">
        <v>17</v>
      </c>
      <c r="C391" s="45"/>
    </row>
    <row r="392" spans="1:3" x14ac:dyDescent="0.25">
      <c r="A392" s="44" t="s">
        <v>276</v>
      </c>
      <c r="B392" s="44" t="s">
        <v>17</v>
      </c>
      <c r="C392" s="45"/>
    </row>
    <row r="393" spans="1:3" x14ac:dyDescent="0.25">
      <c r="A393" s="44" t="s">
        <v>860</v>
      </c>
      <c r="B393" s="44" t="s">
        <v>17</v>
      </c>
      <c r="C393" s="45"/>
    </row>
    <row r="394" spans="1:3" x14ac:dyDescent="0.25">
      <c r="A394" s="44" t="s">
        <v>277</v>
      </c>
      <c r="B394" s="44" t="s">
        <v>17</v>
      </c>
      <c r="C394" s="45">
        <v>1</v>
      </c>
    </row>
    <row r="395" spans="1:3" x14ac:dyDescent="0.25">
      <c r="A395" s="44" t="s">
        <v>278</v>
      </c>
      <c r="B395" s="44" t="s">
        <v>17</v>
      </c>
      <c r="C395" s="45"/>
    </row>
    <row r="396" spans="1:3" x14ac:dyDescent="0.25">
      <c r="A396" s="48" t="s">
        <v>279</v>
      </c>
      <c r="B396" s="44" t="s">
        <v>17</v>
      </c>
      <c r="C396" s="45"/>
    </row>
    <row r="397" spans="1:3" x14ac:dyDescent="0.25">
      <c r="A397" s="48" t="s">
        <v>280</v>
      </c>
      <c r="B397" s="44" t="s">
        <v>17</v>
      </c>
      <c r="C397" s="45"/>
    </row>
    <row r="398" spans="1:3" x14ac:dyDescent="0.25">
      <c r="A398" s="48" t="s">
        <v>281</v>
      </c>
      <c r="B398" s="44" t="s">
        <v>17</v>
      </c>
      <c r="C398" s="45"/>
    </row>
    <row r="399" spans="1:3" x14ac:dyDescent="0.25">
      <c r="A399" s="48" t="s">
        <v>282</v>
      </c>
      <c r="B399" s="44" t="s">
        <v>17</v>
      </c>
      <c r="C399" s="45"/>
    </row>
    <row r="400" spans="1:3" x14ac:dyDescent="0.25">
      <c r="A400" s="48" t="s">
        <v>283</v>
      </c>
      <c r="B400" s="44" t="s">
        <v>17</v>
      </c>
      <c r="C400" s="45"/>
    </row>
    <row r="401" spans="1:3" x14ac:dyDescent="0.25">
      <c r="A401" s="44" t="s">
        <v>284</v>
      </c>
      <c r="B401" s="44" t="s">
        <v>24</v>
      </c>
      <c r="C401" s="45">
        <v>2</v>
      </c>
    </row>
    <row r="402" spans="1:3" x14ac:dyDescent="0.25">
      <c r="A402" s="44" t="s">
        <v>286</v>
      </c>
      <c r="B402" s="44" t="s">
        <v>24</v>
      </c>
      <c r="C402" s="45"/>
    </row>
    <row r="403" spans="1:3" x14ac:dyDescent="0.25">
      <c r="A403" s="43" t="s">
        <v>287</v>
      </c>
      <c r="B403" s="44"/>
      <c r="C403" s="45"/>
    </row>
    <row r="404" spans="1:3" x14ac:dyDescent="0.25">
      <c r="A404" s="44" t="s">
        <v>288</v>
      </c>
      <c r="B404" s="44" t="s">
        <v>17</v>
      </c>
      <c r="C404" s="45"/>
    </row>
    <row r="405" spans="1:3" x14ac:dyDescent="0.25">
      <c r="A405" s="44" t="s">
        <v>848</v>
      </c>
      <c r="B405" s="44" t="s">
        <v>17</v>
      </c>
      <c r="C405" s="45"/>
    </row>
    <row r="406" spans="1:3" x14ac:dyDescent="0.25">
      <c r="A406" s="44" t="s">
        <v>1003</v>
      </c>
      <c r="B406" s="44" t="s">
        <v>17</v>
      </c>
      <c r="C406" s="45"/>
    </row>
    <row r="407" spans="1:3" x14ac:dyDescent="0.25">
      <c r="A407" s="44" t="s">
        <v>289</v>
      </c>
      <c r="B407" s="44" t="s">
        <v>24</v>
      </c>
      <c r="C407" s="45">
        <v>1</v>
      </c>
    </row>
    <row r="408" spans="1:3" x14ac:dyDescent="0.25">
      <c r="A408" s="44" t="s">
        <v>290</v>
      </c>
      <c r="B408" s="44" t="s">
        <v>24</v>
      </c>
      <c r="C408" s="45">
        <v>2</v>
      </c>
    </row>
    <row r="409" spans="1:3" x14ac:dyDescent="0.25">
      <c r="A409" s="49" t="s">
        <v>291</v>
      </c>
      <c r="B409" s="44" t="s">
        <v>24</v>
      </c>
      <c r="C409" s="45"/>
    </row>
    <row r="410" spans="1:3" x14ac:dyDescent="0.25">
      <c r="A410" s="43" t="s">
        <v>292</v>
      </c>
      <c r="B410" s="44"/>
      <c r="C410" s="45"/>
    </row>
    <row r="411" spans="1:3" x14ac:dyDescent="0.25">
      <c r="A411" s="44" t="s">
        <v>776</v>
      </c>
      <c r="B411" s="44" t="s">
        <v>17</v>
      </c>
      <c r="C411" s="45"/>
    </row>
    <row r="412" spans="1:3" x14ac:dyDescent="0.25">
      <c r="A412" s="44" t="s">
        <v>293</v>
      </c>
      <c r="B412" s="44" t="s">
        <v>17</v>
      </c>
      <c r="C412" s="45"/>
    </row>
    <row r="413" spans="1:3" x14ac:dyDescent="0.25">
      <c r="A413" s="44" t="s">
        <v>294</v>
      </c>
      <c r="B413" s="44" t="s">
        <v>24</v>
      </c>
      <c r="C413" s="45"/>
    </row>
    <row r="414" spans="1:3" x14ac:dyDescent="0.25">
      <c r="A414" s="44" t="s">
        <v>1004</v>
      </c>
      <c r="B414" s="44" t="s">
        <v>170</v>
      </c>
      <c r="C414" s="45">
        <v>1</v>
      </c>
    </row>
    <row r="415" spans="1:3" x14ac:dyDescent="0.25">
      <c r="A415" s="43" t="s">
        <v>296</v>
      </c>
      <c r="B415" s="44"/>
      <c r="C415" s="45"/>
    </row>
    <row r="416" spans="1:3" x14ac:dyDescent="0.25">
      <c r="A416" s="44" t="s">
        <v>297</v>
      </c>
      <c r="B416" s="44" t="s">
        <v>17</v>
      </c>
      <c r="C416" s="45"/>
    </row>
    <row r="417" spans="1:3" x14ac:dyDescent="0.25">
      <c r="A417" s="44" t="s">
        <v>712</v>
      </c>
      <c r="B417" s="44" t="s">
        <v>17</v>
      </c>
      <c r="C417" s="45"/>
    </row>
    <row r="418" spans="1:3" x14ac:dyDescent="0.25">
      <c r="A418" s="48" t="s">
        <v>298</v>
      </c>
      <c r="B418" s="44" t="s">
        <v>17</v>
      </c>
      <c r="C418" s="45">
        <v>2</v>
      </c>
    </row>
    <row r="419" spans="1:3" x14ac:dyDescent="0.25">
      <c r="A419" s="48" t="s">
        <v>299</v>
      </c>
      <c r="B419" s="44" t="s">
        <v>17</v>
      </c>
      <c r="C419" s="45"/>
    </row>
    <row r="420" spans="1:3" x14ac:dyDescent="0.25">
      <c r="A420" s="48" t="s">
        <v>807</v>
      </c>
      <c r="B420" s="44" t="s">
        <v>17</v>
      </c>
      <c r="C420" s="45"/>
    </row>
    <row r="421" spans="1:3" x14ac:dyDescent="0.25">
      <c r="A421" s="44" t="s">
        <v>300</v>
      </c>
      <c r="B421" s="44" t="s">
        <v>17</v>
      </c>
      <c r="C421" s="45"/>
    </row>
    <row r="422" spans="1:3" x14ac:dyDescent="0.25">
      <c r="A422" s="44" t="s">
        <v>301</v>
      </c>
      <c r="B422" s="44" t="s">
        <v>24</v>
      </c>
      <c r="C422" s="45"/>
    </row>
    <row r="423" spans="1:3" x14ac:dyDescent="0.25">
      <c r="A423" s="44" t="s">
        <v>302</v>
      </c>
      <c r="B423" s="44" t="s">
        <v>24</v>
      </c>
      <c r="C423" s="45"/>
    </row>
    <row r="424" spans="1:3" x14ac:dyDescent="0.25">
      <c r="A424" s="44" t="s">
        <v>303</v>
      </c>
      <c r="B424" s="44" t="s">
        <v>24</v>
      </c>
      <c r="C424" s="45"/>
    </row>
    <row r="425" spans="1:3" x14ac:dyDescent="0.25">
      <c r="A425" s="44" t="s">
        <v>957</v>
      </c>
      <c r="B425" s="44" t="s">
        <v>24</v>
      </c>
      <c r="C425" s="45">
        <v>1</v>
      </c>
    </row>
    <row r="426" spans="1:3" x14ac:dyDescent="0.25">
      <c r="A426" s="44" t="s">
        <v>820</v>
      </c>
      <c r="B426" s="44" t="s">
        <v>170</v>
      </c>
      <c r="C426" s="45">
        <v>6</v>
      </c>
    </row>
    <row r="427" spans="1:3" x14ac:dyDescent="0.25">
      <c r="A427" s="43" t="s">
        <v>304</v>
      </c>
      <c r="B427" s="44"/>
      <c r="C427" s="45"/>
    </row>
    <row r="428" spans="1:3" x14ac:dyDescent="0.25">
      <c r="A428" s="44" t="s">
        <v>305</v>
      </c>
      <c r="B428" s="44" t="s">
        <v>17</v>
      </c>
      <c r="C428" s="45"/>
    </row>
    <row r="429" spans="1:3" x14ac:dyDescent="0.25">
      <c r="A429" s="44" t="s">
        <v>307</v>
      </c>
      <c r="B429" s="44" t="s">
        <v>17</v>
      </c>
      <c r="C429" s="45"/>
    </row>
    <row r="430" spans="1:3" x14ac:dyDescent="0.25">
      <c r="A430" s="49" t="s">
        <v>711</v>
      </c>
      <c r="B430" s="44" t="s">
        <v>17</v>
      </c>
      <c r="C430" s="45"/>
    </row>
    <row r="431" spans="1:3" x14ac:dyDescent="0.25">
      <c r="A431" s="44" t="s">
        <v>710</v>
      </c>
      <c r="B431" s="44" t="s">
        <v>17</v>
      </c>
      <c r="C431" s="45"/>
    </row>
    <row r="432" spans="1:3" x14ac:dyDescent="0.25">
      <c r="A432" s="44" t="s">
        <v>306</v>
      </c>
      <c r="B432" s="44" t="s">
        <v>17</v>
      </c>
      <c r="C432" s="45"/>
    </row>
    <row r="433" spans="1:3" x14ac:dyDescent="0.25">
      <c r="A433" s="49" t="s">
        <v>753</v>
      </c>
      <c r="B433" s="44" t="s">
        <v>17</v>
      </c>
      <c r="C433" s="45"/>
    </row>
    <row r="434" spans="1:3" x14ac:dyDescent="0.25">
      <c r="A434" s="49" t="s">
        <v>308</v>
      </c>
      <c r="B434" s="44" t="s">
        <v>17</v>
      </c>
      <c r="C434" s="45"/>
    </row>
    <row r="435" spans="1:3" x14ac:dyDescent="0.25">
      <c r="A435" s="49" t="s">
        <v>892</v>
      </c>
      <c r="B435" s="44" t="s">
        <v>17</v>
      </c>
      <c r="C435" s="45"/>
    </row>
    <row r="436" spans="1:3" x14ac:dyDescent="0.25">
      <c r="A436" s="44" t="s">
        <v>707</v>
      </c>
      <c r="B436" s="44" t="s">
        <v>17</v>
      </c>
      <c r="C436" s="45"/>
    </row>
    <row r="437" spans="1:3" x14ac:dyDescent="0.25">
      <c r="A437" s="44" t="s">
        <v>309</v>
      </c>
      <c r="B437" s="44" t="s">
        <v>24</v>
      </c>
      <c r="C437" s="45"/>
    </row>
    <row r="438" spans="1:3" x14ac:dyDescent="0.25">
      <c r="A438" s="44" t="s">
        <v>310</v>
      </c>
      <c r="B438" s="44" t="s">
        <v>24</v>
      </c>
      <c r="C438" s="45"/>
    </row>
    <row r="439" spans="1:3" x14ac:dyDescent="0.25">
      <c r="A439" s="44" t="s">
        <v>311</v>
      </c>
      <c r="B439" s="44" t="s">
        <v>24</v>
      </c>
      <c r="C439" s="45"/>
    </row>
    <row r="440" spans="1:3" x14ac:dyDescent="0.25">
      <c r="A440" s="43" t="s">
        <v>759</v>
      </c>
      <c r="B440" s="44"/>
      <c r="C440" s="45"/>
    </row>
    <row r="441" spans="1:3" x14ac:dyDescent="0.25">
      <c r="A441" s="44" t="s">
        <v>312</v>
      </c>
      <c r="B441" s="44" t="s">
        <v>24</v>
      </c>
      <c r="C441" s="45"/>
    </row>
    <row r="442" spans="1:3" x14ac:dyDescent="0.25">
      <c r="A442" s="44" t="s">
        <v>760</v>
      </c>
      <c r="B442" s="44" t="s">
        <v>170</v>
      </c>
      <c r="C442" s="45"/>
    </row>
    <row r="443" spans="1:3" x14ac:dyDescent="0.25">
      <c r="A443" s="43" t="s">
        <v>313</v>
      </c>
      <c r="B443" s="44"/>
      <c r="C443" s="45"/>
    </row>
    <row r="444" spans="1:3" x14ac:dyDescent="0.25">
      <c r="A444" s="44" t="s">
        <v>314</v>
      </c>
      <c r="B444" s="44" t="s">
        <v>315</v>
      </c>
      <c r="C444" s="45"/>
    </row>
    <row r="445" spans="1:3" x14ac:dyDescent="0.25">
      <c r="A445" s="43" t="s">
        <v>317</v>
      </c>
      <c r="B445" s="44"/>
      <c r="C445" s="45"/>
    </row>
    <row r="446" spans="1:3" x14ac:dyDescent="0.25">
      <c r="A446" s="44" t="s">
        <v>318</v>
      </c>
      <c r="B446" s="44" t="s">
        <v>17</v>
      </c>
      <c r="C446" s="45"/>
    </row>
    <row r="447" spans="1:3" x14ac:dyDescent="0.25">
      <c r="A447" s="44" t="s">
        <v>319</v>
      </c>
      <c r="B447" s="44" t="s">
        <v>17</v>
      </c>
      <c r="C447" s="45">
        <v>124</v>
      </c>
    </row>
    <row r="448" spans="1:3" x14ac:dyDescent="0.25">
      <c r="A448" s="44" t="s">
        <v>320</v>
      </c>
      <c r="B448" s="44" t="s">
        <v>17</v>
      </c>
      <c r="C448" s="45"/>
    </row>
    <row r="449" spans="1:3" x14ac:dyDescent="0.25">
      <c r="A449" s="44" t="s">
        <v>321</v>
      </c>
      <c r="B449" s="44" t="s">
        <v>17</v>
      </c>
      <c r="C449" s="45"/>
    </row>
    <row r="450" spans="1:3" x14ac:dyDescent="0.25">
      <c r="A450" s="44" t="s">
        <v>744</v>
      </c>
      <c r="B450" s="44" t="s">
        <v>17</v>
      </c>
      <c r="C450" s="45"/>
    </row>
    <row r="451" spans="1:3" x14ac:dyDescent="0.25">
      <c r="A451" s="44" t="s">
        <v>322</v>
      </c>
      <c r="B451" s="44" t="s">
        <v>17</v>
      </c>
      <c r="C451" s="45"/>
    </row>
    <row r="452" spans="1:3" x14ac:dyDescent="0.25">
      <c r="A452" s="44" t="s">
        <v>323</v>
      </c>
      <c r="B452" s="44" t="s">
        <v>24</v>
      </c>
      <c r="C452" s="45"/>
    </row>
    <row r="453" spans="1:3" x14ac:dyDescent="0.25">
      <c r="A453" s="44" t="s">
        <v>324</v>
      </c>
      <c r="B453" s="44" t="s">
        <v>24</v>
      </c>
      <c r="C453" s="45"/>
    </row>
    <row r="454" spans="1:3" x14ac:dyDescent="0.25">
      <c r="A454" s="44" t="s">
        <v>325</v>
      </c>
      <c r="B454" s="44" t="s">
        <v>24</v>
      </c>
      <c r="C454" s="45"/>
    </row>
    <row r="455" spans="1:3" x14ac:dyDescent="0.25">
      <c r="A455" s="44" t="s">
        <v>326</v>
      </c>
      <c r="B455" s="44" t="s">
        <v>24</v>
      </c>
      <c r="C455" s="45"/>
    </row>
    <row r="456" spans="1:3" x14ac:dyDescent="0.25">
      <c r="A456" s="43" t="s">
        <v>765</v>
      </c>
      <c r="B456" s="44"/>
      <c r="C456" s="45"/>
    </row>
    <row r="457" spans="1:3" x14ac:dyDescent="0.25">
      <c r="A457" s="44" t="s">
        <v>766</v>
      </c>
      <c r="B457" s="44" t="s">
        <v>170</v>
      </c>
      <c r="C457" s="45"/>
    </row>
    <row r="458" spans="1:3" x14ac:dyDescent="0.25">
      <c r="A458" s="43" t="s">
        <v>328</v>
      </c>
      <c r="B458" s="44"/>
      <c r="C458" s="45"/>
    </row>
    <row r="459" spans="1:3" x14ac:dyDescent="0.25">
      <c r="A459" s="44" t="s">
        <v>329</v>
      </c>
      <c r="B459" s="44" t="s">
        <v>17</v>
      </c>
      <c r="C459" s="45"/>
    </row>
    <row r="460" spans="1:3" x14ac:dyDescent="0.25">
      <c r="A460" s="44" t="s">
        <v>330</v>
      </c>
      <c r="B460" s="44" t="s">
        <v>17</v>
      </c>
      <c r="C460" s="45"/>
    </row>
    <row r="461" spans="1:3" x14ac:dyDescent="0.25">
      <c r="A461" s="44" t="s">
        <v>331</v>
      </c>
      <c r="B461" s="44" t="s">
        <v>17</v>
      </c>
      <c r="C461" s="45"/>
    </row>
    <row r="462" spans="1:3" x14ac:dyDescent="0.25">
      <c r="A462" s="44" t="s">
        <v>332</v>
      </c>
      <c r="B462" s="44" t="s">
        <v>17</v>
      </c>
      <c r="C462" s="45"/>
    </row>
    <row r="463" spans="1:3" x14ac:dyDescent="0.25">
      <c r="A463" s="44" t="s">
        <v>333</v>
      </c>
      <c r="B463" s="44" t="s">
        <v>17</v>
      </c>
      <c r="C463" s="45"/>
    </row>
    <row r="464" spans="1:3" x14ac:dyDescent="0.25">
      <c r="A464" s="44" t="s">
        <v>913</v>
      </c>
      <c r="B464" s="44" t="s">
        <v>17</v>
      </c>
      <c r="C464" s="45"/>
    </row>
    <row r="465" spans="1:3" x14ac:dyDescent="0.25">
      <c r="A465" s="44" t="s">
        <v>334</v>
      </c>
      <c r="B465" s="44" t="s">
        <v>24</v>
      </c>
      <c r="C465" s="45"/>
    </row>
    <row r="466" spans="1:3" x14ac:dyDescent="0.25">
      <c r="A466" s="44" t="s">
        <v>335</v>
      </c>
      <c r="B466" s="44" t="s">
        <v>24</v>
      </c>
      <c r="C466" s="45"/>
    </row>
    <row r="467" spans="1:3" x14ac:dyDescent="0.25">
      <c r="A467" s="44" t="s">
        <v>771</v>
      </c>
      <c r="B467" s="44" t="s">
        <v>24</v>
      </c>
      <c r="C467" s="45"/>
    </row>
    <row r="468" spans="1:3" x14ac:dyDescent="0.25">
      <c r="A468" s="44" t="s">
        <v>336</v>
      </c>
      <c r="B468" s="44" t="s">
        <v>24</v>
      </c>
      <c r="C468" s="45"/>
    </row>
    <row r="469" spans="1:3" x14ac:dyDescent="0.25">
      <c r="A469" s="43" t="s">
        <v>337</v>
      </c>
      <c r="B469" s="44"/>
      <c r="C469" s="45"/>
    </row>
    <row r="470" spans="1:3" x14ac:dyDescent="0.25">
      <c r="A470" s="44" t="s">
        <v>338</v>
      </c>
      <c r="B470" s="44" t="s">
        <v>17</v>
      </c>
      <c r="C470" s="45"/>
    </row>
    <row r="471" spans="1:3" x14ac:dyDescent="0.25">
      <c r="A471" s="44" t="s">
        <v>721</v>
      </c>
      <c r="B471" s="44" t="s">
        <v>17</v>
      </c>
      <c r="C471" s="45"/>
    </row>
    <row r="472" spans="1:3" x14ac:dyDescent="0.25">
      <c r="A472" s="44" t="s">
        <v>339</v>
      </c>
      <c r="B472" s="44" t="s">
        <v>24</v>
      </c>
      <c r="C472" s="45"/>
    </row>
    <row r="473" spans="1:3" x14ac:dyDescent="0.25">
      <c r="A473" s="44" t="s">
        <v>340</v>
      </c>
      <c r="B473" s="44" t="s">
        <v>24</v>
      </c>
      <c r="C473" s="45"/>
    </row>
    <row r="474" spans="1:3" x14ac:dyDescent="0.25">
      <c r="A474" s="44" t="s">
        <v>341</v>
      </c>
      <c r="B474" s="44" t="s">
        <v>24</v>
      </c>
      <c r="C474" s="45"/>
    </row>
    <row r="475" spans="1:3" x14ac:dyDescent="0.25">
      <c r="A475" s="44" t="s">
        <v>1041</v>
      </c>
      <c r="B475" s="44" t="s">
        <v>170</v>
      </c>
      <c r="C475" s="45"/>
    </row>
    <row r="476" spans="1:3" x14ac:dyDescent="0.25">
      <c r="A476" s="44" t="s">
        <v>1042</v>
      </c>
      <c r="B476" s="44" t="s">
        <v>170</v>
      </c>
      <c r="C476" s="45"/>
    </row>
    <row r="477" spans="1:3" x14ac:dyDescent="0.25">
      <c r="A477" s="44" t="s">
        <v>1043</v>
      </c>
      <c r="B477" s="44" t="s">
        <v>170</v>
      </c>
      <c r="C477" s="45"/>
    </row>
    <row r="478" spans="1:3" x14ac:dyDescent="0.25">
      <c r="A478" s="44" t="s">
        <v>1044</v>
      </c>
      <c r="B478" s="44" t="s">
        <v>170</v>
      </c>
      <c r="C478" s="45"/>
    </row>
    <row r="479" spans="1:3" x14ac:dyDescent="0.25">
      <c r="A479" s="44" t="s">
        <v>1045</v>
      </c>
      <c r="B479" s="44" t="s">
        <v>170</v>
      </c>
      <c r="C479" s="45"/>
    </row>
    <row r="480" spans="1:3" x14ac:dyDescent="0.25">
      <c r="A480" s="43" t="s">
        <v>342</v>
      </c>
      <c r="B480" s="44"/>
      <c r="C480" s="45"/>
    </row>
    <row r="481" spans="1:3" x14ac:dyDescent="0.25">
      <c r="A481" s="44" t="s">
        <v>343</v>
      </c>
      <c r="B481" s="44" t="s">
        <v>17</v>
      </c>
      <c r="C481" s="45"/>
    </row>
    <row r="482" spans="1:3" x14ac:dyDescent="0.25">
      <c r="A482" s="44" t="s">
        <v>344</v>
      </c>
      <c r="B482" s="44" t="s">
        <v>17</v>
      </c>
      <c r="C482" s="45"/>
    </row>
    <row r="483" spans="1:3" x14ac:dyDescent="0.25">
      <c r="A483" s="43" t="s">
        <v>345</v>
      </c>
      <c r="B483" s="44"/>
      <c r="C483" s="45"/>
    </row>
    <row r="484" spans="1:3" x14ac:dyDescent="0.25">
      <c r="A484" s="49" t="s">
        <v>348</v>
      </c>
      <c r="B484" s="44" t="s">
        <v>17</v>
      </c>
      <c r="C484" s="45"/>
    </row>
    <row r="485" spans="1:3" x14ac:dyDescent="0.25">
      <c r="A485" s="49" t="s">
        <v>349</v>
      </c>
      <c r="B485" s="44" t="s">
        <v>17</v>
      </c>
      <c r="C485" s="45"/>
    </row>
    <row r="486" spans="1:3" x14ac:dyDescent="0.25">
      <c r="A486" s="49" t="s">
        <v>346</v>
      </c>
      <c r="B486" s="44" t="s">
        <v>24</v>
      </c>
      <c r="C486" s="45"/>
    </row>
    <row r="487" spans="1:3" x14ac:dyDescent="0.25">
      <c r="A487" s="49" t="s">
        <v>347</v>
      </c>
      <c r="B487" s="44" t="s">
        <v>24</v>
      </c>
      <c r="C487" s="45"/>
    </row>
    <row r="488" spans="1:3" x14ac:dyDescent="0.25">
      <c r="A488" s="43" t="s">
        <v>351</v>
      </c>
      <c r="B488" s="44"/>
      <c r="C488" s="45"/>
    </row>
    <row r="489" spans="1:3" x14ac:dyDescent="0.25">
      <c r="A489" s="44" t="s">
        <v>352</v>
      </c>
      <c r="B489" s="44" t="s">
        <v>17</v>
      </c>
      <c r="C489" s="45"/>
    </row>
    <row r="490" spans="1:3" x14ac:dyDescent="0.25">
      <c r="A490" s="44" t="s">
        <v>993</v>
      </c>
      <c r="B490" s="44" t="s">
        <v>17</v>
      </c>
      <c r="C490" s="45"/>
    </row>
    <row r="491" spans="1:3" x14ac:dyDescent="0.25">
      <c r="A491" s="44" t="s">
        <v>353</v>
      </c>
      <c r="B491" s="44" t="s">
        <v>17</v>
      </c>
      <c r="C491" s="45"/>
    </row>
    <row r="492" spans="1:3" x14ac:dyDescent="0.25">
      <c r="A492" s="44" t="s">
        <v>354</v>
      </c>
      <c r="B492" s="44" t="s">
        <v>17</v>
      </c>
      <c r="C492" s="45">
        <v>1</v>
      </c>
    </row>
    <row r="493" spans="1:3" x14ac:dyDescent="0.25">
      <c r="A493" s="44" t="s">
        <v>743</v>
      </c>
      <c r="B493" s="44" t="s">
        <v>17</v>
      </c>
      <c r="C493" s="45">
        <v>1</v>
      </c>
    </row>
    <row r="494" spans="1:3" x14ac:dyDescent="0.25">
      <c r="A494" s="44" t="s">
        <v>355</v>
      </c>
      <c r="B494" s="44" t="s">
        <v>17</v>
      </c>
      <c r="C494" s="45"/>
    </row>
    <row r="495" spans="1:3" x14ac:dyDescent="0.25">
      <c r="A495" s="44" t="s">
        <v>709</v>
      </c>
      <c r="B495" s="44" t="s">
        <v>17</v>
      </c>
      <c r="C495" s="45"/>
    </row>
    <row r="496" spans="1:3" x14ac:dyDescent="0.25">
      <c r="A496" s="44" t="s">
        <v>639</v>
      </c>
      <c r="B496" s="44" t="s">
        <v>17</v>
      </c>
      <c r="C496" s="45"/>
    </row>
    <row r="497" spans="1:3" x14ac:dyDescent="0.25">
      <c r="A497" s="44" t="s">
        <v>685</v>
      </c>
      <c r="B497" s="44" t="s">
        <v>17</v>
      </c>
      <c r="C497" s="45"/>
    </row>
    <row r="498" spans="1:3" x14ac:dyDescent="0.25">
      <c r="A498" s="44" t="s">
        <v>912</v>
      </c>
      <c r="B498" s="44" t="s">
        <v>17</v>
      </c>
      <c r="C498" s="45"/>
    </row>
    <row r="499" spans="1:3" x14ac:dyDescent="0.25">
      <c r="A499" s="44" t="s">
        <v>950</v>
      </c>
      <c r="B499" s="44" t="s">
        <v>17</v>
      </c>
      <c r="C499" s="45"/>
    </row>
    <row r="500" spans="1:3" x14ac:dyDescent="0.25">
      <c r="A500" s="44" t="s">
        <v>356</v>
      </c>
      <c r="B500" s="44" t="s">
        <v>17</v>
      </c>
      <c r="C500" s="45"/>
    </row>
    <row r="501" spans="1:3" x14ac:dyDescent="0.25">
      <c r="A501" s="44" t="s">
        <v>357</v>
      </c>
      <c r="B501" s="44" t="s">
        <v>17</v>
      </c>
      <c r="C501" s="45"/>
    </row>
    <row r="502" spans="1:3" x14ac:dyDescent="0.25">
      <c r="A502" s="44" t="s">
        <v>951</v>
      </c>
      <c r="B502" s="44" t="s">
        <v>17</v>
      </c>
      <c r="C502" s="45"/>
    </row>
    <row r="503" spans="1:3" x14ac:dyDescent="0.25">
      <c r="A503" s="44" t="s">
        <v>1026</v>
      </c>
      <c r="B503" s="44" t="s">
        <v>17</v>
      </c>
      <c r="C503" s="45">
        <v>1</v>
      </c>
    </row>
    <row r="504" spans="1:3" x14ac:dyDescent="0.25">
      <c r="A504" s="44" t="s">
        <v>952</v>
      </c>
      <c r="B504" s="44" t="s">
        <v>17</v>
      </c>
      <c r="C504" s="45"/>
    </row>
    <row r="505" spans="1:3" x14ac:dyDescent="0.25">
      <c r="A505" s="49" t="s">
        <v>358</v>
      </c>
      <c r="B505" s="44" t="s">
        <v>24</v>
      </c>
      <c r="C505" s="45"/>
    </row>
    <row r="506" spans="1:3" x14ac:dyDescent="0.25">
      <c r="A506" s="49" t="s">
        <v>359</v>
      </c>
      <c r="B506" s="44" t="s">
        <v>24</v>
      </c>
      <c r="C506" s="45"/>
    </row>
    <row r="507" spans="1:3" x14ac:dyDescent="0.25">
      <c r="A507" s="49" t="s">
        <v>1030</v>
      </c>
      <c r="B507" s="44" t="s">
        <v>24</v>
      </c>
      <c r="C507" s="45"/>
    </row>
    <row r="508" spans="1:3" x14ac:dyDescent="0.25">
      <c r="A508" s="49" t="s">
        <v>360</v>
      </c>
      <c r="B508" s="44" t="s">
        <v>24</v>
      </c>
      <c r="C508" s="45"/>
    </row>
    <row r="509" spans="1:3" x14ac:dyDescent="0.25">
      <c r="A509" s="49" t="s">
        <v>953</v>
      </c>
      <c r="B509" s="44" t="s">
        <v>24</v>
      </c>
      <c r="C509" s="45"/>
    </row>
    <row r="510" spans="1:3" x14ac:dyDescent="0.25">
      <c r="A510" s="49" t="s">
        <v>976</v>
      </c>
      <c r="B510" s="44" t="s">
        <v>24</v>
      </c>
      <c r="C510" s="45"/>
    </row>
    <row r="511" spans="1:3" x14ac:dyDescent="0.25">
      <c r="A511" s="44" t="s">
        <v>997</v>
      </c>
      <c r="B511" s="44" t="s">
        <v>170</v>
      </c>
      <c r="C511" s="45">
        <v>3</v>
      </c>
    </row>
    <row r="512" spans="1:3" x14ac:dyDescent="0.25">
      <c r="A512" s="43" t="s">
        <v>361</v>
      </c>
      <c r="B512" s="44"/>
      <c r="C512" s="45"/>
    </row>
    <row r="513" spans="1:3" x14ac:dyDescent="0.25">
      <c r="A513" s="44" t="s">
        <v>362</v>
      </c>
      <c r="B513" s="44" t="s">
        <v>180</v>
      </c>
      <c r="C513" s="45">
        <v>7</v>
      </c>
    </row>
    <row r="514" spans="1:3" x14ac:dyDescent="0.25">
      <c r="A514" s="44" t="s">
        <v>363</v>
      </c>
      <c r="B514" s="44" t="s">
        <v>180</v>
      </c>
      <c r="C514" s="45">
        <v>5</v>
      </c>
    </row>
    <row r="515" spans="1:3" x14ac:dyDescent="0.25">
      <c r="A515" s="44" t="s">
        <v>364</v>
      </c>
      <c r="B515" s="44" t="s">
        <v>180</v>
      </c>
      <c r="C515" s="45">
        <v>5</v>
      </c>
    </row>
    <row r="516" spans="1:3" x14ac:dyDescent="0.25">
      <c r="A516" s="44" t="s">
        <v>365</v>
      </c>
      <c r="B516" s="44" t="s">
        <v>180</v>
      </c>
      <c r="C516" s="45"/>
    </row>
    <row r="517" spans="1:3" x14ac:dyDescent="0.25">
      <c r="A517" s="44" t="s">
        <v>393</v>
      </c>
      <c r="B517" s="44" t="s">
        <v>258</v>
      </c>
      <c r="C517" s="45"/>
    </row>
    <row r="518" spans="1:3" x14ac:dyDescent="0.25">
      <c r="A518" s="44" t="s">
        <v>732</v>
      </c>
      <c r="B518" s="44" t="s">
        <v>258</v>
      </c>
      <c r="C518" s="45"/>
    </row>
    <row r="519" spans="1:3" x14ac:dyDescent="0.25">
      <c r="A519" s="44" t="s">
        <v>920</v>
      </c>
      <c r="B519" s="44" t="s">
        <v>258</v>
      </c>
      <c r="C519" s="45"/>
    </row>
    <row r="520" spans="1:3" x14ac:dyDescent="0.25">
      <c r="A520" s="44" t="s">
        <v>1001</v>
      </c>
      <c r="B520" s="44" t="s">
        <v>258</v>
      </c>
      <c r="C520" s="45"/>
    </row>
    <row r="521" spans="1:3" x14ac:dyDescent="0.25">
      <c r="A521" s="44" t="s">
        <v>366</v>
      </c>
      <c r="B521" s="44" t="s">
        <v>17</v>
      </c>
      <c r="C521" s="45"/>
    </row>
    <row r="522" spans="1:3" x14ac:dyDescent="0.25">
      <c r="A522" s="44" t="s">
        <v>367</v>
      </c>
      <c r="B522" s="44" t="s">
        <v>17</v>
      </c>
      <c r="C522" s="45"/>
    </row>
    <row r="523" spans="1:3" x14ac:dyDescent="0.25">
      <c r="A523" s="49" t="s">
        <v>648</v>
      </c>
      <c r="B523" s="44" t="s">
        <v>17</v>
      </c>
      <c r="C523" s="45"/>
    </row>
    <row r="524" spans="1:3" x14ac:dyDescent="0.25">
      <c r="A524" s="49" t="s">
        <v>779</v>
      </c>
      <c r="B524" s="44" t="s">
        <v>17</v>
      </c>
      <c r="C524" s="45"/>
    </row>
    <row r="525" spans="1:3" x14ac:dyDescent="0.25">
      <c r="A525" s="49" t="s">
        <v>884</v>
      </c>
      <c r="B525" s="44" t="s">
        <v>17</v>
      </c>
      <c r="C525" s="45"/>
    </row>
    <row r="526" spans="1:3" x14ac:dyDescent="0.25">
      <c r="A526" s="49" t="s">
        <v>368</v>
      </c>
      <c r="B526" s="44" t="s">
        <v>17</v>
      </c>
      <c r="C526" s="45"/>
    </row>
    <row r="527" spans="1:3" x14ac:dyDescent="0.25">
      <c r="A527" s="49" t="s">
        <v>704</v>
      </c>
      <c r="B527" s="44" t="s">
        <v>17</v>
      </c>
      <c r="C527" s="45"/>
    </row>
    <row r="528" spans="1:3" x14ac:dyDescent="0.25">
      <c r="A528" s="49" t="s">
        <v>369</v>
      </c>
      <c r="B528" s="44" t="s">
        <v>17</v>
      </c>
      <c r="C528" s="45"/>
    </row>
    <row r="529" spans="1:3" x14ac:dyDescent="0.25">
      <c r="A529" s="49" t="s">
        <v>370</v>
      </c>
      <c r="B529" s="44" t="s">
        <v>17</v>
      </c>
      <c r="C529" s="45"/>
    </row>
    <row r="530" spans="1:3" x14ac:dyDescent="0.25">
      <c r="A530" s="49" t="s">
        <v>371</v>
      </c>
      <c r="B530" s="44" t="s">
        <v>17</v>
      </c>
      <c r="C530" s="45">
        <v>4</v>
      </c>
    </row>
    <row r="531" spans="1:3" x14ac:dyDescent="0.25">
      <c r="A531" s="49" t="s">
        <v>372</v>
      </c>
      <c r="B531" s="44" t="s">
        <v>17</v>
      </c>
      <c r="C531" s="45"/>
    </row>
    <row r="532" spans="1:3" x14ac:dyDescent="0.25">
      <c r="A532" s="49" t="s">
        <v>373</v>
      </c>
      <c r="B532" s="44" t="s">
        <v>17</v>
      </c>
      <c r="C532" s="45"/>
    </row>
    <row r="533" spans="1:3" x14ac:dyDescent="0.25">
      <c r="A533" s="44" t="s">
        <v>886</v>
      </c>
      <c r="B533" s="44" t="s">
        <v>17</v>
      </c>
      <c r="C533" s="45"/>
    </row>
    <row r="534" spans="1:3" x14ac:dyDescent="0.25">
      <c r="A534" s="44" t="s">
        <v>374</v>
      </c>
      <c r="B534" s="44" t="s">
        <v>17</v>
      </c>
      <c r="C534" s="45"/>
    </row>
    <row r="535" spans="1:3" x14ac:dyDescent="0.25">
      <c r="A535" s="44" t="s">
        <v>691</v>
      </c>
      <c r="B535" s="44" t="s">
        <v>17</v>
      </c>
      <c r="C535" s="45"/>
    </row>
    <row r="536" spans="1:3" x14ac:dyDescent="0.25">
      <c r="A536" s="44" t="s">
        <v>985</v>
      </c>
      <c r="B536" s="44" t="s">
        <v>17</v>
      </c>
      <c r="C536" s="45"/>
    </row>
    <row r="537" spans="1:3" x14ac:dyDescent="0.25">
      <c r="A537" s="44" t="s">
        <v>375</v>
      </c>
      <c r="B537" s="44" t="s">
        <v>17</v>
      </c>
      <c r="C537" s="45"/>
    </row>
    <row r="538" spans="1:3" x14ac:dyDescent="0.25">
      <c r="A538" s="44" t="s">
        <v>787</v>
      </c>
      <c r="B538" s="44" t="s">
        <v>17</v>
      </c>
      <c r="C538" s="45"/>
    </row>
    <row r="539" spans="1:3" x14ac:dyDescent="0.25">
      <c r="A539" s="44" t="s">
        <v>376</v>
      </c>
      <c r="B539" s="44" t="s">
        <v>24</v>
      </c>
      <c r="C539" s="45"/>
    </row>
    <row r="540" spans="1:3" x14ac:dyDescent="0.25">
      <c r="A540" s="44" t="s">
        <v>664</v>
      </c>
      <c r="B540" s="44" t="s">
        <v>24</v>
      </c>
      <c r="C540" s="45"/>
    </row>
    <row r="541" spans="1:3" x14ac:dyDescent="0.25">
      <c r="A541" s="44" t="s">
        <v>377</v>
      </c>
      <c r="B541" s="44" t="s">
        <v>24</v>
      </c>
      <c r="C541" s="45"/>
    </row>
    <row r="542" spans="1:3" x14ac:dyDescent="0.25">
      <c r="A542" s="44" t="s">
        <v>388</v>
      </c>
      <c r="B542" s="44" t="s">
        <v>24</v>
      </c>
      <c r="C542" s="45"/>
    </row>
    <row r="543" spans="1:3" x14ac:dyDescent="0.25">
      <c r="A543" s="49" t="s">
        <v>768</v>
      </c>
      <c r="B543" s="44" t="s">
        <v>24</v>
      </c>
      <c r="C543" s="45"/>
    </row>
    <row r="544" spans="1:3" x14ac:dyDescent="0.25">
      <c r="A544" s="49" t="s">
        <v>378</v>
      </c>
      <c r="B544" s="44" t="s">
        <v>24</v>
      </c>
      <c r="C544" s="45">
        <v>3</v>
      </c>
    </row>
    <row r="545" spans="1:3" x14ac:dyDescent="0.25">
      <c r="A545" s="49" t="s">
        <v>379</v>
      </c>
      <c r="B545" s="44" t="s">
        <v>24</v>
      </c>
      <c r="C545" s="45">
        <v>2</v>
      </c>
    </row>
    <row r="546" spans="1:3" x14ac:dyDescent="0.25">
      <c r="A546" s="49" t="s">
        <v>380</v>
      </c>
      <c r="B546" s="44" t="s">
        <v>24</v>
      </c>
      <c r="C546" s="45"/>
    </row>
    <row r="547" spans="1:3" x14ac:dyDescent="0.25">
      <c r="A547" s="44" t="s">
        <v>849</v>
      </c>
      <c r="B547" s="44" t="s">
        <v>24</v>
      </c>
      <c r="C547" s="45"/>
    </row>
    <row r="548" spans="1:3" x14ac:dyDescent="0.25">
      <c r="A548" s="44" t="s">
        <v>381</v>
      </c>
      <c r="B548" s="44" t="s">
        <v>24</v>
      </c>
      <c r="C548" s="45">
        <v>3</v>
      </c>
    </row>
    <row r="549" spans="1:3" x14ac:dyDescent="0.25">
      <c r="A549" s="44" t="s">
        <v>382</v>
      </c>
      <c r="B549" s="44" t="s">
        <v>24</v>
      </c>
      <c r="C549" s="45"/>
    </row>
    <row r="550" spans="1:3" x14ac:dyDescent="0.25">
      <c r="A550" s="44" t="s">
        <v>1031</v>
      </c>
      <c r="B550" s="44" t="s">
        <v>24</v>
      </c>
      <c r="C550" s="45"/>
    </row>
    <row r="551" spans="1:3" x14ac:dyDescent="0.25">
      <c r="A551" s="44" t="s">
        <v>383</v>
      </c>
      <c r="B551" s="44" t="s">
        <v>24</v>
      </c>
      <c r="C551" s="45"/>
    </row>
    <row r="552" spans="1:3" x14ac:dyDescent="0.25">
      <c r="A552" s="44" t="s">
        <v>736</v>
      </c>
      <c r="B552" s="44" t="s">
        <v>24</v>
      </c>
      <c r="C552" s="45"/>
    </row>
    <row r="553" spans="1:3" x14ac:dyDescent="0.25">
      <c r="A553" s="44" t="s">
        <v>737</v>
      </c>
      <c r="B553" s="44" t="s">
        <v>24</v>
      </c>
      <c r="C553" s="45"/>
    </row>
    <row r="554" spans="1:3" x14ac:dyDescent="0.25">
      <c r="A554" s="44" t="s">
        <v>384</v>
      </c>
      <c r="B554" s="44" t="s">
        <v>24</v>
      </c>
      <c r="C554" s="45">
        <v>5</v>
      </c>
    </row>
    <row r="555" spans="1:3" x14ac:dyDescent="0.25">
      <c r="A555" s="44" t="s">
        <v>887</v>
      </c>
      <c r="B555" s="44" t="s">
        <v>24</v>
      </c>
      <c r="C555" s="45"/>
    </row>
    <row r="556" spans="1:3" x14ac:dyDescent="0.25">
      <c r="A556" s="44" t="s">
        <v>385</v>
      </c>
      <c r="B556" s="44" t="s">
        <v>24</v>
      </c>
      <c r="C556" s="45"/>
    </row>
    <row r="557" spans="1:3" x14ac:dyDescent="0.25">
      <c r="A557" s="44" t="s">
        <v>386</v>
      </c>
      <c r="B557" s="44" t="s">
        <v>24</v>
      </c>
      <c r="C557" s="45"/>
    </row>
    <row r="558" spans="1:3" x14ac:dyDescent="0.25">
      <c r="A558" s="44" t="s">
        <v>387</v>
      </c>
      <c r="B558" s="44" t="s">
        <v>24</v>
      </c>
      <c r="C558" s="45"/>
    </row>
    <row r="559" spans="1:3" x14ac:dyDescent="0.25">
      <c r="A559" s="44" t="s">
        <v>389</v>
      </c>
      <c r="B559" s="44" t="s">
        <v>24</v>
      </c>
      <c r="C559" s="45"/>
    </row>
    <row r="560" spans="1:3" x14ac:dyDescent="0.25">
      <c r="A560" s="44" t="s">
        <v>390</v>
      </c>
      <c r="B560" s="44" t="s">
        <v>24</v>
      </c>
      <c r="C560" s="45"/>
    </row>
    <row r="561" spans="1:3" x14ac:dyDescent="0.25">
      <c r="A561" s="44" t="s">
        <v>770</v>
      </c>
      <c r="B561" s="44" t="s">
        <v>24</v>
      </c>
      <c r="C561" s="45"/>
    </row>
    <row r="562" spans="1:3" x14ac:dyDescent="0.25">
      <c r="A562" s="44" t="s">
        <v>391</v>
      </c>
      <c r="B562" s="44" t="s">
        <v>24</v>
      </c>
      <c r="C562" s="45"/>
    </row>
    <row r="563" spans="1:3" x14ac:dyDescent="0.25">
      <c r="A563" s="44" t="s">
        <v>699</v>
      </c>
      <c r="B563" s="44" t="s">
        <v>24</v>
      </c>
      <c r="C563" s="45"/>
    </row>
    <row r="564" spans="1:3" x14ac:dyDescent="0.25">
      <c r="A564" s="44" t="s">
        <v>392</v>
      </c>
      <c r="B564" s="44" t="s">
        <v>24</v>
      </c>
      <c r="C564" s="45"/>
    </row>
    <row r="565" spans="1:3" x14ac:dyDescent="0.25">
      <c r="A565" s="44" t="s">
        <v>1032</v>
      </c>
      <c r="B565" s="44" t="s">
        <v>24</v>
      </c>
      <c r="C565" s="45"/>
    </row>
    <row r="566" spans="1:3" x14ac:dyDescent="0.25">
      <c r="A566" s="44" t="s">
        <v>394</v>
      </c>
      <c r="B566" s="44" t="s">
        <v>258</v>
      </c>
      <c r="C566" s="45"/>
    </row>
    <row r="567" spans="1:3" x14ac:dyDescent="0.25">
      <c r="A567" s="44" t="s">
        <v>395</v>
      </c>
      <c r="B567" s="44" t="s">
        <v>258</v>
      </c>
      <c r="C567" s="45"/>
    </row>
    <row r="568" spans="1:3" x14ac:dyDescent="0.25">
      <c r="A568" s="44" t="s">
        <v>396</v>
      </c>
      <c r="B568" s="44" t="s">
        <v>258</v>
      </c>
      <c r="C568" s="45"/>
    </row>
    <row r="569" spans="1:3" x14ac:dyDescent="0.25">
      <c r="A569" s="44" t="s">
        <v>705</v>
      </c>
      <c r="B569" s="44" t="s">
        <v>258</v>
      </c>
      <c r="C569" s="45"/>
    </row>
    <row r="570" spans="1:3" x14ac:dyDescent="0.25">
      <c r="A570" s="44" t="s">
        <v>1033</v>
      </c>
      <c r="B570" s="44" t="s">
        <v>258</v>
      </c>
      <c r="C570" s="45"/>
    </row>
    <row r="571" spans="1:3" x14ac:dyDescent="0.25">
      <c r="A571" s="44" t="s">
        <v>1034</v>
      </c>
      <c r="B571" s="44" t="s">
        <v>258</v>
      </c>
      <c r="C571" s="45"/>
    </row>
    <row r="572" spans="1:3" x14ac:dyDescent="0.25">
      <c r="A572" s="44" t="s">
        <v>863</v>
      </c>
      <c r="B572" s="44" t="s">
        <v>258</v>
      </c>
      <c r="C572" s="45"/>
    </row>
    <row r="573" spans="1:3" x14ac:dyDescent="0.25">
      <c r="A573" s="44" t="s">
        <v>908</v>
      </c>
      <c r="B573" s="44" t="s">
        <v>258</v>
      </c>
      <c r="C573" s="45"/>
    </row>
    <row r="574" spans="1:3" x14ac:dyDescent="0.25">
      <c r="A574" s="44" t="s">
        <v>921</v>
      </c>
      <c r="B574" s="44" t="s">
        <v>258</v>
      </c>
      <c r="C574" s="45"/>
    </row>
    <row r="575" spans="1:3" x14ac:dyDescent="0.25">
      <c r="A575" s="44" t="s">
        <v>694</v>
      </c>
      <c r="B575" s="44" t="s">
        <v>680</v>
      </c>
      <c r="C575" s="45"/>
    </row>
    <row r="576" spans="1:3" x14ac:dyDescent="0.25">
      <c r="A576" s="44" t="s">
        <v>1002</v>
      </c>
      <c r="B576" s="44" t="s">
        <v>680</v>
      </c>
      <c r="C576" s="45"/>
    </row>
    <row r="577" spans="1:3" x14ac:dyDescent="0.25">
      <c r="A577" s="44" t="s">
        <v>733</v>
      </c>
      <c r="B577" s="44" t="s">
        <v>170</v>
      </c>
      <c r="C577" s="45"/>
    </row>
    <row r="578" spans="1:3" x14ac:dyDescent="0.25">
      <c r="A578" s="44" t="s">
        <v>397</v>
      </c>
      <c r="B578" s="44" t="s">
        <v>170</v>
      </c>
      <c r="C578" s="45"/>
    </row>
    <row r="579" spans="1:3" x14ac:dyDescent="0.25">
      <c r="A579" s="44" t="s">
        <v>922</v>
      </c>
      <c r="B579" s="44" t="s">
        <v>170</v>
      </c>
      <c r="C579" s="45">
        <v>7</v>
      </c>
    </row>
    <row r="580" spans="1:3" x14ac:dyDescent="0.25">
      <c r="A580" s="44" t="s">
        <v>983</v>
      </c>
      <c r="B580" s="44" t="s">
        <v>170</v>
      </c>
      <c r="C580" s="45">
        <v>1</v>
      </c>
    </row>
    <row r="581" spans="1:3" x14ac:dyDescent="0.25">
      <c r="A581" s="44" t="s">
        <v>984</v>
      </c>
      <c r="B581" s="44" t="s">
        <v>170</v>
      </c>
      <c r="C581" s="45">
        <v>1</v>
      </c>
    </row>
    <row r="582" spans="1:3" x14ac:dyDescent="0.25">
      <c r="A582" s="44" t="s">
        <v>986</v>
      </c>
      <c r="B582" s="44" t="s">
        <v>170</v>
      </c>
      <c r="C582" s="45"/>
    </row>
    <row r="583" spans="1:3" x14ac:dyDescent="0.25">
      <c r="A583" s="43" t="s">
        <v>398</v>
      </c>
      <c r="B583" s="44"/>
      <c r="C583" s="45"/>
    </row>
    <row r="584" spans="1:3" x14ac:dyDescent="0.25">
      <c r="A584" s="51" t="s">
        <v>399</v>
      </c>
      <c r="B584" s="44" t="s">
        <v>17</v>
      </c>
      <c r="C584" s="45"/>
    </row>
    <row r="585" spans="1:3" x14ac:dyDescent="0.25">
      <c r="A585" s="51" t="s">
        <v>788</v>
      </c>
      <c r="B585" s="44" t="s">
        <v>17</v>
      </c>
      <c r="C585" s="45"/>
    </row>
    <row r="586" spans="1:3" x14ac:dyDescent="0.25">
      <c r="A586" s="51" t="s">
        <v>400</v>
      </c>
      <c r="B586" s="44" t="s">
        <v>17</v>
      </c>
      <c r="C586" s="45"/>
    </row>
    <row r="587" spans="1:3" x14ac:dyDescent="0.25">
      <c r="A587" s="51" t="s">
        <v>401</v>
      </c>
      <c r="B587" s="44" t="s">
        <v>17</v>
      </c>
      <c r="C587" s="45"/>
    </row>
    <row r="588" spans="1:3" x14ac:dyDescent="0.25">
      <c r="A588" s="51" t="s">
        <v>402</v>
      </c>
      <c r="B588" s="44" t="s">
        <v>17</v>
      </c>
      <c r="C588" s="45"/>
    </row>
    <row r="589" spans="1:3" x14ac:dyDescent="0.25">
      <c r="A589" s="51" t="s">
        <v>403</v>
      </c>
      <c r="B589" s="44" t="s">
        <v>17</v>
      </c>
      <c r="C589" s="45"/>
    </row>
    <row r="590" spans="1:3" x14ac:dyDescent="0.25">
      <c r="A590" s="44" t="s">
        <v>404</v>
      </c>
      <c r="B590" s="44" t="s">
        <v>24</v>
      </c>
      <c r="C590" s="45"/>
    </row>
    <row r="591" spans="1:3" x14ac:dyDescent="0.25">
      <c r="A591" s="44" t="s">
        <v>665</v>
      </c>
      <c r="B591" s="44" t="s">
        <v>24</v>
      </c>
      <c r="C591" s="45"/>
    </row>
    <row r="592" spans="1:3" x14ac:dyDescent="0.25">
      <c r="A592" s="43" t="s">
        <v>405</v>
      </c>
      <c r="B592" s="44"/>
      <c r="C592" s="45"/>
    </row>
    <row r="593" spans="1:3" x14ac:dyDescent="0.25">
      <c r="A593" s="44" t="s">
        <v>406</v>
      </c>
      <c r="B593" s="44" t="s">
        <v>17</v>
      </c>
      <c r="C593" s="45"/>
    </row>
    <row r="594" spans="1:3" x14ac:dyDescent="0.25">
      <c r="A594" s="44" t="s">
        <v>938</v>
      </c>
      <c r="B594" s="44" t="s">
        <v>17</v>
      </c>
      <c r="C594" s="45"/>
    </row>
    <row r="595" spans="1:3" x14ac:dyDescent="0.25">
      <c r="A595" s="51" t="s">
        <v>761</v>
      </c>
      <c r="B595" s="44" t="s">
        <v>24</v>
      </c>
      <c r="C595" s="45"/>
    </row>
    <row r="596" spans="1:3" x14ac:dyDescent="0.25">
      <c r="A596" s="51" t="s">
        <v>762</v>
      </c>
      <c r="B596" s="44" t="s">
        <v>24</v>
      </c>
      <c r="C596" s="45"/>
    </row>
    <row r="597" spans="1:3" x14ac:dyDescent="0.25">
      <c r="A597" s="51" t="s">
        <v>763</v>
      </c>
      <c r="B597" s="44" t="s">
        <v>24</v>
      </c>
      <c r="C597" s="45"/>
    </row>
    <row r="598" spans="1:3" x14ac:dyDescent="0.25">
      <c r="A598" s="43" t="s">
        <v>1014</v>
      </c>
      <c r="B598" s="44"/>
      <c r="C598" s="45"/>
    </row>
    <row r="599" spans="1:3" x14ac:dyDescent="0.25">
      <c r="A599" s="51" t="s">
        <v>1015</v>
      </c>
      <c r="B599" s="44" t="s">
        <v>24</v>
      </c>
      <c r="C599" s="45"/>
    </row>
    <row r="600" spans="1:3" x14ac:dyDescent="0.25">
      <c r="A600" s="51" t="s">
        <v>1016</v>
      </c>
      <c r="B600" s="44" t="s">
        <v>24</v>
      </c>
      <c r="C600" s="45"/>
    </row>
    <row r="601" spans="1:3" x14ac:dyDescent="0.25">
      <c r="A601" s="51" t="s">
        <v>1017</v>
      </c>
      <c r="B601" s="44" t="s">
        <v>24</v>
      </c>
      <c r="C601" s="45"/>
    </row>
    <row r="602" spans="1:3" x14ac:dyDescent="0.25">
      <c r="A602" s="51" t="s">
        <v>1018</v>
      </c>
      <c r="B602" s="44" t="s">
        <v>24</v>
      </c>
      <c r="C602" s="45"/>
    </row>
    <row r="603" spans="1:3" x14ac:dyDescent="0.25">
      <c r="A603" s="43" t="s">
        <v>407</v>
      </c>
      <c r="B603" s="44"/>
      <c r="C603" s="45"/>
    </row>
    <row r="604" spans="1:3" x14ac:dyDescent="0.25">
      <c r="A604" s="44" t="s">
        <v>408</v>
      </c>
      <c r="B604" s="44" t="s">
        <v>17</v>
      </c>
      <c r="C604" s="45"/>
    </row>
    <row r="605" spans="1:3" x14ac:dyDescent="0.25">
      <c r="A605" s="44" t="s">
        <v>409</v>
      </c>
      <c r="B605" s="44" t="s">
        <v>17</v>
      </c>
      <c r="C605" s="45"/>
    </row>
    <row r="606" spans="1:3" x14ac:dyDescent="0.25">
      <c r="A606" s="44" t="s">
        <v>410</v>
      </c>
      <c r="B606" s="44" t="s">
        <v>258</v>
      </c>
      <c r="C606" s="45"/>
    </row>
    <row r="607" spans="1:3" x14ac:dyDescent="0.25">
      <c r="A607" s="44" t="s">
        <v>855</v>
      </c>
      <c r="B607" s="44" t="s">
        <v>258</v>
      </c>
      <c r="C607" s="45"/>
    </row>
    <row r="608" spans="1:3" x14ac:dyDescent="0.25">
      <c r="A608" s="44" t="s">
        <v>1022</v>
      </c>
      <c r="B608" s="44" t="s">
        <v>1023</v>
      </c>
      <c r="C608" s="45"/>
    </row>
    <row r="609" spans="1:3" x14ac:dyDescent="0.25">
      <c r="A609" s="44" t="s">
        <v>411</v>
      </c>
      <c r="B609" s="44" t="s">
        <v>24</v>
      </c>
      <c r="C609" s="45"/>
    </row>
    <row r="610" spans="1:3" x14ac:dyDescent="0.25">
      <c r="A610" s="44" t="s">
        <v>412</v>
      </c>
      <c r="B610" s="44" t="s">
        <v>24</v>
      </c>
      <c r="C610" s="45"/>
    </row>
    <row r="611" spans="1:3" x14ac:dyDescent="0.25">
      <c r="A611" s="44" t="s">
        <v>413</v>
      </c>
      <c r="B611" s="44" t="s">
        <v>180</v>
      </c>
      <c r="C611" s="45"/>
    </row>
    <row r="612" spans="1:3" x14ac:dyDescent="0.25">
      <c r="A612" s="43" t="s">
        <v>502</v>
      </c>
      <c r="B612" s="44"/>
      <c r="C612" s="45"/>
    </row>
    <row r="613" spans="1:3" x14ac:dyDescent="0.25">
      <c r="A613" s="44" t="s">
        <v>1037</v>
      </c>
      <c r="B613" s="44" t="s">
        <v>17</v>
      </c>
      <c r="C613" s="45"/>
    </row>
    <row r="614" spans="1:3" x14ac:dyDescent="0.25">
      <c r="A614" s="49" t="s">
        <v>503</v>
      </c>
      <c r="B614" s="44" t="s">
        <v>24</v>
      </c>
      <c r="C614" s="45"/>
    </row>
    <row r="615" spans="1:3" x14ac:dyDescent="0.25">
      <c r="A615" s="49" t="s">
        <v>504</v>
      </c>
      <c r="B615" s="44" t="s">
        <v>24</v>
      </c>
      <c r="C615" s="45"/>
    </row>
    <row r="616" spans="1:3" x14ac:dyDescent="0.25">
      <c r="A616" s="49" t="s">
        <v>973</v>
      </c>
      <c r="B616" s="44" t="s">
        <v>587</v>
      </c>
      <c r="C616" s="45"/>
    </row>
    <row r="617" spans="1:3" x14ac:dyDescent="0.25">
      <c r="A617" s="43" t="s">
        <v>505</v>
      </c>
      <c r="B617" s="44"/>
      <c r="C617" s="45"/>
    </row>
    <row r="618" spans="1:3" x14ac:dyDescent="0.25">
      <c r="A618" s="49" t="s">
        <v>506</v>
      </c>
      <c r="B618" s="44" t="s">
        <v>24</v>
      </c>
      <c r="C618" s="45"/>
    </row>
    <row r="619" spans="1:3" x14ac:dyDescent="0.25">
      <c r="A619" s="49" t="s">
        <v>1009</v>
      </c>
      <c r="B619" s="44" t="s">
        <v>17</v>
      </c>
      <c r="C619" s="45">
        <v>5</v>
      </c>
    </row>
    <row r="620" spans="1:3" x14ac:dyDescent="0.25">
      <c r="A620" s="44" t="s">
        <v>729</v>
      </c>
      <c r="B620" s="44" t="s">
        <v>587</v>
      </c>
      <c r="C620" s="45"/>
    </row>
    <row r="621" spans="1:3" x14ac:dyDescent="0.25">
      <c r="A621" s="43" t="s">
        <v>507</v>
      </c>
      <c r="B621" s="44"/>
      <c r="C621" s="45"/>
    </row>
    <row r="622" spans="1:3" x14ac:dyDescent="0.25">
      <c r="A622" s="44" t="s">
        <v>508</v>
      </c>
      <c r="B622" s="44" t="s">
        <v>17</v>
      </c>
      <c r="C622" s="45"/>
    </row>
    <row r="623" spans="1:3" x14ac:dyDescent="0.25">
      <c r="A623" s="44" t="s">
        <v>509</v>
      </c>
      <c r="B623" s="44" t="s">
        <v>17</v>
      </c>
      <c r="C623" s="45"/>
    </row>
    <row r="624" spans="1:3" x14ac:dyDescent="0.25">
      <c r="A624" s="44" t="s">
        <v>510</v>
      </c>
      <c r="B624" s="44" t="s">
        <v>17</v>
      </c>
      <c r="C624" s="45"/>
    </row>
    <row r="625" spans="1:3" x14ac:dyDescent="0.25">
      <c r="A625" s="44" t="s">
        <v>511</v>
      </c>
      <c r="B625" s="44" t="s">
        <v>17</v>
      </c>
      <c r="C625" s="45"/>
    </row>
    <row r="626" spans="1:3" x14ac:dyDescent="0.25">
      <c r="A626" s="44" t="s">
        <v>512</v>
      </c>
      <c r="B626" s="44" t="s">
        <v>17</v>
      </c>
      <c r="C626" s="45"/>
    </row>
    <row r="627" spans="1:3" x14ac:dyDescent="0.25">
      <c r="A627" s="44" t="s">
        <v>851</v>
      </c>
      <c r="B627" s="44" t="s">
        <v>24</v>
      </c>
      <c r="C627" s="45"/>
    </row>
    <row r="628" spans="1:3" x14ac:dyDescent="0.25">
      <c r="A628" s="44" t="s">
        <v>879</v>
      </c>
      <c r="B628" s="44" t="s">
        <v>24</v>
      </c>
      <c r="C628" s="45"/>
    </row>
    <row r="629" spans="1:3" x14ac:dyDescent="0.25">
      <c r="A629" s="43" t="s">
        <v>414</v>
      </c>
      <c r="B629" s="44"/>
      <c r="C629" s="45"/>
    </row>
    <row r="630" spans="1:3" x14ac:dyDescent="0.25">
      <c r="A630" s="44" t="s">
        <v>415</v>
      </c>
      <c r="B630" s="44" t="s">
        <v>17</v>
      </c>
      <c r="C630" s="45"/>
    </row>
    <row r="631" spans="1:3" x14ac:dyDescent="0.25">
      <c r="A631" s="44" t="s">
        <v>644</v>
      </c>
      <c r="B631" s="44" t="s">
        <v>17</v>
      </c>
      <c r="C631" s="45"/>
    </row>
    <row r="632" spans="1:3" x14ac:dyDescent="0.25">
      <c r="A632" s="44" t="s">
        <v>644</v>
      </c>
      <c r="B632" s="44" t="s">
        <v>17</v>
      </c>
      <c r="C632" s="45"/>
    </row>
    <row r="633" spans="1:3" x14ac:dyDescent="0.25">
      <c r="A633" s="44" t="s">
        <v>416</v>
      </c>
      <c r="B633" s="44" t="s">
        <v>17</v>
      </c>
      <c r="C633" s="45"/>
    </row>
    <row r="634" spans="1:3" x14ac:dyDescent="0.25">
      <c r="A634" s="44" t="s">
        <v>936</v>
      </c>
      <c r="B634" s="44" t="s">
        <v>17</v>
      </c>
      <c r="C634" s="45"/>
    </row>
    <row r="635" spans="1:3" x14ac:dyDescent="0.25">
      <c r="A635" s="44" t="s">
        <v>417</v>
      </c>
      <c r="B635" s="44" t="s">
        <v>17</v>
      </c>
      <c r="C635" s="45"/>
    </row>
    <row r="636" spans="1:3" x14ac:dyDescent="0.25">
      <c r="A636" s="44" t="s">
        <v>418</v>
      </c>
      <c r="B636" s="44" t="s">
        <v>17</v>
      </c>
      <c r="C636" s="45"/>
    </row>
    <row r="637" spans="1:3" x14ac:dyDescent="0.25">
      <c r="A637" s="44" t="s">
        <v>1006</v>
      </c>
      <c r="B637" s="44" t="s">
        <v>17</v>
      </c>
      <c r="C637" s="45"/>
    </row>
    <row r="638" spans="1:3" x14ac:dyDescent="0.25">
      <c r="A638" s="44" t="s">
        <v>723</v>
      </c>
      <c r="B638" s="44" t="s">
        <v>17</v>
      </c>
      <c r="C638" s="45"/>
    </row>
    <row r="639" spans="1:3" x14ac:dyDescent="0.25">
      <c r="A639" s="44" t="s">
        <v>894</v>
      </c>
      <c r="B639" s="44" t="s">
        <v>17</v>
      </c>
      <c r="C639" s="45"/>
    </row>
    <row r="640" spans="1:3" x14ac:dyDescent="0.25">
      <c r="A640" s="49" t="s">
        <v>742</v>
      </c>
      <c r="B640" s="44" t="s">
        <v>24</v>
      </c>
      <c r="C640" s="45"/>
    </row>
    <row r="641" spans="1:3" x14ac:dyDescent="0.25">
      <c r="A641" s="49" t="s">
        <v>419</v>
      </c>
      <c r="B641" s="44" t="s">
        <v>24</v>
      </c>
      <c r="C641" s="45"/>
    </row>
    <row r="642" spans="1:3" x14ac:dyDescent="0.25">
      <c r="A642" s="49" t="s">
        <v>734</v>
      </c>
      <c r="B642" s="44" t="s">
        <v>24</v>
      </c>
      <c r="C642" s="45"/>
    </row>
    <row r="643" spans="1:3" x14ac:dyDescent="0.25">
      <c r="A643" s="49" t="s">
        <v>1008</v>
      </c>
      <c r="B643" s="44" t="s">
        <v>24</v>
      </c>
      <c r="C643" s="45"/>
    </row>
    <row r="644" spans="1:3" x14ac:dyDescent="0.25">
      <c r="A644" s="49" t="s">
        <v>647</v>
      </c>
      <c r="B644" s="44" t="s">
        <v>24</v>
      </c>
      <c r="C644" s="45"/>
    </row>
    <row r="645" spans="1:3" x14ac:dyDescent="0.25">
      <c r="A645" s="49" t="s">
        <v>420</v>
      </c>
      <c r="B645" s="44" t="s">
        <v>24</v>
      </c>
      <c r="C645" s="45"/>
    </row>
    <row r="646" spans="1:3" x14ac:dyDescent="0.25">
      <c r="A646" s="49" t="s">
        <v>421</v>
      </c>
      <c r="B646" s="44" t="s">
        <v>24</v>
      </c>
      <c r="C646" s="45"/>
    </row>
    <row r="647" spans="1:3" x14ac:dyDescent="0.25">
      <c r="A647" s="49" t="s">
        <v>422</v>
      </c>
      <c r="B647" s="44" t="s">
        <v>24</v>
      </c>
      <c r="C647" s="45"/>
    </row>
    <row r="648" spans="1:3" x14ac:dyDescent="0.25">
      <c r="A648" s="49" t="s">
        <v>423</v>
      </c>
      <c r="B648" s="44" t="s">
        <v>24</v>
      </c>
      <c r="C648" s="45"/>
    </row>
    <row r="649" spans="1:3" x14ac:dyDescent="0.25">
      <c r="A649" s="49" t="s">
        <v>968</v>
      </c>
      <c r="B649" s="44" t="s">
        <v>24</v>
      </c>
      <c r="C649" s="45"/>
    </row>
    <row r="650" spans="1:3" x14ac:dyDescent="0.25">
      <c r="A650" s="49" t="s">
        <v>424</v>
      </c>
      <c r="B650" s="44" t="s">
        <v>24</v>
      </c>
      <c r="C650" s="45"/>
    </row>
    <row r="651" spans="1:3" x14ac:dyDescent="0.25">
      <c r="A651" s="44" t="s">
        <v>425</v>
      </c>
      <c r="B651" s="44" t="s">
        <v>24</v>
      </c>
      <c r="C651" s="45"/>
    </row>
    <row r="652" spans="1:3" x14ac:dyDescent="0.25">
      <c r="A652" s="49" t="s">
        <v>426</v>
      </c>
      <c r="B652" s="44" t="s">
        <v>24</v>
      </c>
      <c r="C652" s="45"/>
    </row>
    <row r="653" spans="1:3" x14ac:dyDescent="0.25">
      <c r="A653" s="49" t="s">
        <v>427</v>
      </c>
      <c r="B653" s="44" t="s">
        <v>24</v>
      </c>
      <c r="C653" s="45"/>
    </row>
    <row r="654" spans="1:3" x14ac:dyDescent="0.25">
      <c r="A654" s="49" t="s">
        <v>1007</v>
      </c>
      <c r="B654" s="44" t="s">
        <v>24</v>
      </c>
      <c r="C654" s="45">
        <v>1</v>
      </c>
    </row>
    <row r="655" spans="1:3" x14ac:dyDescent="0.25">
      <c r="A655" s="49" t="s">
        <v>428</v>
      </c>
      <c r="B655" s="44" t="s">
        <v>24</v>
      </c>
      <c r="C655" s="45"/>
    </row>
    <row r="656" spans="1:3" x14ac:dyDescent="0.25">
      <c r="A656" s="49" t="s">
        <v>429</v>
      </c>
      <c r="B656" s="44" t="s">
        <v>24</v>
      </c>
      <c r="C656" s="45"/>
    </row>
    <row r="657" spans="1:3" x14ac:dyDescent="0.25">
      <c r="A657" s="49" t="s">
        <v>700</v>
      </c>
      <c r="B657" s="44" t="s">
        <v>24</v>
      </c>
      <c r="C657" s="45"/>
    </row>
    <row r="658" spans="1:3" x14ac:dyDescent="0.25">
      <c r="A658" s="49" t="s">
        <v>969</v>
      </c>
      <c r="B658" s="44" t="s">
        <v>24</v>
      </c>
      <c r="C658" s="45"/>
    </row>
    <row r="659" spans="1:3" x14ac:dyDescent="0.25">
      <c r="A659" s="49" t="s">
        <v>430</v>
      </c>
      <c r="B659" s="44" t="s">
        <v>24</v>
      </c>
      <c r="C659" s="45"/>
    </row>
    <row r="660" spans="1:3" x14ac:dyDescent="0.25">
      <c r="A660" s="49" t="s">
        <v>431</v>
      </c>
      <c r="B660" s="44" t="s">
        <v>24</v>
      </c>
      <c r="C660" s="45"/>
    </row>
    <row r="661" spans="1:3" x14ac:dyDescent="0.25">
      <c r="A661" s="49" t="s">
        <v>735</v>
      </c>
      <c r="B661" s="44" t="s">
        <v>24</v>
      </c>
      <c r="C661" s="45"/>
    </row>
    <row r="662" spans="1:3" x14ac:dyDescent="0.25">
      <c r="A662" s="49" t="s">
        <v>432</v>
      </c>
      <c r="B662" s="44" t="s">
        <v>180</v>
      </c>
      <c r="C662" s="45">
        <v>2</v>
      </c>
    </row>
    <row r="663" spans="1:3" x14ac:dyDescent="0.25">
      <c r="A663" s="49" t="s">
        <v>907</v>
      </c>
      <c r="B663" s="44" t="s">
        <v>180</v>
      </c>
      <c r="C663" s="45">
        <v>35</v>
      </c>
    </row>
    <row r="664" spans="1:3" x14ac:dyDescent="0.25">
      <c r="A664" s="43" t="s">
        <v>433</v>
      </c>
      <c r="B664" s="44"/>
      <c r="C664" s="45"/>
    </row>
    <row r="665" spans="1:3" x14ac:dyDescent="0.25">
      <c r="A665" s="44" t="s">
        <v>434</v>
      </c>
      <c r="B665" s="44" t="s">
        <v>180</v>
      </c>
      <c r="C665" s="45">
        <v>8</v>
      </c>
    </row>
    <row r="666" spans="1:3" x14ac:dyDescent="0.25">
      <c r="A666" s="44" t="s">
        <v>435</v>
      </c>
      <c r="B666" s="44" t="s">
        <v>180</v>
      </c>
      <c r="C666" s="45"/>
    </row>
    <row r="667" spans="1:3" x14ac:dyDescent="0.25">
      <c r="A667" s="44" t="s">
        <v>436</v>
      </c>
      <c r="B667" s="44" t="s">
        <v>180</v>
      </c>
      <c r="C667" s="45">
        <v>6</v>
      </c>
    </row>
    <row r="668" spans="1:3" x14ac:dyDescent="0.25">
      <c r="A668" s="44" t="s">
        <v>437</v>
      </c>
      <c r="B668" s="44" t="s">
        <v>180</v>
      </c>
      <c r="C668" s="45"/>
    </row>
    <row r="669" spans="1:3" x14ac:dyDescent="0.25">
      <c r="A669" s="44" t="s">
        <v>438</v>
      </c>
      <c r="B669" s="44" t="s">
        <v>180</v>
      </c>
      <c r="C669" s="45"/>
    </row>
    <row r="670" spans="1:3" x14ac:dyDescent="0.25">
      <c r="A670" s="43" t="s">
        <v>439</v>
      </c>
      <c r="B670" s="44"/>
      <c r="C670" s="45"/>
    </row>
    <row r="671" spans="1:3" x14ac:dyDescent="0.25">
      <c r="A671" s="51" t="s">
        <v>440</v>
      </c>
      <c r="B671" s="44" t="s">
        <v>17</v>
      </c>
      <c r="C671" s="45"/>
    </row>
    <row r="672" spans="1:3" x14ac:dyDescent="0.25">
      <c r="A672" s="51" t="s">
        <v>441</v>
      </c>
      <c r="B672" s="44" t="s">
        <v>24</v>
      </c>
      <c r="C672" s="45"/>
    </row>
    <row r="673" spans="1:3" x14ac:dyDescent="0.25">
      <c r="A673" s="43" t="s">
        <v>442</v>
      </c>
      <c r="B673" s="44"/>
      <c r="C673" s="45"/>
    </row>
    <row r="674" spans="1:3" x14ac:dyDescent="0.25">
      <c r="A674" s="51" t="s">
        <v>443</v>
      </c>
      <c r="B674" s="44" t="s">
        <v>17</v>
      </c>
      <c r="C674" s="45"/>
    </row>
    <row r="675" spans="1:3" x14ac:dyDescent="0.25">
      <c r="A675" s="51" t="s">
        <v>444</v>
      </c>
      <c r="B675" s="44" t="s">
        <v>17</v>
      </c>
      <c r="C675" s="45"/>
    </row>
    <row r="676" spans="1:3" x14ac:dyDescent="0.25">
      <c r="A676" s="51" t="s">
        <v>445</v>
      </c>
      <c r="B676" s="44" t="s">
        <v>17</v>
      </c>
      <c r="C676" s="45"/>
    </row>
    <row r="677" spans="1:3" x14ac:dyDescent="0.25">
      <c r="A677" s="51" t="s">
        <v>446</v>
      </c>
      <c r="B677" s="44" t="s">
        <v>17</v>
      </c>
      <c r="C677" s="45"/>
    </row>
    <row r="678" spans="1:3" x14ac:dyDescent="0.25">
      <c r="A678" s="51" t="s">
        <v>724</v>
      </c>
      <c r="B678" s="44" t="s">
        <v>17</v>
      </c>
      <c r="C678" s="45"/>
    </row>
    <row r="679" spans="1:3" x14ac:dyDescent="0.25">
      <c r="A679" s="51" t="s">
        <v>447</v>
      </c>
      <c r="B679" s="44" t="s">
        <v>17</v>
      </c>
      <c r="C679" s="45"/>
    </row>
    <row r="680" spans="1:3" x14ac:dyDescent="0.25">
      <c r="A680" s="51" t="s">
        <v>784</v>
      </c>
      <c r="B680" s="44" t="s">
        <v>17</v>
      </c>
      <c r="C680" s="45"/>
    </row>
    <row r="681" spans="1:3" x14ac:dyDescent="0.25">
      <c r="A681" s="44" t="s">
        <v>448</v>
      </c>
      <c r="B681" s="44" t="s">
        <v>24</v>
      </c>
      <c r="C681" s="45"/>
    </row>
    <row r="682" spans="1:3" x14ac:dyDescent="0.25">
      <c r="A682" s="44" t="s">
        <v>449</v>
      </c>
      <c r="B682" s="44" t="s">
        <v>24</v>
      </c>
      <c r="C682" s="45"/>
    </row>
    <row r="683" spans="1:3" x14ac:dyDescent="0.25">
      <c r="A683" s="44" t="s">
        <v>450</v>
      </c>
      <c r="B683" s="44" t="s">
        <v>24</v>
      </c>
      <c r="C683" s="45"/>
    </row>
    <row r="684" spans="1:3" x14ac:dyDescent="0.25">
      <c r="A684" s="44" t="s">
        <v>451</v>
      </c>
      <c r="B684" s="44" t="s">
        <v>24</v>
      </c>
      <c r="C684" s="45"/>
    </row>
    <row r="685" spans="1:3" x14ac:dyDescent="0.25">
      <c r="A685" s="44" t="s">
        <v>452</v>
      </c>
      <c r="B685" s="44" t="s">
        <v>24</v>
      </c>
      <c r="C685" s="45"/>
    </row>
    <row r="686" spans="1:3" x14ac:dyDescent="0.25">
      <c r="A686" s="44" t="s">
        <v>453</v>
      </c>
      <c r="B686" s="44" t="s">
        <v>258</v>
      </c>
      <c r="C686" s="45"/>
    </row>
    <row r="687" spans="1:3" x14ac:dyDescent="0.25">
      <c r="A687" s="44" t="s">
        <v>454</v>
      </c>
      <c r="B687" s="44" t="s">
        <v>258</v>
      </c>
      <c r="C687" s="45"/>
    </row>
    <row r="688" spans="1:3" x14ac:dyDescent="0.25">
      <c r="A688" s="44" t="s">
        <v>924</v>
      </c>
      <c r="B688" s="44" t="s">
        <v>258</v>
      </c>
      <c r="C688" s="45"/>
    </row>
    <row r="689" spans="1:3" x14ac:dyDescent="0.25">
      <c r="A689" s="44" t="s">
        <v>925</v>
      </c>
      <c r="B689" s="44" t="s">
        <v>258</v>
      </c>
      <c r="C689" s="45"/>
    </row>
    <row r="690" spans="1:3" x14ac:dyDescent="0.25">
      <c r="A690" s="43" t="s">
        <v>655</v>
      </c>
      <c r="B690" s="44"/>
      <c r="C690" s="45"/>
    </row>
    <row r="691" spans="1:3" x14ac:dyDescent="0.25">
      <c r="A691" s="51" t="s">
        <v>656</v>
      </c>
      <c r="B691" s="44" t="s">
        <v>17</v>
      </c>
      <c r="C691" s="45"/>
    </row>
    <row r="692" spans="1:3" x14ac:dyDescent="0.25">
      <c r="A692" s="51" t="s">
        <v>657</v>
      </c>
      <c r="B692" s="44" t="s">
        <v>17</v>
      </c>
      <c r="C692" s="45"/>
    </row>
    <row r="693" spans="1:3" x14ac:dyDescent="0.25">
      <c r="A693" s="51" t="s">
        <v>658</v>
      </c>
      <c r="B693" s="44" t="s">
        <v>17</v>
      </c>
      <c r="C693" s="45"/>
    </row>
    <row r="694" spans="1:3" x14ac:dyDescent="0.25">
      <c r="A694" s="51" t="s">
        <v>659</v>
      </c>
      <c r="B694" s="44" t="s">
        <v>17</v>
      </c>
      <c r="C694" s="45"/>
    </row>
    <row r="695" spans="1:3" x14ac:dyDescent="0.25">
      <c r="A695" s="51" t="s">
        <v>660</v>
      </c>
      <c r="B695" s="44" t="s">
        <v>17</v>
      </c>
      <c r="C695" s="45"/>
    </row>
    <row r="696" spans="1:3" x14ac:dyDescent="0.25">
      <c r="A696" s="51" t="s">
        <v>725</v>
      </c>
      <c r="B696" s="44" t="s">
        <v>17</v>
      </c>
      <c r="C696" s="45"/>
    </row>
    <row r="697" spans="1:3" x14ac:dyDescent="0.25">
      <c r="A697" s="51" t="s">
        <v>661</v>
      </c>
      <c r="B697" s="44" t="s">
        <v>24</v>
      </c>
      <c r="C697" s="45"/>
    </row>
    <row r="698" spans="1:3" x14ac:dyDescent="0.25">
      <c r="A698" s="44" t="s">
        <v>662</v>
      </c>
      <c r="B698" s="44" t="s">
        <v>24</v>
      </c>
      <c r="C698" s="45"/>
    </row>
    <row r="699" spans="1:3" x14ac:dyDescent="0.25">
      <c r="A699" s="44" t="s">
        <v>663</v>
      </c>
      <c r="B699" s="44" t="s">
        <v>24</v>
      </c>
      <c r="C699" s="45"/>
    </row>
    <row r="700" spans="1:3" x14ac:dyDescent="0.25">
      <c r="A700" s="44" t="s">
        <v>767</v>
      </c>
      <c r="B700" s="44" t="s">
        <v>180</v>
      </c>
      <c r="C700" s="45">
        <v>9</v>
      </c>
    </row>
    <row r="701" spans="1:3" x14ac:dyDescent="0.25">
      <c r="A701" s="43" t="s">
        <v>455</v>
      </c>
      <c r="B701" s="44"/>
      <c r="C701" s="45"/>
    </row>
    <row r="702" spans="1:3" x14ac:dyDescent="0.25">
      <c r="A702" s="44" t="s">
        <v>895</v>
      </c>
      <c r="B702" s="44" t="s">
        <v>17</v>
      </c>
      <c r="C702" s="45"/>
    </row>
    <row r="703" spans="1:3" x14ac:dyDescent="0.25">
      <c r="A703" s="44" t="s">
        <v>456</v>
      </c>
      <c r="B703" s="44" t="s">
        <v>17</v>
      </c>
      <c r="C703" s="45"/>
    </row>
    <row r="704" spans="1:3" x14ac:dyDescent="0.25">
      <c r="A704" s="44" t="s">
        <v>457</v>
      </c>
      <c r="B704" s="44" t="s">
        <v>17</v>
      </c>
      <c r="C704" s="45"/>
    </row>
    <row r="705" spans="1:3" x14ac:dyDescent="0.25">
      <c r="A705" s="44" t="s">
        <v>458</v>
      </c>
      <c r="B705" s="44" t="s">
        <v>17</v>
      </c>
      <c r="C705" s="45"/>
    </row>
    <row r="706" spans="1:3" x14ac:dyDescent="0.25">
      <c r="A706" s="44" t="s">
        <v>459</v>
      </c>
      <c r="B706" s="44" t="s">
        <v>17</v>
      </c>
      <c r="C706" s="45"/>
    </row>
    <row r="707" spans="1:3" x14ac:dyDescent="0.25">
      <c r="A707" s="44" t="s">
        <v>460</v>
      </c>
      <c r="B707" s="44" t="s">
        <v>17</v>
      </c>
      <c r="C707" s="45"/>
    </row>
    <row r="708" spans="1:3" x14ac:dyDescent="0.25">
      <c r="A708" s="44" t="s">
        <v>461</v>
      </c>
      <c r="B708" s="44" t="s">
        <v>17</v>
      </c>
      <c r="C708" s="45"/>
    </row>
    <row r="709" spans="1:3" x14ac:dyDescent="0.25">
      <c r="A709" s="44" t="s">
        <v>462</v>
      </c>
      <c r="B709" s="44" t="s">
        <v>17</v>
      </c>
      <c r="C709" s="45"/>
    </row>
    <row r="710" spans="1:3" x14ac:dyDescent="0.25">
      <c r="A710" s="44" t="s">
        <v>463</v>
      </c>
      <c r="B710" s="44" t="s">
        <v>17</v>
      </c>
      <c r="C710" s="45"/>
    </row>
    <row r="711" spans="1:3" x14ac:dyDescent="0.25">
      <c r="A711" s="44" t="s">
        <v>464</v>
      </c>
      <c r="B711" s="44" t="s">
        <v>17</v>
      </c>
      <c r="C711" s="45"/>
    </row>
    <row r="712" spans="1:3" x14ac:dyDescent="0.25">
      <c r="A712" s="44" t="s">
        <v>792</v>
      </c>
      <c r="B712" s="44" t="s">
        <v>17</v>
      </c>
      <c r="C712" s="45"/>
    </row>
    <row r="713" spans="1:3" x14ac:dyDescent="0.25">
      <c r="A713" s="44" t="s">
        <v>465</v>
      </c>
      <c r="B713" s="44" t="s">
        <v>17</v>
      </c>
      <c r="C713" s="45"/>
    </row>
    <row r="714" spans="1:3" x14ac:dyDescent="0.25">
      <c r="A714" s="44" t="s">
        <v>466</v>
      </c>
      <c r="B714" s="44" t="s">
        <v>17</v>
      </c>
      <c r="C714" s="45"/>
    </row>
    <row r="715" spans="1:3" x14ac:dyDescent="0.25">
      <c r="A715" s="44" t="s">
        <v>992</v>
      </c>
      <c r="B715" s="44" t="s">
        <v>17</v>
      </c>
      <c r="C715" s="45"/>
    </row>
    <row r="716" spans="1:3" x14ac:dyDescent="0.25">
      <c r="A716" s="44" t="s">
        <v>467</v>
      </c>
      <c r="B716" s="44" t="s">
        <v>17</v>
      </c>
      <c r="C716" s="45"/>
    </row>
    <row r="717" spans="1:3" x14ac:dyDescent="0.25">
      <c r="A717" s="44" t="s">
        <v>468</v>
      </c>
      <c r="B717" s="44" t="s">
        <v>17</v>
      </c>
      <c r="C717" s="45"/>
    </row>
    <row r="718" spans="1:3" x14ac:dyDescent="0.25">
      <c r="A718" s="44" t="s">
        <v>469</v>
      </c>
      <c r="B718" s="44" t="s">
        <v>24</v>
      </c>
      <c r="C718" s="45">
        <v>12</v>
      </c>
    </row>
    <row r="719" spans="1:3" x14ac:dyDescent="0.25">
      <c r="A719" s="44" t="s">
        <v>470</v>
      </c>
      <c r="B719" s="44" t="s">
        <v>24</v>
      </c>
      <c r="C719" s="45">
        <v>92</v>
      </c>
    </row>
    <row r="720" spans="1:3" x14ac:dyDescent="0.25">
      <c r="A720" s="44" t="s">
        <v>471</v>
      </c>
      <c r="B720" s="44" t="s">
        <v>24</v>
      </c>
      <c r="C720" s="45"/>
    </row>
    <row r="721" spans="1:3" x14ac:dyDescent="0.25">
      <c r="A721" s="44" t="s">
        <v>667</v>
      </c>
      <c r="B721" s="44" t="s">
        <v>24</v>
      </c>
      <c r="C721" s="45"/>
    </row>
    <row r="722" spans="1:3" x14ac:dyDescent="0.25">
      <c r="A722" s="44" t="s">
        <v>472</v>
      </c>
      <c r="B722" s="44" t="s">
        <v>24</v>
      </c>
      <c r="C722" s="45"/>
    </row>
    <row r="723" spans="1:3" x14ac:dyDescent="0.25">
      <c r="A723" s="44" t="s">
        <v>473</v>
      </c>
      <c r="B723" s="44" t="s">
        <v>24</v>
      </c>
      <c r="C723" s="45"/>
    </row>
    <row r="724" spans="1:3" x14ac:dyDescent="0.25">
      <c r="A724" s="44" t="s">
        <v>670</v>
      </c>
      <c r="B724" s="44" t="s">
        <v>24</v>
      </c>
      <c r="C724" s="45"/>
    </row>
    <row r="725" spans="1:3" x14ac:dyDescent="0.25">
      <c r="A725" s="44" t="s">
        <v>474</v>
      </c>
      <c r="B725" s="44" t="s">
        <v>24</v>
      </c>
      <c r="C725" s="45"/>
    </row>
    <row r="726" spans="1:3" x14ac:dyDescent="0.25">
      <c r="A726" s="44" t="s">
        <v>475</v>
      </c>
      <c r="B726" s="44" t="s">
        <v>24</v>
      </c>
      <c r="C726" s="45"/>
    </row>
    <row r="727" spans="1:3" x14ac:dyDescent="0.25">
      <c r="A727" s="44" t="s">
        <v>476</v>
      </c>
      <c r="B727" s="44" t="s">
        <v>24</v>
      </c>
      <c r="C727" s="45"/>
    </row>
    <row r="728" spans="1:3" x14ac:dyDescent="0.25">
      <c r="A728" s="44" t="s">
        <v>477</v>
      </c>
      <c r="B728" s="44" t="s">
        <v>24</v>
      </c>
      <c r="C728" s="45"/>
    </row>
    <row r="729" spans="1:3" x14ac:dyDescent="0.25">
      <c r="A729" s="44" t="s">
        <v>478</v>
      </c>
      <c r="B729" s="44" t="s">
        <v>24</v>
      </c>
      <c r="C729" s="45"/>
    </row>
    <row r="730" spans="1:3" x14ac:dyDescent="0.25">
      <c r="A730" s="44" t="s">
        <v>857</v>
      </c>
      <c r="B730" s="44" t="s">
        <v>258</v>
      </c>
      <c r="C730" s="45"/>
    </row>
    <row r="731" spans="1:3" x14ac:dyDescent="0.25">
      <c r="A731" s="44" t="s">
        <v>858</v>
      </c>
      <c r="B731" s="44" t="s">
        <v>258</v>
      </c>
      <c r="C731" s="45"/>
    </row>
    <row r="732" spans="1:3" x14ac:dyDescent="0.25">
      <c r="A732" s="44" t="s">
        <v>859</v>
      </c>
      <c r="B732" s="44" t="s">
        <v>258</v>
      </c>
      <c r="C732" s="45"/>
    </row>
    <row r="733" spans="1:3" x14ac:dyDescent="0.25">
      <c r="A733" s="44" t="s">
        <v>962</v>
      </c>
      <c r="B733" s="44" t="s">
        <v>258</v>
      </c>
      <c r="C733" s="45"/>
    </row>
    <row r="734" spans="1:3" x14ac:dyDescent="0.25">
      <c r="A734" s="44" t="s">
        <v>963</v>
      </c>
      <c r="B734" s="44" t="s">
        <v>258</v>
      </c>
      <c r="C734" s="45"/>
    </row>
    <row r="735" spans="1:3" x14ac:dyDescent="0.25">
      <c r="A735" s="44" t="s">
        <v>964</v>
      </c>
      <c r="B735" s="44" t="s">
        <v>258</v>
      </c>
      <c r="C735" s="45"/>
    </row>
    <row r="736" spans="1:3" x14ac:dyDescent="0.25">
      <c r="A736" s="44" t="s">
        <v>965</v>
      </c>
      <c r="B736" s="44" t="s">
        <v>258</v>
      </c>
      <c r="C736" s="45"/>
    </row>
    <row r="737" spans="1:3" x14ac:dyDescent="0.25">
      <c r="A737" s="44" t="s">
        <v>966</v>
      </c>
      <c r="B737" s="44" t="s">
        <v>258</v>
      </c>
      <c r="C737" s="45"/>
    </row>
    <row r="738" spans="1:3" x14ac:dyDescent="0.25">
      <c r="A738" s="44" t="s">
        <v>967</v>
      </c>
      <c r="B738" s="44" t="s">
        <v>258</v>
      </c>
      <c r="C738" s="45"/>
    </row>
    <row r="739" spans="1:3" x14ac:dyDescent="0.25">
      <c r="A739" s="44" t="s">
        <v>937</v>
      </c>
      <c r="B739" s="44" t="s">
        <v>170</v>
      </c>
      <c r="C739" s="45"/>
    </row>
    <row r="740" spans="1:3" x14ac:dyDescent="0.25">
      <c r="A740" s="43" t="s">
        <v>479</v>
      </c>
      <c r="B740" s="44"/>
      <c r="C740" s="45"/>
    </row>
    <row r="741" spans="1:3" x14ac:dyDescent="0.25">
      <c r="A741" s="44" t="s">
        <v>480</v>
      </c>
      <c r="B741" s="44" t="s">
        <v>17</v>
      </c>
      <c r="C741" s="45"/>
    </row>
    <row r="742" spans="1:3" x14ac:dyDescent="0.25">
      <c r="A742" s="44" t="s">
        <v>808</v>
      </c>
      <c r="B742" s="44" t="s">
        <v>17</v>
      </c>
      <c r="C742" s="45"/>
    </row>
    <row r="743" spans="1:3" x14ac:dyDescent="0.25">
      <c r="A743" s="44" t="s">
        <v>481</v>
      </c>
      <c r="B743" s="44" t="s">
        <v>17</v>
      </c>
      <c r="C743" s="45"/>
    </row>
    <row r="744" spans="1:3" x14ac:dyDescent="0.25">
      <c r="A744" s="44" t="s">
        <v>482</v>
      </c>
      <c r="B744" s="44" t="s">
        <v>17</v>
      </c>
      <c r="C744" s="45"/>
    </row>
    <row r="745" spans="1:3" x14ac:dyDescent="0.25">
      <c r="A745" s="44" t="s">
        <v>893</v>
      </c>
      <c r="B745" s="44" t="s">
        <v>17</v>
      </c>
      <c r="C745" s="45"/>
    </row>
    <row r="746" spans="1:3" x14ac:dyDescent="0.25">
      <c r="A746" s="44" t="s">
        <v>483</v>
      </c>
      <c r="B746" s="44" t="s">
        <v>24</v>
      </c>
      <c r="C746" s="45"/>
    </row>
    <row r="747" spans="1:3" x14ac:dyDescent="0.25">
      <c r="A747" s="48" t="s">
        <v>484</v>
      </c>
      <c r="B747" s="44" t="s">
        <v>170</v>
      </c>
      <c r="C747" s="45"/>
    </row>
    <row r="748" spans="1:3" x14ac:dyDescent="0.25">
      <c r="A748" s="48" t="s">
        <v>706</v>
      </c>
      <c r="B748" s="44" t="s">
        <v>170</v>
      </c>
      <c r="C748" s="45"/>
    </row>
    <row r="749" spans="1:3" x14ac:dyDescent="0.25">
      <c r="A749" s="48" t="s">
        <v>485</v>
      </c>
      <c r="B749" s="44" t="s">
        <v>170</v>
      </c>
      <c r="C749" s="45"/>
    </row>
    <row r="750" spans="1:3" x14ac:dyDescent="0.25">
      <c r="A750" s="48" t="s">
        <v>926</v>
      </c>
      <c r="B750" s="44" t="s">
        <v>170</v>
      </c>
      <c r="C750" s="45">
        <v>42</v>
      </c>
    </row>
    <row r="751" spans="1:3" x14ac:dyDescent="0.25">
      <c r="A751" s="48" t="s">
        <v>927</v>
      </c>
      <c r="B751" s="44" t="s">
        <v>170</v>
      </c>
      <c r="C751" s="45">
        <v>7</v>
      </c>
    </row>
    <row r="752" spans="1:3" x14ac:dyDescent="0.25">
      <c r="A752" s="48" t="s">
        <v>928</v>
      </c>
      <c r="B752" s="44" t="s">
        <v>170</v>
      </c>
      <c r="C752" s="45">
        <v>22</v>
      </c>
    </row>
    <row r="753" spans="1:3" x14ac:dyDescent="0.25">
      <c r="A753" s="48" t="s">
        <v>929</v>
      </c>
      <c r="B753" s="44" t="s">
        <v>170</v>
      </c>
      <c r="C753" s="45">
        <v>16</v>
      </c>
    </row>
    <row r="754" spans="1:3" x14ac:dyDescent="0.25">
      <c r="A754" s="48" t="s">
        <v>816</v>
      </c>
      <c r="B754" s="44" t="s">
        <v>170</v>
      </c>
      <c r="C754" s="45"/>
    </row>
    <row r="755" spans="1:3" x14ac:dyDescent="0.25">
      <c r="A755" s="48" t="s">
        <v>813</v>
      </c>
      <c r="B755" s="44" t="s">
        <v>170</v>
      </c>
      <c r="C755" s="45">
        <v>17</v>
      </c>
    </row>
    <row r="756" spans="1:3" x14ac:dyDescent="0.25">
      <c r="A756" s="48" t="s">
        <v>959</v>
      </c>
      <c r="B756" s="44" t="s">
        <v>170</v>
      </c>
      <c r="C756" s="45">
        <v>20</v>
      </c>
    </row>
    <row r="757" spans="1:3" x14ac:dyDescent="0.25">
      <c r="A757" s="48" t="s">
        <v>864</v>
      </c>
      <c r="B757" s="44" t="s">
        <v>170</v>
      </c>
      <c r="C757" s="45">
        <v>26</v>
      </c>
    </row>
    <row r="758" spans="1:3" x14ac:dyDescent="0.25">
      <c r="A758" s="48" t="s">
        <v>865</v>
      </c>
      <c r="B758" s="44" t="s">
        <v>170</v>
      </c>
      <c r="C758" s="45">
        <v>20</v>
      </c>
    </row>
    <row r="759" spans="1:3" x14ac:dyDescent="0.25">
      <c r="A759" s="48" t="s">
        <v>898</v>
      </c>
      <c r="B759" s="44" t="s">
        <v>170</v>
      </c>
      <c r="C759" s="45"/>
    </row>
    <row r="760" spans="1:3" x14ac:dyDescent="0.25">
      <c r="A760" s="48" t="s">
        <v>899</v>
      </c>
      <c r="B760" s="44" t="s">
        <v>170</v>
      </c>
      <c r="C760" s="45"/>
    </row>
    <row r="761" spans="1:3" x14ac:dyDescent="0.25">
      <c r="A761" s="48" t="s">
        <v>900</v>
      </c>
      <c r="B761" s="44" t="s">
        <v>170</v>
      </c>
      <c r="C761" s="45">
        <v>6</v>
      </c>
    </row>
    <row r="762" spans="1:3" x14ac:dyDescent="0.25">
      <c r="A762" s="48" t="s">
        <v>901</v>
      </c>
      <c r="B762" s="44" t="s">
        <v>170</v>
      </c>
      <c r="C762" s="45"/>
    </row>
    <row r="763" spans="1:3" x14ac:dyDescent="0.25">
      <c r="A763" s="48" t="s">
        <v>960</v>
      </c>
      <c r="B763" s="44" t="s">
        <v>170</v>
      </c>
      <c r="C763" s="45">
        <v>9</v>
      </c>
    </row>
    <row r="764" spans="1:3" x14ac:dyDescent="0.25">
      <c r="A764" s="48" t="s">
        <v>677</v>
      </c>
      <c r="B764" s="44" t="s">
        <v>170</v>
      </c>
      <c r="C764" s="45"/>
    </row>
    <row r="765" spans="1:3" x14ac:dyDescent="0.25">
      <c r="A765" s="48" t="s">
        <v>678</v>
      </c>
      <c r="B765" s="44" t="s">
        <v>170</v>
      </c>
      <c r="C765" s="45"/>
    </row>
    <row r="766" spans="1:3" x14ac:dyDescent="0.25">
      <c r="A766" s="48" t="s">
        <v>679</v>
      </c>
      <c r="B766" s="44" t="s">
        <v>170</v>
      </c>
      <c r="C766" s="45"/>
    </row>
    <row r="767" spans="1:3" x14ac:dyDescent="0.25">
      <c r="A767" s="48" t="s">
        <v>930</v>
      </c>
      <c r="B767" s="44" t="s">
        <v>170</v>
      </c>
      <c r="C767" s="45"/>
    </row>
    <row r="768" spans="1:3" x14ac:dyDescent="0.25">
      <c r="A768" s="48" t="s">
        <v>931</v>
      </c>
      <c r="B768" s="44" t="s">
        <v>170</v>
      </c>
      <c r="C768" s="45">
        <v>2</v>
      </c>
    </row>
    <row r="769" spans="1:3" x14ac:dyDescent="0.25">
      <c r="A769" s="48" t="s">
        <v>932</v>
      </c>
      <c r="B769" s="44" t="s">
        <v>170</v>
      </c>
      <c r="C769" s="45">
        <v>26</v>
      </c>
    </row>
    <row r="770" spans="1:3" x14ac:dyDescent="0.25">
      <c r="A770" s="48" t="s">
        <v>933</v>
      </c>
      <c r="B770" s="44" t="s">
        <v>170</v>
      </c>
      <c r="C770" s="45">
        <v>2</v>
      </c>
    </row>
    <row r="771" spans="1:3" x14ac:dyDescent="0.25">
      <c r="A771" s="48" t="s">
        <v>934</v>
      </c>
      <c r="B771" s="44" t="s">
        <v>170</v>
      </c>
      <c r="C771" s="45">
        <v>19</v>
      </c>
    </row>
    <row r="772" spans="1:3" x14ac:dyDescent="0.25">
      <c r="A772" s="48" t="s">
        <v>935</v>
      </c>
      <c r="B772" s="44" t="s">
        <v>170</v>
      </c>
      <c r="C772" s="45"/>
    </row>
    <row r="773" spans="1:3" x14ac:dyDescent="0.25">
      <c r="A773" s="48" t="s">
        <v>961</v>
      </c>
      <c r="B773" s="44" t="s">
        <v>170</v>
      </c>
      <c r="C773" s="45">
        <v>24</v>
      </c>
    </row>
    <row r="774" spans="1:3" x14ac:dyDescent="0.25">
      <c r="A774" s="48" t="s">
        <v>943</v>
      </c>
      <c r="B774" s="44" t="s">
        <v>170</v>
      </c>
      <c r="C774" s="45">
        <v>50</v>
      </c>
    </row>
    <row r="775" spans="1:3" x14ac:dyDescent="0.25">
      <c r="A775" s="44" t="s">
        <v>673</v>
      </c>
      <c r="B775" s="44" t="s">
        <v>258</v>
      </c>
      <c r="C775" s="45"/>
    </row>
    <row r="776" spans="1:3" x14ac:dyDescent="0.25">
      <c r="A776" s="44" t="s">
        <v>675</v>
      </c>
      <c r="B776" s="44" t="s">
        <v>258</v>
      </c>
      <c r="C776" s="45"/>
    </row>
    <row r="777" spans="1:3" x14ac:dyDescent="0.25">
      <c r="A777" s="44" t="s">
        <v>671</v>
      </c>
      <c r="B777" s="44" t="s">
        <v>258</v>
      </c>
      <c r="C777" s="45">
        <v>2</v>
      </c>
    </row>
    <row r="778" spans="1:3" x14ac:dyDescent="0.25">
      <c r="A778" s="44" t="s">
        <v>674</v>
      </c>
      <c r="B778" s="44" t="s">
        <v>258</v>
      </c>
      <c r="C778" s="45">
        <v>5</v>
      </c>
    </row>
    <row r="779" spans="1:3" x14ac:dyDescent="0.25">
      <c r="A779" s="44" t="s">
        <v>672</v>
      </c>
      <c r="B779" s="44" t="s">
        <v>258</v>
      </c>
      <c r="C779" s="45"/>
    </row>
    <row r="780" spans="1:3" x14ac:dyDescent="0.25">
      <c r="A780" s="43" t="s">
        <v>487</v>
      </c>
      <c r="B780" s="44"/>
      <c r="C780" s="45"/>
    </row>
    <row r="781" spans="1:3" x14ac:dyDescent="0.25">
      <c r="A781" s="44" t="s">
        <v>754</v>
      </c>
      <c r="B781" s="44" t="s">
        <v>17</v>
      </c>
      <c r="C781" s="45">
        <v>1</v>
      </c>
    </row>
    <row r="782" spans="1:3" x14ac:dyDescent="0.25">
      <c r="A782" s="49" t="s">
        <v>755</v>
      </c>
      <c r="B782" s="44" t="s">
        <v>24</v>
      </c>
      <c r="C782" s="45"/>
    </row>
    <row r="783" spans="1:3" x14ac:dyDescent="0.25">
      <c r="A783" s="49" t="s">
        <v>1005</v>
      </c>
      <c r="B783" s="44" t="s">
        <v>17</v>
      </c>
      <c r="C783" s="45"/>
    </row>
    <row r="784" spans="1:3" x14ac:dyDescent="0.25">
      <c r="A784" s="43" t="s">
        <v>488</v>
      </c>
      <c r="B784" s="44"/>
      <c r="C784" s="45"/>
    </row>
    <row r="785" spans="1:3" x14ac:dyDescent="0.25">
      <c r="A785" s="44" t="s">
        <v>649</v>
      </c>
      <c r="B785" s="44" t="s">
        <v>17</v>
      </c>
      <c r="C785" s="45"/>
    </row>
    <row r="786" spans="1:3" x14ac:dyDescent="0.25">
      <c r="A786" s="44" t="s">
        <v>650</v>
      </c>
      <c r="B786" s="44" t="s">
        <v>17</v>
      </c>
      <c r="C786" s="45"/>
    </row>
    <row r="787" spans="1:3" x14ac:dyDescent="0.25">
      <c r="A787" s="44" t="s">
        <v>489</v>
      </c>
      <c r="B787" s="44" t="s">
        <v>17</v>
      </c>
      <c r="C787" s="45"/>
    </row>
    <row r="788" spans="1:3" x14ac:dyDescent="0.25">
      <c r="A788" s="44" t="s">
        <v>490</v>
      </c>
      <c r="B788" s="44" t="s">
        <v>17</v>
      </c>
      <c r="C788" s="45"/>
    </row>
    <row r="789" spans="1:3" x14ac:dyDescent="0.25">
      <c r="A789" s="44" t="s">
        <v>491</v>
      </c>
      <c r="B789" s="44" t="s">
        <v>17</v>
      </c>
      <c r="C789" s="45"/>
    </row>
    <row r="790" spans="1:3" x14ac:dyDescent="0.25">
      <c r="A790" s="44" t="s">
        <v>492</v>
      </c>
      <c r="B790" s="44" t="s">
        <v>17</v>
      </c>
      <c r="C790" s="45"/>
    </row>
    <row r="791" spans="1:3" x14ac:dyDescent="0.25">
      <c r="A791" s="44" t="s">
        <v>493</v>
      </c>
      <c r="B791" s="44" t="s">
        <v>24</v>
      </c>
      <c r="C791" s="45"/>
    </row>
    <row r="792" spans="1:3" x14ac:dyDescent="0.25">
      <c r="A792" s="44" t="s">
        <v>494</v>
      </c>
      <c r="B792" s="44" t="s">
        <v>24</v>
      </c>
      <c r="C792" s="45"/>
    </row>
    <row r="793" spans="1:3" x14ac:dyDescent="0.25">
      <c r="A793" s="44" t="s">
        <v>495</v>
      </c>
      <c r="B793" s="44" t="s">
        <v>24</v>
      </c>
      <c r="C793" s="45"/>
    </row>
    <row r="794" spans="1:3" x14ac:dyDescent="0.25">
      <c r="A794" s="44" t="s">
        <v>496</v>
      </c>
      <c r="B794" s="44" t="s">
        <v>24</v>
      </c>
      <c r="C794" s="45"/>
    </row>
    <row r="795" spans="1:3" x14ac:dyDescent="0.25">
      <c r="A795" s="44" t="s">
        <v>497</v>
      </c>
      <c r="B795" s="44" t="s">
        <v>24</v>
      </c>
      <c r="C795" s="45"/>
    </row>
    <row r="796" spans="1:3" x14ac:dyDescent="0.25">
      <c r="A796" s="44" t="s">
        <v>498</v>
      </c>
      <c r="B796" s="44" t="s">
        <v>24</v>
      </c>
      <c r="C796" s="45">
        <v>1</v>
      </c>
    </row>
    <row r="797" spans="1:3" x14ac:dyDescent="0.25">
      <c r="A797" s="44" t="s">
        <v>499</v>
      </c>
      <c r="B797" s="44" t="s">
        <v>24</v>
      </c>
      <c r="C797" s="45"/>
    </row>
    <row r="798" spans="1:3" x14ac:dyDescent="0.25">
      <c r="A798" s="44" t="s">
        <v>500</v>
      </c>
      <c r="B798" s="44" t="s">
        <v>24</v>
      </c>
      <c r="C798" s="45"/>
    </row>
    <row r="799" spans="1:3" x14ac:dyDescent="0.25">
      <c r="A799" s="44" t="s">
        <v>501</v>
      </c>
      <c r="B799" s="44" t="s">
        <v>24</v>
      </c>
      <c r="C799" s="45"/>
    </row>
    <row r="800" spans="1:3" x14ac:dyDescent="0.25">
      <c r="A800" s="43" t="s">
        <v>970</v>
      </c>
      <c r="B800" s="44"/>
      <c r="C800" s="45"/>
    </row>
    <row r="801" spans="1:3" x14ac:dyDescent="0.25">
      <c r="A801" s="44" t="s">
        <v>971</v>
      </c>
      <c r="B801" s="44" t="s">
        <v>1027</v>
      </c>
      <c r="C801" s="45"/>
    </row>
    <row r="802" spans="1:3" x14ac:dyDescent="0.25">
      <c r="A802" s="44" t="s">
        <v>972</v>
      </c>
      <c r="B802" s="44" t="s">
        <v>1027</v>
      </c>
      <c r="C802" s="45"/>
    </row>
    <row r="803" spans="1:3" x14ac:dyDescent="0.25">
      <c r="A803" s="43" t="s">
        <v>513</v>
      </c>
      <c r="B803" s="44"/>
      <c r="C803" s="45"/>
    </row>
    <row r="804" spans="1:3" x14ac:dyDescent="0.25">
      <c r="A804" s="44" t="s">
        <v>514</v>
      </c>
      <c r="B804" s="44" t="s">
        <v>17</v>
      </c>
      <c r="C804" s="45"/>
    </row>
    <row r="805" spans="1:3" x14ac:dyDescent="0.25">
      <c r="A805" s="44" t="s">
        <v>958</v>
      </c>
      <c r="B805" s="44" t="s">
        <v>17</v>
      </c>
      <c r="C805" s="45"/>
    </row>
    <row r="806" spans="1:3" x14ac:dyDescent="0.25">
      <c r="A806" s="44" t="s">
        <v>515</v>
      </c>
      <c r="B806" s="44" t="s">
        <v>17</v>
      </c>
      <c r="C806" s="45"/>
    </row>
    <row r="807" spans="1:3" x14ac:dyDescent="0.25">
      <c r="A807" s="44" t="s">
        <v>516</v>
      </c>
      <c r="B807" s="44" t="s">
        <v>24</v>
      </c>
      <c r="C807" s="45">
        <v>4</v>
      </c>
    </row>
    <row r="808" spans="1:3" x14ac:dyDescent="0.25">
      <c r="A808" s="44" t="s">
        <v>517</v>
      </c>
      <c r="B808" s="44" t="s">
        <v>24</v>
      </c>
      <c r="C808" s="45"/>
    </row>
    <row r="809" spans="1:3" x14ac:dyDescent="0.25">
      <c r="A809" s="44" t="s">
        <v>518</v>
      </c>
      <c r="B809" s="44" t="s">
        <v>24</v>
      </c>
      <c r="C809" s="45">
        <v>2</v>
      </c>
    </row>
    <row r="810" spans="1:3" x14ac:dyDescent="0.25">
      <c r="A810" s="44" t="s">
        <v>923</v>
      </c>
      <c r="B810" s="44" t="s">
        <v>24</v>
      </c>
      <c r="C810" s="45"/>
    </row>
    <row r="811" spans="1:3" x14ac:dyDescent="0.25">
      <c r="A811" s="44" t="s">
        <v>519</v>
      </c>
      <c r="B811" s="44" t="s">
        <v>258</v>
      </c>
      <c r="C811" s="45"/>
    </row>
    <row r="812" spans="1:3" x14ac:dyDescent="0.25">
      <c r="A812" s="44" t="s">
        <v>854</v>
      </c>
      <c r="B812" s="44" t="s">
        <v>258</v>
      </c>
      <c r="C812" s="45"/>
    </row>
    <row r="813" spans="1:3" x14ac:dyDescent="0.25">
      <c r="A813" s="44" t="s">
        <v>520</v>
      </c>
      <c r="B813" s="44" t="s">
        <v>170</v>
      </c>
      <c r="C813" s="45"/>
    </row>
    <row r="814" spans="1:3" x14ac:dyDescent="0.25">
      <c r="A814" s="44" t="s">
        <v>814</v>
      </c>
      <c r="B814" s="44" t="s">
        <v>170</v>
      </c>
      <c r="C814" s="45"/>
    </row>
    <row r="815" spans="1:3" x14ac:dyDescent="0.25">
      <c r="A815" s="44" t="s">
        <v>814</v>
      </c>
      <c r="B815" s="44" t="s">
        <v>170</v>
      </c>
      <c r="C815" s="45">
        <v>3</v>
      </c>
    </row>
    <row r="816" spans="1:3" x14ac:dyDescent="0.25">
      <c r="A816" s="44" t="s">
        <v>987</v>
      </c>
      <c r="B816" s="44" t="s">
        <v>170</v>
      </c>
      <c r="C816" s="45"/>
    </row>
    <row r="817" spans="1:3" x14ac:dyDescent="0.25">
      <c r="A817" s="44" t="s">
        <v>653</v>
      </c>
      <c r="B817" s="44" t="s">
        <v>587</v>
      </c>
      <c r="C817" s="45">
        <v>10</v>
      </c>
    </row>
    <row r="818" spans="1:3" x14ac:dyDescent="0.25">
      <c r="A818" s="43" t="s">
        <v>522</v>
      </c>
      <c r="B818" s="44"/>
      <c r="C818" s="45"/>
    </row>
    <row r="819" spans="1:3" x14ac:dyDescent="0.25">
      <c r="A819" s="44" t="s">
        <v>523</v>
      </c>
      <c r="B819" s="44" t="s">
        <v>17</v>
      </c>
      <c r="C819" s="45"/>
    </row>
    <row r="820" spans="1:3" x14ac:dyDescent="0.25">
      <c r="A820" s="44" t="s">
        <v>853</v>
      </c>
      <c r="B820" s="44" t="s">
        <v>17</v>
      </c>
      <c r="C820" s="45"/>
    </row>
    <row r="821" spans="1:3" x14ac:dyDescent="0.25">
      <c r="A821" s="44" t="s">
        <v>524</v>
      </c>
      <c r="B821" s="44" t="s">
        <v>17</v>
      </c>
      <c r="C821" s="45"/>
    </row>
    <row r="822" spans="1:3" x14ac:dyDescent="0.25">
      <c r="A822" s="49" t="s">
        <v>525</v>
      </c>
      <c r="B822" s="44" t="s">
        <v>24</v>
      </c>
      <c r="C822" s="45"/>
    </row>
    <row r="823" spans="1:3" x14ac:dyDescent="0.25">
      <c r="A823" s="49" t="s">
        <v>526</v>
      </c>
      <c r="B823" s="44" t="s">
        <v>24</v>
      </c>
      <c r="C823" s="45"/>
    </row>
    <row r="824" spans="1:3" x14ac:dyDescent="0.25">
      <c r="A824" s="49" t="s">
        <v>527</v>
      </c>
      <c r="B824" s="44" t="s">
        <v>24</v>
      </c>
      <c r="C824" s="45"/>
    </row>
    <row r="825" spans="1:3" x14ac:dyDescent="0.25">
      <c r="A825" s="49" t="s">
        <v>528</v>
      </c>
      <c r="B825" s="44" t="s">
        <v>24</v>
      </c>
      <c r="C825" s="45"/>
    </row>
    <row r="826" spans="1:3" x14ac:dyDescent="0.25">
      <c r="A826" s="49" t="s">
        <v>529</v>
      </c>
      <c r="B826" s="44" t="s">
        <v>24</v>
      </c>
      <c r="C826" s="45"/>
    </row>
    <row r="827" spans="1:3" x14ac:dyDescent="0.25">
      <c r="A827" s="49" t="s">
        <v>530</v>
      </c>
      <c r="B827" s="44" t="s">
        <v>24</v>
      </c>
      <c r="C827" s="45"/>
    </row>
    <row r="828" spans="1:3" x14ac:dyDescent="0.25">
      <c r="A828" s="43" t="s">
        <v>531</v>
      </c>
      <c r="B828" s="44"/>
      <c r="C828" s="45"/>
    </row>
    <row r="829" spans="1:3" x14ac:dyDescent="0.25">
      <c r="A829" s="44" t="s">
        <v>532</v>
      </c>
      <c r="B829" s="44" t="s">
        <v>17</v>
      </c>
      <c r="C829" s="45"/>
    </row>
    <row r="830" spans="1:3" x14ac:dyDescent="0.25">
      <c r="A830" s="44" t="s">
        <v>533</v>
      </c>
      <c r="B830" s="44" t="s">
        <v>17</v>
      </c>
      <c r="C830" s="45"/>
    </row>
    <row r="831" spans="1:3" x14ac:dyDescent="0.25">
      <c r="A831" s="44" t="s">
        <v>534</v>
      </c>
      <c r="B831" s="44" t="s">
        <v>17</v>
      </c>
      <c r="C831" s="45"/>
    </row>
    <row r="832" spans="1:3" x14ac:dyDescent="0.25">
      <c r="A832" s="44" t="s">
        <v>535</v>
      </c>
      <c r="B832" s="44" t="s">
        <v>17</v>
      </c>
      <c r="C832" s="45"/>
    </row>
    <row r="833" spans="1:3" x14ac:dyDescent="0.25">
      <c r="A833" s="44" t="s">
        <v>536</v>
      </c>
      <c r="B833" s="44" t="s">
        <v>24</v>
      </c>
      <c r="C833" s="45"/>
    </row>
    <row r="834" spans="1:3" x14ac:dyDescent="0.25">
      <c r="A834" s="44" t="s">
        <v>537</v>
      </c>
      <c r="B834" s="44" t="s">
        <v>24</v>
      </c>
      <c r="C834" s="45"/>
    </row>
    <row r="835" spans="1:3" x14ac:dyDescent="0.25">
      <c r="A835" s="43" t="s">
        <v>1028</v>
      </c>
      <c r="B835" s="44"/>
      <c r="C835" s="45"/>
    </row>
    <row r="836" spans="1:3" x14ac:dyDescent="0.25">
      <c r="A836" s="44" t="s">
        <v>905</v>
      </c>
      <c r="B836" s="44" t="s">
        <v>180</v>
      </c>
      <c r="C836" s="45"/>
    </row>
    <row r="837" spans="1:3" x14ac:dyDescent="0.25">
      <c r="A837" s="44" t="s">
        <v>977</v>
      </c>
      <c r="B837" s="44" t="s">
        <v>17</v>
      </c>
      <c r="C837" s="45"/>
    </row>
    <row r="838" spans="1:3" x14ac:dyDescent="0.25">
      <c r="A838" s="43" t="s">
        <v>539</v>
      </c>
      <c r="B838" s="44"/>
      <c r="C838" s="45"/>
    </row>
    <row r="839" spans="1:3" x14ac:dyDescent="0.25">
      <c r="A839" s="44" t="s">
        <v>693</v>
      </c>
      <c r="B839" s="44" t="s">
        <v>17</v>
      </c>
      <c r="C839" s="45"/>
    </row>
    <row r="840" spans="1:3" x14ac:dyDescent="0.25">
      <c r="A840" s="44" t="s">
        <v>540</v>
      </c>
      <c r="B840" s="44" t="s">
        <v>17</v>
      </c>
      <c r="C840" s="45"/>
    </row>
    <row r="841" spans="1:3" x14ac:dyDescent="0.25">
      <c r="A841" s="44" t="s">
        <v>541</v>
      </c>
      <c r="B841" s="44" t="s">
        <v>24</v>
      </c>
      <c r="C841" s="45"/>
    </row>
    <row r="842" spans="1:3" x14ac:dyDescent="0.25">
      <c r="A842" s="43" t="s">
        <v>542</v>
      </c>
      <c r="B842" s="44"/>
      <c r="C842" s="45"/>
    </row>
    <row r="843" spans="1:3" x14ac:dyDescent="0.25">
      <c r="A843" s="44" t="s">
        <v>543</v>
      </c>
      <c r="B843" s="44" t="s">
        <v>17</v>
      </c>
      <c r="C843" s="45"/>
    </row>
    <row r="844" spans="1:3" x14ac:dyDescent="0.25">
      <c r="A844" s="44" t="s">
        <v>544</v>
      </c>
      <c r="B844" s="44" t="s">
        <v>17</v>
      </c>
      <c r="C844" s="45"/>
    </row>
    <row r="845" spans="1:3" x14ac:dyDescent="0.25">
      <c r="A845" s="44" t="s">
        <v>545</v>
      </c>
      <c r="B845" s="44" t="s">
        <v>17</v>
      </c>
      <c r="C845" s="45"/>
    </row>
    <row r="846" spans="1:3" x14ac:dyDescent="0.25">
      <c r="A846" s="44" t="s">
        <v>819</v>
      </c>
      <c r="B846" s="44" t="s">
        <v>17</v>
      </c>
      <c r="C846" s="45"/>
    </row>
    <row r="847" spans="1:3" x14ac:dyDescent="0.25">
      <c r="A847" s="44" t="s">
        <v>546</v>
      </c>
      <c r="B847" s="44" t="s">
        <v>17</v>
      </c>
      <c r="C847" s="45"/>
    </row>
    <row r="848" spans="1:3" x14ac:dyDescent="0.25">
      <c r="A848" s="44" t="s">
        <v>939</v>
      </c>
      <c r="B848" s="44" t="s">
        <v>17</v>
      </c>
      <c r="C848" s="45"/>
    </row>
    <row r="849" spans="1:3" x14ac:dyDescent="0.25">
      <c r="A849" s="44" t="s">
        <v>547</v>
      </c>
      <c r="B849" s="44" t="s">
        <v>17</v>
      </c>
      <c r="C849" s="45"/>
    </row>
    <row r="850" spans="1:3" x14ac:dyDescent="0.25">
      <c r="A850" s="44" t="s">
        <v>548</v>
      </c>
      <c r="B850" s="44" t="s">
        <v>17</v>
      </c>
      <c r="C850" s="45"/>
    </row>
    <row r="851" spans="1:3" x14ac:dyDescent="0.25">
      <c r="A851" s="44" t="s">
        <v>549</v>
      </c>
      <c r="B851" s="44" t="s">
        <v>17</v>
      </c>
      <c r="C851" s="45"/>
    </row>
    <row r="852" spans="1:3" x14ac:dyDescent="0.25">
      <c r="A852" s="44" t="s">
        <v>745</v>
      </c>
      <c r="B852" s="44" t="s">
        <v>17</v>
      </c>
      <c r="C852" s="45"/>
    </row>
    <row r="853" spans="1:3" x14ac:dyDescent="0.25">
      <c r="A853" s="44" t="s">
        <v>550</v>
      </c>
      <c r="B853" s="44" t="s">
        <v>17</v>
      </c>
      <c r="C853" s="45"/>
    </row>
    <row r="854" spans="1:3" x14ac:dyDescent="0.25">
      <c r="A854" s="44" t="s">
        <v>551</v>
      </c>
      <c r="B854" s="44" t="s">
        <v>17</v>
      </c>
      <c r="C854" s="45"/>
    </row>
    <row r="855" spans="1:3" x14ac:dyDescent="0.25">
      <c r="A855" s="44" t="s">
        <v>552</v>
      </c>
      <c r="B855" s="44" t="s">
        <v>17</v>
      </c>
      <c r="C855" s="45"/>
    </row>
    <row r="856" spans="1:3" x14ac:dyDescent="0.25">
      <c r="A856" s="44" t="s">
        <v>553</v>
      </c>
      <c r="B856" s="44" t="s">
        <v>17</v>
      </c>
      <c r="C856" s="45"/>
    </row>
    <row r="857" spans="1:3" x14ac:dyDescent="0.25">
      <c r="A857" s="44" t="s">
        <v>554</v>
      </c>
      <c r="B857" s="44" t="s">
        <v>17</v>
      </c>
      <c r="C857" s="45">
        <v>1</v>
      </c>
    </row>
    <row r="858" spans="1:3" x14ac:dyDescent="0.25">
      <c r="A858" s="44" t="s">
        <v>555</v>
      </c>
      <c r="B858" s="44" t="s">
        <v>24</v>
      </c>
      <c r="C858" s="45">
        <v>83</v>
      </c>
    </row>
    <row r="859" spans="1:3" x14ac:dyDescent="0.25">
      <c r="A859" s="44" t="s">
        <v>556</v>
      </c>
      <c r="B859" s="44" t="s">
        <v>24</v>
      </c>
      <c r="C859" s="45"/>
    </row>
    <row r="860" spans="1:3" x14ac:dyDescent="0.25">
      <c r="A860" s="44" t="s">
        <v>557</v>
      </c>
      <c r="B860" s="44" t="s">
        <v>24</v>
      </c>
      <c r="C860" s="45"/>
    </row>
    <row r="861" spans="1:3" x14ac:dyDescent="0.25">
      <c r="A861" s="44" t="s">
        <v>558</v>
      </c>
      <c r="B861" s="44" t="s">
        <v>24</v>
      </c>
      <c r="C861" s="45"/>
    </row>
    <row r="862" spans="1:3" x14ac:dyDescent="0.25">
      <c r="A862" s="44" t="s">
        <v>642</v>
      </c>
      <c r="B862" s="44" t="s">
        <v>24</v>
      </c>
      <c r="C862" s="45"/>
    </row>
    <row r="863" spans="1:3" x14ac:dyDescent="0.25">
      <c r="A863" s="44" t="s">
        <v>559</v>
      </c>
      <c r="B863" s="44" t="s">
        <v>24</v>
      </c>
      <c r="C863" s="45"/>
    </row>
    <row r="864" spans="1:3" x14ac:dyDescent="0.25">
      <c r="A864" s="44" t="s">
        <v>769</v>
      </c>
      <c r="B864" s="44" t="s">
        <v>24</v>
      </c>
      <c r="C864" s="45"/>
    </row>
    <row r="865" spans="1:3" x14ac:dyDescent="0.25">
      <c r="A865" s="44" t="s">
        <v>560</v>
      </c>
      <c r="B865" s="44" t="s">
        <v>24</v>
      </c>
      <c r="C865" s="45"/>
    </row>
    <row r="866" spans="1:3" x14ac:dyDescent="0.25">
      <c r="A866" s="44" t="s">
        <v>561</v>
      </c>
      <c r="B866" s="44" t="s">
        <v>24</v>
      </c>
      <c r="C866" s="45"/>
    </row>
    <row r="867" spans="1:3" x14ac:dyDescent="0.25">
      <c r="A867" s="44" t="s">
        <v>562</v>
      </c>
      <c r="B867" s="44" t="s">
        <v>24</v>
      </c>
      <c r="C867" s="45"/>
    </row>
    <row r="868" spans="1:3" x14ac:dyDescent="0.25">
      <c r="A868" s="44" t="s">
        <v>563</v>
      </c>
      <c r="B868" s="44" t="s">
        <v>24</v>
      </c>
      <c r="C868" s="45"/>
    </row>
    <row r="869" spans="1:3" x14ac:dyDescent="0.25">
      <c r="A869" s="44" t="s">
        <v>564</v>
      </c>
      <c r="B869" s="44" t="s">
        <v>24</v>
      </c>
      <c r="C869" s="45">
        <v>20</v>
      </c>
    </row>
    <row r="870" spans="1:3" x14ac:dyDescent="0.25">
      <c r="A870" s="44" t="s">
        <v>565</v>
      </c>
      <c r="B870" s="44" t="s">
        <v>24</v>
      </c>
      <c r="C870" s="45"/>
    </row>
    <row r="871" spans="1:3" x14ac:dyDescent="0.25">
      <c r="A871" s="44" t="s">
        <v>566</v>
      </c>
      <c r="B871" s="44" t="s">
        <v>24</v>
      </c>
      <c r="C871" s="45"/>
    </row>
    <row r="872" spans="1:3" x14ac:dyDescent="0.25">
      <c r="A872" s="44" t="s">
        <v>567</v>
      </c>
      <c r="B872" s="44" t="s">
        <v>24</v>
      </c>
      <c r="C872" s="45"/>
    </row>
    <row r="873" spans="1:3" x14ac:dyDescent="0.25">
      <c r="A873" s="44" t="s">
        <v>568</v>
      </c>
      <c r="B873" s="44" t="s">
        <v>24</v>
      </c>
      <c r="C873" s="45"/>
    </row>
    <row r="874" spans="1:3" x14ac:dyDescent="0.25">
      <c r="A874" s="44" t="s">
        <v>569</v>
      </c>
      <c r="B874" s="44" t="s">
        <v>24</v>
      </c>
      <c r="C874" s="45"/>
    </row>
    <row r="875" spans="1:3" x14ac:dyDescent="0.25">
      <c r="A875" s="44" t="s">
        <v>570</v>
      </c>
      <c r="B875" s="44" t="s">
        <v>24</v>
      </c>
      <c r="C875" s="45"/>
    </row>
    <row r="876" spans="1:3" x14ac:dyDescent="0.25">
      <c r="A876" s="44" t="s">
        <v>571</v>
      </c>
      <c r="B876" s="44" t="s">
        <v>24</v>
      </c>
      <c r="C876" s="45"/>
    </row>
    <row r="877" spans="1:3" x14ac:dyDescent="0.25">
      <c r="A877" s="51" t="s">
        <v>572</v>
      </c>
      <c r="B877" s="44" t="s">
        <v>573</v>
      </c>
      <c r="C877" s="45"/>
    </row>
    <row r="878" spans="1:3" x14ac:dyDescent="0.25">
      <c r="A878" s="51" t="s">
        <v>574</v>
      </c>
      <c r="B878" s="44" t="s">
        <v>573</v>
      </c>
      <c r="C878" s="45"/>
    </row>
    <row r="879" spans="1:3" x14ac:dyDescent="0.25">
      <c r="A879" s="51" t="s">
        <v>575</v>
      </c>
      <c r="B879" s="44" t="s">
        <v>573</v>
      </c>
      <c r="C879" s="45"/>
    </row>
    <row r="880" spans="1:3" x14ac:dyDescent="0.25">
      <c r="A880" s="51" t="s">
        <v>576</v>
      </c>
      <c r="B880" s="44" t="s">
        <v>573</v>
      </c>
      <c r="C880" s="45"/>
    </row>
    <row r="881" spans="1:3" x14ac:dyDescent="0.25">
      <c r="A881" s="51" t="s">
        <v>577</v>
      </c>
      <c r="B881" s="44" t="s">
        <v>573</v>
      </c>
      <c r="C881" s="45"/>
    </row>
    <row r="882" spans="1:3" x14ac:dyDescent="0.25">
      <c r="A882" s="51" t="s">
        <v>578</v>
      </c>
      <c r="B882" s="44" t="s">
        <v>180</v>
      </c>
      <c r="C882" s="45">
        <v>3</v>
      </c>
    </row>
    <row r="883" spans="1:3" x14ac:dyDescent="0.25">
      <c r="A883" s="43" t="s">
        <v>579</v>
      </c>
      <c r="B883" s="44"/>
      <c r="C883" s="45"/>
    </row>
    <row r="884" spans="1:3" x14ac:dyDescent="0.25">
      <c r="A884" s="44" t="s">
        <v>581</v>
      </c>
      <c r="B884" s="44" t="s">
        <v>573</v>
      </c>
      <c r="C884" s="45">
        <v>8</v>
      </c>
    </row>
    <row r="885" spans="1:3" x14ac:dyDescent="0.25">
      <c r="A885" s="44" t="s">
        <v>582</v>
      </c>
      <c r="B885" s="44" t="s">
        <v>573</v>
      </c>
      <c r="C885" s="45"/>
    </row>
    <row r="886" spans="1:3" x14ac:dyDescent="0.25">
      <c r="A886" s="44" t="s">
        <v>580</v>
      </c>
      <c r="B886" s="44" t="s">
        <v>17</v>
      </c>
      <c r="C886" s="45"/>
    </row>
    <row r="887" spans="1:3" x14ac:dyDescent="0.25">
      <c r="A887" s="48" t="s">
        <v>583</v>
      </c>
      <c r="B887" s="44" t="s">
        <v>24</v>
      </c>
      <c r="C887" s="45">
        <v>8</v>
      </c>
    </row>
    <row r="888" spans="1:3" x14ac:dyDescent="0.25">
      <c r="A888" s="48" t="s">
        <v>584</v>
      </c>
      <c r="B888" s="44" t="s">
        <v>24</v>
      </c>
      <c r="C888" s="45"/>
    </row>
    <row r="889" spans="1:3" x14ac:dyDescent="0.25">
      <c r="A889" s="44" t="s">
        <v>585</v>
      </c>
      <c r="B889" s="44" t="s">
        <v>24</v>
      </c>
      <c r="C889" s="45"/>
    </row>
    <row r="890" spans="1:3" x14ac:dyDescent="0.25">
      <c r="A890" s="48" t="s">
        <v>791</v>
      </c>
      <c r="B890" s="44" t="s">
        <v>587</v>
      </c>
      <c r="C890" s="45">
        <v>4</v>
      </c>
    </row>
    <row r="891" spans="1:3" x14ac:dyDescent="0.25">
      <c r="A891" s="48" t="s">
        <v>586</v>
      </c>
      <c r="B891" s="44" t="s">
        <v>587</v>
      </c>
      <c r="C891" s="45">
        <v>2</v>
      </c>
    </row>
    <row r="892" spans="1:3" x14ac:dyDescent="0.25">
      <c r="A892" s="48" t="s">
        <v>651</v>
      </c>
      <c r="B892" s="44" t="s">
        <v>587</v>
      </c>
      <c r="C892" s="45"/>
    </row>
    <row r="893" spans="1:3" x14ac:dyDescent="0.25">
      <c r="A893" s="43" t="s">
        <v>727</v>
      </c>
      <c r="B893" s="44"/>
      <c r="C893" s="45"/>
    </row>
    <row r="894" spans="1:3" x14ac:dyDescent="0.25">
      <c r="A894" s="44" t="s">
        <v>728</v>
      </c>
      <c r="B894" s="44" t="s">
        <v>573</v>
      </c>
      <c r="C894" s="45"/>
    </row>
    <row r="895" spans="1:3" x14ac:dyDescent="0.25">
      <c r="A895" s="43" t="s">
        <v>588</v>
      </c>
      <c r="B895" s="44"/>
      <c r="C895" s="45"/>
    </row>
    <row r="896" spans="1:3" x14ac:dyDescent="0.25">
      <c r="A896" s="49" t="s">
        <v>589</v>
      </c>
      <c r="B896" s="44" t="s">
        <v>170</v>
      </c>
      <c r="C896" s="45"/>
    </row>
    <row r="897" spans="1:3" x14ac:dyDescent="0.25">
      <c r="A897" s="49" t="s">
        <v>1010</v>
      </c>
      <c r="B897" s="44" t="s">
        <v>170</v>
      </c>
      <c r="C897" s="45">
        <v>4</v>
      </c>
    </row>
    <row r="898" spans="1:3" x14ac:dyDescent="0.25">
      <c r="A898" s="49" t="s">
        <v>870</v>
      </c>
      <c r="B898" s="44" t="s">
        <v>17</v>
      </c>
      <c r="C898" s="45"/>
    </row>
    <row r="899" spans="1:3" x14ac:dyDescent="0.25">
      <c r="A899" s="49" t="s">
        <v>594</v>
      </c>
      <c r="B899" s="44" t="s">
        <v>17</v>
      </c>
      <c r="C899" s="45"/>
    </row>
    <row r="900" spans="1:3" x14ac:dyDescent="0.25">
      <c r="A900" s="49" t="s">
        <v>595</v>
      </c>
      <c r="B900" s="44" t="s">
        <v>17</v>
      </c>
      <c r="C900" s="45"/>
    </row>
    <row r="901" spans="1:3" x14ac:dyDescent="0.25">
      <c r="A901" s="49" t="s">
        <v>713</v>
      </c>
      <c r="B901" s="44" t="s">
        <v>17</v>
      </c>
      <c r="C901" s="45"/>
    </row>
    <row r="902" spans="1:3" x14ac:dyDescent="0.25">
      <c r="A902" s="49" t="s">
        <v>596</v>
      </c>
      <c r="B902" s="44" t="s">
        <v>17</v>
      </c>
      <c r="C902" s="45"/>
    </row>
    <row r="903" spans="1:3" x14ac:dyDescent="0.25">
      <c r="A903" s="49" t="s">
        <v>590</v>
      </c>
      <c r="B903" s="44" t="s">
        <v>17</v>
      </c>
      <c r="C903" s="45"/>
    </row>
    <row r="904" spans="1:3" x14ac:dyDescent="0.25">
      <c r="A904" s="44" t="s">
        <v>591</v>
      </c>
      <c r="B904" s="44" t="s">
        <v>17</v>
      </c>
      <c r="C904" s="45"/>
    </row>
    <row r="905" spans="1:3" x14ac:dyDescent="0.25">
      <c r="A905" s="44" t="s">
        <v>592</v>
      </c>
      <c r="B905" s="44" t="s">
        <v>17</v>
      </c>
      <c r="C905" s="45"/>
    </row>
    <row r="906" spans="1:3" x14ac:dyDescent="0.25">
      <c r="A906" s="49" t="s">
        <v>593</v>
      </c>
      <c r="B906" s="44" t="s">
        <v>17</v>
      </c>
      <c r="C906" s="45"/>
    </row>
    <row r="907" spans="1:3" x14ac:dyDescent="0.25">
      <c r="A907" s="49" t="s">
        <v>940</v>
      </c>
      <c r="B907" s="44" t="s">
        <v>17</v>
      </c>
      <c r="C907" s="45"/>
    </row>
    <row r="908" spans="1:3" x14ac:dyDescent="0.25">
      <c r="A908" s="49" t="s">
        <v>941</v>
      </c>
      <c r="B908" s="44" t="s">
        <v>17</v>
      </c>
      <c r="C908" s="45"/>
    </row>
    <row r="909" spans="1:3" x14ac:dyDescent="0.25">
      <c r="A909" s="49" t="s">
        <v>597</v>
      </c>
      <c r="B909" s="44" t="s">
        <v>17</v>
      </c>
      <c r="C909" s="45"/>
    </row>
    <row r="910" spans="1:3" x14ac:dyDescent="0.25">
      <c r="A910" s="49" t="s">
        <v>598</v>
      </c>
      <c r="B910" s="44" t="s">
        <v>17</v>
      </c>
      <c r="C910" s="45"/>
    </row>
    <row r="911" spans="1:3" x14ac:dyDescent="0.25">
      <c r="A911" s="49" t="s">
        <v>599</v>
      </c>
      <c r="B911" s="44" t="s">
        <v>17</v>
      </c>
      <c r="C911" s="45"/>
    </row>
    <row r="912" spans="1:3" x14ac:dyDescent="0.25">
      <c r="A912" s="49" t="s">
        <v>599</v>
      </c>
      <c r="B912" s="44" t="s">
        <v>17</v>
      </c>
      <c r="C912" s="45"/>
    </row>
    <row r="913" spans="1:3" x14ac:dyDescent="0.25">
      <c r="A913" s="49" t="s">
        <v>600</v>
      </c>
      <c r="B913" s="44" t="s">
        <v>24</v>
      </c>
      <c r="C913" s="45"/>
    </row>
    <row r="914" spans="1:3" x14ac:dyDescent="0.25">
      <c r="A914" s="49" t="s">
        <v>601</v>
      </c>
      <c r="B914" s="44" t="s">
        <v>24</v>
      </c>
      <c r="C914" s="45"/>
    </row>
    <row r="915" spans="1:3" x14ac:dyDescent="0.25">
      <c r="A915" s="49" t="s">
        <v>716</v>
      </c>
      <c r="B915" s="44" t="s">
        <v>24</v>
      </c>
      <c r="C915" s="45"/>
    </row>
    <row r="916" spans="1:3" x14ac:dyDescent="0.25">
      <c r="A916" s="49" t="s">
        <v>602</v>
      </c>
      <c r="B916" s="44" t="s">
        <v>24</v>
      </c>
      <c r="C916" s="45"/>
    </row>
    <row r="917" spans="1:3" x14ac:dyDescent="0.25">
      <c r="A917" s="49" t="s">
        <v>603</v>
      </c>
      <c r="B917" s="44" t="s">
        <v>24</v>
      </c>
      <c r="C917" s="45"/>
    </row>
    <row r="918" spans="1:3" x14ac:dyDescent="0.25">
      <c r="A918" s="49" t="s">
        <v>604</v>
      </c>
      <c r="B918" s="44" t="s">
        <v>24</v>
      </c>
      <c r="C918" s="45"/>
    </row>
    <row r="919" spans="1:3" x14ac:dyDescent="0.25">
      <c r="A919" s="43" t="s">
        <v>746</v>
      </c>
      <c r="B919" s="44"/>
      <c r="C919" s="45"/>
    </row>
    <row r="920" spans="1:3" x14ac:dyDescent="0.25">
      <c r="A920" s="44" t="s">
        <v>748</v>
      </c>
      <c r="B920" s="44" t="s">
        <v>170</v>
      </c>
      <c r="C920" s="45"/>
    </row>
    <row r="921" spans="1:3" x14ac:dyDescent="0.25">
      <c r="A921" s="43" t="s">
        <v>606</v>
      </c>
      <c r="B921" s="44"/>
      <c r="C921" s="45"/>
    </row>
    <row r="922" spans="1:3" x14ac:dyDescent="0.25">
      <c r="A922" s="49" t="s">
        <v>607</v>
      </c>
      <c r="B922" s="44" t="s">
        <v>180</v>
      </c>
      <c r="C922" s="45"/>
    </row>
    <row r="923" spans="1:3" x14ac:dyDescent="0.25">
      <c r="A923" s="49" t="s">
        <v>608</v>
      </c>
      <c r="B923" s="44" t="s">
        <v>180</v>
      </c>
      <c r="C923" s="45"/>
    </row>
    <row r="924" spans="1:3" x14ac:dyDescent="0.25">
      <c r="A924" s="49" t="s">
        <v>609</v>
      </c>
      <c r="B924" s="44" t="s">
        <v>180</v>
      </c>
      <c r="C924" s="45"/>
    </row>
    <row r="925" spans="1:3" x14ac:dyDescent="0.25">
      <c r="A925" s="49" t="s">
        <v>610</v>
      </c>
      <c r="B925" s="44" t="s">
        <v>17</v>
      </c>
      <c r="C925" s="45"/>
    </row>
    <row r="926" spans="1:3" x14ac:dyDescent="0.25">
      <c r="A926" s="49" t="s">
        <v>611</v>
      </c>
      <c r="B926" s="44" t="s">
        <v>17</v>
      </c>
      <c r="C926" s="45"/>
    </row>
    <row r="927" spans="1:3" x14ac:dyDescent="0.25">
      <c r="A927" s="48" t="s">
        <v>612</v>
      </c>
      <c r="B927" s="44" t="s">
        <v>24</v>
      </c>
      <c r="C927" s="45"/>
    </row>
    <row r="928" spans="1:3" x14ac:dyDescent="0.25">
      <c r="A928" s="48" t="s">
        <v>613</v>
      </c>
      <c r="B928" s="44" t="s">
        <v>24</v>
      </c>
      <c r="C928" s="45"/>
    </row>
    <row r="929" spans="1:3" x14ac:dyDescent="0.25">
      <c r="A929" s="48" t="s">
        <v>614</v>
      </c>
      <c r="B929" s="44" t="s">
        <v>24</v>
      </c>
      <c r="C929" s="45"/>
    </row>
    <row r="930" spans="1:3" x14ac:dyDescent="0.25">
      <c r="A930" s="48" t="s">
        <v>615</v>
      </c>
      <c r="B930" s="44" t="s">
        <v>24</v>
      </c>
      <c r="C930" s="45"/>
    </row>
    <row r="931" spans="1:3" x14ac:dyDescent="0.25">
      <c r="A931" s="43" t="s">
        <v>777</v>
      </c>
      <c r="B931" s="44"/>
      <c r="C931" s="45"/>
    </row>
    <row r="932" spans="1:3" x14ac:dyDescent="0.25">
      <c r="A932" s="44" t="s">
        <v>778</v>
      </c>
      <c r="B932" s="44" t="s">
        <v>17</v>
      </c>
      <c r="C932" s="45"/>
    </row>
    <row r="933" spans="1:3" x14ac:dyDescent="0.25">
      <c r="A933" s="43" t="s">
        <v>616</v>
      </c>
      <c r="B933" s="44"/>
      <c r="C933" s="45"/>
    </row>
    <row r="934" spans="1:3" x14ac:dyDescent="0.25">
      <c r="A934" s="44" t="s">
        <v>695</v>
      </c>
      <c r="B934" s="44" t="s">
        <v>24</v>
      </c>
      <c r="C934" s="45">
        <v>14</v>
      </c>
    </row>
    <row r="935" spans="1:3" x14ac:dyDescent="0.25">
      <c r="A935" s="44" t="s">
        <v>617</v>
      </c>
      <c r="B935" s="44" t="s">
        <v>24</v>
      </c>
      <c r="C935" s="45">
        <v>26</v>
      </c>
    </row>
    <row r="936" spans="1:3" x14ac:dyDescent="0.25">
      <c r="A936" s="44" t="s">
        <v>793</v>
      </c>
      <c r="B936" s="44" t="s">
        <v>24</v>
      </c>
      <c r="C936" s="45"/>
    </row>
    <row r="937" spans="1:3" x14ac:dyDescent="0.25">
      <c r="A937" s="44" t="s">
        <v>794</v>
      </c>
      <c r="B937" s="44" t="s">
        <v>24</v>
      </c>
      <c r="C937" s="45"/>
    </row>
    <row r="938" spans="1:3" x14ac:dyDescent="0.25">
      <c r="A938" s="43" t="s">
        <v>618</v>
      </c>
      <c r="B938" s="44"/>
      <c r="C938" s="45"/>
    </row>
    <row r="939" spans="1:3" x14ac:dyDescent="0.25">
      <c r="A939" s="44" t="s">
        <v>775</v>
      </c>
      <c r="B939" s="44" t="s">
        <v>17</v>
      </c>
      <c r="C939" s="45"/>
    </row>
    <row r="940" spans="1:3" x14ac:dyDescent="0.25">
      <c r="A940" s="44" t="s">
        <v>795</v>
      </c>
      <c r="B940" s="44" t="s">
        <v>24</v>
      </c>
      <c r="C940" s="45"/>
    </row>
    <row r="941" spans="1:3" x14ac:dyDescent="0.25">
      <c r="A941" s="44" t="s">
        <v>619</v>
      </c>
      <c r="B941" s="44" t="s">
        <v>24</v>
      </c>
      <c r="C941" s="45"/>
    </row>
    <row r="942" spans="1:3" x14ac:dyDescent="0.25">
      <c r="A942" s="44" t="s">
        <v>796</v>
      </c>
      <c r="B942" s="44" t="s">
        <v>24</v>
      </c>
      <c r="C942" s="45"/>
    </row>
    <row r="943" spans="1:3" x14ac:dyDescent="0.25">
      <c r="A943" s="44" t="s">
        <v>643</v>
      </c>
      <c r="B943" s="44" t="s">
        <v>24</v>
      </c>
      <c r="C943" s="45"/>
    </row>
    <row r="944" spans="1:3" x14ac:dyDescent="0.25">
      <c r="A944" s="44" t="s">
        <v>620</v>
      </c>
      <c r="B944" s="44" t="s">
        <v>24</v>
      </c>
      <c r="C944" s="45"/>
    </row>
    <row r="945" spans="1:3" x14ac:dyDescent="0.25">
      <c r="A945" s="43" t="s">
        <v>621</v>
      </c>
      <c r="B945" s="44"/>
      <c r="C945" s="45"/>
    </row>
    <row r="946" spans="1:3" x14ac:dyDescent="0.25">
      <c r="A946" s="44" t="s">
        <v>623</v>
      </c>
      <c r="B946" s="44" t="s">
        <v>17</v>
      </c>
      <c r="C946" s="45"/>
    </row>
    <row r="947" spans="1:3" x14ac:dyDescent="0.25">
      <c r="A947" s="44" t="s">
        <v>624</v>
      </c>
      <c r="B947" s="44" t="s">
        <v>17</v>
      </c>
      <c r="C947" s="45"/>
    </row>
    <row r="948" spans="1:3" x14ac:dyDescent="0.25">
      <c r="A948" s="44" t="s">
        <v>625</v>
      </c>
      <c r="B948" s="44" t="s">
        <v>17</v>
      </c>
      <c r="C948" s="45"/>
    </row>
    <row r="949" spans="1:3" x14ac:dyDescent="0.25">
      <c r="A949" s="44" t="s">
        <v>626</v>
      </c>
      <c r="B949" s="44" t="s">
        <v>17</v>
      </c>
      <c r="C949" s="45"/>
    </row>
    <row r="950" spans="1:3" x14ac:dyDescent="0.25">
      <c r="A950" s="44" t="s">
        <v>718</v>
      </c>
      <c r="B950" s="44" t="s">
        <v>17</v>
      </c>
      <c r="C950" s="45"/>
    </row>
    <row r="951" spans="1:3" x14ac:dyDescent="0.25">
      <c r="A951" s="44" t="s">
        <v>942</v>
      </c>
      <c r="B951" s="44" t="s">
        <v>17</v>
      </c>
      <c r="C951" s="45"/>
    </row>
    <row r="952" spans="1:3" x14ac:dyDescent="0.25">
      <c r="A952" s="44" t="s">
        <v>896</v>
      </c>
      <c r="B952" s="44" t="s">
        <v>17</v>
      </c>
      <c r="C952" s="45"/>
    </row>
    <row r="953" spans="1:3" x14ac:dyDescent="0.25">
      <c r="A953" s="44" t="s">
        <v>717</v>
      </c>
      <c r="B953" s="44" t="s">
        <v>17</v>
      </c>
      <c r="C953" s="45"/>
    </row>
    <row r="954" spans="1:3" x14ac:dyDescent="0.25">
      <c r="A954" s="44" t="s">
        <v>809</v>
      </c>
      <c r="B954" s="44" t="s">
        <v>17</v>
      </c>
      <c r="C954" s="45"/>
    </row>
    <row r="955" spans="1:3" x14ac:dyDescent="0.25">
      <c r="A955" s="44" t="s">
        <v>622</v>
      </c>
      <c r="B955" s="44" t="s">
        <v>17</v>
      </c>
      <c r="C955" s="45"/>
    </row>
    <row r="956" spans="1:3" x14ac:dyDescent="0.25">
      <c r="A956" s="44" t="s">
        <v>856</v>
      </c>
      <c r="B956" s="44" t="s">
        <v>17</v>
      </c>
      <c r="C956" s="45"/>
    </row>
    <row r="957" spans="1:3" x14ac:dyDescent="0.25">
      <c r="A957" s="44" t="s">
        <v>637</v>
      </c>
      <c r="B957" s="44" t="s">
        <v>17</v>
      </c>
      <c r="C957" s="45"/>
    </row>
    <row r="958" spans="1:3" x14ac:dyDescent="0.25">
      <c r="A958" s="44" t="s">
        <v>1011</v>
      </c>
      <c r="B958" s="44" t="s">
        <v>17</v>
      </c>
      <c r="C958" s="45"/>
    </row>
    <row r="959" spans="1:3" x14ac:dyDescent="0.25">
      <c r="A959" s="44" t="s">
        <v>627</v>
      </c>
      <c r="B959" s="44" t="s">
        <v>17</v>
      </c>
      <c r="C959" s="45"/>
    </row>
    <row r="960" spans="1:3" x14ac:dyDescent="0.25">
      <c r="A960" s="44" t="s">
        <v>628</v>
      </c>
      <c r="B960" s="44" t="s">
        <v>17</v>
      </c>
      <c r="C960" s="45"/>
    </row>
    <row r="961" spans="1:3" x14ac:dyDescent="0.25">
      <c r="A961" s="44" t="s">
        <v>629</v>
      </c>
      <c r="B961" s="44" t="s">
        <v>17</v>
      </c>
      <c r="C961" s="45"/>
    </row>
    <row r="962" spans="1:3" x14ac:dyDescent="0.25">
      <c r="A962" s="49" t="s">
        <v>666</v>
      </c>
      <c r="B962" s="44" t="s">
        <v>24</v>
      </c>
      <c r="C962" s="45"/>
    </row>
    <row r="963" spans="1:3" x14ac:dyDescent="0.25">
      <c r="A963" s="49" t="s">
        <v>630</v>
      </c>
      <c r="B963" s="44" t="s">
        <v>24</v>
      </c>
      <c r="C963" s="45"/>
    </row>
    <row r="964" spans="1:3" x14ac:dyDescent="0.25">
      <c r="A964" s="49" t="s">
        <v>631</v>
      </c>
      <c r="B964" s="44" t="s">
        <v>24</v>
      </c>
      <c r="C964" s="45"/>
    </row>
    <row r="965" spans="1:3" x14ac:dyDescent="0.25">
      <c r="A965" s="49" t="s">
        <v>698</v>
      </c>
      <c r="B965" s="44" t="s">
        <v>24</v>
      </c>
      <c r="C965" s="45"/>
    </row>
    <row r="966" spans="1:3" x14ac:dyDescent="0.25">
      <c r="A966" s="49" t="s">
        <v>632</v>
      </c>
      <c r="B966" s="44" t="s">
        <v>24</v>
      </c>
      <c r="C966" s="45"/>
    </row>
    <row r="967" spans="1:3" x14ac:dyDescent="0.25">
      <c r="A967" s="49" t="s">
        <v>701</v>
      </c>
      <c r="B967" s="44" t="s">
        <v>24</v>
      </c>
      <c r="C967" s="45"/>
    </row>
    <row r="968" spans="1:3" x14ac:dyDescent="0.25">
      <c r="A968" s="49" t="s">
        <v>633</v>
      </c>
      <c r="B968" s="44" t="s">
        <v>24</v>
      </c>
      <c r="C968" s="45"/>
    </row>
    <row r="969" spans="1:3" x14ac:dyDescent="0.25">
      <c r="A969" s="49" t="s">
        <v>634</v>
      </c>
      <c r="B969" s="44" t="s">
        <v>24</v>
      </c>
      <c r="C969" s="45"/>
    </row>
    <row r="970" spans="1:3" x14ac:dyDescent="0.25">
      <c r="A970" s="49" t="s">
        <v>646</v>
      </c>
      <c r="B970" s="44" t="s">
        <v>24</v>
      </c>
      <c r="C970" s="45"/>
    </row>
    <row r="971" spans="1:3" x14ac:dyDescent="0.25">
      <c r="A971" s="49" t="s">
        <v>635</v>
      </c>
      <c r="B971" s="44" t="s">
        <v>180</v>
      </c>
      <c r="C971" s="45">
        <v>8</v>
      </c>
    </row>
    <row r="972" spans="1:3" x14ac:dyDescent="0.25">
      <c r="A972" s="49" t="s">
        <v>636</v>
      </c>
      <c r="B972" s="44" t="s">
        <v>587</v>
      </c>
      <c r="C972" s="45"/>
    </row>
    <row r="973" spans="1:3" x14ac:dyDescent="0.25">
      <c r="A973" s="43" t="s">
        <v>640</v>
      </c>
      <c r="B973" s="44"/>
      <c r="C973" s="45"/>
    </row>
    <row r="974" spans="1:3" x14ac:dyDescent="0.25">
      <c r="A974" s="43" t="s">
        <v>1029</v>
      </c>
      <c r="B974" s="44"/>
      <c r="C974" s="45"/>
    </row>
    <row r="975" spans="1:3" x14ac:dyDescent="0.25">
      <c r="A975" s="44" t="s">
        <v>641</v>
      </c>
      <c r="B975" s="44" t="s">
        <v>17</v>
      </c>
      <c r="C975" s="45"/>
    </row>
    <row r="976" spans="1:3" x14ac:dyDescent="0.25">
      <c r="A976" s="43" t="s">
        <v>1012</v>
      </c>
      <c r="B976" s="44"/>
      <c r="C976" s="45"/>
    </row>
    <row r="977" spans="1:3" x14ac:dyDescent="0.25">
      <c r="A977" s="44" t="s">
        <v>1013</v>
      </c>
      <c r="B977" s="44" t="s">
        <v>170</v>
      </c>
      <c r="C977" s="45">
        <v>2</v>
      </c>
    </row>
    <row r="978" spans="1:3" x14ac:dyDescent="0.25">
      <c r="A978" s="44" t="s">
        <v>1019</v>
      </c>
      <c r="B978" s="44" t="s">
        <v>170</v>
      </c>
      <c r="C978" s="45"/>
    </row>
    <row r="979" spans="1:3" x14ac:dyDescent="0.25">
      <c r="A979" s="44" t="s">
        <v>1020</v>
      </c>
      <c r="B979" s="44" t="s">
        <v>170</v>
      </c>
      <c r="C979" s="45">
        <v>1</v>
      </c>
    </row>
    <row r="980" spans="1:3" x14ac:dyDescent="0.25">
      <c r="A980" s="43" t="s">
        <v>790</v>
      </c>
      <c r="B980" s="44"/>
      <c r="C980" s="45"/>
    </row>
    <row r="981" spans="1:3" x14ac:dyDescent="0.25">
      <c r="A981" s="44" t="s">
        <v>1038</v>
      </c>
      <c r="B981" s="44" t="s">
        <v>44</v>
      </c>
      <c r="C981" s="45"/>
    </row>
    <row r="982" spans="1:3" x14ac:dyDescent="0.25">
      <c r="A982" s="43" t="s">
        <v>1021</v>
      </c>
      <c r="B982" s="44"/>
      <c r="C982" s="45"/>
    </row>
    <row r="983" spans="1:3" x14ac:dyDescent="0.25">
      <c r="A983" s="44" t="s">
        <v>1039</v>
      </c>
      <c r="B983" s="44" t="s">
        <v>44</v>
      </c>
      <c r="C983" s="45"/>
    </row>
    <row r="984" spans="1:3" x14ac:dyDescent="0.25">
      <c r="A984" s="43" t="s">
        <v>903</v>
      </c>
      <c r="B984" s="44"/>
      <c r="C984" s="45"/>
    </row>
    <row r="985" spans="1:3" x14ac:dyDescent="0.25">
      <c r="A985" s="44" t="s">
        <v>904</v>
      </c>
      <c r="B985" s="44" t="s">
        <v>17</v>
      </c>
      <c r="C985" s="45"/>
    </row>
    <row r="986" spans="1:3" x14ac:dyDescent="0.25">
      <c r="A986" s="43" t="s">
        <v>883</v>
      </c>
      <c r="B986" s="44"/>
      <c r="C986" s="45"/>
    </row>
    <row r="987" spans="1:3" x14ac:dyDescent="0.25">
      <c r="A987" s="44" t="s">
        <v>1040</v>
      </c>
      <c r="B987" s="44" t="s">
        <v>44</v>
      </c>
      <c r="C987" s="45"/>
    </row>
  </sheetData>
  <pageMargins left="0.12" right="6.44" top="0.18" bottom="0.15" header="0.12" footer="0.12"/>
  <pageSetup paperSize="14" scale="8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2023</vt:lpstr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2024-01-02T09:26:28Z</cp:lastPrinted>
  <dcterms:created xsi:type="dcterms:W3CDTF">2022-05-18T09:19:05Z</dcterms:created>
  <dcterms:modified xsi:type="dcterms:W3CDTF">2024-01-05T08:18:29Z</dcterms:modified>
</cp:coreProperties>
</file>